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Code\qwack\tmp\examples\"/>
    </mc:Choice>
  </mc:AlternateContent>
  <xr:revisionPtr revIDLastSave="0" documentId="13_ncr:1_{3F94C229-709E-4E73-9DA8-7442ACA1DBBA}" xr6:coauthVersionLast="45" xr6:coauthVersionMax="45" xr10:uidLastSave="{00000000-0000-0000-0000-000000000000}"/>
  <bookViews>
    <workbookView xWindow="-120" yWindow="435" windowWidth="29040" windowHeight="17085" activeTab="10" xr2:uid="{D33987B2-318A-4576-9804-224796ED48E2}"/>
  </bookViews>
  <sheets>
    <sheet name="FX-IR" sheetId="1" r:id="rId1"/>
    <sheet name="Base" sheetId="2" r:id="rId2"/>
    <sheet name="Energy" sheetId="3" r:id="rId3"/>
    <sheet name="Correlations" sheetId="7" r:id="rId4"/>
    <sheet name="AsianSwap" sheetId="11" r:id="rId5"/>
    <sheet name="CustomSwap" sheetId="12" r:id="rId6"/>
    <sheet name="EuroOption" sheetId="5" r:id="rId7"/>
    <sheet name="AsianOption" sheetId="9" r:id="rId8"/>
    <sheet name="PortfolioBuilder" sheetId="6" r:id="rId9"/>
    <sheet name="Risk" sheetId="8" r:id="rId10"/>
    <sheet name="C&amp;C" sheetId="13" r:id="rId11"/>
    <sheet name="Static" sheetId="10" r:id="rId12"/>
  </sheets>
  <externalReferences>
    <externalReference r:id="rId13"/>
  </externalReferences>
  <definedNames>
    <definedName name="AModel">'FX-IR'!$B$7</definedName>
    <definedName name="AsianOptionObjects">AsianOption!$Q:$Q</definedName>
    <definedName name="AsianOptionTags">AsianOption!$A:$A</definedName>
    <definedName name="AsianSwapObjects" localSheetId="5">CustomSwap!$N:$N</definedName>
    <definedName name="AsianSwapObjects">AsianSwap!$O:$O</definedName>
    <definedName name="AsianSwapTags" localSheetId="5">CustomSwap!$A:$A</definedName>
    <definedName name="AsianSwapTags">AsianSwap!$A:$A</definedName>
    <definedName name="AssetStatic">Static!$B$2:$M$30</definedName>
    <definedName name="AssetToCCF">Static!$F$3:$G$21</definedName>
    <definedName name="AssetToType">Static!$H$3:$I$21</definedName>
    <definedName name="BidMidASK">Energy!$D$1</definedName>
    <definedName name="CCFs">Static!$M$26:$N$33</definedName>
    <definedName name="CorrelMatrix">Correlations!$B$5</definedName>
    <definedName name="CurvesBase">Base!$14:$14</definedName>
    <definedName name="CurvesEnergyBasis">Energy!$A$70:$AD$70</definedName>
    <definedName name="CurvesEnergyFlat">Energy!$A$10:$AL$10</definedName>
    <definedName name="EuroOptionObjects">EuroOption!$O:$O</definedName>
    <definedName name="EuroOptionTags">EuroOption!$A:$A</definedName>
    <definedName name="FixingsBase">Base!$C$149:$C$154</definedName>
    <definedName name="FixingsEnergy">Energy!$C$105:$C$108</definedName>
    <definedName name="FundingModel">'FX-IR'!$B$6</definedName>
    <definedName name="LiborSpot">'FX-IR'!$C$64</definedName>
    <definedName name="m3Date">Base!$B$1</definedName>
    <definedName name="MetalSpotDate">'FX-IR'!$B$2</definedName>
    <definedName name="Portfolio">PortfolioBuilder!$B$3</definedName>
    <definedName name="RatingTable">Static!$B$37:$M$62</definedName>
    <definedName name="Tag">PortfolioBuilder!$B$1</definedName>
    <definedName name="TypeToClass">Static!$G$24:$H$29</definedName>
    <definedName name="valDate">'FX-IR'!$B$1</definedName>
    <definedName name="VolsBase">Base!$80:$80</definedName>
    <definedName name="VolsEnergy">Energy!$A$111:$X$111</definedName>
  </definedNames>
  <calcPr calcId="191029" calcMode="manual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131" i="3" l="1"/>
  <c r="Q131" i="3"/>
  <c r="P131" i="3"/>
  <c r="O131" i="3"/>
  <c r="Q130" i="3"/>
  <c r="O130" i="3"/>
  <c r="R127" i="3"/>
  <c r="Q127" i="3"/>
  <c r="P127" i="3"/>
  <c r="O127" i="3"/>
  <c r="N127" i="3"/>
  <c r="M127" i="3"/>
  <c r="J127" i="3"/>
  <c r="I127" i="3"/>
  <c r="H127" i="3"/>
  <c r="G127" i="3"/>
  <c r="F127" i="3"/>
  <c r="E127" i="3"/>
  <c r="D127" i="3"/>
  <c r="C127" i="3"/>
  <c r="R126" i="3"/>
  <c r="Q126" i="3"/>
  <c r="P126" i="3"/>
  <c r="O126" i="3"/>
  <c r="N126" i="3"/>
  <c r="M126" i="3"/>
  <c r="J126" i="3"/>
  <c r="I126" i="3"/>
  <c r="H126" i="3"/>
  <c r="G126" i="3"/>
  <c r="F126" i="3"/>
  <c r="E126" i="3"/>
  <c r="D126" i="3"/>
  <c r="C126" i="3"/>
  <c r="R125" i="3"/>
  <c r="Q125" i="3"/>
  <c r="P125" i="3"/>
  <c r="O125" i="3"/>
  <c r="N125" i="3"/>
  <c r="M125" i="3"/>
  <c r="J125" i="3"/>
  <c r="I125" i="3"/>
  <c r="H125" i="3"/>
  <c r="G125" i="3"/>
  <c r="F125" i="3"/>
  <c r="E125" i="3"/>
  <c r="D125" i="3"/>
  <c r="C125" i="3"/>
  <c r="R124" i="3"/>
  <c r="Q124" i="3"/>
  <c r="P124" i="3"/>
  <c r="O124" i="3"/>
  <c r="N124" i="3"/>
  <c r="M124" i="3"/>
  <c r="J124" i="3"/>
  <c r="I124" i="3"/>
  <c r="H124" i="3"/>
  <c r="G124" i="3"/>
  <c r="F124" i="3"/>
  <c r="E124" i="3"/>
  <c r="D124" i="3"/>
  <c r="C124" i="3"/>
  <c r="R123" i="3"/>
  <c r="Q123" i="3"/>
  <c r="P123" i="3"/>
  <c r="O123" i="3"/>
  <c r="N123" i="3"/>
  <c r="M123" i="3"/>
  <c r="J123" i="3"/>
  <c r="I123" i="3"/>
  <c r="H123" i="3"/>
  <c r="G123" i="3"/>
  <c r="F123" i="3"/>
  <c r="E123" i="3"/>
  <c r="D123" i="3"/>
  <c r="C123" i="3"/>
  <c r="R122" i="3"/>
  <c r="Q122" i="3"/>
  <c r="P122" i="3"/>
  <c r="O122" i="3"/>
  <c r="N122" i="3"/>
  <c r="M122" i="3"/>
  <c r="J122" i="3"/>
  <c r="I122" i="3"/>
  <c r="H122" i="3"/>
  <c r="G122" i="3"/>
  <c r="F122" i="3"/>
  <c r="E122" i="3"/>
  <c r="D122" i="3"/>
  <c r="C122" i="3"/>
  <c r="R121" i="3"/>
  <c r="Q121" i="3"/>
  <c r="P121" i="3"/>
  <c r="O121" i="3"/>
  <c r="N121" i="3"/>
  <c r="M121" i="3"/>
  <c r="J121" i="3"/>
  <c r="I121" i="3"/>
  <c r="H121" i="3"/>
  <c r="G121" i="3"/>
  <c r="F121" i="3"/>
  <c r="E121" i="3"/>
  <c r="D121" i="3"/>
  <c r="C121" i="3"/>
  <c r="R120" i="3"/>
  <c r="Q120" i="3"/>
  <c r="P120" i="3"/>
  <c r="O120" i="3"/>
  <c r="N120" i="3"/>
  <c r="M120" i="3"/>
  <c r="J120" i="3"/>
  <c r="I120" i="3"/>
  <c r="H120" i="3"/>
  <c r="G120" i="3"/>
  <c r="F120" i="3"/>
  <c r="E120" i="3"/>
  <c r="D120" i="3"/>
  <c r="C120" i="3"/>
  <c r="R119" i="3"/>
  <c r="Q119" i="3"/>
  <c r="P119" i="3"/>
  <c r="O119" i="3"/>
  <c r="N119" i="3"/>
  <c r="M119" i="3"/>
  <c r="J119" i="3"/>
  <c r="I119" i="3"/>
  <c r="H119" i="3"/>
  <c r="G119" i="3"/>
  <c r="F119" i="3"/>
  <c r="E119" i="3"/>
  <c r="D119" i="3"/>
  <c r="C119" i="3"/>
  <c r="R118" i="3"/>
  <c r="Q118" i="3"/>
  <c r="P118" i="3"/>
  <c r="O118" i="3"/>
  <c r="N118" i="3"/>
  <c r="M118" i="3"/>
  <c r="J118" i="3"/>
  <c r="I118" i="3"/>
  <c r="H118" i="3"/>
  <c r="G118" i="3"/>
  <c r="F118" i="3"/>
  <c r="E118" i="3"/>
  <c r="D118" i="3"/>
  <c r="C118" i="3"/>
  <c r="R117" i="3"/>
  <c r="Q117" i="3"/>
  <c r="P117" i="3"/>
  <c r="O117" i="3"/>
  <c r="N117" i="3"/>
  <c r="M117" i="3"/>
  <c r="J117" i="3"/>
  <c r="I117" i="3"/>
  <c r="H117" i="3"/>
  <c r="G117" i="3"/>
  <c r="F117" i="3"/>
  <c r="E117" i="3"/>
  <c r="D117" i="3"/>
  <c r="C117" i="3"/>
  <c r="R116" i="3"/>
  <c r="Q116" i="3"/>
  <c r="P116" i="3"/>
  <c r="O116" i="3"/>
  <c r="N116" i="3"/>
  <c r="M116" i="3"/>
  <c r="J116" i="3"/>
  <c r="I116" i="3"/>
  <c r="H116" i="3"/>
  <c r="G116" i="3"/>
  <c r="F116" i="3"/>
  <c r="E116" i="3"/>
  <c r="D116" i="3"/>
  <c r="C116" i="3"/>
  <c r="R115" i="3"/>
  <c r="Q115" i="3"/>
  <c r="P115" i="3"/>
  <c r="O115" i="3"/>
  <c r="N115" i="3"/>
  <c r="M115" i="3"/>
  <c r="J115" i="3"/>
  <c r="I115" i="3"/>
  <c r="H115" i="3"/>
  <c r="G115" i="3"/>
  <c r="F115" i="3"/>
  <c r="E115" i="3"/>
  <c r="D115" i="3"/>
  <c r="C115" i="3"/>
  <c r="R114" i="3"/>
  <c r="Q114" i="3"/>
  <c r="P114" i="3"/>
  <c r="O114" i="3"/>
  <c r="N114" i="3"/>
  <c r="M114" i="3"/>
  <c r="J114" i="3"/>
  <c r="I114" i="3"/>
  <c r="H114" i="3"/>
  <c r="G114" i="3"/>
  <c r="F114" i="3"/>
  <c r="E114" i="3"/>
  <c r="D114" i="3"/>
  <c r="C114" i="3"/>
  <c r="J113" i="3"/>
  <c r="I113" i="3"/>
  <c r="H113" i="3"/>
  <c r="G113" i="3"/>
  <c r="F113" i="3"/>
  <c r="E113" i="3"/>
  <c r="D113" i="3"/>
  <c r="H112" i="3"/>
  <c r="H130" i="3" s="1"/>
  <c r="E112" i="3"/>
  <c r="E130" i="3" s="1"/>
  <c r="F128" i="3" a="1"/>
  <c r="H128" i="3" a="1"/>
  <c r="E128" i="3" a="1"/>
  <c r="D128" i="3" a="1"/>
  <c r="N128" i="3" a="1"/>
  <c r="O128" i="3" a="1"/>
  <c r="P128" i="3" a="1"/>
  <c r="Q128" i="3" a="1"/>
  <c r="R128" i="3" a="1"/>
  <c r="G128" i="3" a="1"/>
  <c r="J128" i="3" a="1"/>
  <c r="I128" i="3" a="1"/>
  <c r="I128" i="3" l="1"/>
  <c r="J128" i="3"/>
  <c r="G128" i="3"/>
  <c r="R128" i="3"/>
  <c r="Q128" i="3"/>
  <c r="P128" i="3"/>
  <c r="O128" i="3"/>
  <c r="N128" i="3"/>
  <c r="D128" i="3"/>
  <c r="E128" i="3"/>
  <c r="H128" i="3"/>
  <c r="F128" i="3"/>
  <c r="I131" i="3"/>
  <c r="J131" i="3"/>
  <c r="G131" i="3"/>
  <c r="E131" i="3"/>
  <c r="H131" i="3"/>
  <c r="F131" i="3"/>
  <c r="C104" i="3"/>
  <c r="C103" i="3" s="1"/>
  <c r="T72" i="3"/>
  <c r="L72" i="3"/>
  <c r="D72" i="3"/>
  <c r="B72" i="3"/>
  <c r="C106" i="3"/>
  <c r="C105" i="3"/>
  <c r="C107" i="3"/>
  <c r="C108" i="3"/>
  <c r="C72" i="3" a="1"/>
  <c r="E72" i="3" a="1"/>
  <c r="E72" i="3" l="1"/>
  <c r="C72" i="3"/>
  <c r="B73" i="3"/>
  <c r="R72" i="3"/>
  <c r="J72" i="3"/>
  <c r="F72" i="3" a="1"/>
  <c r="C73" i="3" a="1"/>
  <c r="E73" i="3" a="1"/>
  <c r="K72" i="3" a="1"/>
  <c r="M72" i="3" a="1"/>
  <c r="S72" i="3" a="1"/>
  <c r="U72" i="3" a="1"/>
  <c r="U72" i="3" l="1"/>
  <c r="S72" i="3"/>
  <c r="M72" i="3"/>
  <c r="K72" i="3"/>
  <c r="E73" i="3"/>
  <c r="C73" i="3"/>
  <c r="F72" i="3"/>
  <c r="R73" i="3"/>
  <c r="J73" i="3"/>
  <c r="B74" i="3"/>
  <c r="D73" i="3"/>
  <c r="K73" i="3" a="1"/>
  <c r="M73" i="3" a="1"/>
  <c r="S73" i="3" a="1"/>
  <c r="U73" i="3" a="1"/>
  <c r="V72" i="3" a="1"/>
  <c r="C74" i="3" a="1"/>
  <c r="E74" i="3" a="1"/>
  <c r="G72" i="3" a="1"/>
  <c r="N72" i="3" a="1"/>
  <c r="F73" i="3" a="1"/>
  <c r="F73" i="3" l="1"/>
  <c r="N72" i="3"/>
  <c r="G72" i="3"/>
  <c r="E74" i="3"/>
  <c r="C74" i="3"/>
  <c r="V72" i="3"/>
  <c r="U73" i="3"/>
  <c r="S73" i="3"/>
  <c r="M73" i="3"/>
  <c r="K73" i="3"/>
  <c r="B75" i="3"/>
  <c r="D74" i="3"/>
  <c r="R74" i="3"/>
  <c r="T73" i="3"/>
  <c r="J74" i="3"/>
  <c r="L73" i="3"/>
  <c r="G73" i="3" a="1"/>
  <c r="O72" i="3" a="1"/>
  <c r="N73" i="3" a="1"/>
  <c r="C75" i="3" a="1"/>
  <c r="E75" i="3" a="1"/>
  <c r="V73" i="3" a="1"/>
  <c r="F74" i="3" a="1"/>
  <c r="S74" i="3" a="1"/>
  <c r="U74" i="3" a="1"/>
  <c r="W72" i="3" a="1"/>
  <c r="K74" i="3" a="1"/>
  <c r="M74" i="3" a="1"/>
  <c r="M74" i="3" l="1"/>
  <c r="K74" i="3"/>
  <c r="W72" i="3"/>
  <c r="U74" i="3"/>
  <c r="S74" i="3"/>
  <c r="F74" i="3"/>
  <c r="V73" i="3"/>
  <c r="E75" i="3"/>
  <c r="C75" i="3"/>
  <c r="N73" i="3"/>
  <c r="O72" i="3"/>
  <c r="G73" i="3"/>
  <c r="J75" i="3"/>
  <c r="L74" i="3"/>
  <c r="R75" i="3"/>
  <c r="T74" i="3"/>
  <c r="B76" i="3"/>
  <c r="D75" i="3"/>
  <c r="F75" i="3" a="1"/>
  <c r="C76" i="3" a="1"/>
  <c r="E76" i="3" a="1"/>
  <c r="N74" i="3" a="1"/>
  <c r="O73" i="3" a="1"/>
  <c r="W73" i="3" a="1"/>
  <c r="V74" i="3" a="1"/>
  <c r="K75" i="3" a="1"/>
  <c r="M75" i="3" a="1"/>
  <c r="G74" i="3" a="1"/>
  <c r="S75" i="3" a="1"/>
  <c r="U75" i="3" a="1"/>
  <c r="U75" i="3" l="1"/>
  <c r="S75" i="3"/>
  <c r="G74" i="3"/>
  <c r="M75" i="3"/>
  <c r="K75" i="3"/>
  <c r="V74" i="3"/>
  <c r="W73" i="3"/>
  <c r="O73" i="3"/>
  <c r="N74" i="3"/>
  <c r="E76" i="3"/>
  <c r="C76" i="3"/>
  <c r="F75" i="3"/>
  <c r="R76" i="3"/>
  <c r="T75" i="3"/>
  <c r="J76" i="3"/>
  <c r="L75" i="3"/>
  <c r="B77" i="3"/>
  <c r="D76" i="3"/>
  <c r="O74" i="3" a="1"/>
  <c r="C77" i="3" a="1"/>
  <c r="E77" i="3" a="1"/>
  <c r="V75" i="3" a="1"/>
  <c r="G75" i="3" a="1"/>
  <c r="S76" i="3" a="1"/>
  <c r="U76" i="3" a="1"/>
  <c r="F76" i="3" a="1"/>
  <c r="W74" i="3" a="1"/>
  <c r="N75" i="3" a="1"/>
  <c r="K76" i="3" a="1"/>
  <c r="M76" i="3" a="1"/>
  <c r="M76" i="3" l="1"/>
  <c r="K76" i="3"/>
  <c r="N75" i="3"/>
  <c r="W74" i="3"/>
  <c r="F76" i="3"/>
  <c r="U76" i="3"/>
  <c r="S76" i="3"/>
  <c r="G75" i="3"/>
  <c r="V75" i="3"/>
  <c r="E77" i="3"/>
  <c r="C77" i="3"/>
  <c r="O74" i="3"/>
  <c r="J77" i="3"/>
  <c r="L76" i="3"/>
  <c r="R77" i="3"/>
  <c r="T76" i="3"/>
  <c r="B78" i="3"/>
  <c r="D77" i="3"/>
  <c r="W75" i="3" a="1"/>
  <c r="C78" i="3" a="1"/>
  <c r="E78" i="3" a="1"/>
  <c r="N76" i="3" a="1"/>
  <c r="K77" i="3" a="1"/>
  <c r="M77" i="3" a="1"/>
  <c r="O75" i="3" a="1"/>
  <c r="F77" i="3" a="1"/>
  <c r="G76" i="3" a="1"/>
  <c r="V76" i="3" a="1"/>
  <c r="S77" i="3" a="1"/>
  <c r="U77" i="3" a="1"/>
  <c r="U77" i="3" l="1"/>
  <c r="S77" i="3"/>
  <c r="V76" i="3"/>
  <c r="G76" i="3"/>
  <c r="F77" i="3"/>
  <c r="O75" i="3"/>
  <c r="M77" i="3"/>
  <c r="K77" i="3"/>
  <c r="N76" i="3"/>
  <c r="E78" i="3"/>
  <c r="C78" i="3"/>
  <c r="W75" i="3"/>
  <c r="R78" i="3"/>
  <c r="T77" i="3"/>
  <c r="J78" i="3"/>
  <c r="L77" i="3"/>
  <c r="B79" i="3"/>
  <c r="D78" i="3"/>
  <c r="O76" i="3" a="1"/>
  <c r="C79" i="3" a="1"/>
  <c r="E79" i="3" a="1"/>
  <c r="V77" i="3" a="1"/>
  <c r="K78" i="3" a="1"/>
  <c r="M78" i="3" a="1"/>
  <c r="N77" i="3" a="1"/>
  <c r="W76" i="3" a="1"/>
  <c r="F78" i="3" a="1"/>
  <c r="G77" i="3" a="1"/>
  <c r="S78" i="3" a="1"/>
  <c r="U78" i="3" a="1"/>
  <c r="U78" i="3" l="1"/>
  <c r="S78" i="3"/>
  <c r="G77" i="3"/>
  <c r="F78" i="3"/>
  <c r="W76" i="3"/>
  <c r="N77" i="3"/>
  <c r="M78" i="3"/>
  <c r="K78" i="3"/>
  <c r="V77" i="3"/>
  <c r="E79" i="3"/>
  <c r="C79" i="3"/>
  <c r="O76" i="3"/>
  <c r="R79" i="3"/>
  <c r="T78" i="3"/>
  <c r="J79" i="3"/>
  <c r="L78" i="3"/>
  <c r="B80" i="3"/>
  <c r="D79" i="3"/>
  <c r="Y67" i="3"/>
  <c r="W77" i="3" a="1"/>
  <c r="C80" i="3" a="1"/>
  <c r="E80" i="3" a="1"/>
  <c r="V78" i="3" a="1"/>
  <c r="F79" i="3" a="1"/>
  <c r="G78" i="3" a="1"/>
  <c r="S79" i="3" a="1"/>
  <c r="U79" i="3" a="1"/>
  <c r="O77" i="3" a="1"/>
  <c r="K79" i="3" a="1"/>
  <c r="M79" i="3" a="1"/>
  <c r="N78" i="3" a="1"/>
  <c r="N78" i="3" l="1"/>
  <c r="M79" i="3"/>
  <c r="K79" i="3"/>
  <c r="O77" i="3"/>
  <c r="U79" i="3"/>
  <c r="S79" i="3"/>
  <c r="G78" i="3"/>
  <c r="F79" i="3"/>
  <c r="V78" i="3"/>
  <c r="E80" i="3"/>
  <c r="C80" i="3"/>
  <c r="W77" i="3"/>
  <c r="J80" i="3"/>
  <c r="L79" i="3"/>
  <c r="R80" i="3"/>
  <c r="T79" i="3"/>
  <c r="B81" i="3"/>
  <c r="D80" i="3"/>
  <c r="O78" i="3" a="1"/>
  <c r="W78" i="3" a="1"/>
  <c r="C81" i="3" a="1"/>
  <c r="E81" i="3" a="1"/>
  <c r="V79" i="3" a="1"/>
  <c r="S80" i="3" a="1"/>
  <c r="U80" i="3" a="1"/>
  <c r="G79" i="3" a="1"/>
  <c r="N79" i="3" a="1"/>
  <c r="F80" i="3" a="1"/>
  <c r="K80" i="3" a="1"/>
  <c r="M80" i="3" a="1"/>
  <c r="M80" i="3" l="1"/>
  <c r="K80" i="3"/>
  <c r="F80" i="3"/>
  <c r="N79" i="3"/>
  <c r="G79" i="3"/>
  <c r="U80" i="3"/>
  <c r="S80" i="3"/>
  <c r="V79" i="3"/>
  <c r="E81" i="3"/>
  <c r="C81" i="3"/>
  <c r="W78" i="3"/>
  <c r="O78" i="3"/>
  <c r="J81" i="3"/>
  <c r="L80" i="3"/>
  <c r="R81" i="3"/>
  <c r="T80" i="3"/>
  <c r="B82" i="3"/>
  <c r="D81" i="3"/>
  <c r="C82" i="3" a="1"/>
  <c r="E82" i="3" a="1"/>
  <c r="N80" i="3" a="1"/>
  <c r="F81" i="3" a="1"/>
  <c r="V80" i="3" a="1"/>
  <c r="S81" i="3" a="1"/>
  <c r="U81" i="3" a="1"/>
  <c r="W79" i="3" a="1"/>
  <c r="G80" i="3" a="1"/>
  <c r="O79" i="3" a="1"/>
  <c r="K81" i="3" a="1"/>
  <c r="M81" i="3" a="1"/>
  <c r="M81" i="3" l="1"/>
  <c r="K81" i="3"/>
  <c r="O79" i="3"/>
  <c r="G80" i="3"/>
  <c r="W79" i="3"/>
  <c r="U81" i="3"/>
  <c r="S81" i="3"/>
  <c r="V80" i="3"/>
  <c r="F81" i="3"/>
  <c r="N80" i="3"/>
  <c r="E82" i="3"/>
  <c r="C82" i="3"/>
  <c r="J82" i="3"/>
  <c r="L81" i="3"/>
  <c r="R82" i="3"/>
  <c r="T81" i="3"/>
  <c r="B83" i="3"/>
  <c r="D82" i="3"/>
  <c r="G81" i="3" a="1"/>
  <c r="C83" i="3" a="1"/>
  <c r="E83" i="3" a="1"/>
  <c r="N81" i="3" a="1"/>
  <c r="O80" i="3" a="1"/>
  <c r="V81" i="3" a="1"/>
  <c r="S82" i="3" a="1"/>
  <c r="U82" i="3" a="1"/>
  <c r="F82" i="3" a="1"/>
  <c r="K82" i="3" a="1"/>
  <c r="M82" i="3" a="1"/>
  <c r="W80" i="3" a="1"/>
  <c r="W80" i="3" l="1"/>
  <c r="M82" i="3"/>
  <c r="K82" i="3"/>
  <c r="F82" i="3"/>
  <c r="U82" i="3"/>
  <c r="S82" i="3"/>
  <c r="V81" i="3"/>
  <c r="O80" i="3"/>
  <c r="N81" i="3"/>
  <c r="E83" i="3"/>
  <c r="C83" i="3"/>
  <c r="G81" i="3"/>
  <c r="J83" i="3"/>
  <c r="L82" i="3"/>
  <c r="R83" i="3"/>
  <c r="T82" i="3"/>
  <c r="B84" i="3"/>
  <c r="D83" i="3"/>
  <c r="O81" i="3" a="1"/>
  <c r="C84" i="3" a="1"/>
  <c r="E84" i="3" a="1"/>
  <c r="V82" i="3" a="1"/>
  <c r="W81" i="3" a="1"/>
  <c r="S83" i="3" a="1"/>
  <c r="U83" i="3" a="1"/>
  <c r="N82" i="3" a="1"/>
  <c r="F83" i="3" a="1"/>
  <c r="G82" i="3" a="1"/>
  <c r="K83" i="3" a="1"/>
  <c r="M83" i="3" a="1"/>
  <c r="M83" i="3" l="1"/>
  <c r="K83" i="3"/>
  <c r="G82" i="3"/>
  <c r="F83" i="3"/>
  <c r="N82" i="3"/>
  <c r="U83" i="3"/>
  <c r="S83" i="3"/>
  <c r="W81" i="3"/>
  <c r="V82" i="3"/>
  <c r="E84" i="3"/>
  <c r="C84" i="3"/>
  <c r="O81" i="3"/>
  <c r="J84" i="3"/>
  <c r="L83" i="3"/>
  <c r="R84" i="3"/>
  <c r="T83" i="3"/>
  <c r="B85" i="3"/>
  <c r="D84" i="3"/>
  <c r="W82" i="3" a="1"/>
  <c r="C85" i="3" a="1"/>
  <c r="E85" i="3" a="1"/>
  <c r="K84" i="3" a="1"/>
  <c r="M84" i="3" a="1"/>
  <c r="S84" i="3" a="1"/>
  <c r="U84" i="3" a="1"/>
  <c r="V83" i="3" a="1"/>
  <c r="N83" i="3" a="1"/>
  <c r="F84" i="3" a="1"/>
  <c r="G83" i="3" a="1"/>
  <c r="O82" i="3" a="1"/>
  <c r="O82" i="3" l="1"/>
  <c r="G83" i="3"/>
  <c r="F84" i="3"/>
  <c r="N83" i="3"/>
  <c r="V83" i="3"/>
  <c r="U84" i="3"/>
  <c r="S84" i="3"/>
  <c r="M84" i="3"/>
  <c r="K84" i="3"/>
  <c r="E85" i="3"/>
  <c r="C85" i="3"/>
  <c r="W82" i="3"/>
  <c r="R85" i="3"/>
  <c r="T84" i="3"/>
  <c r="J85" i="3"/>
  <c r="L84" i="3"/>
  <c r="B86" i="3"/>
  <c r="D85" i="3"/>
  <c r="N84" i="3" a="1"/>
  <c r="C86" i="3" a="1"/>
  <c r="E86" i="3" a="1"/>
  <c r="G84" i="3" a="1"/>
  <c r="F85" i="3" a="1"/>
  <c r="O83" i="3" a="1"/>
  <c r="W83" i="3" a="1"/>
  <c r="S85" i="3" a="1"/>
  <c r="U85" i="3" a="1"/>
  <c r="V84" i="3" a="1"/>
  <c r="K85" i="3" a="1"/>
  <c r="M85" i="3" a="1"/>
  <c r="M85" i="3" l="1"/>
  <c r="K85" i="3"/>
  <c r="V84" i="3"/>
  <c r="U85" i="3"/>
  <c r="S85" i="3"/>
  <c r="W83" i="3"/>
  <c r="O83" i="3"/>
  <c r="F85" i="3"/>
  <c r="G84" i="3"/>
  <c r="E86" i="3"/>
  <c r="C86" i="3"/>
  <c r="N84" i="3"/>
  <c r="J86" i="3"/>
  <c r="L85" i="3"/>
  <c r="R86" i="3"/>
  <c r="T85" i="3"/>
  <c r="B87" i="3"/>
  <c r="D86" i="3"/>
  <c r="C87" i="3" a="1"/>
  <c r="E87" i="3" a="1"/>
  <c r="O84" i="3" a="1"/>
  <c r="S86" i="3" a="1"/>
  <c r="U86" i="3" a="1"/>
  <c r="G85" i="3" a="1"/>
  <c r="N85" i="3" a="1"/>
  <c r="W84" i="3" a="1"/>
  <c r="F86" i="3" a="1"/>
  <c r="V85" i="3" a="1"/>
  <c r="K86" i="3" a="1"/>
  <c r="M86" i="3" a="1"/>
  <c r="M86" i="3" l="1"/>
  <c r="K86" i="3"/>
  <c r="V85" i="3"/>
  <c r="F86" i="3"/>
  <c r="W84" i="3"/>
  <c r="N85" i="3"/>
  <c r="G85" i="3"/>
  <c r="U86" i="3"/>
  <c r="S86" i="3"/>
  <c r="O84" i="3"/>
  <c r="E87" i="3"/>
  <c r="C87" i="3"/>
  <c r="J87" i="3"/>
  <c r="L86" i="3"/>
  <c r="R87" i="3"/>
  <c r="T86" i="3"/>
  <c r="B88" i="3"/>
  <c r="D87" i="3"/>
  <c r="V86" i="3" a="1"/>
  <c r="C88" i="3" a="1"/>
  <c r="E88" i="3" a="1"/>
  <c r="N86" i="3" a="1"/>
  <c r="W85" i="3" a="1"/>
  <c r="G86" i="3" a="1"/>
  <c r="F87" i="3" a="1"/>
  <c r="K87" i="3" a="1"/>
  <c r="M87" i="3" a="1"/>
  <c r="O85" i="3" a="1"/>
  <c r="S87" i="3" a="1"/>
  <c r="U87" i="3" a="1"/>
  <c r="U87" i="3" l="1"/>
  <c r="S87" i="3"/>
  <c r="O85" i="3"/>
  <c r="M87" i="3"/>
  <c r="K87" i="3"/>
  <c r="F87" i="3"/>
  <c r="G86" i="3"/>
  <c r="W85" i="3"/>
  <c r="N86" i="3"/>
  <c r="E88" i="3"/>
  <c r="C88" i="3"/>
  <c r="V86" i="3"/>
  <c r="R88" i="3"/>
  <c r="T87" i="3"/>
  <c r="J88" i="3"/>
  <c r="L87" i="3"/>
  <c r="B89" i="3"/>
  <c r="D88" i="3"/>
  <c r="O86" i="3" a="1"/>
  <c r="V87" i="3" a="1"/>
  <c r="F88" i="3" a="1"/>
  <c r="W86" i="3" a="1"/>
  <c r="N87" i="3" a="1"/>
  <c r="S88" i="3" a="1"/>
  <c r="U88" i="3" a="1"/>
  <c r="K88" i="3" a="1"/>
  <c r="M88" i="3" a="1"/>
  <c r="G87" i="3" a="1"/>
  <c r="C89" i="3" a="1"/>
  <c r="E89" i="3" a="1"/>
  <c r="E89" i="3" l="1"/>
  <c r="C89" i="3"/>
  <c r="G87" i="3"/>
  <c r="M88" i="3"/>
  <c r="K88" i="3"/>
  <c r="U88" i="3"/>
  <c r="S88" i="3"/>
  <c r="N87" i="3"/>
  <c r="W86" i="3"/>
  <c r="F88" i="3"/>
  <c r="V87" i="3"/>
  <c r="O86" i="3"/>
  <c r="B90" i="3"/>
  <c r="D89" i="3"/>
  <c r="J89" i="3"/>
  <c r="L88" i="3"/>
  <c r="R89" i="3"/>
  <c r="T88" i="3"/>
  <c r="S89" i="3" a="1"/>
  <c r="U89" i="3" a="1"/>
  <c r="N88" i="3" a="1"/>
  <c r="V88" i="3" a="1"/>
  <c r="K89" i="3" a="1"/>
  <c r="M89" i="3" a="1"/>
  <c r="O87" i="3" a="1"/>
  <c r="F89" i="3" a="1"/>
  <c r="G88" i="3" a="1"/>
  <c r="W87" i="3" a="1"/>
  <c r="C90" i="3" a="1"/>
  <c r="E90" i="3" a="1"/>
  <c r="E90" i="3" l="1"/>
  <c r="C90" i="3"/>
  <c r="W87" i="3"/>
  <c r="G88" i="3"/>
  <c r="F89" i="3"/>
  <c r="O87" i="3"/>
  <c r="M89" i="3"/>
  <c r="K89" i="3"/>
  <c r="V88" i="3"/>
  <c r="N88" i="3"/>
  <c r="U89" i="3"/>
  <c r="S89" i="3"/>
  <c r="B91" i="3"/>
  <c r="D90" i="3"/>
  <c r="J90" i="3"/>
  <c r="L89" i="3"/>
  <c r="R90" i="3"/>
  <c r="T89" i="3"/>
  <c r="W88" i="3" a="1"/>
  <c r="S90" i="3" a="1"/>
  <c r="U90" i="3" a="1"/>
  <c r="F90" i="3" a="1"/>
  <c r="K90" i="3" a="1"/>
  <c r="M90" i="3" a="1"/>
  <c r="N89" i="3" a="1"/>
  <c r="O88" i="3" a="1"/>
  <c r="V89" i="3" a="1"/>
  <c r="G89" i="3" a="1"/>
  <c r="C91" i="3" a="1"/>
  <c r="E91" i="3" a="1"/>
  <c r="E91" i="3" l="1"/>
  <c r="C91" i="3"/>
  <c r="G89" i="3"/>
  <c r="V89" i="3"/>
  <c r="O88" i="3"/>
  <c r="N89" i="3"/>
  <c r="M90" i="3"/>
  <c r="K90" i="3"/>
  <c r="F90" i="3"/>
  <c r="U90" i="3"/>
  <c r="S90" i="3"/>
  <c r="W88" i="3"/>
  <c r="B92" i="3"/>
  <c r="D91" i="3"/>
  <c r="J91" i="3"/>
  <c r="L90" i="3"/>
  <c r="R91" i="3"/>
  <c r="T90" i="3"/>
  <c r="K91" i="3" a="1"/>
  <c r="M91" i="3" a="1"/>
  <c r="N90" i="3" a="1"/>
  <c r="G90" i="3" a="1"/>
  <c r="S91" i="3" a="1"/>
  <c r="U91" i="3" a="1"/>
  <c r="F91" i="3" a="1"/>
  <c r="V90" i="3" a="1"/>
  <c r="W89" i="3" a="1"/>
  <c r="C92" i="3" a="1"/>
  <c r="E92" i="3" a="1"/>
  <c r="O89" i="3" a="1"/>
  <c r="O89" i="3" l="1"/>
  <c r="E92" i="3"/>
  <c r="C92" i="3"/>
  <c r="W89" i="3"/>
  <c r="V90" i="3"/>
  <c r="F91" i="3"/>
  <c r="U91" i="3"/>
  <c r="S91" i="3"/>
  <c r="G90" i="3"/>
  <c r="N90" i="3"/>
  <c r="M91" i="3"/>
  <c r="K91" i="3"/>
  <c r="B93" i="3"/>
  <c r="D92" i="3"/>
  <c r="R92" i="3"/>
  <c r="T91" i="3"/>
  <c r="J92" i="3"/>
  <c r="L91" i="3"/>
  <c r="O90" i="3" a="1"/>
  <c r="F92" i="3" a="1"/>
  <c r="G91" i="3" a="1"/>
  <c r="S92" i="3" a="1"/>
  <c r="U92" i="3" a="1"/>
  <c r="V91" i="3" a="1"/>
  <c r="K92" i="3" a="1"/>
  <c r="M92" i="3" a="1"/>
  <c r="N91" i="3" a="1"/>
  <c r="W90" i="3" a="1"/>
  <c r="C93" i="3" a="1"/>
  <c r="E93" i="3" a="1"/>
  <c r="E93" i="3" l="1"/>
  <c r="C93" i="3"/>
  <c r="W90" i="3"/>
  <c r="N91" i="3"/>
  <c r="M92" i="3"/>
  <c r="K92" i="3"/>
  <c r="V91" i="3"/>
  <c r="U92" i="3"/>
  <c r="S92" i="3"/>
  <c r="G91" i="3"/>
  <c r="F92" i="3"/>
  <c r="O90" i="3"/>
  <c r="B94" i="3"/>
  <c r="D93" i="3"/>
  <c r="J93" i="3"/>
  <c r="L92" i="3"/>
  <c r="R93" i="3"/>
  <c r="T92" i="3"/>
  <c r="V92" i="3" a="1"/>
  <c r="S93" i="3" a="1"/>
  <c r="U93" i="3" a="1"/>
  <c r="C94" i="3" a="1"/>
  <c r="E94" i="3" a="1"/>
  <c r="N92" i="3" a="1"/>
  <c r="F93" i="3" a="1"/>
  <c r="G92" i="3" a="1"/>
  <c r="O91" i="3" a="1"/>
  <c r="W91" i="3" a="1"/>
  <c r="K93" i="3" a="1"/>
  <c r="M93" i="3" a="1"/>
  <c r="M93" i="3" l="1"/>
  <c r="K93" i="3"/>
  <c r="W91" i="3"/>
  <c r="O91" i="3"/>
  <c r="G92" i="3"/>
  <c r="F93" i="3"/>
  <c r="N92" i="3"/>
  <c r="E94" i="3"/>
  <c r="C94" i="3"/>
  <c r="U93" i="3"/>
  <c r="S93" i="3"/>
  <c r="V92" i="3"/>
  <c r="J94" i="3"/>
  <c r="L93" i="3"/>
  <c r="B95" i="3"/>
  <c r="D94" i="3"/>
  <c r="R94" i="3"/>
  <c r="T93" i="3"/>
  <c r="Y66" i="3"/>
  <c r="F94" i="3" a="1"/>
  <c r="S94" i="3" a="1"/>
  <c r="U94" i="3" a="1"/>
  <c r="N93" i="3" a="1"/>
  <c r="K94" i="3" a="1"/>
  <c r="M94" i="3" a="1"/>
  <c r="V93" i="3" a="1"/>
  <c r="W92" i="3" a="1"/>
  <c r="G93" i="3" a="1"/>
  <c r="O92" i="3" a="1"/>
  <c r="C95" i="3" a="1"/>
  <c r="E95" i="3" a="1"/>
  <c r="E95" i="3" l="1"/>
  <c r="C95" i="3"/>
  <c r="O92" i="3"/>
  <c r="G93" i="3"/>
  <c r="W92" i="3"/>
  <c r="V93" i="3"/>
  <c r="M94" i="3"/>
  <c r="K94" i="3"/>
  <c r="N93" i="3"/>
  <c r="U94" i="3"/>
  <c r="S94" i="3"/>
  <c r="F94" i="3"/>
  <c r="B96" i="3"/>
  <c r="D95" i="3"/>
  <c r="J95" i="3"/>
  <c r="L94" i="3"/>
  <c r="R95" i="3"/>
  <c r="T94" i="3"/>
  <c r="O93" i="3" a="1"/>
  <c r="S95" i="3" a="1"/>
  <c r="U95" i="3" a="1"/>
  <c r="F95" i="3" a="1"/>
  <c r="C96" i="3" a="1"/>
  <c r="E96" i="3" a="1"/>
  <c r="V94" i="3" a="1"/>
  <c r="W93" i="3" a="1"/>
  <c r="G94" i="3" a="1"/>
  <c r="N94" i="3" a="1"/>
  <c r="K95" i="3" a="1"/>
  <c r="M95" i="3" a="1"/>
  <c r="M95" i="3" l="1"/>
  <c r="K95" i="3"/>
  <c r="N94" i="3"/>
  <c r="G94" i="3"/>
  <c r="W93" i="3"/>
  <c r="V94" i="3"/>
  <c r="E96" i="3"/>
  <c r="C96" i="3"/>
  <c r="F95" i="3"/>
  <c r="U95" i="3"/>
  <c r="S95" i="3"/>
  <c r="O93" i="3"/>
  <c r="J96" i="3"/>
  <c r="L95" i="3"/>
  <c r="B97" i="3"/>
  <c r="D96" i="3"/>
  <c r="R96" i="3"/>
  <c r="T95" i="3"/>
  <c r="G95" i="3" a="1"/>
  <c r="S96" i="3" a="1"/>
  <c r="U96" i="3" a="1"/>
  <c r="C97" i="3" a="1"/>
  <c r="E97" i="3" a="1"/>
  <c r="N95" i="3" a="1"/>
  <c r="K96" i="3" a="1"/>
  <c r="M96" i="3" a="1"/>
  <c r="O94" i="3" a="1"/>
  <c r="V95" i="3" a="1"/>
  <c r="W94" i="3" a="1"/>
  <c r="F96" i="3" a="1"/>
  <c r="F96" i="3" l="1"/>
  <c r="W94" i="3"/>
  <c r="V95" i="3"/>
  <c r="O94" i="3"/>
  <c r="M96" i="3"/>
  <c r="K96" i="3"/>
  <c r="N95" i="3"/>
  <c r="E97" i="3"/>
  <c r="C97" i="3"/>
  <c r="U96" i="3"/>
  <c r="S96" i="3"/>
  <c r="G95" i="3"/>
  <c r="J97" i="3"/>
  <c r="L96" i="3"/>
  <c r="B98" i="3"/>
  <c r="D97" i="3"/>
  <c r="R97" i="3"/>
  <c r="T96" i="3"/>
  <c r="G96" i="3" a="1"/>
  <c r="F97" i="3" a="1"/>
  <c r="S97" i="3" a="1"/>
  <c r="U97" i="3" a="1"/>
  <c r="K97" i="3" a="1"/>
  <c r="M97" i="3" a="1"/>
  <c r="W95" i="3" a="1"/>
  <c r="V96" i="3" a="1"/>
  <c r="N96" i="3" a="1"/>
  <c r="O95" i="3" a="1"/>
  <c r="C98" i="3" a="1"/>
  <c r="E98" i="3" a="1"/>
  <c r="E98" i="3" l="1"/>
  <c r="C98" i="3"/>
  <c r="O95" i="3"/>
  <c r="N96" i="3"/>
  <c r="V96" i="3"/>
  <c r="W95" i="3"/>
  <c r="M97" i="3"/>
  <c r="K97" i="3"/>
  <c r="U97" i="3"/>
  <c r="S97" i="3"/>
  <c r="F97" i="3"/>
  <c r="G96" i="3"/>
  <c r="B99" i="3"/>
  <c r="D98" i="3"/>
  <c r="J98" i="3"/>
  <c r="L97" i="3"/>
  <c r="R98" i="3"/>
  <c r="T97" i="3"/>
  <c r="F98" i="3" a="1"/>
  <c r="V97" i="3" a="1"/>
  <c r="N97" i="3" a="1"/>
  <c r="G97" i="3" a="1"/>
  <c r="O96" i="3" a="1"/>
  <c r="W96" i="3" a="1"/>
  <c r="C99" i="3" a="1"/>
  <c r="E99" i="3" a="1"/>
  <c r="K98" i="3" a="1"/>
  <c r="M98" i="3" a="1"/>
  <c r="S98" i="3" a="1"/>
  <c r="U98" i="3" a="1"/>
  <c r="U98" i="3" l="1"/>
  <c r="S98" i="3"/>
  <c r="M98" i="3"/>
  <c r="K98" i="3"/>
  <c r="E99" i="3"/>
  <c r="C99" i="3"/>
  <c r="W96" i="3"/>
  <c r="O96" i="3"/>
  <c r="G97" i="3"/>
  <c r="N97" i="3"/>
  <c r="V97" i="3"/>
  <c r="F98" i="3"/>
  <c r="R99" i="3"/>
  <c r="T98" i="3"/>
  <c r="J99" i="3"/>
  <c r="L98" i="3"/>
  <c r="B100" i="3"/>
  <c r="D99" i="3"/>
  <c r="C100" i="3" a="1"/>
  <c r="E100" i="3" a="1"/>
  <c r="F99" i="3" a="1"/>
  <c r="V98" i="3" a="1"/>
  <c r="O97" i="3" a="1"/>
  <c r="W97" i="3" a="1"/>
  <c r="N98" i="3" a="1"/>
  <c r="G98" i="3" a="1"/>
  <c r="S99" i="3" a="1"/>
  <c r="U99" i="3" a="1"/>
  <c r="K99" i="3" a="1"/>
  <c r="M99" i="3" a="1"/>
  <c r="M99" i="3" l="1"/>
  <c r="K99" i="3"/>
  <c r="U99" i="3"/>
  <c r="S99" i="3"/>
  <c r="G98" i="3"/>
  <c r="N98" i="3"/>
  <c r="W97" i="3"/>
  <c r="O97" i="3"/>
  <c r="V98" i="3"/>
  <c r="F99" i="3"/>
  <c r="E100" i="3"/>
  <c r="C100" i="3"/>
  <c r="J100" i="3"/>
  <c r="L99" i="3"/>
  <c r="R100" i="3"/>
  <c r="T99" i="3"/>
  <c r="D100" i="3"/>
  <c r="W98" i="3" a="1"/>
  <c r="N99" i="3" a="1"/>
  <c r="G99" i="3" a="1"/>
  <c r="V99" i="3" a="1"/>
  <c r="F100" i="3" a="1"/>
  <c r="K100" i="3" a="1"/>
  <c r="M100" i="3" a="1"/>
  <c r="O98" i="3" a="1"/>
  <c r="S100" i="3" a="1"/>
  <c r="U100" i="3" a="1"/>
  <c r="U100" i="3" l="1"/>
  <c r="S100" i="3"/>
  <c r="O98" i="3"/>
  <c r="M100" i="3"/>
  <c r="K100" i="3"/>
  <c r="F100" i="3"/>
  <c r="V99" i="3"/>
  <c r="G99" i="3"/>
  <c r="N99" i="3"/>
  <c r="W98" i="3"/>
  <c r="T100" i="3"/>
  <c r="L100" i="3"/>
  <c r="O99" i="3" a="1"/>
  <c r="V100" i="3" a="1"/>
  <c r="N100" i="3" a="1"/>
  <c r="W99" i="3" a="1"/>
  <c r="G100" i="3" a="1"/>
  <c r="G100" i="3" l="1"/>
  <c r="W99" i="3"/>
  <c r="N100" i="3"/>
  <c r="V100" i="3"/>
  <c r="O99" i="3"/>
  <c r="O100" i="3" a="1"/>
  <c r="W100" i="3" a="1"/>
  <c r="W100" i="3" l="1"/>
  <c r="O100" i="3"/>
  <c r="Y65" i="3"/>
  <c r="Y64" i="3"/>
  <c r="Y63" i="3"/>
  <c r="Y62" i="3"/>
  <c r="Y61" i="3"/>
  <c r="Y60" i="3"/>
  <c r="Y59" i="3"/>
  <c r="Y58" i="3"/>
  <c r="Y57" i="3"/>
  <c r="Y56" i="3"/>
  <c r="Y55" i="3"/>
  <c r="AC11" i="3" a="1"/>
  <c r="AC11" i="3" l="1"/>
  <c r="AD11" i="3" a="1"/>
  <c r="AE11" i="3" a="1"/>
  <c r="AF11" i="3" a="1"/>
  <c r="AC12" i="3" a="1"/>
  <c r="AC12" i="3" l="1"/>
  <c r="AF11" i="3"/>
  <c r="AE11" i="3"/>
  <c r="AD11" i="3"/>
  <c r="AD12" i="3" a="1"/>
  <c r="AE12" i="3" a="1"/>
  <c r="AF12" i="3" a="1"/>
  <c r="AC13" i="3" a="1"/>
  <c r="AC13" i="3" l="1"/>
  <c r="AF12" i="3"/>
  <c r="AH12" i="3" s="1"/>
  <c r="AE12" i="3"/>
  <c r="AD12" i="3"/>
  <c r="AG12" i="3"/>
  <c r="AG11" i="3"/>
  <c r="AH11" i="3"/>
  <c r="AD13" i="3" a="1"/>
  <c r="AE13" i="3" a="1"/>
  <c r="AF13" i="3" a="1"/>
  <c r="AC14" i="3" a="1"/>
  <c r="AC14" i="3" l="1"/>
  <c r="AF13" i="3"/>
  <c r="AH13" i="3" s="1"/>
  <c r="AE13" i="3"/>
  <c r="AG13" i="3" s="1"/>
  <c r="AD13" i="3"/>
  <c r="AD14" i="3" a="1"/>
  <c r="AE14" i="3" a="1"/>
  <c r="AF14" i="3" a="1"/>
  <c r="AC15" i="3" a="1"/>
  <c r="AC15" i="3" l="1"/>
  <c r="AF14" i="3"/>
  <c r="AH14" i="3" s="1"/>
  <c r="AE14" i="3"/>
  <c r="AG14" i="3" s="1"/>
  <c r="AD14" i="3"/>
  <c r="AD15" i="3" a="1"/>
  <c r="AE15" i="3" a="1"/>
  <c r="AF15" i="3" a="1"/>
  <c r="AC16" i="3" a="1"/>
  <c r="AC16" i="3" l="1"/>
  <c r="AF15" i="3"/>
  <c r="AH15" i="3" s="1"/>
  <c r="AE15" i="3"/>
  <c r="AG15" i="3" s="1"/>
  <c r="AD15" i="3"/>
  <c r="AD16" i="3" a="1"/>
  <c r="AE16" i="3" a="1"/>
  <c r="AF16" i="3" a="1"/>
  <c r="AC17" i="3" a="1"/>
  <c r="T11" i="3" a="1"/>
  <c r="T11" i="3" l="1"/>
  <c r="AC17" i="3"/>
  <c r="AF16" i="3"/>
  <c r="AH16" i="3" s="1"/>
  <c r="AE16" i="3"/>
  <c r="AG16" i="3" s="1"/>
  <c r="AD16" i="3"/>
  <c r="U11" i="3" a="1"/>
  <c r="V11" i="3" a="1"/>
  <c r="W11" i="3" a="1"/>
  <c r="T12" i="3" a="1"/>
  <c r="AD17" i="3" a="1"/>
  <c r="AE17" i="3" a="1"/>
  <c r="AF17" i="3" a="1"/>
  <c r="AC18" i="3" a="1"/>
  <c r="AC18" i="3" l="1"/>
  <c r="AF17" i="3"/>
  <c r="AH17" i="3" s="1"/>
  <c r="AE17" i="3"/>
  <c r="AG17" i="3" s="1"/>
  <c r="AD17" i="3"/>
  <c r="T12" i="3"/>
  <c r="W11" i="3"/>
  <c r="V11" i="3"/>
  <c r="U11" i="3"/>
  <c r="AD18" i="3" a="1"/>
  <c r="AE18" i="3" a="1"/>
  <c r="AF18" i="3" a="1"/>
  <c r="AC19" i="3" a="1"/>
  <c r="U12" i="3" a="1"/>
  <c r="V12" i="3" a="1"/>
  <c r="W12" i="3" a="1"/>
  <c r="T13" i="3" a="1"/>
  <c r="T13" i="3" l="1"/>
  <c r="W12" i="3"/>
  <c r="Y12" i="3" s="1"/>
  <c r="V12" i="3"/>
  <c r="X12" i="3" s="1"/>
  <c r="U12" i="3"/>
  <c r="AC19" i="3"/>
  <c r="AF18" i="3"/>
  <c r="AH18" i="3" s="1"/>
  <c r="AE18" i="3"/>
  <c r="AG18" i="3" s="1"/>
  <c r="AD18" i="3"/>
  <c r="X11" i="3"/>
  <c r="Y11" i="3"/>
  <c r="U13" i="3" a="1"/>
  <c r="V13" i="3" a="1"/>
  <c r="W13" i="3" a="1"/>
  <c r="T14" i="3" a="1"/>
  <c r="AD19" i="3" a="1"/>
  <c r="AE19" i="3" a="1"/>
  <c r="AF19" i="3" a="1"/>
  <c r="AC20" i="3" a="1"/>
  <c r="AC20" i="3" l="1"/>
  <c r="AF19" i="3"/>
  <c r="AH19" i="3" s="1"/>
  <c r="AE19" i="3"/>
  <c r="AG19" i="3" s="1"/>
  <c r="AD19" i="3"/>
  <c r="T14" i="3"/>
  <c r="W13" i="3"/>
  <c r="Y13" i="3" s="1"/>
  <c r="V13" i="3"/>
  <c r="X13" i="3" s="1"/>
  <c r="U13" i="3"/>
  <c r="AD20" i="3" a="1"/>
  <c r="AE20" i="3" a="1"/>
  <c r="AF20" i="3" a="1"/>
  <c r="AC21" i="3" a="1"/>
  <c r="U14" i="3" a="1"/>
  <c r="V14" i="3" a="1"/>
  <c r="W14" i="3" a="1"/>
  <c r="T15" i="3" a="1"/>
  <c r="T15" i="3" l="1"/>
  <c r="W14" i="3"/>
  <c r="Y14" i="3" s="1"/>
  <c r="V14" i="3"/>
  <c r="X14" i="3" s="1"/>
  <c r="U14" i="3"/>
  <c r="AC21" i="3"/>
  <c r="AF20" i="3"/>
  <c r="AH20" i="3" s="1"/>
  <c r="AE20" i="3"/>
  <c r="AG20" i="3" s="1"/>
  <c r="AD20" i="3"/>
  <c r="U15" i="3" a="1"/>
  <c r="V15" i="3" a="1"/>
  <c r="W15" i="3" a="1"/>
  <c r="T16" i="3" a="1"/>
  <c r="AD21" i="3" a="1"/>
  <c r="AE21" i="3" a="1"/>
  <c r="AF21" i="3" a="1"/>
  <c r="AC22" i="3" a="1"/>
  <c r="AC22" i="3" l="1"/>
  <c r="AF21" i="3"/>
  <c r="AH21" i="3" s="1"/>
  <c r="AE21" i="3"/>
  <c r="AG21" i="3" s="1"/>
  <c r="AD21" i="3"/>
  <c r="T16" i="3"/>
  <c r="W15" i="3"/>
  <c r="Y15" i="3" s="1"/>
  <c r="V15" i="3"/>
  <c r="X15" i="3" s="1"/>
  <c r="U15" i="3"/>
  <c r="AD22" i="3" a="1"/>
  <c r="AE22" i="3" a="1"/>
  <c r="AF22" i="3" a="1"/>
  <c r="AC23" i="3" a="1"/>
  <c r="U16" i="3" a="1"/>
  <c r="V16" i="3" a="1"/>
  <c r="W16" i="3" a="1"/>
  <c r="T17" i="3" a="1"/>
  <c r="K11" i="3" a="1"/>
  <c r="K11" i="3" l="1"/>
  <c r="T17" i="3"/>
  <c r="W16" i="3"/>
  <c r="Y16" i="3" s="1"/>
  <c r="V16" i="3"/>
  <c r="X16" i="3" s="1"/>
  <c r="U16" i="3"/>
  <c r="AC23" i="3"/>
  <c r="AF22" i="3"/>
  <c r="AH22" i="3" s="1"/>
  <c r="AE22" i="3"/>
  <c r="AG22" i="3" s="1"/>
  <c r="AD22" i="3"/>
  <c r="L11" i="3" a="1"/>
  <c r="M11" i="3" a="1"/>
  <c r="N11" i="3" a="1"/>
  <c r="K12" i="3" a="1"/>
  <c r="U17" i="3" a="1"/>
  <c r="V17" i="3" a="1"/>
  <c r="W17" i="3" a="1"/>
  <c r="T18" i="3" a="1"/>
  <c r="AD23" i="3" a="1"/>
  <c r="AE23" i="3" a="1"/>
  <c r="AF23" i="3" a="1"/>
  <c r="AC24" i="3" a="1"/>
  <c r="AC24" i="3" l="1"/>
  <c r="AF23" i="3"/>
  <c r="AH23" i="3" s="1"/>
  <c r="AE23" i="3"/>
  <c r="AG23" i="3" s="1"/>
  <c r="AD23" i="3"/>
  <c r="T18" i="3"/>
  <c r="W17" i="3"/>
  <c r="Y17" i="3" s="1"/>
  <c r="V17" i="3"/>
  <c r="X17" i="3" s="1"/>
  <c r="U17" i="3"/>
  <c r="K12" i="3"/>
  <c r="N11" i="3"/>
  <c r="M11" i="3"/>
  <c r="L11" i="3"/>
  <c r="M132" i="3" s="1"/>
  <c r="L132" i="3"/>
  <c r="AD24" i="3" a="1"/>
  <c r="AE24" i="3" a="1"/>
  <c r="AF24" i="3" a="1"/>
  <c r="AC25" i="3" a="1"/>
  <c r="L12" i="3" a="1"/>
  <c r="M12" i="3" a="1"/>
  <c r="N12" i="3" a="1"/>
  <c r="K13" i="3" a="1"/>
  <c r="N132" i="3" a="1"/>
  <c r="O132" i="3" a="1"/>
  <c r="P132" i="3" a="1"/>
  <c r="Q132" i="3" a="1"/>
  <c r="R132" i="3" a="1"/>
  <c r="U18" i="3" a="1"/>
  <c r="V18" i="3" a="1"/>
  <c r="W18" i="3" a="1"/>
  <c r="T19" i="3" a="1"/>
  <c r="T19" i="3" l="1"/>
  <c r="W18" i="3"/>
  <c r="Y18" i="3" s="1"/>
  <c r="V18" i="3"/>
  <c r="X18" i="3" s="1"/>
  <c r="U18" i="3"/>
  <c r="R132" i="3"/>
  <c r="Q132" i="3"/>
  <c r="P132" i="3"/>
  <c r="O132" i="3"/>
  <c r="N132" i="3"/>
  <c r="K13" i="3"/>
  <c r="N12" i="3"/>
  <c r="P12" i="3" s="1"/>
  <c r="M12" i="3"/>
  <c r="O12" i="3" s="1"/>
  <c r="L12" i="3"/>
  <c r="M133" i="3" s="1"/>
  <c r="AC25" i="3"/>
  <c r="AF24" i="3"/>
  <c r="AH24" i="3" s="1"/>
  <c r="AE24" i="3"/>
  <c r="AG24" i="3" s="1"/>
  <c r="AD24" i="3"/>
  <c r="O11" i="3"/>
  <c r="P11" i="3"/>
  <c r="L133" i="3"/>
  <c r="U19" i="3" a="1"/>
  <c r="V19" i="3" a="1"/>
  <c r="W19" i="3" a="1"/>
  <c r="T20" i="3" a="1"/>
  <c r="L13" i="3" a="1"/>
  <c r="M13" i="3" a="1"/>
  <c r="N13" i="3" a="1"/>
  <c r="K14" i="3" a="1"/>
  <c r="N133" i="3" a="1"/>
  <c r="O133" i="3" a="1"/>
  <c r="P133" i="3" a="1"/>
  <c r="Q133" i="3" a="1"/>
  <c r="R133" i="3" a="1"/>
  <c r="AD25" i="3" a="1"/>
  <c r="AE25" i="3" a="1"/>
  <c r="AF25" i="3" a="1"/>
  <c r="AC26" i="3" a="1"/>
  <c r="AC26" i="3" l="1"/>
  <c r="AF25" i="3"/>
  <c r="AH25" i="3" s="1"/>
  <c r="AE25" i="3"/>
  <c r="AG25" i="3" s="1"/>
  <c r="AD25" i="3"/>
  <c r="R133" i="3"/>
  <c r="Q133" i="3"/>
  <c r="P133" i="3"/>
  <c r="O133" i="3"/>
  <c r="N133" i="3"/>
  <c r="K14" i="3"/>
  <c r="N13" i="3"/>
  <c r="P13" i="3" s="1"/>
  <c r="M13" i="3"/>
  <c r="O13" i="3" s="1"/>
  <c r="L13" i="3"/>
  <c r="M134" i="3" s="1"/>
  <c r="T20" i="3"/>
  <c r="W19" i="3"/>
  <c r="Y19" i="3" s="1"/>
  <c r="V19" i="3"/>
  <c r="X19" i="3" s="1"/>
  <c r="U19" i="3"/>
  <c r="L134" i="3"/>
  <c r="AD26" i="3" a="1"/>
  <c r="AE26" i="3" a="1"/>
  <c r="AF26" i="3" a="1"/>
  <c r="AC27" i="3" a="1"/>
  <c r="L14" i="3" a="1"/>
  <c r="M14" i="3" a="1"/>
  <c r="N14" i="3" a="1"/>
  <c r="K15" i="3" a="1"/>
  <c r="N134" i="3" a="1"/>
  <c r="O134" i="3" a="1"/>
  <c r="P134" i="3" a="1"/>
  <c r="Q134" i="3" a="1"/>
  <c r="R134" i="3" a="1"/>
  <c r="U20" i="3" a="1"/>
  <c r="V20" i="3" a="1"/>
  <c r="W20" i="3" a="1"/>
  <c r="T21" i="3" a="1"/>
  <c r="T21" i="3" l="1"/>
  <c r="W20" i="3"/>
  <c r="Y20" i="3" s="1"/>
  <c r="V20" i="3"/>
  <c r="X20" i="3" s="1"/>
  <c r="U20" i="3"/>
  <c r="R134" i="3"/>
  <c r="Q134" i="3"/>
  <c r="P134" i="3"/>
  <c r="O134" i="3"/>
  <c r="N134" i="3"/>
  <c r="K15" i="3"/>
  <c r="N14" i="3"/>
  <c r="P14" i="3" s="1"/>
  <c r="M14" i="3"/>
  <c r="O14" i="3" s="1"/>
  <c r="L14" i="3"/>
  <c r="M135" i="3" s="1"/>
  <c r="AC27" i="3"/>
  <c r="AF26" i="3"/>
  <c r="AH26" i="3" s="1"/>
  <c r="AE26" i="3"/>
  <c r="AG26" i="3" s="1"/>
  <c r="AD26" i="3"/>
  <c r="L135" i="3"/>
  <c r="U21" i="3" a="1"/>
  <c r="V21" i="3" a="1"/>
  <c r="W21" i="3" a="1"/>
  <c r="T22" i="3" a="1"/>
  <c r="L15" i="3" a="1"/>
  <c r="M15" i="3" a="1"/>
  <c r="N15" i="3" a="1"/>
  <c r="K16" i="3" a="1"/>
  <c r="N135" i="3" a="1"/>
  <c r="O135" i="3" a="1"/>
  <c r="P135" i="3" a="1"/>
  <c r="Q135" i="3" a="1"/>
  <c r="R135" i="3" a="1"/>
  <c r="AD27" i="3" a="1"/>
  <c r="AE27" i="3" a="1"/>
  <c r="AF27" i="3" a="1"/>
  <c r="AC28" i="3" a="1"/>
  <c r="AC28" i="3" l="1"/>
  <c r="AF27" i="3"/>
  <c r="AH27" i="3" s="1"/>
  <c r="AE27" i="3"/>
  <c r="AG27" i="3" s="1"/>
  <c r="AD27" i="3"/>
  <c r="R135" i="3"/>
  <c r="Q135" i="3"/>
  <c r="P135" i="3"/>
  <c r="O135" i="3"/>
  <c r="N135" i="3"/>
  <c r="K16" i="3"/>
  <c r="N15" i="3"/>
  <c r="P15" i="3" s="1"/>
  <c r="M15" i="3"/>
  <c r="O15" i="3" s="1"/>
  <c r="L15" i="3"/>
  <c r="M136" i="3" s="1"/>
  <c r="T22" i="3"/>
  <c r="W21" i="3"/>
  <c r="Y21" i="3" s="1"/>
  <c r="V21" i="3"/>
  <c r="X21" i="3" s="1"/>
  <c r="U21" i="3"/>
  <c r="L136" i="3"/>
  <c r="AD28" i="3" a="1"/>
  <c r="AE28" i="3" a="1"/>
  <c r="AF28" i="3" a="1"/>
  <c r="AC29" i="3" a="1"/>
  <c r="L16" i="3" a="1"/>
  <c r="M16" i="3" a="1"/>
  <c r="N16" i="3" a="1"/>
  <c r="K17" i="3" a="1"/>
  <c r="U22" i="3" a="1"/>
  <c r="V22" i="3" a="1"/>
  <c r="W22" i="3" a="1"/>
  <c r="T23" i="3" a="1"/>
  <c r="N136" i="3" a="1"/>
  <c r="O136" i="3" a="1"/>
  <c r="P136" i="3" a="1"/>
  <c r="Q136" i="3" a="1"/>
  <c r="R136" i="3" a="1"/>
  <c r="B11" i="3" a="1"/>
  <c r="B11" i="3" l="1"/>
  <c r="R136" i="3"/>
  <c r="Q136" i="3"/>
  <c r="P136" i="3"/>
  <c r="O136" i="3"/>
  <c r="N136" i="3"/>
  <c r="T23" i="3"/>
  <c r="W22" i="3"/>
  <c r="Y22" i="3" s="1"/>
  <c r="V22" i="3"/>
  <c r="X22" i="3" s="1"/>
  <c r="U22" i="3"/>
  <c r="K17" i="3"/>
  <c r="N16" i="3"/>
  <c r="P16" i="3" s="1"/>
  <c r="M16" i="3"/>
  <c r="O16" i="3" s="1"/>
  <c r="L16" i="3"/>
  <c r="M137" i="3" s="1"/>
  <c r="AC29" i="3"/>
  <c r="AF28" i="3"/>
  <c r="AH28" i="3" s="1"/>
  <c r="AE28" i="3"/>
  <c r="AG28" i="3" s="1"/>
  <c r="AD28" i="3"/>
  <c r="L137" i="3"/>
  <c r="C11" i="3" a="1"/>
  <c r="D11" i="3" a="1"/>
  <c r="E11" i="3" a="1"/>
  <c r="B12" i="3" a="1"/>
  <c r="L17" i="3" a="1"/>
  <c r="M17" i="3" a="1"/>
  <c r="N17" i="3" a="1"/>
  <c r="K18" i="3" a="1"/>
  <c r="N137" i="3" a="1"/>
  <c r="O137" i="3" a="1"/>
  <c r="P137" i="3" a="1"/>
  <c r="Q137" i="3" a="1"/>
  <c r="R137" i="3" a="1"/>
  <c r="U23" i="3" a="1"/>
  <c r="V23" i="3" a="1"/>
  <c r="W23" i="3" a="1"/>
  <c r="T24" i="3" a="1"/>
  <c r="AD29" i="3" a="1"/>
  <c r="AE29" i="3" a="1"/>
  <c r="AF29" i="3" a="1"/>
  <c r="AC30" i="3" a="1"/>
  <c r="AC30" i="3" l="1"/>
  <c r="AF29" i="3"/>
  <c r="AH29" i="3" s="1"/>
  <c r="AE29" i="3"/>
  <c r="AG29" i="3" s="1"/>
  <c r="AD29" i="3"/>
  <c r="T24" i="3"/>
  <c r="W23" i="3"/>
  <c r="Y23" i="3" s="1"/>
  <c r="V23" i="3"/>
  <c r="X23" i="3" s="1"/>
  <c r="U23" i="3"/>
  <c r="R137" i="3"/>
  <c r="Q137" i="3"/>
  <c r="P137" i="3"/>
  <c r="O137" i="3"/>
  <c r="N137" i="3"/>
  <c r="K18" i="3"/>
  <c r="N17" i="3"/>
  <c r="P17" i="3" s="1"/>
  <c r="M17" i="3"/>
  <c r="O17" i="3" s="1"/>
  <c r="L17" i="3"/>
  <c r="M138" i="3" s="1"/>
  <c r="B12" i="3"/>
  <c r="E11" i="3"/>
  <c r="D11" i="3"/>
  <c r="C11" i="3"/>
  <c r="C132" i="3" s="1"/>
  <c r="L138" i="3"/>
  <c r="B132" i="3"/>
  <c r="AD30" i="3" a="1"/>
  <c r="AE30" i="3" a="1"/>
  <c r="AF30" i="3" a="1"/>
  <c r="AC31" i="3" a="1"/>
  <c r="N138" i="3" a="1"/>
  <c r="O138" i="3" a="1"/>
  <c r="P138" i="3" a="1"/>
  <c r="Q138" i="3" a="1"/>
  <c r="R138" i="3" a="1"/>
  <c r="C12" i="3" a="1"/>
  <c r="D12" i="3" a="1"/>
  <c r="E12" i="3" a="1"/>
  <c r="B13" i="3" a="1"/>
  <c r="U24" i="3" a="1"/>
  <c r="V24" i="3" a="1"/>
  <c r="W24" i="3" a="1"/>
  <c r="T25" i="3" a="1"/>
  <c r="E132" i="3" a="1"/>
  <c r="J132" i="3" a="1"/>
  <c r="F132" i="3" a="1"/>
  <c r="H132" i="3" a="1"/>
  <c r="G132" i="3" a="1"/>
  <c r="D132" i="3" a="1"/>
  <c r="I132" i="3" a="1"/>
  <c r="L18" i="3" a="1"/>
  <c r="M18" i="3" a="1"/>
  <c r="N18" i="3" a="1"/>
  <c r="K19" i="3" a="1"/>
  <c r="K19" i="3" l="1"/>
  <c r="N18" i="3"/>
  <c r="P18" i="3" s="1"/>
  <c r="M18" i="3"/>
  <c r="O18" i="3" s="1"/>
  <c r="L18" i="3"/>
  <c r="M139" i="3" s="1"/>
  <c r="I132" i="3"/>
  <c r="D132" i="3"/>
  <c r="G132" i="3"/>
  <c r="H132" i="3"/>
  <c r="F132" i="3"/>
  <c r="J132" i="3"/>
  <c r="E132" i="3"/>
  <c r="T25" i="3"/>
  <c r="W24" i="3"/>
  <c r="Y24" i="3" s="1"/>
  <c r="V24" i="3"/>
  <c r="X24" i="3" s="1"/>
  <c r="U24" i="3"/>
  <c r="B13" i="3"/>
  <c r="E12" i="3"/>
  <c r="G12" i="3" s="1"/>
  <c r="D12" i="3"/>
  <c r="C12" i="3"/>
  <c r="C133" i="3" s="1"/>
  <c r="R138" i="3"/>
  <c r="Q138" i="3"/>
  <c r="P138" i="3"/>
  <c r="O138" i="3"/>
  <c r="N138" i="3"/>
  <c r="AC31" i="3"/>
  <c r="AF30" i="3"/>
  <c r="AH30" i="3" s="1"/>
  <c r="AE30" i="3"/>
  <c r="AG30" i="3" s="1"/>
  <c r="AD30" i="3"/>
  <c r="L139" i="3"/>
  <c r="F12" i="3"/>
  <c r="F11" i="3"/>
  <c r="G11" i="3"/>
  <c r="B133" i="3"/>
  <c r="L19" i="3" a="1"/>
  <c r="M19" i="3" a="1"/>
  <c r="N19" i="3" a="1"/>
  <c r="K20" i="3" a="1"/>
  <c r="AD31" i="3" a="1"/>
  <c r="AE31" i="3" a="1"/>
  <c r="AF31" i="3" a="1"/>
  <c r="AC32" i="3" a="1"/>
  <c r="N139" i="3" a="1"/>
  <c r="O139" i="3" a="1"/>
  <c r="P139" i="3" a="1"/>
  <c r="Q139" i="3" a="1"/>
  <c r="R139" i="3" a="1"/>
  <c r="E133" i="3" a="1"/>
  <c r="J133" i="3" a="1"/>
  <c r="F133" i="3" a="1"/>
  <c r="H133" i="3" a="1"/>
  <c r="G133" i="3" a="1"/>
  <c r="D133" i="3" a="1"/>
  <c r="I133" i="3" a="1"/>
  <c r="U25" i="3" a="1"/>
  <c r="V25" i="3" a="1"/>
  <c r="W25" i="3" a="1"/>
  <c r="T26" i="3" a="1"/>
  <c r="C13" i="3" a="1"/>
  <c r="D13" i="3" a="1"/>
  <c r="E13" i="3" a="1"/>
  <c r="B14" i="3" a="1"/>
  <c r="B14" i="3" l="1"/>
  <c r="E13" i="3"/>
  <c r="G13" i="3" s="1"/>
  <c r="D13" i="3"/>
  <c r="F13" i="3" s="1"/>
  <c r="C13" i="3"/>
  <c r="C134" i="3" s="1"/>
  <c r="T26" i="3"/>
  <c r="W25" i="3"/>
  <c r="Y25" i="3" s="1"/>
  <c r="V25" i="3"/>
  <c r="X25" i="3" s="1"/>
  <c r="U25" i="3"/>
  <c r="I133" i="3"/>
  <c r="D133" i="3"/>
  <c r="G133" i="3"/>
  <c r="H133" i="3"/>
  <c r="F133" i="3"/>
  <c r="J133" i="3"/>
  <c r="E133" i="3"/>
  <c r="R139" i="3"/>
  <c r="Q139" i="3"/>
  <c r="P139" i="3"/>
  <c r="O139" i="3"/>
  <c r="N139" i="3"/>
  <c r="AC32" i="3"/>
  <c r="AF31" i="3"/>
  <c r="AH31" i="3" s="1"/>
  <c r="AE31" i="3"/>
  <c r="AG31" i="3" s="1"/>
  <c r="AD31" i="3"/>
  <c r="K20" i="3"/>
  <c r="N19" i="3"/>
  <c r="P19" i="3" s="1"/>
  <c r="M19" i="3"/>
  <c r="O19" i="3" s="1"/>
  <c r="L19" i="3"/>
  <c r="B134" i="3"/>
  <c r="L140" i="3"/>
  <c r="C14" i="3" a="1"/>
  <c r="D14" i="3" a="1"/>
  <c r="E14" i="3" a="1"/>
  <c r="B15" i="3" a="1"/>
  <c r="L20" i="3" a="1"/>
  <c r="M20" i="3" a="1"/>
  <c r="N20" i="3" a="1"/>
  <c r="K21" i="3" a="1"/>
  <c r="AD32" i="3" a="1"/>
  <c r="AE32" i="3" a="1"/>
  <c r="AF32" i="3" a="1"/>
  <c r="AC33" i="3" a="1"/>
  <c r="E134" i="3" a="1"/>
  <c r="J134" i="3" a="1"/>
  <c r="F134" i="3" a="1"/>
  <c r="H134" i="3" a="1"/>
  <c r="G134" i="3" a="1"/>
  <c r="D134" i="3" a="1"/>
  <c r="I134" i="3" a="1"/>
  <c r="U26" i="3" a="1"/>
  <c r="V26" i="3" a="1"/>
  <c r="W26" i="3" a="1"/>
  <c r="T27" i="3" a="1"/>
  <c r="T27" i="3" l="1"/>
  <c r="W26" i="3"/>
  <c r="Y26" i="3" s="1"/>
  <c r="V26" i="3"/>
  <c r="X26" i="3" s="1"/>
  <c r="U26" i="3"/>
  <c r="I134" i="3"/>
  <c r="D134" i="3"/>
  <c r="G134" i="3"/>
  <c r="H134" i="3"/>
  <c r="F134" i="3"/>
  <c r="J134" i="3"/>
  <c r="E134" i="3"/>
  <c r="AC33" i="3"/>
  <c r="AF32" i="3"/>
  <c r="AH32" i="3" s="1"/>
  <c r="AE32" i="3"/>
  <c r="AG32" i="3" s="1"/>
  <c r="AD32" i="3"/>
  <c r="K21" i="3"/>
  <c r="N20" i="3"/>
  <c r="P20" i="3" s="1"/>
  <c r="M20" i="3"/>
  <c r="O20" i="3" s="1"/>
  <c r="L20" i="3"/>
  <c r="B15" i="3"/>
  <c r="E14" i="3"/>
  <c r="G14" i="3" s="1"/>
  <c r="D14" i="3"/>
  <c r="F14" i="3" s="1"/>
  <c r="C14" i="3"/>
  <c r="M140" i="3"/>
  <c r="L141" i="3"/>
  <c r="B135" i="3"/>
  <c r="D4" i="3"/>
  <c r="C148" i="2"/>
  <c r="C147" i="2" s="1"/>
  <c r="AD33" i="3" a="1"/>
  <c r="AE33" i="3" a="1"/>
  <c r="AF33" i="3" a="1"/>
  <c r="AC34" i="3" a="1"/>
  <c r="C15" i="3" a="1"/>
  <c r="D15" i="3" a="1"/>
  <c r="E15" i="3" a="1"/>
  <c r="B16" i="3" a="1"/>
  <c r="L21" i="3" a="1"/>
  <c r="M21" i="3" a="1"/>
  <c r="N21" i="3" a="1"/>
  <c r="K22" i="3" a="1"/>
  <c r="N140" i="3" a="1"/>
  <c r="O140" i="3" a="1"/>
  <c r="P140" i="3" a="1"/>
  <c r="Q140" i="3" a="1"/>
  <c r="R140" i="3" a="1"/>
  <c r="U27" i="3" a="1"/>
  <c r="V27" i="3" a="1"/>
  <c r="W27" i="3" a="1"/>
  <c r="T28" i="3" a="1"/>
  <c r="C149" i="2"/>
  <c r="C151" i="2"/>
  <c r="C153" i="2"/>
  <c r="C152" i="2"/>
  <c r="C150" i="2"/>
  <c r="C154" i="2"/>
  <c r="B83" i="2" a="1"/>
  <c r="T28" i="3" l="1"/>
  <c r="W27" i="3"/>
  <c r="Y27" i="3" s="1"/>
  <c r="V27" i="3"/>
  <c r="X27" i="3" s="1"/>
  <c r="U27" i="3"/>
  <c r="R140" i="3"/>
  <c r="Q140" i="3"/>
  <c r="P140" i="3"/>
  <c r="O140" i="3"/>
  <c r="N140" i="3"/>
  <c r="K22" i="3"/>
  <c r="N21" i="3"/>
  <c r="P21" i="3" s="1"/>
  <c r="M21" i="3"/>
  <c r="O21" i="3" s="1"/>
  <c r="L21" i="3"/>
  <c r="B16" i="3"/>
  <c r="E15" i="3"/>
  <c r="G15" i="3" s="1"/>
  <c r="D15" i="3"/>
  <c r="F15" i="3" s="1"/>
  <c r="C15" i="3"/>
  <c r="AC34" i="3"/>
  <c r="AF33" i="3"/>
  <c r="AH33" i="3" s="1"/>
  <c r="AE33" i="3"/>
  <c r="AG33" i="3" s="1"/>
  <c r="AD33" i="3"/>
  <c r="L142" i="3"/>
  <c r="C135" i="3"/>
  <c r="B136" i="3"/>
  <c r="M141" i="3"/>
  <c r="B83" i="2"/>
  <c r="L22" i="3" a="1"/>
  <c r="M22" i="3" a="1"/>
  <c r="N22" i="3" a="1"/>
  <c r="K23" i="3" a="1"/>
  <c r="AD34" i="3" a="1"/>
  <c r="AE34" i="3" a="1"/>
  <c r="AF34" i="3" a="1"/>
  <c r="AC35" i="3" a="1"/>
  <c r="C16" i="3" a="1"/>
  <c r="D16" i="3" a="1"/>
  <c r="E16" i="3" a="1"/>
  <c r="B17" i="3" a="1"/>
  <c r="E135" i="3" a="1"/>
  <c r="J135" i="3" a="1"/>
  <c r="F135" i="3" a="1"/>
  <c r="H135" i="3" a="1"/>
  <c r="G135" i="3" a="1"/>
  <c r="D135" i="3" a="1"/>
  <c r="I135" i="3" a="1"/>
  <c r="U28" i="3" a="1"/>
  <c r="V28" i="3" a="1"/>
  <c r="W28" i="3" a="1"/>
  <c r="T29" i="3" a="1"/>
  <c r="N141" i="3" a="1"/>
  <c r="O141" i="3" a="1"/>
  <c r="P141" i="3" a="1"/>
  <c r="Q141" i="3" a="1"/>
  <c r="R141" i="3" a="1"/>
  <c r="B84" i="2" a="1"/>
  <c r="R141" i="3" l="1"/>
  <c r="Q141" i="3"/>
  <c r="P141" i="3"/>
  <c r="O141" i="3"/>
  <c r="N141" i="3"/>
  <c r="T29" i="3"/>
  <c r="W28" i="3"/>
  <c r="Y28" i="3" s="1"/>
  <c r="V28" i="3"/>
  <c r="X28" i="3" s="1"/>
  <c r="U28" i="3"/>
  <c r="I135" i="3"/>
  <c r="D135" i="3"/>
  <c r="G135" i="3"/>
  <c r="H135" i="3"/>
  <c r="F135" i="3"/>
  <c r="J135" i="3"/>
  <c r="E135" i="3"/>
  <c r="B17" i="3"/>
  <c r="E16" i="3"/>
  <c r="G16" i="3" s="1"/>
  <c r="D16" i="3"/>
  <c r="F16" i="3" s="1"/>
  <c r="C16" i="3"/>
  <c r="AC35" i="3"/>
  <c r="AF34" i="3"/>
  <c r="AH34" i="3" s="1"/>
  <c r="AE34" i="3"/>
  <c r="AG34" i="3" s="1"/>
  <c r="AD34" i="3"/>
  <c r="K23" i="3"/>
  <c r="N22" i="3"/>
  <c r="P22" i="3" s="1"/>
  <c r="M22" i="3"/>
  <c r="O22" i="3" s="1"/>
  <c r="L22" i="3"/>
  <c r="C136" i="3"/>
  <c r="B137" i="3"/>
  <c r="M142" i="3"/>
  <c r="L143" i="3"/>
  <c r="B84" i="2"/>
  <c r="C83" i="2"/>
  <c r="AD35" i="3" a="1"/>
  <c r="AE35" i="3" a="1"/>
  <c r="AF35" i="3" a="1"/>
  <c r="AC36" i="3" a="1"/>
  <c r="E136" i="3" a="1"/>
  <c r="J136" i="3" a="1"/>
  <c r="F136" i="3" a="1"/>
  <c r="H136" i="3" a="1"/>
  <c r="G136" i="3" a="1"/>
  <c r="D136" i="3" a="1"/>
  <c r="I136" i="3" a="1"/>
  <c r="U29" i="3" a="1"/>
  <c r="V29" i="3" a="1"/>
  <c r="W29" i="3" a="1"/>
  <c r="T30" i="3" a="1"/>
  <c r="N142" i="3" a="1"/>
  <c r="O142" i="3" a="1"/>
  <c r="P142" i="3" a="1"/>
  <c r="Q142" i="3" a="1"/>
  <c r="R142" i="3" a="1"/>
  <c r="C17" i="3" a="1"/>
  <c r="D17" i="3" a="1"/>
  <c r="E17" i="3" a="1"/>
  <c r="B18" i="3" a="1"/>
  <c r="L23" i="3" a="1"/>
  <c r="M23" i="3" a="1"/>
  <c r="N23" i="3" a="1"/>
  <c r="K24" i="3" a="1"/>
  <c r="B85" i="2" a="1"/>
  <c r="D83" i="2" a="1"/>
  <c r="E83" i="2" a="1"/>
  <c r="F83" i="2" a="1"/>
  <c r="G83" i="2" a="1"/>
  <c r="H83" i="2" a="1"/>
  <c r="O83" i="2" a="1"/>
  <c r="P83" i="2" a="1"/>
  <c r="Q83" i="2" a="1"/>
  <c r="R83" i="2" a="1"/>
  <c r="S83" i="2" a="1"/>
  <c r="Z83" i="2" a="1"/>
  <c r="AA83" i="2" a="1"/>
  <c r="AB83" i="2" a="1"/>
  <c r="AC83" i="2" a="1"/>
  <c r="AD83" i="2" a="1"/>
  <c r="AK83" i="2" a="1"/>
  <c r="AL83" i="2" a="1"/>
  <c r="AM83" i="2" a="1"/>
  <c r="AN83" i="2" a="1"/>
  <c r="AO83" i="2" a="1"/>
  <c r="K24" i="3" l="1"/>
  <c r="N23" i="3"/>
  <c r="P23" i="3" s="1"/>
  <c r="M23" i="3"/>
  <c r="O23" i="3" s="1"/>
  <c r="L23" i="3"/>
  <c r="B18" i="3"/>
  <c r="E17" i="3"/>
  <c r="G17" i="3" s="1"/>
  <c r="D17" i="3"/>
  <c r="F17" i="3" s="1"/>
  <c r="C17" i="3"/>
  <c r="R142" i="3"/>
  <c r="Q142" i="3"/>
  <c r="P142" i="3"/>
  <c r="O142" i="3"/>
  <c r="N142" i="3"/>
  <c r="T30" i="3"/>
  <c r="W29" i="3"/>
  <c r="Y29" i="3" s="1"/>
  <c r="V29" i="3"/>
  <c r="X29" i="3" s="1"/>
  <c r="U29" i="3"/>
  <c r="I136" i="3"/>
  <c r="D136" i="3"/>
  <c r="G136" i="3"/>
  <c r="H136" i="3"/>
  <c r="F136" i="3"/>
  <c r="J136" i="3"/>
  <c r="E136" i="3"/>
  <c r="AC36" i="3"/>
  <c r="AF35" i="3"/>
  <c r="AH35" i="3" s="1"/>
  <c r="AE35" i="3"/>
  <c r="AG35" i="3" s="1"/>
  <c r="AD35" i="3"/>
  <c r="L144" i="3"/>
  <c r="B138" i="3"/>
  <c r="M143" i="3"/>
  <c r="C137" i="3"/>
  <c r="AO83" i="2"/>
  <c r="AN83" i="2"/>
  <c r="AM83" i="2"/>
  <c r="AP83" i="2" s="1"/>
  <c r="AL83" i="2"/>
  <c r="AS83" i="2" s="1"/>
  <c r="AK83" i="2"/>
  <c r="AD83" i="2"/>
  <c r="AG83" i="2" s="1"/>
  <c r="AC83" i="2"/>
  <c r="AB83" i="2"/>
  <c r="AE83" i="2" s="1"/>
  <c r="AA83" i="2"/>
  <c r="Z83" i="2"/>
  <c r="S83" i="2"/>
  <c r="R83" i="2"/>
  <c r="Q83" i="2"/>
  <c r="T83" i="2" s="1"/>
  <c r="P83" i="2"/>
  <c r="W83" i="2" s="1"/>
  <c r="O83" i="2"/>
  <c r="H83" i="2"/>
  <c r="G83" i="2"/>
  <c r="F83" i="2"/>
  <c r="I83" i="2" s="1"/>
  <c r="E83" i="2"/>
  <c r="D83" i="2"/>
  <c r="B85" i="2"/>
  <c r="C84" i="2"/>
  <c r="C18" i="3" a="1"/>
  <c r="D18" i="3" a="1"/>
  <c r="E18" i="3" a="1"/>
  <c r="B19" i="3" a="1"/>
  <c r="U30" i="3" a="1"/>
  <c r="V30" i="3" a="1"/>
  <c r="W30" i="3" a="1"/>
  <c r="T31" i="3" a="1"/>
  <c r="E137" i="3" a="1"/>
  <c r="J137" i="3" a="1"/>
  <c r="F137" i="3" a="1"/>
  <c r="H137" i="3" a="1"/>
  <c r="G137" i="3" a="1"/>
  <c r="D137" i="3" a="1"/>
  <c r="I137" i="3" a="1"/>
  <c r="L24" i="3" a="1"/>
  <c r="M24" i="3" a="1"/>
  <c r="N24" i="3" a="1"/>
  <c r="K25" i="3" a="1"/>
  <c r="AD36" i="3" a="1"/>
  <c r="AE36" i="3" a="1"/>
  <c r="AF36" i="3" a="1"/>
  <c r="AC37" i="3" a="1"/>
  <c r="N143" i="3" a="1"/>
  <c r="O143" i="3" a="1"/>
  <c r="P143" i="3" a="1"/>
  <c r="Q143" i="3" a="1"/>
  <c r="R143" i="3" a="1"/>
  <c r="B86" i="2" a="1"/>
  <c r="D84" i="2" a="1"/>
  <c r="E84" i="2" a="1"/>
  <c r="F84" i="2" a="1"/>
  <c r="G84" i="2" a="1"/>
  <c r="H84" i="2" a="1"/>
  <c r="O84" i="2" a="1"/>
  <c r="P84" i="2" a="1"/>
  <c r="Q84" i="2" a="1"/>
  <c r="R84" i="2" a="1"/>
  <c r="S84" i="2" a="1"/>
  <c r="Z84" i="2" a="1"/>
  <c r="AA84" i="2" a="1"/>
  <c r="AB84" i="2" a="1"/>
  <c r="AC84" i="2" a="1"/>
  <c r="AD84" i="2" a="1"/>
  <c r="AK84" i="2" a="1"/>
  <c r="AL84" i="2" a="1"/>
  <c r="AM84" i="2" a="1"/>
  <c r="AN84" i="2" a="1"/>
  <c r="AO84" i="2" a="1"/>
  <c r="R143" i="3" l="1"/>
  <c r="Q143" i="3"/>
  <c r="P143" i="3"/>
  <c r="O143" i="3"/>
  <c r="N143" i="3"/>
  <c r="AC37" i="3"/>
  <c r="AF36" i="3"/>
  <c r="AH36" i="3" s="1"/>
  <c r="AE36" i="3"/>
  <c r="AG36" i="3" s="1"/>
  <c r="AD36" i="3"/>
  <c r="K25" i="3"/>
  <c r="N24" i="3"/>
  <c r="P24" i="3" s="1"/>
  <c r="M24" i="3"/>
  <c r="O24" i="3" s="1"/>
  <c r="L24" i="3"/>
  <c r="I137" i="3"/>
  <c r="D137" i="3"/>
  <c r="G137" i="3"/>
  <c r="H137" i="3"/>
  <c r="F137" i="3"/>
  <c r="J137" i="3"/>
  <c r="E137" i="3"/>
  <c r="T31" i="3"/>
  <c r="W30" i="3"/>
  <c r="Y30" i="3" s="1"/>
  <c r="V30" i="3"/>
  <c r="X30" i="3" s="1"/>
  <c r="U30" i="3"/>
  <c r="B19" i="3"/>
  <c r="E18" i="3"/>
  <c r="G18" i="3" s="1"/>
  <c r="D18" i="3"/>
  <c r="F18" i="3" s="1"/>
  <c r="C18" i="3"/>
  <c r="L145" i="3"/>
  <c r="C138" i="3"/>
  <c r="B139" i="3"/>
  <c r="M144" i="3"/>
  <c r="AT83" i="2"/>
  <c r="K83" i="2"/>
  <c r="X83" i="2"/>
  <c r="AF83" i="2"/>
  <c r="L83" i="2"/>
  <c r="AO84" i="2"/>
  <c r="AN84" i="2"/>
  <c r="AM84" i="2"/>
  <c r="AP84" i="2" s="1"/>
  <c r="AL84" i="2"/>
  <c r="AK84" i="2"/>
  <c r="AD84" i="2"/>
  <c r="AC84" i="2"/>
  <c r="AB84" i="2"/>
  <c r="AE84" i="2" s="1"/>
  <c r="AA84" i="2"/>
  <c r="Z84" i="2"/>
  <c r="S84" i="2"/>
  <c r="R84" i="2"/>
  <c r="Q84" i="2"/>
  <c r="T84" i="2" s="1"/>
  <c r="P84" i="2"/>
  <c r="O84" i="2"/>
  <c r="H84" i="2"/>
  <c r="K84" i="2" s="1"/>
  <c r="G84" i="2"/>
  <c r="F84" i="2"/>
  <c r="I84" i="2" s="1"/>
  <c r="E84" i="2"/>
  <c r="D84" i="2"/>
  <c r="B86" i="2"/>
  <c r="V83" i="2"/>
  <c r="M83" i="2"/>
  <c r="AI83" i="2"/>
  <c r="AQ83" i="2"/>
  <c r="C85" i="2"/>
  <c r="U83" i="2"/>
  <c r="J83" i="2"/>
  <c r="AH83" i="2"/>
  <c r="AR83" i="2"/>
  <c r="C19" i="3" a="1"/>
  <c r="D19" i="3" a="1"/>
  <c r="E19" i="3" a="1"/>
  <c r="B20" i="3" a="1"/>
  <c r="L25" i="3" a="1"/>
  <c r="M25" i="3" a="1"/>
  <c r="N25" i="3" a="1"/>
  <c r="K26" i="3" a="1"/>
  <c r="U31" i="3" a="1"/>
  <c r="V31" i="3" a="1"/>
  <c r="W31" i="3" a="1"/>
  <c r="T32" i="3" a="1"/>
  <c r="AD37" i="3" a="1"/>
  <c r="AE37" i="3" a="1"/>
  <c r="AF37" i="3" a="1"/>
  <c r="AC38" i="3" a="1"/>
  <c r="N144" i="3" a="1"/>
  <c r="O144" i="3" a="1"/>
  <c r="P144" i="3" a="1"/>
  <c r="Q144" i="3" a="1"/>
  <c r="R144" i="3" a="1"/>
  <c r="E138" i="3" a="1"/>
  <c r="J138" i="3" a="1"/>
  <c r="F138" i="3" a="1"/>
  <c r="H138" i="3" a="1"/>
  <c r="G138" i="3" a="1"/>
  <c r="D138" i="3" a="1"/>
  <c r="I138" i="3" a="1"/>
  <c r="D85" i="2" a="1"/>
  <c r="E85" i="2" a="1"/>
  <c r="F85" i="2" a="1"/>
  <c r="G85" i="2" a="1"/>
  <c r="H85" i="2" a="1"/>
  <c r="O85" i="2" a="1"/>
  <c r="P85" i="2" a="1"/>
  <c r="Q85" i="2" a="1"/>
  <c r="R85" i="2" a="1"/>
  <c r="S85" i="2" a="1"/>
  <c r="Z85" i="2" a="1"/>
  <c r="AA85" i="2" a="1"/>
  <c r="AB85" i="2" a="1"/>
  <c r="AC85" i="2" a="1"/>
  <c r="AD85" i="2" a="1"/>
  <c r="AK85" i="2" a="1"/>
  <c r="AL85" i="2" a="1"/>
  <c r="AM85" i="2" a="1"/>
  <c r="AN85" i="2" a="1"/>
  <c r="AO85" i="2" a="1"/>
  <c r="B87" i="2" a="1"/>
  <c r="I138" i="3" l="1"/>
  <c r="D138" i="3"/>
  <c r="G138" i="3"/>
  <c r="H138" i="3"/>
  <c r="F138" i="3"/>
  <c r="J138" i="3"/>
  <c r="E138" i="3"/>
  <c r="R144" i="3"/>
  <c r="Q144" i="3"/>
  <c r="P144" i="3"/>
  <c r="O144" i="3"/>
  <c r="N144" i="3"/>
  <c r="AC38" i="3"/>
  <c r="AF37" i="3"/>
  <c r="AH37" i="3" s="1"/>
  <c r="AE37" i="3"/>
  <c r="AG37" i="3" s="1"/>
  <c r="AD37" i="3"/>
  <c r="T32" i="3"/>
  <c r="W31" i="3"/>
  <c r="Y31" i="3" s="1"/>
  <c r="V31" i="3"/>
  <c r="X31" i="3" s="1"/>
  <c r="U31" i="3"/>
  <c r="K26" i="3"/>
  <c r="N25" i="3"/>
  <c r="P25" i="3" s="1"/>
  <c r="M25" i="3"/>
  <c r="O25" i="3" s="1"/>
  <c r="L25" i="3"/>
  <c r="B20" i="3"/>
  <c r="E19" i="3"/>
  <c r="G19" i="3" s="1"/>
  <c r="D19" i="3"/>
  <c r="F19" i="3" s="1"/>
  <c r="C19" i="3"/>
  <c r="M145" i="3"/>
  <c r="L146" i="3"/>
  <c r="C139" i="3"/>
  <c r="B140" i="3"/>
  <c r="X84" i="2"/>
  <c r="AG84" i="2"/>
  <c r="AT84" i="2"/>
  <c r="AF84" i="2"/>
  <c r="AS84" i="2"/>
  <c r="L84" i="2"/>
  <c r="J84" i="2"/>
  <c r="B87" i="2"/>
  <c r="AO85" i="2"/>
  <c r="AN85" i="2"/>
  <c r="AM85" i="2"/>
  <c r="AP85" i="2" s="1"/>
  <c r="AL85" i="2"/>
  <c r="AK85" i="2"/>
  <c r="AD85" i="2"/>
  <c r="AC85" i="2"/>
  <c r="AB85" i="2"/>
  <c r="AE85" i="2" s="1"/>
  <c r="AA85" i="2"/>
  <c r="Z85" i="2"/>
  <c r="S85" i="2"/>
  <c r="R85" i="2"/>
  <c r="Q85" i="2"/>
  <c r="T85" i="2" s="1"/>
  <c r="P85" i="2"/>
  <c r="O85" i="2"/>
  <c r="H85" i="2"/>
  <c r="G85" i="2"/>
  <c r="F85" i="2"/>
  <c r="I85" i="2" s="1"/>
  <c r="E85" i="2"/>
  <c r="D85" i="2"/>
  <c r="W84" i="2"/>
  <c r="C86" i="2"/>
  <c r="M84" i="2"/>
  <c r="U84" i="2"/>
  <c r="V84" i="2"/>
  <c r="AI84" i="2"/>
  <c r="AQ84" i="2"/>
  <c r="AH84" i="2"/>
  <c r="AR84" i="2"/>
  <c r="U32" i="3" a="1"/>
  <c r="V32" i="3" a="1"/>
  <c r="W32" i="3" a="1"/>
  <c r="T33" i="3" a="1"/>
  <c r="C20" i="3" a="1"/>
  <c r="D20" i="3" a="1"/>
  <c r="E20" i="3" a="1"/>
  <c r="B21" i="3" a="1"/>
  <c r="AD38" i="3" a="1"/>
  <c r="AE38" i="3" a="1"/>
  <c r="AF38" i="3" a="1"/>
  <c r="AC39" i="3" a="1"/>
  <c r="E139" i="3" a="1"/>
  <c r="J139" i="3" a="1"/>
  <c r="F139" i="3" a="1"/>
  <c r="H139" i="3" a="1"/>
  <c r="G139" i="3" a="1"/>
  <c r="D139" i="3" a="1"/>
  <c r="I139" i="3" a="1"/>
  <c r="L26" i="3" a="1"/>
  <c r="M26" i="3" a="1"/>
  <c r="N26" i="3" a="1"/>
  <c r="K27" i="3" a="1"/>
  <c r="N145" i="3" a="1"/>
  <c r="O145" i="3" a="1"/>
  <c r="P145" i="3" a="1"/>
  <c r="Q145" i="3" a="1"/>
  <c r="R145" i="3" a="1"/>
  <c r="B88" i="2" a="1"/>
  <c r="D86" i="2" a="1"/>
  <c r="E86" i="2" a="1"/>
  <c r="F86" i="2" a="1"/>
  <c r="G86" i="2" a="1"/>
  <c r="H86" i="2" a="1"/>
  <c r="O86" i="2" a="1"/>
  <c r="P86" i="2" a="1"/>
  <c r="Q86" i="2" a="1"/>
  <c r="R86" i="2" a="1"/>
  <c r="S86" i="2" a="1"/>
  <c r="Z86" i="2" a="1"/>
  <c r="AA86" i="2" a="1"/>
  <c r="AB86" i="2" a="1"/>
  <c r="AC86" i="2" a="1"/>
  <c r="AD86" i="2" a="1"/>
  <c r="AK86" i="2" a="1"/>
  <c r="AL86" i="2" a="1"/>
  <c r="AM86" i="2" a="1"/>
  <c r="AN86" i="2" a="1"/>
  <c r="AO86" i="2" a="1"/>
  <c r="R145" i="3" l="1"/>
  <c r="Q145" i="3"/>
  <c r="P145" i="3"/>
  <c r="O145" i="3"/>
  <c r="N145" i="3"/>
  <c r="K27" i="3"/>
  <c r="N26" i="3"/>
  <c r="P26" i="3" s="1"/>
  <c r="M26" i="3"/>
  <c r="O26" i="3" s="1"/>
  <c r="L26" i="3"/>
  <c r="I139" i="3"/>
  <c r="D139" i="3"/>
  <c r="G139" i="3"/>
  <c r="H139" i="3"/>
  <c r="F139" i="3"/>
  <c r="J139" i="3"/>
  <c r="E139" i="3"/>
  <c r="AC39" i="3"/>
  <c r="AF38" i="3"/>
  <c r="AH38" i="3" s="1"/>
  <c r="AE38" i="3"/>
  <c r="AG38" i="3" s="1"/>
  <c r="AD38" i="3"/>
  <c r="B21" i="3"/>
  <c r="E20" i="3"/>
  <c r="G20" i="3" s="1"/>
  <c r="D20" i="3"/>
  <c r="F20" i="3" s="1"/>
  <c r="C20" i="3"/>
  <c r="T33" i="3"/>
  <c r="W32" i="3"/>
  <c r="Y32" i="3" s="1"/>
  <c r="V32" i="3"/>
  <c r="X32" i="3" s="1"/>
  <c r="U32" i="3"/>
  <c r="M146" i="3"/>
  <c r="L147" i="3"/>
  <c r="C140" i="3"/>
  <c r="B141" i="3"/>
  <c r="L85" i="2"/>
  <c r="W85" i="2"/>
  <c r="AG85" i="2"/>
  <c r="AT85" i="2"/>
  <c r="M85" i="2"/>
  <c r="AS85" i="2"/>
  <c r="X85" i="2"/>
  <c r="AF85" i="2"/>
  <c r="AO86" i="2"/>
  <c r="AN86" i="2"/>
  <c r="AM86" i="2"/>
  <c r="AP86" i="2" s="1"/>
  <c r="AL86" i="2"/>
  <c r="AK86" i="2"/>
  <c r="AD86" i="2"/>
  <c r="AC86" i="2"/>
  <c r="AB86" i="2"/>
  <c r="AE86" i="2" s="1"/>
  <c r="AA86" i="2"/>
  <c r="Z86" i="2"/>
  <c r="S86" i="2"/>
  <c r="R86" i="2"/>
  <c r="Q86" i="2"/>
  <c r="T86" i="2" s="1"/>
  <c r="P86" i="2"/>
  <c r="O86" i="2"/>
  <c r="H86" i="2"/>
  <c r="G86" i="2"/>
  <c r="F86" i="2"/>
  <c r="I86" i="2" s="1"/>
  <c r="E86" i="2"/>
  <c r="D86" i="2"/>
  <c r="B88" i="2"/>
  <c r="U85" i="2"/>
  <c r="AI85" i="2"/>
  <c r="AQ85" i="2"/>
  <c r="V85" i="2"/>
  <c r="AH85" i="2"/>
  <c r="AR85" i="2"/>
  <c r="J85" i="2"/>
  <c r="K85" i="2"/>
  <c r="C87" i="2"/>
  <c r="AD39" i="3" a="1"/>
  <c r="AE39" i="3" a="1"/>
  <c r="AF39" i="3" a="1"/>
  <c r="AC40" i="3" a="1"/>
  <c r="U33" i="3" a="1"/>
  <c r="V33" i="3" a="1"/>
  <c r="W33" i="3" a="1"/>
  <c r="T34" i="3" a="1"/>
  <c r="C21" i="3" a="1"/>
  <c r="D21" i="3" a="1"/>
  <c r="E21" i="3" a="1"/>
  <c r="B22" i="3" a="1"/>
  <c r="N146" i="3" a="1"/>
  <c r="O146" i="3" a="1"/>
  <c r="P146" i="3" a="1"/>
  <c r="Q146" i="3" a="1"/>
  <c r="R146" i="3" a="1"/>
  <c r="L27" i="3" a="1"/>
  <c r="M27" i="3" a="1"/>
  <c r="N27" i="3" a="1"/>
  <c r="K28" i="3" a="1"/>
  <c r="E140" i="3" a="1"/>
  <c r="J140" i="3" a="1"/>
  <c r="F140" i="3" a="1"/>
  <c r="H140" i="3" a="1"/>
  <c r="G140" i="3" a="1"/>
  <c r="D140" i="3" a="1"/>
  <c r="I140" i="3" a="1"/>
  <c r="B89" i="2" a="1"/>
  <c r="D87" i="2" a="1"/>
  <c r="E87" i="2" a="1"/>
  <c r="F87" i="2" a="1"/>
  <c r="G87" i="2" a="1"/>
  <c r="H87" i="2" a="1"/>
  <c r="O87" i="2" a="1"/>
  <c r="P87" i="2" a="1"/>
  <c r="Q87" i="2" a="1"/>
  <c r="R87" i="2" a="1"/>
  <c r="S87" i="2" a="1"/>
  <c r="Z87" i="2" a="1"/>
  <c r="AA87" i="2" a="1"/>
  <c r="AB87" i="2" a="1"/>
  <c r="AC87" i="2" a="1"/>
  <c r="AD87" i="2" a="1"/>
  <c r="AK87" i="2" a="1"/>
  <c r="AL87" i="2" a="1"/>
  <c r="AM87" i="2" a="1"/>
  <c r="AN87" i="2" a="1"/>
  <c r="AO87" i="2" a="1"/>
  <c r="I140" i="3" l="1"/>
  <c r="D140" i="3"/>
  <c r="G140" i="3"/>
  <c r="H140" i="3"/>
  <c r="F140" i="3"/>
  <c r="J140" i="3"/>
  <c r="E140" i="3"/>
  <c r="K28" i="3"/>
  <c r="N27" i="3"/>
  <c r="P27" i="3" s="1"/>
  <c r="M27" i="3"/>
  <c r="O27" i="3" s="1"/>
  <c r="L27" i="3"/>
  <c r="R146" i="3"/>
  <c r="Q146" i="3"/>
  <c r="P146" i="3"/>
  <c r="O146" i="3"/>
  <c r="N146" i="3"/>
  <c r="B22" i="3"/>
  <c r="E21" i="3"/>
  <c r="G21" i="3" s="1"/>
  <c r="D21" i="3"/>
  <c r="F21" i="3" s="1"/>
  <c r="C21" i="3"/>
  <c r="T34" i="3"/>
  <c r="W33" i="3"/>
  <c r="Y33" i="3" s="1"/>
  <c r="V33" i="3"/>
  <c r="X33" i="3" s="1"/>
  <c r="U33" i="3"/>
  <c r="AC40" i="3"/>
  <c r="AF39" i="3"/>
  <c r="AH39" i="3" s="1"/>
  <c r="AE39" i="3"/>
  <c r="AG39" i="3" s="1"/>
  <c r="AD39" i="3"/>
  <c r="C141" i="3"/>
  <c r="L148" i="3"/>
  <c r="B142" i="3"/>
  <c r="M147" i="3"/>
  <c r="AS86" i="2"/>
  <c r="AH86" i="2"/>
  <c r="W86" i="2"/>
  <c r="AG86" i="2"/>
  <c r="J86" i="2"/>
  <c r="AR86" i="2"/>
  <c r="K86" i="2"/>
  <c r="X86" i="2"/>
  <c r="AO87" i="2"/>
  <c r="AN87" i="2"/>
  <c r="AM87" i="2"/>
  <c r="AP87" i="2" s="1"/>
  <c r="AL87" i="2"/>
  <c r="AK87" i="2"/>
  <c r="AD87" i="2"/>
  <c r="AC87" i="2"/>
  <c r="AB87" i="2"/>
  <c r="AE87" i="2" s="1"/>
  <c r="AA87" i="2"/>
  <c r="Z87" i="2"/>
  <c r="S87" i="2"/>
  <c r="R87" i="2"/>
  <c r="Q87" i="2"/>
  <c r="T87" i="2" s="1"/>
  <c r="P87" i="2"/>
  <c r="O87" i="2"/>
  <c r="H87" i="2"/>
  <c r="G87" i="2"/>
  <c r="F87" i="2"/>
  <c r="I87" i="2" s="1"/>
  <c r="E87" i="2"/>
  <c r="D87" i="2"/>
  <c r="B89" i="2"/>
  <c r="C88" i="2"/>
  <c r="AF86" i="2"/>
  <c r="M86" i="2"/>
  <c r="U86" i="2"/>
  <c r="L86" i="2"/>
  <c r="V86" i="2"/>
  <c r="AT86" i="2"/>
  <c r="AI86" i="2"/>
  <c r="AQ86" i="2"/>
  <c r="L28" i="3" a="1"/>
  <c r="M28" i="3" a="1"/>
  <c r="N28" i="3" a="1"/>
  <c r="K29" i="3" a="1"/>
  <c r="N147" i="3" a="1"/>
  <c r="O147" i="3" a="1"/>
  <c r="P147" i="3" a="1"/>
  <c r="Q147" i="3" a="1"/>
  <c r="R147" i="3" a="1"/>
  <c r="C22" i="3" a="1"/>
  <c r="D22" i="3" a="1"/>
  <c r="E22" i="3" a="1"/>
  <c r="B23" i="3" a="1"/>
  <c r="AD40" i="3" a="1"/>
  <c r="AE40" i="3" a="1"/>
  <c r="AF40" i="3" a="1"/>
  <c r="AC41" i="3" a="1"/>
  <c r="U34" i="3" a="1"/>
  <c r="V34" i="3" a="1"/>
  <c r="W34" i="3" a="1"/>
  <c r="T35" i="3" a="1"/>
  <c r="E141" i="3" a="1"/>
  <c r="J141" i="3" a="1"/>
  <c r="F141" i="3" a="1"/>
  <c r="H141" i="3" a="1"/>
  <c r="G141" i="3" a="1"/>
  <c r="D141" i="3" a="1"/>
  <c r="I141" i="3" a="1"/>
  <c r="D88" i="2" a="1"/>
  <c r="E88" i="2" a="1"/>
  <c r="F88" i="2" a="1"/>
  <c r="G88" i="2" a="1"/>
  <c r="H88" i="2" a="1"/>
  <c r="O88" i="2" a="1"/>
  <c r="P88" i="2" a="1"/>
  <c r="Q88" i="2" a="1"/>
  <c r="R88" i="2" a="1"/>
  <c r="S88" i="2" a="1"/>
  <c r="Z88" i="2" a="1"/>
  <c r="AA88" i="2" a="1"/>
  <c r="AB88" i="2" a="1"/>
  <c r="AC88" i="2" a="1"/>
  <c r="AD88" i="2" a="1"/>
  <c r="AK88" i="2" a="1"/>
  <c r="AL88" i="2" a="1"/>
  <c r="AM88" i="2" a="1"/>
  <c r="AN88" i="2" a="1"/>
  <c r="AO88" i="2" a="1"/>
  <c r="B90" i="2" a="1"/>
  <c r="I141" i="3" l="1"/>
  <c r="D141" i="3"/>
  <c r="G141" i="3"/>
  <c r="H141" i="3"/>
  <c r="F141" i="3"/>
  <c r="J141" i="3"/>
  <c r="E141" i="3"/>
  <c r="T35" i="3"/>
  <c r="W34" i="3"/>
  <c r="Y34" i="3" s="1"/>
  <c r="V34" i="3"/>
  <c r="X34" i="3" s="1"/>
  <c r="U34" i="3"/>
  <c r="AC41" i="3"/>
  <c r="AF40" i="3"/>
  <c r="AH40" i="3" s="1"/>
  <c r="AE40" i="3"/>
  <c r="AG40" i="3" s="1"/>
  <c r="AD40" i="3"/>
  <c r="B23" i="3"/>
  <c r="E22" i="3"/>
  <c r="G22" i="3" s="1"/>
  <c r="D22" i="3"/>
  <c r="F22" i="3" s="1"/>
  <c r="C22" i="3"/>
  <c r="R147" i="3"/>
  <c r="Q147" i="3"/>
  <c r="P147" i="3"/>
  <c r="O147" i="3"/>
  <c r="N147" i="3"/>
  <c r="K29" i="3"/>
  <c r="N28" i="3"/>
  <c r="P28" i="3" s="1"/>
  <c r="M28" i="3"/>
  <c r="O28" i="3" s="1"/>
  <c r="L28" i="3"/>
  <c r="C142" i="3"/>
  <c r="M148" i="3"/>
  <c r="B143" i="3"/>
  <c r="L149" i="3"/>
  <c r="W87" i="2"/>
  <c r="J87" i="2"/>
  <c r="X87" i="2"/>
  <c r="AT87" i="2"/>
  <c r="AS87" i="2"/>
  <c r="AG87" i="2"/>
  <c r="AF87" i="2"/>
  <c r="M87" i="2"/>
  <c r="U87" i="2"/>
  <c r="L87" i="2"/>
  <c r="B90" i="2"/>
  <c r="AO88" i="2"/>
  <c r="AN88" i="2"/>
  <c r="AM88" i="2"/>
  <c r="AP88" i="2" s="1"/>
  <c r="AL88" i="2"/>
  <c r="AK88" i="2"/>
  <c r="AD88" i="2"/>
  <c r="AC88" i="2"/>
  <c r="AB88" i="2"/>
  <c r="AE88" i="2" s="1"/>
  <c r="AA88" i="2"/>
  <c r="Z88" i="2"/>
  <c r="S88" i="2"/>
  <c r="R88" i="2"/>
  <c r="Q88" i="2"/>
  <c r="T88" i="2" s="1"/>
  <c r="P88" i="2"/>
  <c r="O88" i="2"/>
  <c r="X88" i="2" s="1"/>
  <c r="H88" i="2"/>
  <c r="G88" i="2"/>
  <c r="F88" i="2"/>
  <c r="I88" i="2" s="1"/>
  <c r="E88" i="2"/>
  <c r="D88" i="2"/>
  <c r="K87" i="2"/>
  <c r="C89" i="2"/>
  <c r="V87" i="2"/>
  <c r="AI87" i="2"/>
  <c r="AQ87" i="2"/>
  <c r="AH87" i="2"/>
  <c r="AR87" i="2"/>
  <c r="AD41" i="3" a="1"/>
  <c r="AE41" i="3" a="1"/>
  <c r="AF41" i="3" a="1"/>
  <c r="AC42" i="3" a="1"/>
  <c r="E142" i="3" a="1"/>
  <c r="J142" i="3" a="1"/>
  <c r="F142" i="3" a="1"/>
  <c r="H142" i="3" a="1"/>
  <c r="G142" i="3" a="1"/>
  <c r="D142" i="3" a="1"/>
  <c r="I142" i="3" a="1"/>
  <c r="U35" i="3" a="1"/>
  <c r="V35" i="3" a="1"/>
  <c r="W35" i="3" a="1"/>
  <c r="T36" i="3" a="1"/>
  <c r="C23" i="3" a="1"/>
  <c r="D23" i="3" a="1"/>
  <c r="E23" i="3" a="1"/>
  <c r="B24" i="3" a="1"/>
  <c r="L29" i="3" a="1"/>
  <c r="M29" i="3" a="1"/>
  <c r="N29" i="3" a="1"/>
  <c r="K30" i="3" a="1"/>
  <c r="N148" i="3" a="1"/>
  <c r="O148" i="3" a="1"/>
  <c r="P148" i="3" a="1"/>
  <c r="Q148" i="3" a="1"/>
  <c r="R148" i="3" a="1"/>
  <c r="B91" i="2" a="1"/>
  <c r="D89" i="2" a="1"/>
  <c r="E89" i="2" a="1"/>
  <c r="F89" i="2" a="1"/>
  <c r="G89" i="2" a="1"/>
  <c r="H89" i="2" a="1"/>
  <c r="O89" i="2" a="1"/>
  <c r="P89" i="2" a="1"/>
  <c r="Q89" i="2" a="1"/>
  <c r="R89" i="2" a="1"/>
  <c r="S89" i="2" a="1"/>
  <c r="Z89" i="2" a="1"/>
  <c r="AA89" i="2" a="1"/>
  <c r="AB89" i="2" a="1"/>
  <c r="AC89" i="2" a="1"/>
  <c r="AD89" i="2" a="1"/>
  <c r="AK89" i="2" a="1"/>
  <c r="AL89" i="2" a="1"/>
  <c r="AM89" i="2" a="1"/>
  <c r="AN89" i="2" a="1"/>
  <c r="AO89" i="2" a="1"/>
  <c r="R148" i="3" l="1"/>
  <c r="Q148" i="3"/>
  <c r="P148" i="3"/>
  <c r="O148" i="3"/>
  <c r="N148" i="3"/>
  <c r="K30" i="3"/>
  <c r="N29" i="3"/>
  <c r="P29" i="3" s="1"/>
  <c r="M29" i="3"/>
  <c r="O29" i="3" s="1"/>
  <c r="L29" i="3"/>
  <c r="B24" i="3"/>
  <c r="E23" i="3"/>
  <c r="G23" i="3" s="1"/>
  <c r="D23" i="3"/>
  <c r="F23" i="3" s="1"/>
  <c r="C23" i="3"/>
  <c r="T36" i="3"/>
  <c r="W35" i="3"/>
  <c r="Y35" i="3" s="1"/>
  <c r="V35" i="3"/>
  <c r="X35" i="3" s="1"/>
  <c r="U35" i="3"/>
  <c r="I142" i="3"/>
  <c r="D142" i="3"/>
  <c r="G142" i="3"/>
  <c r="H142" i="3"/>
  <c r="F142" i="3"/>
  <c r="J142" i="3"/>
  <c r="E142" i="3"/>
  <c r="AC42" i="3"/>
  <c r="AF41" i="3"/>
  <c r="AH41" i="3" s="1"/>
  <c r="AE41" i="3"/>
  <c r="AG41" i="3" s="1"/>
  <c r="AD41" i="3"/>
  <c r="L150" i="3"/>
  <c r="B144" i="3"/>
  <c r="M149" i="3"/>
  <c r="C143" i="3"/>
  <c r="L88" i="2"/>
  <c r="W88" i="2"/>
  <c r="AG88" i="2"/>
  <c r="AF88" i="2"/>
  <c r="AT88" i="2"/>
  <c r="M88" i="2"/>
  <c r="AS88" i="2"/>
  <c r="AO89" i="2"/>
  <c r="AN89" i="2"/>
  <c r="AM89" i="2"/>
  <c r="AP89" i="2" s="1"/>
  <c r="AL89" i="2"/>
  <c r="AK89" i="2"/>
  <c r="AD89" i="2"/>
  <c r="AC89" i="2"/>
  <c r="AB89" i="2"/>
  <c r="AE89" i="2" s="1"/>
  <c r="AA89" i="2"/>
  <c r="Z89" i="2"/>
  <c r="S89" i="2"/>
  <c r="R89" i="2"/>
  <c r="Q89" i="2"/>
  <c r="T89" i="2" s="1"/>
  <c r="P89" i="2"/>
  <c r="O89" i="2"/>
  <c r="H89" i="2"/>
  <c r="G89" i="2"/>
  <c r="F89" i="2"/>
  <c r="I89" i="2" s="1"/>
  <c r="E89" i="2"/>
  <c r="D89" i="2"/>
  <c r="B91" i="2"/>
  <c r="AI88" i="2"/>
  <c r="AQ88" i="2"/>
  <c r="AH88" i="2"/>
  <c r="AR88" i="2"/>
  <c r="U88" i="2"/>
  <c r="V88" i="2"/>
  <c r="J88" i="2"/>
  <c r="K88" i="2"/>
  <c r="C90" i="2"/>
  <c r="L30" i="3" a="1"/>
  <c r="M30" i="3" a="1"/>
  <c r="N30" i="3" a="1"/>
  <c r="K31" i="3" a="1"/>
  <c r="U36" i="3" a="1"/>
  <c r="V36" i="3" a="1"/>
  <c r="W36" i="3" a="1"/>
  <c r="T37" i="3" a="1"/>
  <c r="N149" i="3" a="1"/>
  <c r="O149" i="3" a="1"/>
  <c r="P149" i="3" a="1"/>
  <c r="Q149" i="3" a="1"/>
  <c r="R149" i="3" a="1"/>
  <c r="E143" i="3" a="1"/>
  <c r="J143" i="3" a="1"/>
  <c r="F143" i="3" a="1"/>
  <c r="H143" i="3" a="1"/>
  <c r="G143" i="3" a="1"/>
  <c r="D143" i="3" a="1"/>
  <c r="I143" i="3" a="1"/>
  <c r="AD42" i="3" a="1"/>
  <c r="AE42" i="3" a="1"/>
  <c r="AF42" i="3" a="1"/>
  <c r="AC43" i="3" a="1"/>
  <c r="C24" i="3" a="1"/>
  <c r="D24" i="3" a="1"/>
  <c r="E24" i="3" a="1"/>
  <c r="B25" i="3" a="1"/>
  <c r="B92" i="2" a="1"/>
  <c r="D90" i="2" a="1"/>
  <c r="E90" i="2" a="1"/>
  <c r="F90" i="2" a="1"/>
  <c r="G90" i="2" a="1"/>
  <c r="H90" i="2" a="1"/>
  <c r="O90" i="2" a="1"/>
  <c r="P90" i="2" a="1"/>
  <c r="Q90" i="2" a="1"/>
  <c r="R90" i="2" a="1"/>
  <c r="S90" i="2" a="1"/>
  <c r="Z90" i="2" a="1"/>
  <c r="AA90" i="2" a="1"/>
  <c r="AB90" i="2" a="1"/>
  <c r="AC90" i="2" a="1"/>
  <c r="AD90" i="2" a="1"/>
  <c r="AK90" i="2" a="1"/>
  <c r="AL90" i="2" a="1"/>
  <c r="AM90" i="2" a="1"/>
  <c r="AN90" i="2" a="1"/>
  <c r="AO90" i="2" a="1"/>
  <c r="B25" i="3" l="1"/>
  <c r="E24" i="3"/>
  <c r="G24" i="3" s="1"/>
  <c r="D24" i="3"/>
  <c r="F24" i="3" s="1"/>
  <c r="C24" i="3"/>
  <c r="AC43" i="3"/>
  <c r="AF42" i="3"/>
  <c r="AH42" i="3" s="1"/>
  <c r="AE42" i="3"/>
  <c r="AG42" i="3" s="1"/>
  <c r="AD42" i="3"/>
  <c r="I143" i="3"/>
  <c r="D143" i="3"/>
  <c r="G143" i="3"/>
  <c r="H143" i="3"/>
  <c r="F143" i="3"/>
  <c r="J143" i="3"/>
  <c r="E143" i="3"/>
  <c r="R149" i="3"/>
  <c r="Q149" i="3"/>
  <c r="P149" i="3"/>
  <c r="O149" i="3"/>
  <c r="N149" i="3"/>
  <c r="T37" i="3"/>
  <c r="W36" i="3"/>
  <c r="Y36" i="3" s="1"/>
  <c r="V36" i="3"/>
  <c r="X36" i="3" s="1"/>
  <c r="U36" i="3"/>
  <c r="K31" i="3"/>
  <c r="N30" i="3"/>
  <c r="P30" i="3" s="1"/>
  <c r="M30" i="3"/>
  <c r="O30" i="3" s="1"/>
  <c r="L30" i="3"/>
  <c r="B145" i="3"/>
  <c r="M150" i="3"/>
  <c r="L151" i="3"/>
  <c r="C144" i="3"/>
  <c r="AS89" i="2"/>
  <c r="K89" i="2"/>
  <c r="X89" i="2"/>
  <c r="W89" i="2"/>
  <c r="AG89" i="2"/>
  <c r="AT89" i="2"/>
  <c r="AF89" i="2"/>
  <c r="L89" i="2"/>
  <c r="AO90" i="2"/>
  <c r="AN90" i="2"/>
  <c r="AM90" i="2"/>
  <c r="AP90" i="2" s="1"/>
  <c r="AL90" i="2"/>
  <c r="AK90" i="2"/>
  <c r="AD90" i="2"/>
  <c r="AC90" i="2"/>
  <c r="AB90" i="2"/>
  <c r="AE90" i="2" s="1"/>
  <c r="AA90" i="2"/>
  <c r="Z90" i="2"/>
  <c r="S90" i="2"/>
  <c r="R90" i="2"/>
  <c r="Q90" i="2"/>
  <c r="T90" i="2" s="1"/>
  <c r="P90" i="2"/>
  <c r="O90" i="2"/>
  <c r="H90" i="2"/>
  <c r="G90" i="2"/>
  <c r="F90" i="2"/>
  <c r="I90" i="2" s="1"/>
  <c r="E90" i="2"/>
  <c r="D90" i="2"/>
  <c r="B92" i="2"/>
  <c r="V89" i="2"/>
  <c r="U89" i="2"/>
  <c r="AI89" i="2"/>
  <c r="AQ89" i="2"/>
  <c r="C91" i="2"/>
  <c r="M89" i="2"/>
  <c r="J89" i="2"/>
  <c r="AH89" i="2"/>
  <c r="AR89" i="2"/>
  <c r="E144" i="3" a="1"/>
  <c r="J144" i="3" a="1"/>
  <c r="F144" i="3" a="1"/>
  <c r="H144" i="3" a="1"/>
  <c r="G144" i="3" a="1"/>
  <c r="D144" i="3" a="1"/>
  <c r="I144" i="3" a="1"/>
  <c r="C25" i="3" a="1"/>
  <c r="D25" i="3" a="1"/>
  <c r="E25" i="3" a="1"/>
  <c r="B26" i="3" a="1"/>
  <c r="L31" i="3" a="1"/>
  <c r="M31" i="3" a="1"/>
  <c r="N31" i="3" a="1"/>
  <c r="K32" i="3" a="1"/>
  <c r="AD43" i="3" a="1"/>
  <c r="AE43" i="3" a="1"/>
  <c r="AF43" i="3" a="1"/>
  <c r="AC44" i="3" a="1"/>
  <c r="U37" i="3" a="1"/>
  <c r="V37" i="3" a="1"/>
  <c r="W37" i="3" a="1"/>
  <c r="T38" i="3" a="1"/>
  <c r="N150" i="3" a="1"/>
  <c r="O150" i="3" a="1"/>
  <c r="P150" i="3" a="1"/>
  <c r="Q150" i="3" a="1"/>
  <c r="R150" i="3" a="1"/>
  <c r="D91" i="2" a="1"/>
  <c r="E91" i="2" a="1"/>
  <c r="F91" i="2" a="1"/>
  <c r="G91" i="2" a="1"/>
  <c r="H91" i="2" a="1"/>
  <c r="O91" i="2" a="1"/>
  <c r="P91" i="2" a="1"/>
  <c r="Q91" i="2" a="1"/>
  <c r="R91" i="2" a="1"/>
  <c r="S91" i="2" a="1"/>
  <c r="Z91" i="2" a="1"/>
  <c r="AA91" i="2" a="1"/>
  <c r="AB91" i="2" a="1"/>
  <c r="AC91" i="2" a="1"/>
  <c r="AD91" i="2" a="1"/>
  <c r="AK91" i="2" a="1"/>
  <c r="AL91" i="2" a="1"/>
  <c r="AM91" i="2" a="1"/>
  <c r="AN91" i="2" a="1"/>
  <c r="AO91" i="2" a="1"/>
  <c r="B93" i="2" a="1"/>
  <c r="R150" i="3" l="1"/>
  <c r="Q150" i="3"/>
  <c r="P150" i="3"/>
  <c r="O150" i="3"/>
  <c r="N150" i="3"/>
  <c r="T38" i="3"/>
  <c r="W37" i="3"/>
  <c r="Y37" i="3" s="1"/>
  <c r="V37" i="3"/>
  <c r="X37" i="3" s="1"/>
  <c r="U37" i="3"/>
  <c r="AC44" i="3"/>
  <c r="AF43" i="3"/>
  <c r="AH43" i="3" s="1"/>
  <c r="AE43" i="3"/>
  <c r="AG43" i="3" s="1"/>
  <c r="AD43" i="3"/>
  <c r="K32" i="3"/>
  <c r="N31" i="3"/>
  <c r="P31" i="3" s="1"/>
  <c r="M31" i="3"/>
  <c r="O31" i="3" s="1"/>
  <c r="L31" i="3"/>
  <c r="B26" i="3"/>
  <c r="E25" i="3"/>
  <c r="G25" i="3" s="1"/>
  <c r="D25" i="3"/>
  <c r="F25" i="3" s="1"/>
  <c r="C25" i="3"/>
  <c r="I144" i="3"/>
  <c r="D144" i="3"/>
  <c r="G144" i="3"/>
  <c r="H144" i="3"/>
  <c r="F144" i="3"/>
  <c r="J144" i="3"/>
  <c r="E144" i="3"/>
  <c r="M151" i="3"/>
  <c r="L152" i="3"/>
  <c r="B146" i="3"/>
  <c r="C145" i="3"/>
  <c r="AS90" i="2"/>
  <c r="AT90" i="2"/>
  <c r="K90" i="2"/>
  <c r="W90" i="2"/>
  <c r="AG90" i="2"/>
  <c r="L90" i="2"/>
  <c r="X90" i="2"/>
  <c r="AF90" i="2"/>
  <c r="B93" i="2"/>
  <c r="AO91" i="2"/>
  <c r="AN91" i="2"/>
  <c r="AM91" i="2"/>
  <c r="AP91" i="2" s="1"/>
  <c r="AL91" i="2"/>
  <c r="AK91" i="2"/>
  <c r="AD91" i="2"/>
  <c r="AC91" i="2"/>
  <c r="AB91" i="2"/>
  <c r="AE91" i="2" s="1"/>
  <c r="AA91" i="2"/>
  <c r="Z91" i="2"/>
  <c r="S91" i="2"/>
  <c r="R91" i="2"/>
  <c r="Q91" i="2"/>
  <c r="T91" i="2" s="1"/>
  <c r="P91" i="2"/>
  <c r="W91" i="2" s="1"/>
  <c r="O91" i="2"/>
  <c r="H91" i="2"/>
  <c r="G91" i="2"/>
  <c r="F91" i="2"/>
  <c r="I91" i="2" s="1"/>
  <c r="E91" i="2"/>
  <c r="D91" i="2"/>
  <c r="M90" i="2"/>
  <c r="V90" i="2"/>
  <c r="C92" i="2"/>
  <c r="U90" i="2"/>
  <c r="AI90" i="2"/>
  <c r="AQ90" i="2"/>
  <c r="J90" i="2"/>
  <c r="AH90" i="2"/>
  <c r="AR90" i="2"/>
  <c r="AD44" i="3" a="1"/>
  <c r="AE44" i="3" a="1"/>
  <c r="AF44" i="3" a="1"/>
  <c r="AC45" i="3" a="1"/>
  <c r="C26" i="3" a="1"/>
  <c r="D26" i="3" a="1"/>
  <c r="E26" i="3" a="1"/>
  <c r="B27" i="3" a="1"/>
  <c r="N151" i="3" a="1"/>
  <c r="O151" i="3" a="1"/>
  <c r="P151" i="3" a="1"/>
  <c r="Q151" i="3" a="1"/>
  <c r="R151" i="3" a="1"/>
  <c r="E145" i="3" a="1"/>
  <c r="J145" i="3" a="1"/>
  <c r="F145" i="3" a="1"/>
  <c r="H145" i="3" a="1"/>
  <c r="G145" i="3" a="1"/>
  <c r="D145" i="3" a="1"/>
  <c r="I145" i="3" a="1"/>
  <c r="U38" i="3" a="1"/>
  <c r="V38" i="3" a="1"/>
  <c r="W38" i="3" a="1"/>
  <c r="T39" i="3" a="1"/>
  <c r="L32" i="3" a="1"/>
  <c r="M32" i="3" a="1"/>
  <c r="N32" i="3" a="1"/>
  <c r="K33" i="3" a="1"/>
  <c r="B94" i="2" a="1"/>
  <c r="D92" i="2" a="1"/>
  <c r="E92" i="2" a="1"/>
  <c r="F92" i="2" a="1"/>
  <c r="G92" i="2" a="1"/>
  <c r="H92" i="2" a="1"/>
  <c r="O92" i="2" a="1"/>
  <c r="P92" i="2" a="1"/>
  <c r="Q92" i="2" a="1"/>
  <c r="R92" i="2" a="1"/>
  <c r="S92" i="2" a="1"/>
  <c r="Z92" i="2" a="1"/>
  <c r="AA92" i="2" a="1"/>
  <c r="AB92" i="2" a="1"/>
  <c r="AC92" i="2" a="1"/>
  <c r="AD92" i="2" a="1"/>
  <c r="AK92" i="2" a="1"/>
  <c r="AL92" i="2" a="1"/>
  <c r="AM92" i="2" a="1"/>
  <c r="AN92" i="2" a="1"/>
  <c r="AO92" i="2" a="1"/>
  <c r="K33" i="3" l="1"/>
  <c r="N32" i="3"/>
  <c r="P32" i="3" s="1"/>
  <c r="M32" i="3"/>
  <c r="O32" i="3" s="1"/>
  <c r="L32" i="3"/>
  <c r="T39" i="3"/>
  <c r="W38" i="3"/>
  <c r="Y38" i="3" s="1"/>
  <c r="V38" i="3"/>
  <c r="X38" i="3" s="1"/>
  <c r="U38" i="3"/>
  <c r="I145" i="3"/>
  <c r="D145" i="3"/>
  <c r="G145" i="3"/>
  <c r="H145" i="3"/>
  <c r="F145" i="3"/>
  <c r="J145" i="3"/>
  <c r="E145" i="3"/>
  <c r="R151" i="3"/>
  <c r="Q151" i="3"/>
  <c r="P151" i="3"/>
  <c r="O151" i="3"/>
  <c r="N151" i="3"/>
  <c r="B27" i="3"/>
  <c r="E26" i="3"/>
  <c r="G26" i="3" s="1"/>
  <c r="D26" i="3"/>
  <c r="F26" i="3" s="1"/>
  <c r="C26" i="3"/>
  <c r="AC45" i="3"/>
  <c r="AF44" i="3"/>
  <c r="AH44" i="3" s="1"/>
  <c r="AE44" i="3"/>
  <c r="AG44" i="3" s="1"/>
  <c r="AD44" i="3"/>
  <c r="L153" i="3"/>
  <c r="C146" i="3"/>
  <c r="B147" i="3"/>
  <c r="M152" i="3"/>
  <c r="AG91" i="2"/>
  <c r="AS91" i="2"/>
  <c r="AT91" i="2"/>
  <c r="X91" i="2"/>
  <c r="AF91" i="2"/>
  <c r="M91" i="2"/>
  <c r="L91" i="2"/>
  <c r="AO92" i="2"/>
  <c r="AN92" i="2"/>
  <c r="AM92" i="2"/>
  <c r="AP92" i="2" s="1"/>
  <c r="AL92" i="2"/>
  <c r="AK92" i="2"/>
  <c r="AD92" i="2"/>
  <c r="AC92" i="2"/>
  <c r="AB92" i="2"/>
  <c r="AE92" i="2" s="1"/>
  <c r="AA92" i="2"/>
  <c r="Z92" i="2"/>
  <c r="S92" i="2"/>
  <c r="R92" i="2"/>
  <c r="Q92" i="2"/>
  <c r="T92" i="2" s="1"/>
  <c r="P92" i="2"/>
  <c r="O92" i="2"/>
  <c r="H92" i="2"/>
  <c r="G92" i="2"/>
  <c r="F92" i="2"/>
  <c r="I92" i="2" s="1"/>
  <c r="E92" i="2"/>
  <c r="D92" i="2"/>
  <c r="B94" i="2"/>
  <c r="AQ91" i="2"/>
  <c r="AI91" i="2"/>
  <c r="AH91" i="2"/>
  <c r="AR91" i="2"/>
  <c r="U91" i="2"/>
  <c r="V91" i="2"/>
  <c r="J91" i="2"/>
  <c r="K91" i="2"/>
  <c r="C93" i="2"/>
  <c r="N152" i="3" a="1"/>
  <c r="O152" i="3" a="1"/>
  <c r="P152" i="3" a="1"/>
  <c r="Q152" i="3" a="1"/>
  <c r="R152" i="3" a="1"/>
  <c r="L33" i="3" a="1"/>
  <c r="M33" i="3" a="1"/>
  <c r="N33" i="3" a="1"/>
  <c r="K34" i="3" a="1"/>
  <c r="AD45" i="3" a="1"/>
  <c r="AE45" i="3" a="1"/>
  <c r="AF45" i="3" a="1"/>
  <c r="AC46" i="3" a="1"/>
  <c r="U39" i="3" a="1"/>
  <c r="V39" i="3" a="1"/>
  <c r="W39" i="3" a="1"/>
  <c r="T40" i="3" a="1"/>
  <c r="C27" i="3" a="1"/>
  <c r="D27" i="3" a="1"/>
  <c r="E27" i="3" a="1"/>
  <c r="B28" i="3" a="1"/>
  <c r="E146" i="3" a="1"/>
  <c r="J146" i="3" a="1"/>
  <c r="F146" i="3" a="1"/>
  <c r="H146" i="3" a="1"/>
  <c r="G146" i="3" a="1"/>
  <c r="D146" i="3" a="1"/>
  <c r="I146" i="3" a="1"/>
  <c r="B95" i="2" a="1"/>
  <c r="D93" i="2" a="1"/>
  <c r="E93" i="2" a="1"/>
  <c r="F93" i="2" a="1"/>
  <c r="G93" i="2" a="1"/>
  <c r="H93" i="2" a="1"/>
  <c r="O93" i="2" a="1"/>
  <c r="P93" i="2" a="1"/>
  <c r="Q93" i="2" a="1"/>
  <c r="R93" i="2" a="1"/>
  <c r="S93" i="2" a="1"/>
  <c r="Z93" i="2" a="1"/>
  <c r="AA93" i="2" a="1"/>
  <c r="AB93" i="2" a="1"/>
  <c r="AC93" i="2" a="1"/>
  <c r="AD93" i="2" a="1"/>
  <c r="AK93" i="2" a="1"/>
  <c r="AL93" i="2" a="1"/>
  <c r="AM93" i="2" a="1"/>
  <c r="AN93" i="2" a="1"/>
  <c r="AO93" i="2" a="1"/>
  <c r="I146" i="3" l="1"/>
  <c r="D146" i="3"/>
  <c r="G146" i="3"/>
  <c r="H146" i="3"/>
  <c r="F146" i="3"/>
  <c r="J146" i="3"/>
  <c r="E146" i="3"/>
  <c r="B28" i="3"/>
  <c r="E27" i="3"/>
  <c r="G27" i="3" s="1"/>
  <c r="D27" i="3"/>
  <c r="F27" i="3" s="1"/>
  <c r="C27" i="3"/>
  <c r="T40" i="3"/>
  <c r="W39" i="3"/>
  <c r="Y39" i="3" s="1"/>
  <c r="V39" i="3"/>
  <c r="X39" i="3" s="1"/>
  <c r="U39" i="3"/>
  <c r="AC46" i="3"/>
  <c r="AF45" i="3"/>
  <c r="AH45" i="3" s="1"/>
  <c r="AE45" i="3"/>
  <c r="AG45" i="3" s="1"/>
  <c r="AD45" i="3"/>
  <c r="K34" i="3"/>
  <c r="N33" i="3"/>
  <c r="P33" i="3" s="1"/>
  <c r="M33" i="3"/>
  <c r="O33" i="3" s="1"/>
  <c r="L33" i="3"/>
  <c r="R152" i="3"/>
  <c r="Q152" i="3"/>
  <c r="P152" i="3"/>
  <c r="O152" i="3"/>
  <c r="N152" i="3"/>
  <c r="B148" i="3"/>
  <c r="M153" i="3"/>
  <c r="L154" i="3"/>
  <c r="C147" i="3"/>
  <c r="K92" i="2"/>
  <c r="X92" i="2"/>
  <c r="L92" i="2"/>
  <c r="AF92" i="2"/>
  <c r="W92" i="2"/>
  <c r="AS92" i="2"/>
  <c r="AG92" i="2"/>
  <c r="AT92" i="2"/>
  <c r="AO93" i="2"/>
  <c r="AN93" i="2"/>
  <c r="AM93" i="2"/>
  <c r="AP93" i="2" s="1"/>
  <c r="AL93" i="2"/>
  <c r="AK93" i="2"/>
  <c r="AD93" i="2"/>
  <c r="AC93" i="2"/>
  <c r="AB93" i="2"/>
  <c r="AE93" i="2" s="1"/>
  <c r="AA93" i="2"/>
  <c r="Z93" i="2"/>
  <c r="S93" i="2"/>
  <c r="R93" i="2"/>
  <c r="Q93" i="2"/>
  <c r="T93" i="2" s="1"/>
  <c r="P93" i="2"/>
  <c r="O93" i="2"/>
  <c r="H93" i="2"/>
  <c r="G93" i="2"/>
  <c r="F93" i="2"/>
  <c r="I93" i="2" s="1"/>
  <c r="E93" i="2"/>
  <c r="D93" i="2"/>
  <c r="B95" i="2"/>
  <c r="M92" i="2"/>
  <c r="V92" i="2"/>
  <c r="C94" i="2"/>
  <c r="U92" i="2"/>
  <c r="AI92" i="2"/>
  <c r="AQ92" i="2"/>
  <c r="J92" i="2"/>
  <c r="AH92" i="2"/>
  <c r="AR92" i="2"/>
  <c r="C28" i="3" a="1"/>
  <c r="D28" i="3" a="1"/>
  <c r="E28" i="3" a="1"/>
  <c r="B29" i="3" a="1"/>
  <c r="AD46" i="3" a="1"/>
  <c r="AE46" i="3" a="1"/>
  <c r="AF46" i="3" a="1"/>
  <c r="AC47" i="3" a="1"/>
  <c r="E147" i="3" a="1"/>
  <c r="J147" i="3" a="1"/>
  <c r="F147" i="3" a="1"/>
  <c r="H147" i="3" a="1"/>
  <c r="G147" i="3" a="1"/>
  <c r="D147" i="3" a="1"/>
  <c r="I147" i="3" a="1"/>
  <c r="U40" i="3" a="1"/>
  <c r="V40" i="3" a="1"/>
  <c r="W40" i="3" a="1"/>
  <c r="T41" i="3" a="1"/>
  <c r="L34" i="3" a="1"/>
  <c r="M34" i="3" a="1"/>
  <c r="N34" i="3" a="1"/>
  <c r="K35" i="3" a="1"/>
  <c r="N153" i="3" a="1"/>
  <c r="O153" i="3" a="1"/>
  <c r="P153" i="3" a="1"/>
  <c r="Q153" i="3" a="1"/>
  <c r="R153" i="3" a="1"/>
  <c r="D94" i="2" a="1"/>
  <c r="E94" i="2" a="1"/>
  <c r="F94" i="2" a="1"/>
  <c r="G94" i="2" a="1"/>
  <c r="H94" i="2" a="1"/>
  <c r="O94" i="2" a="1"/>
  <c r="P94" i="2" a="1"/>
  <c r="Q94" i="2" a="1"/>
  <c r="R94" i="2" a="1"/>
  <c r="S94" i="2" a="1"/>
  <c r="Z94" i="2" a="1"/>
  <c r="AA94" i="2" a="1"/>
  <c r="AB94" i="2" a="1"/>
  <c r="AC94" i="2" a="1"/>
  <c r="AD94" i="2" a="1"/>
  <c r="AK94" i="2" a="1"/>
  <c r="AL94" i="2" a="1"/>
  <c r="AM94" i="2" a="1"/>
  <c r="AN94" i="2" a="1"/>
  <c r="AO94" i="2" a="1"/>
  <c r="B96" i="2" a="1"/>
  <c r="R153" i="3" l="1"/>
  <c r="Q153" i="3"/>
  <c r="P153" i="3"/>
  <c r="O153" i="3"/>
  <c r="N153" i="3"/>
  <c r="K35" i="3"/>
  <c r="N34" i="3"/>
  <c r="P34" i="3" s="1"/>
  <c r="M34" i="3"/>
  <c r="O34" i="3" s="1"/>
  <c r="L34" i="3"/>
  <c r="T41" i="3"/>
  <c r="W40" i="3"/>
  <c r="Y40" i="3" s="1"/>
  <c r="V40" i="3"/>
  <c r="X40" i="3" s="1"/>
  <c r="U40" i="3"/>
  <c r="I147" i="3"/>
  <c r="D147" i="3"/>
  <c r="G147" i="3"/>
  <c r="H147" i="3"/>
  <c r="F147" i="3"/>
  <c r="J147" i="3"/>
  <c r="E147" i="3"/>
  <c r="AC47" i="3"/>
  <c r="AF46" i="3"/>
  <c r="AH46" i="3" s="1"/>
  <c r="AE46" i="3"/>
  <c r="AG46" i="3" s="1"/>
  <c r="AD46" i="3"/>
  <c r="B29" i="3"/>
  <c r="E28" i="3"/>
  <c r="G28" i="3" s="1"/>
  <c r="D28" i="3"/>
  <c r="F28" i="3" s="1"/>
  <c r="C28" i="3"/>
  <c r="M154" i="3"/>
  <c r="L155" i="3"/>
  <c r="C148" i="3"/>
  <c r="B149" i="3"/>
  <c r="W93" i="2"/>
  <c r="AT93" i="2"/>
  <c r="AS93" i="2"/>
  <c r="AG93" i="2"/>
  <c r="L93" i="2"/>
  <c r="K93" i="2"/>
  <c r="X93" i="2"/>
  <c r="AF93" i="2"/>
  <c r="B96" i="2"/>
  <c r="AO94" i="2"/>
  <c r="AN94" i="2"/>
  <c r="AM94" i="2"/>
  <c r="AP94" i="2" s="1"/>
  <c r="AL94" i="2"/>
  <c r="AK94" i="2"/>
  <c r="AD94" i="2"/>
  <c r="AC94" i="2"/>
  <c r="AB94" i="2"/>
  <c r="AE94" i="2" s="1"/>
  <c r="AA94" i="2"/>
  <c r="Z94" i="2"/>
  <c r="S94" i="2"/>
  <c r="R94" i="2"/>
  <c r="Q94" i="2"/>
  <c r="T94" i="2" s="1"/>
  <c r="P94" i="2"/>
  <c r="O94" i="2"/>
  <c r="H94" i="2"/>
  <c r="G94" i="2"/>
  <c r="F94" i="2"/>
  <c r="I94" i="2" s="1"/>
  <c r="E94" i="2"/>
  <c r="D94" i="2"/>
  <c r="C95" i="2"/>
  <c r="M93" i="2"/>
  <c r="U93" i="2"/>
  <c r="V93" i="2"/>
  <c r="AI93" i="2"/>
  <c r="AQ93" i="2"/>
  <c r="J93" i="2"/>
  <c r="AH93" i="2"/>
  <c r="AR93" i="2"/>
  <c r="C29" i="3" a="1"/>
  <c r="D29" i="3" a="1"/>
  <c r="E29" i="3" a="1"/>
  <c r="B30" i="3" a="1"/>
  <c r="U41" i="3" a="1"/>
  <c r="V41" i="3" a="1"/>
  <c r="W41" i="3" a="1"/>
  <c r="T42" i="3" a="1"/>
  <c r="AD47" i="3" a="1"/>
  <c r="AE47" i="3" a="1"/>
  <c r="AF47" i="3" a="1"/>
  <c r="AC48" i="3" a="1"/>
  <c r="N154" i="3" a="1"/>
  <c r="O154" i="3" a="1"/>
  <c r="P154" i="3" a="1"/>
  <c r="Q154" i="3" a="1"/>
  <c r="R154" i="3" a="1"/>
  <c r="L35" i="3" a="1"/>
  <c r="M35" i="3" a="1"/>
  <c r="N35" i="3" a="1"/>
  <c r="K36" i="3" a="1"/>
  <c r="E148" i="3" a="1"/>
  <c r="J148" i="3" a="1"/>
  <c r="F148" i="3" a="1"/>
  <c r="H148" i="3" a="1"/>
  <c r="G148" i="3" a="1"/>
  <c r="D148" i="3" a="1"/>
  <c r="I148" i="3" a="1"/>
  <c r="B97" i="2" a="1"/>
  <c r="D95" i="2" a="1"/>
  <c r="E95" i="2" a="1"/>
  <c r="F95" i="2" a="1"/>
  <c r="G95" i="2" a="1"/>
  <c r="H95" i="2" a="1"/>
  <c r="O95" i="2" a="1"/>
  <c r="P95" i="2" a="1"/>
  <c r="Q95" i="2" a="1"/>
  <c r="R95" i="2" a="1"/>
  <c r="S95" i="2" a="1"/>
  <c r="Z95" i="2" a="1"/>
  <c r="AA95" i="2" a="1"/>
  <c r="AB95" i="2" a="1"/>
  <c r="AC95" i="2" a="1"/>
  <c r="AD95" i="2" a="1"/>
  <c r="AK95" i="2" a="1"/>
  <c r="AL95" i="2" a="1"/>
  <c r="AM95" i="2" a="1"/>
  <c r="AN95" i="2" a="1"/>
  <c r="AO95" i="2" a="1"/>
  <c r="I148" i="3" l="1"/>
  <c r="D148" i="3"/>
  <c r="G148" i="3"/>
  <c r="H148" i="3"/>
  <c r="F148" i="3"/>
  <c r="J148" i="3"/>
  <c r="E148" i="3"/>
  <c r="K36" i="3"/>
  <c r="N35" i="3"/>
  <c r="P35" i="3" s="1"/>
  <c r="M35" i="3"/>
  <c r="O35" i="3" s="1"/>
  <c r="L35" i="3"/>
  <c r="R154" i="3"/>
  <c r="Q154" i="3"/>
  <c r="P154" i="3"/>
  <c r="O154" i="3"/>
  <c r="N154" i="3"/>
  <c r="AC48" i="3"/>
  <c r="AF47" i="3"/>
  <c r="AH47" i="3" s="1"/>
  <c r="AE47" i="3"/>
  <c r="AG47" i="3" s="1"/>
  <c r="AD47" i="3"/>
  <c r="T42" i="3"/>
  <c r="W41" i="3"/>
  <c r="Y41" i="3" s="1"/>
  <c r="V41" i="3"/>
  <c r="X41" i="3" s="1"/>
  <c r="U41" i="3"/>
  <c r="B30" i="3"/>
  <c r="E29" i="3"/>
  <c r="G29" i="3" s="1"/>
  <c r="D29" i="3"/>
  <c r="F29" i="3" s="1"/>
  <c r="C29" i="3"/>
  <c r="L156" i="3"/>
  <c r="C149" i="3"/>
  <c r="B150" i="3"/>
  <c r="M155" i="3"/>
  <c r="X94" i="2"/>
  <c r="AG94" i="2"/>
  <c r="W94" i="2"/>
  <c r="AT94" i="2"/>
  <c r="AS94" i="2"/>
  <c r="AF94" i="2"/>
  <c r="M94" i="2"/>
  <c r="L94" i="2"/>
  <c r="AO95" i="2"/>
  <c r="AN95" i="2"/>
  <c r="AM95" i="2"/>
  <c r="AP95" i="2" s="1"/>
  <c r="AL95" i="2"/>
  <c r="AK95" i="2"/>
  <c r="AD95" i="2"/>
  <c r="AC95" i="2"/>
  <c r="AB95" i="2"/>
  <c r="AE95" i="2" s="1"/>
  <c r="AA95" i="2"/>
  <c r="Z95" i="2"/>
  <c r="S95" i="2"/>
  <c r="R95" i="2"/>
  <c r="Q95" i="2"/>
  <c r="T95" i="2" s="1"/>
  <c r="P95" i="2"/>
  <c r="O95" i="2"/>
  <c r="H95" i="2"/>
  <c r="G95" i="2"/>
  <c r="F95" i="2"/>
  <c r="I95" i="2" s="1"/>
  <c r="E95" i="2"/>
  <c r="D95" i="2"/>
  <c r="B97" i="2"/>
  <c r="V94" i="2"/>
  <c r="AI94" i="2"/>
  <c r="AQ94" i="2"/>
  <c r="AH94" i="2"/>
  <c r="AR94" i="2"/>
  <c r="U94" i="2"/>
  <c r="J94" i="2"/>
  <c r="K94" i="2"/>
  <c r="C96" i="2"/>
  <c r="L36" i="3" a="1"/>
  <c r="M36" i="3" a="1"/>
  <c r="N36" i="3" a="1"/>
  <c r="K37" i="3" a="1"/>
  <c r="N155" i="3" a="1"/>
  <c r="O155" i="3" a="1"/>
  <c r="P155" i="3" a="1"/>
  <c r="Q155" i="3" a="1"/>
  <c r="R155" i="3" a="1"/>
  <c r="AD48" i="3" a="1"/>
  <c r="AE48" i="3" a="1"/>
  <c r="AF48" i="3" a="1"/>
  <c r="AC49" i="3" a="1"/>
  <c r="C30" i="3" a="1"/>
  <c r="D30" i="3" a="1"/>
  <c r="E30" i="3" a="1"/>
  <c r="B31" i="3" a="1"/>
  <c r="U42" i="3" a="1"/>
  <c r="V42" i="3" a="1"/>
  <c r="W42" i="3" a="1"/>
  <c r="T43" i="3" a="1"/>
  <c r="E149" i="3" a="1"/>
  <c r="J149" i="3" a="1"/>
  <c r="F149" i="3" a="1"/>
  <c r="H149" i="3" a="1"/>
  <c r="G149" i="3" a="1"/>
  <c r="D149" i="3" a="1"/>
  <c r="I149" i="3" a="1"/>
  <c r="B98" i="2" a="1"/>
  <c r="D96" i="2" a="1"/>
  <c r="E96" i="2" a="1"/>
  <c r="F96" i="2" a="1"/>
  <c r="G96" i="2" a="1"/>
  <c r="H96" i="2" a="1"/>
  <c r="O96" i="2" a="1"/>
  <c r="P96" i="2" a="1"/>
  <c r="Q96" i="2" a="1"/>
  <c r="R96" i="2" a="1"/>
  <c r="S96" i="2" a="1"/>
  <c r="Z96" i="2" a="1"/>
  <c r="AA96" i="2" a="1"/>
  <c r="AB96" i="2" a="1"/>
  <c r="AC96" i="2" a="1"/>
  <c r="AD96" i="2" a="1"/>
  <c r="AK96" i="2" a="1"/>
  <c r="AL96" i="2" a="1"/>
  <c r="AM96" i="2" a="1"/>
  <c r="AN96" i="2" a="1"/>
  <c r="AO96" i="2" a="1"/>
  <c r="I149" i="3" l="1"/>
  <c r="D149" i="3"/>
  <c r="G149" i="3"/>
  <c r="H149" i="3"/>
  <c r="F149" i="3"/>
  <c r="J149" i="3"/>
  <c r="E149" i="3"/>
  <c r="T43" i="3"/>
  <c r="W42" i="3"/>
  <c r="Y42" i="3" s="1"/>
  <c r="V42" i="3"/>
  <c r="X42" i="3" s="1"/>
  <c r="U42" i="3"/>
  <c r="B31" i="3"/>
  <c r="E30" i="3"/>
  <c r="G30" i="3" s="1"/>
  <c r="D30" i="3"/>
  <c r="F30" i="3" s="1"/>
  <c r="C30" i="3"/>
  <c r="AC49" i="3"/>
  <c r="AF48" i="3"/>
  <c r="AH48" i="3" s="1"/>
  <c r="AE48" i="3"/>
  <c r="AG48" i="3" s="1"/>
  <c r="AD48" i="3"/>
  <c r="R155" i="3"/>
  <c r="Q155" i="3"/>
  <c r="P155" i="3"/>
  <c r="O155" i="3"/>
  <c r="N155" i="3"/>
  <c r="K37" i="3"/>
  <c r="N36" i="3"/>
  <c r="P36" i="3" s="1"/>
  <c r="M36" i="3"/>
  <c r="O36" i="3" s="1"/>
  <c r="L36" i="3"/>
  <c r="C150" i="3"/>
  <c r="M156" i="3"/>
  <c r="B151" i="3"/>
  <c r="L157" i="3"/>
  <c r="K95" i="2"/>
  <c r="X95" i="2"/>
  <c r="J95" i="2"/>
  <c r="AT95" i="2"/>
  <c r="AF95" i="2"/>
  <c r="AS95" i="2"/>
  <c r="W95" i="2"/>
  <c r="AG95" i="2"/>
  <c r="AO96" i="2"/>
  <c r="AN96" i="2"/>
  <c r="AM96" i="2"/>
  <c r="AP96" i="2" s="1"/>
  <c r="AL96" i="2"/>
  <c r="AK96" i="2"/>
  <c r="AD96" i="2"/>
  <c r="AC96" i="2"/>
  <c r="AB96" i="2"/>
  <c r="AE96" i="2" s="1"/>
  <c r="AA96" i="2"/>
  <c r="Z96" i="2"/>
  <c r="S96" i="2"/>
  <c r="R96" i="2"/>
  <c r="Q96" i="2"/>
  <c r="T96" i="2" s="1"/>
  <c r="P96" i="2"/>
  <c r="O96" i="2"/>
  <c r="H96" i="2"/>
  <c r="G96" i="2"/>
  <c r="F96" i="2"/>
  <c r="I96" i="2" s="1"/>
  <c r="E96" i="2"/>
  <c r="D96" i="2"/>
  <c r="B98" i="2"/>
  <c r="C97" i="2"/>
  <c r="U95" i="2"/>
  <c r="L95" i="2"/>
  <c r="V95" i="2"/>
  <c r="M95" i="2"/>
  <c r="AI95" i="2"/>
  <c r="AQ95" i="2"/>
  <c r="AH95" i="2"/>
  <c r="AR95" i="2"/>
  <c r="L37" i="3" a="1"/>
  <c r="M37" i="3" a="1"/>
  <c r="N37" i="3" a="1"/>
  <c r="K38" i="3" a="1"/>
  <c r="C31" i="3" a="1"/>
  <c r="D31" i="3" a="1"/>
  <c r="E31" i="3" a="1"/>
  <c r="B32" i="3" a="1"/>
  <c r="U43" i="3" a="1"/>
  <c r="V43" i="3" a="1"/>
  <c r="W43" i="3" a="1"/>
  <c r="T44" i="3" a="1"/>
  <c r="AD49" i="3" a="1"/>
  <c r="AE49" i="3" a="1"/>
  <c r="AF49" i="3" a="1"/>
  <c r="AC50" i="3" a="1"/>
  <c r="E150" i="3" a="1"/>
  <c r="J150" i="3" a="1"/>
  <c r="F150" i="3" a="1"/>
  <c r="H150" i="3" a="1"/>
  <c r="G150" i="3" a="1"/>
  <c r="D150" i="3" a="1"/>
  <c r="I150" i="3" a="1"/>
  <c r="N156" i="3" a="1"/>
  <c r="O156" i="3" a="1"/>
  <c r="P156" i="3" a="1"/>
  <c r="Q156" i="3" a="1"/>
  <c r="R156" i="3" a="1"/>
  <c r="D97" i="2" a="1"/>
  <c r="E97" i="2" a="1"/>
  <c r="F97" i="2" a="1"/>
  <c r="G97" i="2" a="1"/>
  <c r="H97" i="2" a="1"/>
  <c r="O97" i="2" a="1"/>
  <c r="P97" i="2" a="1"/>
  <c r="Q97" i="2" a="1"/>
  <c r="R97" i="2" a="1"/>
  <c r="S97" i="2" a="1"/>
  <c r="Z97" i="2" a="1"/>
  <c r="AA97" i="2" a="1"/>
  <c r="AB97" i="2" a="1"/>
  <c r="AC97" i="2" a="1"/>
  <c r="AD97" i="2" a="1"/>
  <c r="AK97" i="2" a="1"/>
  <c r="AL97" i="2" a="1"/>
  <c r="AM97" i="2" a="1"/>
  <c r="AN97" i="2" a="1"/>
  <c r="AO97" i="2" a="1"/>
  <c r="B99" i="2" a="1"/>
  <c r="R156" i="3" l="1"/>
  <c r="Q156" i="3"/>
  <c r="P156" i="3"/>
  <c r="O156" i="3"/>
  <c r="N156" i="3"/>
  <c r="I150" i="3"/>
  <c r="D150" i="3"/>
  <c r="G150" i="3"/>
  <c r="H150" i="3"/>
  <c r="F150" i="3"/>
  <c r="J150" i="3"/>
  <c r="E150" i="3"/>
  <c r="AC50" i="3"/>
  <c r="AF49" i="3"/>
  <c r="AH49" i="3" s="1"/>
  <c r="AE49" i="3"/>
  <c r="AG49" i="3" s="1"/>
  <c r="AD49" i="3"/>
  <c r="T44" i="3"/>
  <c r="W43" i="3"/>
  <c r="Y43" i="3" s="1"/>
  <c r="V43" i="3"/>
  <c r="X43" i="3" s="1"/>
  <c r="U43" i="3"/>
  <c r="B32" i="3"/>
  <c r="E31" i="3"/>
  <c r="G31" i="3" s="1"/>
  <c r="D31" i="3"/>
  <c r="F31" i="3" s="1"/>
  <c r="C31" i="3"/>
  <c r="K38" i="3"/>
  <c r="N37" i="3"/>
  <c r="P37" i="3" s="1"/>
  <c r="M37" i="3"/>
  <c r="O37" i="3" s="1"/>
  <c r="L37" i="3"/>
  <c r="C151" i="3"/>
  <c r="M157" i="3"/>
  <c r="B152" i="3"/>
  <c r="L158" i="3"/>
  <c r="K96" i="2"/>
  <c r="X96" i="2"/>
  <c r="W96" i="2"/>
  <c r="AG96" i="2"/>
  <c r="AT96" i="2"/>
  <c r="AS96" i="2"/>
  <c r="AF96" i="2"/>
  <c r="L96" i="2"/>
  <c r="B99" i="2"/>
  <c r="AO97" i="2"/>
  <c r="AN97" i="2"/>
  <c r="AM97" i="2"/>
  <c r="AP97" i="2" s="1"/>
  <c r="AL97" i="2"/>
  <c r="AK97" i="2"/>
  <c r="AD97" i="2"/>
  <c r="AC97" i="2"/>
  <c r="AB97" i="2"/>
  <c r="AE97" i="2" s="1"/>
  <c r="AA97" i="2"/>
  <c r="Z97" i="2"/>
  <c r="S97" i="2"/>
  <c r="R97" i="2"/>
  <c r="Q97" i="2"/>
  <c r="T97" i="2" s="1"/>
  <c r="P97" i="2"/>
  <c r="O97" i="2"/>
  <c r="H97" i="2"/>
  <c r="G97" i="2"/>
  <c r="F97" i="2"/>
  <c r="I97" i="2" s="1"/>
  <c r="E97" i="2"/>
  <c r="D97" i="2"/>
  <c r="U96" i="2"/>
  <c r="V96" i="2"/>
  <c r="C98" i="2"/>
  <c r="AI96" i="2"/>
  <c r="AQ96" i="2"/>
  <c r="M96" i="2"/>
  <c r="J96" i="2"/>
  <c r="AH96" i="2"/>
  <c r="AR96" i="2"/>
  <c r="U44" i="3" a="1"/>
  <c r="V44" i="3" a="1"/>
  <c r="W44" i="3" a="1"/>
  <c r="T45" i="3" a="1"/>
  <c r="L38" i="3" a="1"/>
  <c r="M38" i="3" a="1"/>
  <c r="N38" i="3" a="1"/>
  <c r="K39" i="3" a="1"/>
  <c r="N157" i="3" a="1"/>
  <c r="O157" i="3" a="1"/>
  <c r="P157" i="3" a="1"/>
  <c r="Q157" i="3" a="1"/>
  <c r="R157" i="3" a="1"/>
  <c r="AD50" i="3" a="1"/>
  <c r="AE50" i="3" a="1"/>
  <c r="AF50" i="3" a="1"/>
  <c r="AC51" i="3" a="1"/>
  <c r="C32" i="3" a="1"/>
  <c r="D32" i="3" a="1"/>
  <c r="E32" i="3" a="1"/>
  <c r="B33" i="3" a="1"/>
  <c r="E151" i="3" a="1"/>
  <c r="J151" i="3" a="1"/>
  <c r="F151" i="3" a="1"/>
  <c r="H151" i="3" a="1"/>
  <c r="G151" i="3" a="1"/>
  <c r="D151" i="3" a="1"/>
  <c r="I151" i="3" a="1"/>
  <c r="B100" i="2" a="1"/>
  <c r="D98" i="2" a="1"/>
  <c r="E98" i="2" a="1"/>
  <c r="F98" i="2" a="1"/>
  <c r="G98" i="2" a="1"/>
  <c r="H98" i="2" a="1"/>
  <c r="O98" i="2" a="1"/>
  <c r="P98" i="2" a="1"/>
  <c r="Q98" i="2" a="1"/>
  <c r="R98" i="2" a="1"/>
  <c r="S98" i="2" a="1"/>
  <c r="Z98" i="2" a="1"/>
  <c r="AA98" i="2" a="1"/>
  <c r="AB98" i="2" a="1"/>
  <c r="AC98" i="2" a="1"/>
  <c r="AD98" i="2" a="1"/>
  <c r="AK98" i="2" a="1"/>
  <c r="AL98" i="2" a="1"/>
  <c r="AM98" i="2" a="1"/>
  <c r="AN98" i="2" a="1"/>
  <c r="AO98" i="2" a="1"/>
  <c r="I151" i="3" l="1"/>
  <c r="D151" i="3"/>
  <c r="G151" i="3"/>
  <c r="H151" i="3"/>
  <c r="F151" i="3"/>
  <c r="J151" i="3"/>
  <c r="E151" i="3"/>
  <c r="B33" i="3"/>
  <c r="E32" i="3"/>
  <c r="G32" i="3" s="1"/>
  <c r="D32" i="3"/>
  <c r="F32" i="3" s="1"/>
  <c r="C32" i="3"/>
  <c r="AC51" i="3"/>
  <c r="AF50" i="3"/>
  <c r="AH50" i="3" s="1"/>
  <c r="AE50" i="3"/>
  <c r="AG50" i="3" s="1"/>
  <c r="AD50" i="3"/>
  <c r="R157" i="3"/>
  <c r="Q157" i="3"/>
  <c r="P157" i="3"/>
  <c r="O157" i="3"/>
  <c r="N157" i="3"/>
  <c r="K39" i="3"/>
  <c r="N38" i="3"/>
  <c r="P38" i="3" s="1"/>
  <c r="M38" i="3"/>
  <c r="O38" i="3" s="1"/>
  <c r="L38" i="3"/>
  <c r="T45" i="3"/>
  <c r="W44" i="3"/>
  <c r="Y44" i="3" s="1"/>
  <c r="V44" i="3"/>
  <c r="X44" i="3" s="1"/>
  <c r="U44" i="3"/>
  <c r="C152" i="3"/>
  <c r="B153" i="3"/>
  <c r="M158" i="3"/>
  <c r="L159" i="3"/>
  <c r="M97" i="2"/>
  <c r="AS97" i="2"/>
  <c r="L97" i="2"/>
  <c r="X97" i="2"/>
  <c r="W97" i="2"/>
  <c r="AF97" i="2"/>
  <c r="AG97" i="2"/>
  <c r="AT97" i="2"/>
  <c r="AO98" i="2"/>
  <c r="AN98" i="2"/>
  <c r="AM98" i="2"/>
  <c r="AP98" i="2" s="1"/>
  <c r="AL98" i="2"/>
  <c r="AK98" i="2"/>
  <c r="AD98" i="2"/>
  <c r="AC98" i="2"/>
  <c r="AB98" i="2"/>
  <c r="AE98" i="2" s="1"/>
  <c r="AA98" i="2"/>
  <c r="Z98" i="2"/>
  <c r="S98" i="2"/>
  <c r="R98" i="2"/>
  <c r="Q98" i="2"/>
  <c r="T98" i="2" s="1"/>
  <c r="P98" i="2"/>
  <c r="O98" i="2"/>
  <c r="H98" i="2"/>
  <c r="G98" i="2"/>
  <c r="F98" i="2"/>
  <c r="I98" i="2" s="1"/>
  <c r="E98" i="2"/>
  <c r="D98" i="2"/>
  <c r="B100" i="2"/>
  <c r="V97" i="2"/>
  <c r="AI97" i="2"/>
  <c r="AQ97" i="2"/>
  <c r="J97" i="2"/>
  <c r="AH97" i="2"/>
  <c r="AR97" i="2"/>
  <c r="U97" i="2"/>
  <c r="K97" i="2"/>
  <c r="C99" i="2"/>
  <c r="L39" i="3" a="1"/>
  <c r="M39" i="3" a="1"/>
  <c r="N39" i="3" a="1"/>
  <c r="K40" i="3" a="1"/>
  <c r="E152" i="3" a="1"/>
  <c r="J152" i="3" a="1"/>
  <c r="F152" i="3" a="1"/>
  <c r="H152" i="3" a="1"/>
  <c r="G152" i="3" a="1"/>
  <c r="D152" i="3" a="1"/>
  <c r="I152" i="3" a="1"/>
  <c r="AD51" i="3" a="1"/>
  <c r="AE51" i="3" a="1"/>
  <c r="AF51" i="3" a="1"/>
  <c r="AC52" i="3" a="1"/>
  <c r="N158" i="3" a="1"/>
  <c r="O158" i="3" a="1"/>
  <c r="P158" i="3" a="1"/>
  <c r="Q158" i="3" a="1"/>
  <c r="R158" i="3" a="1"/>
  <c r="C33" i="3" a="1"/>
  <c r="D33" i="3" a="1"/>
  <c r="E33" i="3" a="1"/>
  <c r="B34" i="3" a="1"/>
  <c r="U45" i="3" a="1"/>
  <c r="V45" i="3" a="1"/>
  <c r="W45" i="3" a="1"/>
  <c r="T46" i="3" a="1"/>
  <c r="B101" i="2" a="1"/>
  <c r="D99" i="2" a="1"/>
  <c r="E99" i="2" a="1"/>
  <c r="F99" i="2" a="1"/>
  <c r="G99" i="2" a="1"/>
  <c r="H99" i="2" a="1"/>
  <c r="O99" i="2" a="1"/>
  <c r="P99" i="2" a="1"/>
  <c r="Q99" i="2" a="1"/>
  <c r="R99" i="2" a="1"/>
  <c r="S99" i="2" a="1"/>
  <c r="Z99" i="2" a="1"/>
  <c r="AA99" i="2" a="1"/>
  <c r="AB99" i="2" a="1"/>
  <c r="AC99" i="2" a="1"/>
  <c r="AD99" i="2" a="1"/>
  <c r="AK99" i="2" a="1"/>
  <c r="AL99" i="2" a="1"/>
  <c r="AM99" i="2" a="1"/>
  <c r="AN99" i="2" a="1"/>
  <c r="AO99" i="2" a="1"/>
  <c r="T46" i="3" l="1"/>
  <c r="W45" i="3"/>
  <c r="Y45" i="3" s="1"/>
  <c r="V45" i="3"/>
  <c r="X45" i="3" s="1"/>
  <c r="U45" i="3"/>
  <c r="B34" i="3"/>
  <c r="E33" i="3"/>
  <c r="G33" i="3" s="1"/>
  <c r="D33" i="3"/>
  <c r="F33" i="3" s="1"/>
  <c r="C33" i="3"/>
  <c r="R158" i="3"/>
  <c r="Q158" i="3"/>
  <c r="P158" i="3"/>
  <c r="O158" i="3"/>
  <c r="N158" i="3"/>
  <c r="AC52" i="3"/>
  <c r="AF51" i="3"/>
  <c r="AH51" i="3" s="1"/>
  <c r="AE51" i="3"/>
  <c r="AG51" i="3" s="1"/>
  <c r="AD51" i="3"/>
  <c r="I152" i="3"/>
  <c r="D152" i="3"/>
  <c r="G152" i="3"/>
  <c r="H152" i="3"/>
  <c r="F152" i="3"/>
  <c r="J152" i="3"/>
  <c r="E152" i="3"/>
  <c r="K40" i="3"/>
  <c r="N39" i="3"/>
  <c r="P39" i="3" s="1"/>
  <c r="M39" i="3"/>
  <c r="O39" i="3" s="1"/>
  <c r="L39" i="3"/>
  <c r="M159" i="3"/>
  <c r="B154" i="3"/>
  <c r="C153" i="3"/>
  <c r="L160" i="3"/>
  <c r="L98" i="2"/>
  <c r="AS98" i="2"/>
  <c r="X98" i="2"/>
  <c r="K98" i="2"/>
  <c r="AF98" i="2"/>
  <c r="AT98" i="2"/>
  <c r="W98" i="2"/>
  <c r="AG98" i="2"/>
  <c r="AO99" i="2"/>
  <c r="AN99" i="2"/>
  <c r="AM99" i="2"/>
  <c r="AP99" i="2" s="1"/>
  <c r="AL99" i="2"/>
  <c r="AK99" i="2"/>
  <c r="AD99" i="2"/>
  <c r="AC99" i="2"/>
  <c r="AB99" i="2"/>
  <c r="AE99" i="2" s="1"/>
  <c r="AA99" i="2"/>
  <c r="Z99" i="2"/>
  <c r="S99" i="2"/>
  <c r="R99" i="2"/>
  <c r="Q99" i="2"/>
  <c r="T99" i="2" s="1"/>
  <c r="P99" i="2"/>
  <c r="O99" i="2"/>
  <c r="H99" i="2"/>
  <c r="G99" i="2"/>
  <c r="F99" i="2"/>
  <c r="I99" i="2" s="1"/>
  <c r="E99" i="2"/>
  <c r="D99" i="2"/>
  <c r="B101" i="2"/>
  <c r="C100" i="2"/>
  <c r="U98" i="2"/>
  <c r="AI98" i="2"/>
  <c r="AQ98" i="2"/>
  <c r="M98" i="2"/>
  <c r="V98" i="2"/>
  <c r="J98" i="2"/>
  <c r="AH98" i="2"/>
  <c r="AR98" i="2"/>
  <c r="U46" i="3" a="1"/>
  <c r="V46" i="3" a="1"/>
  <c r="W46" i="3" a="1"/>
  <c r="T47" i="3" a="1"/>
  <c r="L40" i="3" a="1"/>
  <c r="M40" i="3" a="1"/>
  <c r="N40" i="3" a="1"/>
  <c r="K41" i="3" a="1"/>
  <c r="C34" i="3" a="1"/>
  <c r="D34" i="3" a="1"/>
  <c r="E34" i="3" a="1"/>
  <c r="B35" i="3" a="1"/>
  <c r="N159" i="3" a="1"/>
  <c r="O159" i="3" a="1"/>
  <c r="P159" i="3" a="1"/>
  <c r="Q159" i="3" a="1"/>
  <c r="R159" i="3" a="1"/>
  <c r="AD52" i="3" a="1"/>
  <c r="AE52" i="3" a="1"/>
  <c r="AF52" i="3" a="1"/>
  <c r="AC53" i="3" a="1"/>
  <c r="E153" i="3" a="1"/>
  <c r="J153" i="3" a="1"/>
  <c r="F153" i="3" a="1"/>
  <c r="H153" i="3" a="1"/>
  <c r="G153" i="3" a="1"/>
  <c r="D153" i="3" a="1"/>
  <c r="I153" i="3" a="1"/>
  <c r="D100" i="2" a="1"/>
  <c r="E100" i="2" a="1"/>
  <c r="F100" i="2" a="1"/>
  <c r="G100" i="2" a="1"/>
  <c r="H100" i="2" a="1"/>
  <c r="O100" i="2" a="1"/>
  <c r="P100" i="2" a="1"/>
  <c r="Q100" i="2" a="1"/>
  <c r="R100" i="2" a="1"/>
  <c r="S100" i="2" a="1"/>
  <c r="Z100" i="2" a="1"/>
  <c r="AA100" i="2" a="1"/>
  <c r="AB100" i="2" a="1"/>
  <c r="AC100" i="2" a="1"/>
  <c r="AD100" i="2" a="1"/>
  <c r="AK100" i="2" a="1"/>
  <c r="AL100" i="2" a="1"/>
  <c r="AM100" i="2" a="1"/>
  <c r="AN100" i="2" a="1"/>
  <c r="AO100" i="2" a="1"/>
  <c r="B102" i="2" a="1"/>
  <c r="I153" i="3" l="1"/>
  <c r="D153" i="3"/>
  <c r="G153" i="3"/>
  <c r="H153" i="3"/>
  <c r="F153" i="3"/>
  <c r="J153" i="3"/>
  <c r="E153" i="3"/>
  <c r="AC53" i="3"/>
  <c r="AF52" i="3"/>
  <c r="AH52" i="3" s="1"/>
  <c r="AE52" i="3"/>
  <c r="AG52" i="3" s="1"/>
  <c r="AD52" i="3"/>
  <c r="R159" i="3"/>
  <c r="Q159" i="3"/>
  <c r="P159" i="3"/>
  <c r="O159" i="3"/>
  <c r="N159" i="3"/>
  <c r="B35" i="3"/>
  <c r="E34" i="3"/>
  <c r="G34" i="3" s="1"/>
  <c r="D34" i="3"/>
  <c r="F34" i="3" s="1"/>
  <c r="C34" i="3"/>
  <c r="K41" i="3"/>
  <c r="N40" i="3"/>
  <c r="P40" i="3" s="1"/>
  <c r="M40" i="3"/>
  <c r="O40" i="3" s="1"/>
  <c r="L40" i="3"/>
  <c r="T47" i="3"/>
  <c r="W46" i="3"/>
  <c r="Y46" i="3" s="1"/>
  <c r="V46" i="3"/>
  <c r="X46" i="3" s="1"/>
  <c r="U46" i="3"/>
  <c r="B155" i="3"/>
  <c r="M160" i="3"/>
  <c r="L161" i="3"/>
  <c r="C154" i="3"/>
  <c r="AR99" i="2"/>
  <c r="J99" i="2"/>
  <c r="K99" i="2"/>
  <c r="X99" i="2"/>
  <c r="W99" i="2"/>
  <c r="AH99" i="2"/>
  <c r="AG99" i="2"/>
  <c r="AS99" i="2"/>
  <c r="B102" i="2"/>
  <c r="AO100" i="2"/>
  <c r="AN100" i="2"/>
  <c r="AM100" i="2"/>
  <c r="AP100" i="2" s="1"/>
  <c r="AL100" i="2"/>
  <c r="AK100" i="2"/>
  <c r="AD100" i="2"/>
  <c r="AC100" i="2"/>
  <c r="AB100" i="2"/>
  <c r="AE100" i="2" s="1"/>
  <c r="AA100" i="2"/>
  <c r="Z100" i="2"/>
  <c r="S100" i="2"/>
  <c r="R100" i="2"/>
  <c r="Q100" i="2"/>
  <c r="T100" i="2" s="1"/>
  <c r="P100" i="2"/>
  <c r="O100" i="2"/>
  <c r="H100" i="2"/>
  <c r="G100" i="2"/>
  <c r="F100" i="2"/>
  <c r="I100" i="2" s="1"/>
  <c r="E100" i="2"/>
  <c r="D100" i="2"/>
  <c r="AT99" i="2"/>
  <c r="AF99" i="2"/>
  <c r="M99" i="2"/>
  <c r="U99" i="2"/>
  <c r="C101" i="2"/>
  <c r="L99" i="2"/>
  <c r="V99" i="2"/>
  <c r="AI99" i="2"/>
  <c r="AQ99" i="2"/>
  <c r="L41" i="3" a="1"/>
  <c r="M41" i="3" a="1"/>
  <c r="N41" i="3" a="1"/>
  <c r="K42" i="3" a="1"/>
  <c r="AD53" i="3" a="1"/>
  <c r="AE53" i="3" a="1"/>
  <c r="AF53" i="3" a="1"/>
  <c r="AC54" i="3" a="1"/>
  <c r="E154" i="3" a="1"/>
  <c r="J154" i="3" a="1"/>
  <c r="F154" i="3" a="1"/>
  <c r="H154" i="3" a="1"/>
  <c r="G154" i="3" a="1"/>
  <c r="D154" i="3" a="1"/>
  <c r="I154" i="3" a="1"/>
  <c r="C35" i="3" a="1"/>
  <c r="D35" i="3" a="1"/>
  <c r="E35" i="3" a="1"/>
  <c r="B36" i="3" a="1"/>
  <c r="U47" i="3" a="1"/>
  <c r="V47" i="3" a="1"/>
  <c r="W47" i="3" a="1"/>
  <c r="T48" i="3" a="1"/>
  <c r="N160" i="3" a="1"/>
  <c r="O160" i="3" a="1"/>
  <c r="P160" i="3" a="1"/>
  <c r="Q160" i="3" a="1"/>
  <c r="R160" i="3" a="1"/>
  <c r="D101" i="2" a="1"/>
  <c r="E101" i="2" a="1"/>
  <c r="F101" i="2" a="1"/>
  <c r="G101" i="2" a="1"/>
  <c r="H101" i="2" a="1"/>
  <c r="O101" i="2" a="1"/>
  <c r="P101" i="2" a="1"/>
  <c r="Q101" i="2" a="1"/>
  <c r="R101" i="2" a="1"/>
  <c r="S101" i="2" a="1"/>
  <c r="Z101" i="2" a="1"/>
  <c r="AA101" i="2" a="1"/>
  <c r="AB101" i="2" a="1"/>
  <c r="AC101" i="2" a="1"/>
  <c r="AD101" i="2" a="1"/>
  <c r="AK101" i="2" a="1"/>
  <c r="AL101" i="2" a="1"/>
  <c r="AM101" i="2" a="1"/>
  <c r="AN101" i="2" a="1"/>
  <c r="AO101" i="2" a="1"/>
  <c r="B103" i="2" a="1"/>
  <c r="R160" i="3" l="1"/>
  <c r="Q160" i="3"/>
  <c r="P160" i="3"/>
  <c r="O160" i="3"/>
  <c r="N160" i="3"/>
  <c r="T48" i="3"/>
  <c r="W47" i="3"/>
  <c r="Y47" i="3" s="1"/>
  <c r="V47" i="3"/>
  <c r="X47" i="3" s="1"/>
  <c r="U47" i="3"/>
  <c r="B36" i="3"/>
  <c r="E35" i="3"/>
  <c r="G35" i="3" s="1"/>
  <c r="D35" i="3"/>
  <c r="F35" i="3" s="1"/>
  <c r="C35" i="3"/>
  <c r="I154" i="3"/>
  <c r="D154" i="3"/>
  <c r="G154" i="3"/>
  <c r="H154" i="3"/>
  <c r="F154" i="3"/>
  <c r="J154" i="3"/>
  <c r="E154" i="3"/>
  <c r="AC54" i="3"/>
  <c r="AF53" i="3"/>
  <c r="AH53" i="3" s="1"/>
  <c r="AE53" i="3"/>
  <c r="AG53" i="3" s="1"/>
  <c r="AD53" i="3"/>
  <c r="K42" i="3"/>
  <c r="N41" i="3"/>
  <c r="P41" i="3" s="1"/>
  <c r="M41" i="3"/>
  <c r="O41" i="3" s="1"/>
  <c r="L41" i="3"/>
  <c r="B156" i="3"/>
  <c r="M161" i="3"/>
  <c r="L162" i="3"/>
  <c r="C155" i="3"/>
  <c r="L100" i="2"/>
  <c r="K100" i="2"/>
  <c r="W100" i="2"/>
  <c r="X100" i="2"/>
  <c r="AF100" i="2"/>
  <c r="AG100" i="2"/>
  <c r="AT100" i="2"/>
  <c r="AS100" i="2"/>
  <c r="B103" i="2"/>
  <c r="AO101" i="2"/>
  <c r="AN101" i="2"/>
  <c r="AM101" i="2"/>
  <c r="AP101" i="2" s="1"/>
  <c r="AL101" i="2"/>
  <c r="AK101" i="2"/>
  <c r="AT101" i="2" s="1"/>
  <c r="AD101" i="2"/>
  <c r="AG101" i="2" s="1"/>
  <c r="AC101" i="2"/>
  <c r="AB101" i="2"/>
  <c r="AE101" i="2" s="1"/>
  <c r="AA101" i="2"/>
  <c r="Z101" i="2"/>
  <c r="S101" i="2"/>
  <c r="R101" i="2"/>
  <c r="Q101" i="2"/>
  <c r="T101" i="2" s="1"/>
  <c r="P101" i="2"/>
  <c r="O101" i="2"/>
  <c r="H101" i="2"/>
  <c r="G101" i="2"/>
  <c r="F101" i="2"/>
  <c r="I101" i="2" s="1"/>
  <c r="E101" i="2"/>
  <c r="D101" i="2"/>
  <c r="C102" i="2"/>
  <c r="M100" i="2"/>
  <c r="V100" i="2"/>
  <c r="U100" i="2"/>
  <c r="AI100" i="2"/>
  <c r="AQ100" i="2"/>
  <c r="J100" i="2"/>
  <c r="AH100" i="2"/>
  <c r="AR100" i="2"/>
  <c r="E155" i="3" a="1"/>
  <c r="J155" i="3" a="1"/>
  <c r="F155" i="3" a="1"/>
  <c r="H155" i="3" a="1"/>
  <c r="G155" i="3" a="1"/>
  <c r="D155" i="3" a="1"/>
  <c r="I155" i="3" a="1"/>
  <c r="L42" i="3" a="1"/>
  <c r="M42" i="3" a="1"/>
  <c r="N42" i="3" a="1"/>
  <c r="K43" i="3" a="1"/>
  <c r="C36" i="3" a="1"/>
  <c r="D36" i="3" a="1"/>
  <c r="E36" i="3" a="1"/>
  <c r="B37" i="3" a="1"/>
  <c r="AD54" i="3" a="1"/>
  <c r="AE54" i="3" a="1"/>
  <c r="AF54" i="3" a="1"/>
  <c r="AC55" i="3" a="1"/>
  <c r="U48" i="3" a="1"/>
  <c r="V48" i="3" a="1"/>
  <c r="W48" i="3" a="1"/>
  <c r="T49" i="3" a="1"/>
  <c r="N161" i="3" a="1"/>
  <c r="O161" i="3" a="1"/>
  <c r="P161" i="3" a="1"/>
  <c r="Q161" i="3" a="1"/>
  <c r="R161" i="3" a="1"/>
  <c r="D102" i="2" a="1"/>
  <c r="E102" i="2" a="1"/>
  <c r="F102" i="2" a="1"/>
  <c r="G102" i="2" a="1"/>
  <c r="H102" i="2" a="1"/>
  <c r="O102" i="2" a="1"/>
  <c r="P102" i="2" a="1"/>
  <c r="Q102" i="2" a="1"/>
  <c r="R102" i="2" a="1"/>
  <c r="S102" i="2" a="1"/>
  <c r="Z102" i="2" a="1"/>
  <c r="AA102" i="2" a="1"/>
  <c r="AB102" i="2" a="1"/>
  <c r="AC102" i="2" a="1"/>
  <c r="AD102" i="2" a="1"/>
  <c r="AK102" i="2" a="1"/>
  <c r="AL102" i="2" a="1"/>
  <c r="AM102" i="2" a="1"/>
  <c r="AN102" i="2" a="1"/>
  <c r="AO102" i="2" a="1"/>
  <c r="B104" i="2" a="1"/>
  <c r="R161" i="3" l="1"/>
  <c r="Q161" i="3"/>
  <c r="P161" i="3"/>
  <c r="O161" i="3"/>
  <c r="N161" i="3"/>
  <c r="T49" i="3"/>
  <c r="W48" i="3"/>
  <c r="Y48" i="3" s="1"/>
  <c r="V48" i="3"/>
  <c r="X48" i="3" s="1"/>
  <c r="U48" i="3"/>
  <c r="AC55" i="3"/>
  <c r="AF54" i="3"/>
  <c r="AH54" i="3" s="1"/>
  <c r="AE54" i="3"/>
  <c r="AG54" i="3" s="1"/>
  <c r="AD54" i="3"/>
  <c r="B37" i="3"/>
  <c r="E36" i="3"/>
  <c r="G36" i="3" s="1"/>
  <c r="D36" i="3"/>
  <c r="F36" i="3" s="1"/>
  <c r="C36" i="3"/>
  <c r="K43" i="3"/>
  <c r="N42" i="3"/>
  <c r="P42" i="3" s="1"/>
  <c r="M42" i="3"/>
  <c r="O42" i="3" s="1"/>
  <c r="L42" i="3"/>
  <c r="I155" i="3"/>
  <c r="D155" i="3"/>
  <c r="G155" i="3"/>
  <c r="H155" i="3"/>
  <c r="F155" i="3"/>
  <c r="J155" i="3"/>
  <c r="E155" i="3"/>
  <c r="C156" i="3"/>
  <c r="M162" i="3"/>
  <c r="B157" i="3"/>
  <c r="L163" i="3"/>
  <c r="X101" i="2"/>
  <c r="AS101" i="2"/>
  <c r="K101" i="2"/>
  <c r="W101" i="2"/>
  <c r="AF101" i="2"/>
  <c r="L101" i="2"/>
  <c r="B104" i="2"/>
  <c r="AO102" i="2"/>
  <c r="AN102" i="2"/>
  <c r="AM102" i="2"/>
  <c r="AP102" i="2" s="1"/>
  <c r="AL102" i="2"/>
  <c r="AK102" i="2"/>
  <c r="AD102" i="2"/>
  <c r="AC102" i="2"/>
  <c r="AB102" i="2"/>
  <c r="AE102" i="2" s="1"/>
  <c r="AA102" i="2"/>
  <c r="Z102" i="2"/>
  <c r="S102" i="2"/>
  <c r="R102" i="2"/>
  <c r="Q102" i="2"/>
  <c r="T102" i="2" s="1"/>
  <c r="P102" i="2"/>
  <c r="O102" i="2"/>
  <c r="H102" i="2"/>
  <c r="G102" i="2"/>
  <c r="F102" i="2"/>
  <c r="I102" i="2" s="1"/>
  <c r="E102" i="2"/>
  <c r="D102" i="2"/>
  <c r="V101" i="2"/>
  <c r="C103" i="2"/>
  <c r="M101" i="2"/>
  <c r="U101" i="2"/>
  <c r="AI101" i="2"/>
  <c r="AQ101" i="2"/>
  <c r="J101" i="2"/>
  <c r="AH101" i="2"/>
  <c r="AR101" i="2"/>
  <c r="AD55" i="3" a="1"/>
  <c r="AE55" i="3" a="1"/>
  <c r="AF55" i="3" a="1"/>
  <c r="AC56" i="3" a="1"/>
  <c r="L43" i="3" a="1"/>
  <c r="M43" i="3" a="1"/>
  <c r="N43" i="3" a="1"/>
  <c r="K44" i="3" a="1"/>
  <c r="E156" i="3" a="1"/>
  <c r="J156" i="3" a="1"/>
  <c r="F156" i="3" a="1"/>
  <c r="H156" i="3" a="1"/>
  <c r="G156" i="3" a="1"/>
  <c r="D156" i="3" a="1"/>
  <c r="I156" i="3" a="1"/>
  <c r="U49" i="3" a="1"/>
  <c r="V49" i="3" a="1"/>
  <c r="W49" i="3" a="1"/>
  <c r="T50" i="3" a="1"/>
  <c r="C37" i="3" a="1"/>
  <c r="D37" i="3" a="1"/>
  <c r="E37" i="3" a="1"/>
  <c r="B38" i="3" a="1"/>
  <c r="N162" i="3" a="1"/>
  <c r="O162" i="3" a="1"/>
  <c r="P162" i="3" a="1"/>
  <c r="Q162" i="3" a="1"/>
  <c r="R162" i="3" a="1"/>
  <c r="B105" i="2" a="1"/>
  <c r="D103" i="2" a="1"/>
  <c r="E103" i="2" a="1"/>
  <c r="F103" i="2" a="1"/>
  <c r="G103" i="2" a="1"/>
  <c r="H103" i="2" a="1"/>
  <c r="O103" i="2" a="1"/>
  <c r="P103" i="2" a="1"/>
  <c r="Q103" i="2" a="1"/>
  <c r="R103" i="2" a="1"/>
  <c r="S103" i="2" a="1"/>
  <c r="Z103" i="2" a="1"/>
  <c r="AA103" i="2" a="1"/>
  <c r="AB103" i="2" a="1"/>
  <c r="AC103" i="2" a="1"/>
  <c r="AD103" i="2" a="1"/>
  <c r="AK103" i="2" a="1"/>
  <c r="AL103" i="2" a="1"/>
  <c r="AM103" i="2" a="1"/>
  <c r="AN103" i="2" a="1"/>
  <c r="AO103" i="2" a="1"/>
  <c r="R162" i="3" l="1"/>
  <c r="Q162" i="3"/>
  <c r="P162" i="3"/>
  <c r="O162" i="3"/>
  <c r="N162" i="3"/>
  <c r="B38" i="3"/>
  <c r="E37" i="3"/>
  <c r="G37" i="3" s="1"/>
  <c r="D37" i="3"/>
  <c r="F37" i="3" s="1"/>
  <c r="C37" i="3"/>
  <c r="T50" i="3"/>
  <c r="W49" i="3"/>
  <c r="Y49" i="3" s="1"/>
  <c r="V49" i="3"/>
  <c r="X49" i="3" s="1"/>
  <c r="U49" i="3"/>
  <c r="I156" i="3"/>
  <c r="D156" i="3"/>
  <c r="G156" i="3"/>
  <c r="H156" i="3"/>
  <c r="F156" i="3"/>
  <c r="J156" i="3"/>
  <c r="E156" i="3"/>
  <c r="K44" i="3"/>
  <c r="N43" i="3"/>
  <c r="P43" i="3" s="1"/>
  <c r="M43" i="3"/>
  <c r="O43" i="3" s="1"/>
  <c r="L43" i="3"/>
  <c r="AC56" i="3"/>
  <c r="AF55" i="3"/>
  <c r="AH55" i="3" s="1"/>
  <c r="AE55" i="3"/>
  <c r="AG55" i="3" s="1"/>
  <c r="AD55" i="3"/>
  <c r="B158" i="3"/>
  <c r="M163" i="3"/>
  <c r="L164" i="3"/>
  <c r="C157" i="3"/>
  <c r="L102" i="2"/>
  <c r="AS102" i="2"/>
  <c r="X102" i="2"/>
  <c r="W102" i="2"/>
  <c r="K102" i="2"/>
  <c r="AG102" i="2"/>
  <c r="AT102" i="2"/>
  <c r="AF102" i="2"/>
  <c r="AO103" i="2"/>
  <c r="AN103" i="2"/>
  <c r="AM103" i="2"/>
  <c r="AP103" i="2" s="1"/>
  <c r="AL103" i="2"/>
  <c r="AK103" i="2"/>
  <c r="AD103" i="2"/>
  <c r="AC103" i="2"/>
  <c r="AB103" i="2"/>
  <c r="AE103" i="2" s="1"/>
  <c r="AA103" i="2"/>
  <c r="Z103" i="2"/>
  <c r="S103" i="2"/>
  <c r="R103" i="2"/>
  <c r="Q103" i="2"/>
  <c r="T103" i="2" s="1"/>
  <c r="P103" i="2"/>
  <c r="O103" i="2"/>
  <c r="X103" i="2" s="1"/>
  <c r="H103" i="2"/>
  <c r="G103" i="2"/>
  <c r="F103" i="2"/>
  <c r="I103" i="2" s="1"/>
  <c r="E103" i="2"/>
  <c r="D103" i="2"/>
  <c r="B105" i="2"/>
  <c r="M102" i="2"/>
  <c r="U102" i="2"/>
  <c r="V102" i="2"/>
  <c r="AQ102" i="2"/>
  <c r="C104" i="2"/>
  <c r="AI102" i="2"/>
  <c r="J102" i="2"/>
  <c r="AH102" i="2"/>
  <c r="AR102" i="2"/>
  <c r="U50" i="3" a="1"/>
  <c r="V50" i="3" a="1"/>
  <c r="W50" i="3" a="1"/>
  <c r="T51" i="3" a="1"/>
  <c r="E157" i="3" a="1"/>
  <c r="J157" i="3" a="1"/>
  <c r="F157" i="3" a="1"/>
  <c r="H157" i="3" a="1"/>
  <c r="G157" i="3" a="1"/>
  <c r="D157" i="3" a="1"/>
  <c r="I157" i="3" a="1"/>
  <c r="L44" i="3" a="1"/>
  <c r="M44" i="3" a="1"/>
  <c r="N44" i="3" a="1"/>
  <c r="K45" i="3" a="1"/>
  <c r="N163" i="3" a="1"/>
  <c r="O163" i="3" a="1"/>
  <c r="P163" i="3" a="1"/>
  <c r="Q163" i="3" a="1"/>
  <c r="R163" i="3" a="1"/>
  <c r="AD56" i="3" a="1"/>
  <c r="AE56" i="3" a="1"/>
  <c r="AF56" i="3" a="1"/>
  <c r="AC57" i="3" a="1"/>
  <c r="C38" i="3" a="1"/>
  <c r="D38" i="3" a="1"/>
  <c r="E38" i="3" a="1"/>
  <c r="B39" i="3" a="1"/>
  <c r="D104" i="2" a="1"/>
  <c r="E104" i="2" a="1"/>
  <c r="F104" i="2" a="1"/>
  <c r="G104" i="2" a="1"/>
  <c r="H104" i="2" a="1"/>
  <c r="O104" i="2" a="1"/>
  <c r="P104" i="2" a="1"/>
  <c r="Q104" i="2" a="1"/>
  <c r="R104" i="2" a="1"/>
  <c r="S104" i="2" a="1"/>
  <c r="Z104" i="2" a="1"/>
  <c r="AA104" i="2" a="1"/>
  <c r="AB104" i="2" a="1"/>
  <c r="AC104" i="2" a="1"/>
  <c r="AD104" i="2" a="1"/>
  <c r="AK104" i="2" a="1"/>
  <c r="AL104" i="2" a="1"/>
  <c r="AM104" i="2" a="1"/>
  <c r="AN104" i="2" a="1"/>
  <c r="AO104" i="2" a="1"/>
  <c r="B106" i="2" a="1"/>
  <c r="B39" i="3" l="1"/>
  <c r="E38" i="3"/>
  <c r="G38" i="3" s="1"/>
  <c r="D38" i="3"/>
  <c r="F38" i="3" s="1"/>
  <c r="C38" i="3"/>
  <c r="AC57" i="3"/>
  <c r="AF56" i="3"/>
  <c r="AH56" i="3" s="1"/>
  <c r="AE56" i="3"/>
  <c r="AG56" i="3" s="1"/>
  <c r="AD56" i="3"/>
  <c r="R163" i="3"/>
  <c r="Q163" i="3"/>
  <c r="P163" i="3"/>
  <c r="O163" i="3"/>
  <c r="N163" i="3"/>
  <c r="K45" i="3"/>
  <c r="N44" i="3"/>
  <c r="P44" i="3" s="1"/>
  <c r="M44" i="3"/>
  <c r="O44" i="3" s="1"/>
  <c r="L44" i="3"/>
  <c r="I157" i="3"/>
  <c r="D157" i="3"/>
  <c r="G157" i="3"/>
  <c r="H157" i="3"/>
  <c r="F157" i="3"/>
  <c r="J157" i="3"/>
  <c r="E157" i="3"/>
  <c r="T51" i="3"/>
  <c r="W50" i="3"/>
  <c r="Y50" i="3" s="1"/>
  <c r="V50" i="3"/>
  <c r="X50" i="3" s="1"/>
  <c r="U50" i="3"/>
  <c r="B159" i="3"/>
  <c r="C158" i="3"/>
  <c r="L165" i="3"/>
  <c r="M164" i="3"/>
  <c r="K103" i="2"/>
  <c r="W103" i="2"/>
  <c r="AH103" i="2"/>
  <c r="AR103" i="2"/>
  <c r="AQ103" i="2"/>
  <c r="J103" i="2"/>
  <c r="AG103" i="2"/>
  <c r="B106" i="2"/>
  <c r="AO104" i="2"/>
  <c r="AN104" i="2"/>
  <c r="AM104" i="2"/>
  <c r="AP104" i="2" s="1"/>
  <c r="AL104" i="2"/>
  <c r="AK104" i="2"/>
  <c r="AD104" i="2"/>
  <c r="AC104" i="2"/>
  <c r="AB104" i="2"/>
  <c r="AE104" i="2" s="1"/>
  <c r="AA104" i="2"/>
  <c r="Z104" i="2"/>
  <c r="S104" i="2"/>
  <c r="R104" i="2"/>
  <c r="Q104" i="2"/>
  <c r="T104" i="2" s="1"/>
  <c r="P104" i="2"/>
  <c r="O104" i="2"/>
  <c r="H104" i="2"/>
  <c r="G104" i="2"/>
  <c r="F104" i="2"/>
  <c r="I104" i="2" s="1"/>
  <c r="E104" i="2"/>
  <c r="L104" i="2" s="1"/>
  <c r="D104" i="2"/>
  <c r="AF103" i="2"/>
  <c r="AT103" i="2"/>
  <c r="M103" i="2"/>
  <c r="U103" i="2"/>
  <c r="AS103" i="2"/>
  <c r="C105" i="2"/>
  <c r="L103" i="2"/>
  <c r="V103" i="2"/>
  <c r="AI103" i="2"/>
  <c r="AD57" i="3" a="1"/>
  <c r="AE57" i="3" a="1"/>
  <c r="AF57" i="3" a="1"/>
  <c r="AC58" i="3" a="1"/>
  <c r="L45" i="3" a="1"/>
  <c r="M45" i="3" a="1"/>
  <c r="N45" i="3" a="1"/>
  <c r="K46" i="3" a="1"/>
  <c r="E158" i="3" a="1"/>
  <c r="J158" i="3" a="1"/>
  <c r="F158" i="3" a="1"/>
  <c r="H158" i="3" a="1"/>
  <c r="G158" i="3" a="1"/>
  <c r="D158" i="3" a="1"/>
  <c r="I158" i="3" a="1"/>
  <c r="N164" i="3" a="1"/>
  <c r="O164" i="3" a="1"/>
  <c r="P164" i="3" a="1"/>
  <c r="Q164" i="3" a="1"/>
  <c r="R164" i="3" a="1"/>
  <c r="C39" i="3" a="1"/>
  <c r="D39" i="3" a="1"/>
  <c r="E39" i="3" a="1"/>
  <c r="B40" i="3" a="1"/>
  <c r="U51" i="3" a="1"/>
  <c r="V51" i="3" a="1"/>
  <c r="W51" i="3" a="1"/>
  <c r="T52" i="3" a="1"/>
  <c r="D105" i="2" a="1"/>
  <c r="E105" i="2" a="1"/>
  <c r="F105" i="2" a="1"/>
  <c r="G105" i="2" a="1"/>
  <c r="H105" i="2" a="1"/>
  <c r="O105" i="2" a="1"/>
  <c r="P105" i="2" a="1"/>
  <c r="Q105" i="2" a="1"/>
  <c r="R105" i="2" a="1"/>
  <c r="S105" i="2" a="1"/>
  <c r="Z105" i="2" a="1"/>
  <c r="AA105" i="2" a="1"/>
  <c r="AB105" i="2" a="1"/>
  <c r="AC105" i="2" a="1"/>
  <c r="AD105" i="2" a="1"/>
  <c r="AK105" i="2" a="1"/>
  <c r="AL105" i="2" a="1"/>
  <c r="AM105" i="2" a="1"/>
  <c r="AN105" i="2" a="1"/>
  <c r="AO105" i="2" a="1"/>
  <c r="B107" i="2" a="1"/>
  <c r="T52" i="3" l="1"/>
  <c r="W51" i="3"/>
  <c r="Y51" i="3" s="1"/>
  <c r="V51" i="3"/>
  <c r="X51" i="3" s="1"/>
  <c r="U51" i="3"/>
  <c r="B40" i="3"/>
  <c r="E39" i="3"/>
  <c r="G39" i="3" s="1"/>
  <c r="D39" i="3"/>
  <c r="F39" i="3" s="1"/>
  <c r="C39" i="3"/>
  <c r="R164" i="3"/>
  <c r="Q164" i="3"/>
  <c r="P164" i="3"/>
  <c r="O164" i="3"/>
  <c r="N164" i="3"/>
  <c r="I158" i="3"/>
  <c r="D158" i="3"/>
  <c r="G158" i="3"/>
  <c r="H158" i="3"/>
  <c r="F158" i="3"/>
  <c r="J158" i="3"/>
  <c r="E158" i="3"/>
  <c r="K46" i="3"/>
  <c r="N45" i="3"/>
  <c r="P45" i="3" s="1"/>
  <c r="M45" i="3"/>
  <c r="O45" i="3" s="1"/>
  <c r="L45" i="3"/>
  <c r="AC58" i="3"/>
  <c r="AF57" i="3"/>
  <c r="AH57" i="3" s="1"/>
  <c r="AE57" i="3"/>
  <c r="AG57" i="3" s="1"/>
  <c r="AD57" i="3"/>
  <c r="M165" i="3"/>
  <c r="B160" i="3"/>
  <c r="L166" i="3"/>
  <c r="C159" i="3"/>
  <c r="AS104" i="2"/>
  <c r="AT104" i="2"/>
  <c r="J104" i="2"/>
  <c r="K104" i="2"/>
  <c r="X104" i="2"/>
  <c r="AF104" i="2"/>
  <c r="W104" i="2"/>
  <c r="AG104" i="2"/>
  <c r="B107" i="2"/>
  <c r="AO105" i="2"/>
  <c r="AN105" i="2"/>
  <c r="AM105" i="2"/>
  <c r="AP105" i="2" s="1"/>
  <c r="AL105" i="2"/>
  <c r="AS105" i="2" s="1"/>
  <c r="AK105" i="2"/>
  <c r="AD105" i="2"/>
  <c r="AG105" i="2" s="1"/>
  <c r="AC105" i="2"/>
  <c r="AB105" i="2"/>
  <c r="AE105" i="2" s="1"/>
  <c r="AA105" i="2"/>
  <c r="Z105" i="2"/>
  <c r="S105" i="2"/>
  <c r="R105" i="2"/>
  <c r="Q105" i="2"/>
  <c r="T105" i="2" s="1"/>
  <c r="P105" i="2"/>
  <c r="W105" i="2" s="1"/>
  <c r="O105" i="2"/>
  <c r="X105" i="2" s="1"/>
  <c r="H105" i="2"/>
  <c r="G105" i="2"/>
  <c r="F105" i="2"/>
  <c r="I105" i="2" s="1"/>
  <c r="E105" i="2"/>
  <c r="D105" i="2"/>
  <c r="C106" i="2"/>
  <c r="M104" i="2"/>
  <c r="U104" i="2"/>
  <c r="V104" i="2"/>
  <c r="AI104" i="2"/>
  <c r="AQ104" i="2"/>
  <c r="AH104" i="2"/>
  <c r="AR104" i="2"/>
  <c r="U52" i="3" a="1"/>
  <c r="V52" i="3" a="1"/>
  <c r="W52" i="3" a="1"/>
  <c r="T53" i="3" a="1"/>
  <c r="AD58" i="3" a="1"/>
  <c r="AE58" i="3" a="1"/>
  <c r="AF58" i="3" a="1"/>
  <c r="AC59" i="3" a="1"/>
  <c r="C40" i="3" a="1"/>
  <c r="D40" i="3" a="1"/>
  <c r="E40" i="3" a="1"/>
  <c r="B41" i="3" a="1"/>
  <c r="L46" i="3" a="1"/>
  <c r="M46" i="3" a="1"/>
  <c r="N46" i="3" a="1"/>
  <c r="K47" i="3" a="1"/>
  <c r="N165" i="3" a="1"/>
  <c r="O165" i="3" a="1"/>
  <c r="P165" i="3" a="1"/>
  <c r="Q165" i="3" a="1"/>
  <c r="R165" i="3" a="1"/>
  <c r="E159" i="3" a="1"/>
  <c r="J159" i="3" a="1"/>
  <c r="F159" i="3" a="1"/>
  <c r="H159" i="3" a="1"/>
  <c r="G159" i="3" a="1"/>
  <c r="D159" i="3" a="1"/>
  <c r="I159" i="3" a="1"/>
  <c r="D106" i="2" a="1"/>
  <c r="E106" i="2" a="1"/>
  <c r="F106" i="2" a="1"/>
  <c r="G106" i="2" a="1"/>
  <c r="H106" i="2" a="1"/>
  <c r="O106" i="2" a="1"/>
  <c r="P106" i="2" a="1"/>
  <c r="Q106" i="2" a="1"/>
  <c r="R106" i="2" a="1"/>
  <c r="S106" i="2" a="1"/>
  <c r="Z106" i="2" a="1"/>
  <c r="AA106" i="2" a="1"/>
  <c r="AB106" i="2" a="1"/>
  <c r="AC106" i="2" a="1"/>
  <c r="AD106" i="2" a="1"/>
  <c r="AK106" i="2" a="1"/>
  <c r="AL106" i="2" a="1"/>
  <c r="AM106" i="2" a="1"/>
  <c r="AN106" i="2" a="1"/>
  <c r="AO106" i="2" a="1"/>
  <c r="B108" i="2" a="1"/>
  <c r="I159" i="3" l="1"/>
  <c r="D159" i="3"/>
  <c r="G159" i="3"/>
  <c r="H159" i="3"/>
  <c r="F159" i="3"/>
  <c r="J159" i="3"/>
  <c r="E159" i="3"/>
  <c r="R165" i="3"/>
  <c r="Q165" i="3"/>
  <c r="P165" i="3"/>
  <c r="O165" i="3"/>
  <c r="N165" i="3"/>
  <c r="K47" i="3"/>
  <c r="N46" i="3"/>
  <c r="P46" i="3" s="1"/>
  <c r="M46" i="3"/>
  <c r="O46" i="3" s="1"/>
  <c r="L46" i="3"/>
  <c r="B41" i="3"/>
  <c r="E40" i="3"/>
  <c r="G40" i="3" s="1"/>
  <c r="D40" i="3"/>
  <c r="F40" i="3" s="1"/>
  <c r="C40" i="3"/>
  <c r="AC59" i="3"/>
  <c r="AF58" i="3"/>
  <c r="AH58" i="3" s="1"/>
  <c r="AE58" i="3"/>
  <c r="AG58" i="3" s="1"/>
  <c r="AD58" i="3"/>
  <c r="T53" i="3"/>
  <c r="W52" i="3"/>
  <c r="Y52" i="3" s="1"/>
  <c r="V52" i="3"/>
  <c r="X52" i="3" s="1"/>
  <c r="U52" i="3"/>
  <c r="M166" i="3"/>
  <c r="C160" i="3"/>
  <c r="L167" i="3"/>
  <c r="B161" i="3"/>
  <c r="L105" i="2"/>
  <c r="AF105" i="2"/>
  <c r="AT105" i="2"/>
  <c r="K105" i="2"/>
  <c r="B108" i="2"/>
  <c r="AO106" i="2"/>
  <c r="AN106" i="2"/>
  <c r="AM106" i="2"/>
  <c r="AP106" i="2" s="1"/>
  <c r="AL106" i="2"/>
  <c r="AK106" i="2"/>
  <c r="AD106" i="2"/>
  <c r="AC106" i="2"/>
  <c r="AB106" i="2"/>
  <c r="AE106" i="2" s="1"/>
  <c r="AA106" i="2"/>
  <c r="Z106" i="2"/>
  <c r="S106" i="2"/>
  <c r="R106" i="2"/>
  <c r="Q106" i="2"/>
  <c r="T106" i="2" s="1"/>
  <c r="P106" i="2"/>
  <c r="O106" i="2"/>
  <c r="H106" i="2"/>
  <c r="G106" i="2"/>
  <c r="F106" i="2"/>
  <c r="I106" i="2" s="1"/>
  <c r="E106" i="2"/>
  <c r="D106" i="2"/>
  <c r="C107" i="2"/>
  <c r="U105" i="2"/>
  <c r="V105" i="2"/>
  <c r="AI105" i="2"/>
  <c r="AQ105" i="2"/>
  <c r="M105" i="2"/>
  <c r="J105" i="2"/>
  <c r="AH105" i="2"/>
  <c r="AR105" i="2"/>
  <c r="E160" i="3" a="1"/>
  <c r="J160" i="3" a="1"/>
  <c r="F160" i="3" a="1"/>
  <c r="H160" i="3" a="1"/>
  <c r="G160" i="3" a="1"/>
  <c r="D160" i="3" a="1"/>
  <c r="I160" i="3" a="1"/>
  <c r="C41" i="3" a="1"/>
  <c r="D41" i="3" a="1"/>
  <c r="E41" i="3" a="1"/>
  <c r="B42" i="3" a="1"/>
  <c r="U53" i="3" a="1"/>
  <c r="V53" i="3" a="1"/>
  <c r="W53" i="3" a="1"/>
  <c r="T54" i="3" a="1"/>
  <c r="L47" i="3" a="1"/>
  <c r="M47" i="3" a="1"/>
  <c r="N47" i="3" a="1"/>
  <c r="K48" i="3" a="1"/>
  <c r="AD59" i="3" a="1"/>
  <c r="AE59" i="3" a="1"/>
  <c r="AF59" i="3" a="1"/>
  <c r="AC60" i="3" a="1"/>
  <c r="N166" i="3" a="1"/>
  <c r="O166" i="3" a="1"/>
  <c r="P166" i="3" a="1"/>
  <c r="Q166" i="3" a="1"/>
  <c r="R166" i="3" a="1"/>
  <c r="D107" i="2" a="1"/>
  <c r="E107" i="2" a="1"/>
  <c r="F107" i="2" a="1"/>
  <c r="G107" i="2" a="1"/>
  <c r="H107" i="2" a="1"/>
  <c r="O107" i="2" a="1"/>
  <c r="P107" i="2" a="1"/>
  <c r="Q107" i="2" a="1"/>
  <c r="R107" i="2" a="1"/>
  <c r="S107" i="2" a="1"/>
  <c r="Z107" i="2" a="1"/>
  <c r="AA107" i="2" a="1"/>
  <c r="AB107" i="2" a="1"/>
  <c r="AC107" i="2" a="1"/>
  <c r="AD107" i="2" a="1"/>
  <c r="AK107" i="2" a="1"/>
  <c r="AL107" i="2" a="1"/>
  <c r="AM107" i="2" a="1"/>
  <c r="AN107" i="2" a="1"/>
  <c r="AO107" i="2" a="1"/>
  <c r="B109" i="2" a="1"/>
  <c r="R166" i="3" l="1"/>
  <c r="Q166" i="3"/>
  <c r="P166" i="3"/>
  <c r="O166" i="3"/>
  <c r="N166" i="3"/>
  <c r="AC60" i="3"/>
  <c r="AF59" i="3"/>
  <c r="AH59" i="3" s="1"/>
  <c r="AE59" i="3"/>
  <c r="AG59" i="3" s="1"/>
  <c r="AD59" i="3"/>
  <c r="K48" i="3"/>
  <c r="N47" i="3"/>
  <c r="P47" i="3" s="1"/>
  <c r="M47" i="3"/>
  <c r="O47" i="3" s="1"/>
  <c r="L47" i="3"/>
  <c r="T54" i="3"/>
  <c r="W53" i="3"/>
  <c r="Y53" i="3" s="1"/>
  <c r="V53" i="3"/>
  <c r="X53" i="3" s="1"/>
  <c r="U53" i="3"/>
  <c r="B42" i="3"/>
  <c r="E41" i="3"/>
  <c r="G41" i="3" s="1"/>
  <c r="D41" i="3"/>
  <c r="F41" i="3" s="1"/>
  <c r="C41" i="3"/>
  <c r="I160" i="3"/>
  <c r="D160" i="3"/>
  <c r="G160" i="3"/>
  <c r="H160" i="3"/>
  <c r="F160" i="3"/>
  <c r="J160" i="3"/>
  <c r="E160" i="3"/>
  <c r="M167" i="3"/>
  <c r="L168" i="3"/>
  <c r="B162" i="3"/>
  <c r="C161" i="3"/>
  <c r="AT106" i="2"/>
  <c r="AS106" i="2"/>
  <c r="L106" i="2"/>
  <c r="W106" i="2"/>
  <c r="AG106" i="2"/>
  <c r="X106" i="2"/>
  <c r="AF106" i="2"/>
  <c r="K106" i="2"/>
  <c r="B109" i="2"/>
  <c r="AO107" i="2"/>
  <c r="AN107" i="2"/>
  <c r="AM107" i="2"/>
  <c r="AP107" i="2" s="1"/>
  <c r="AL107" i="2"/>
  <c r="AS107" i="2" s="1"/>
  <c r="AK107" i="2"/>
  <c r="AD107" i="2"/>
  <c r="AC107" i="2"/>
  <c r="AB107" i="2"/>
  <c r="AE107" i="2" s="1"/>
  <c r="AA107" i="2"/>
  <c r="Z107" i="2"/>
  <c r="S107" i="2"/>
  <c r="R107" i="2"/>
  <c r="Q107" i="2"/>
  <c r="T107" i="2" s="1"/>
  <c r="P107" i="2"/>
  <c r="O107" i="2"/>
  <c r="H107" i="2"/>
  <c r="G107" i="2"/>
  <c r="F107" i="2"/>
  <c r="I107" i="2" s="1"/>
  <c r="E107" i="2"/>
  <c r="D107" i="2"/>
  <c r="C108" i="2"/>
  <c r="U106" i="2"/>
  <c r="V106" i="2"/>
  <c r="AI106" i="2"/>
  <c r="AQ106" i="2"/>
  <c r="M106" i="2"/>
  <c r="J106" i="2"/>
  <c r="AH106" i="2"/>
  <c r="AR106" i="2"/>
  <c r="L48" i="3" a="1"/>
  <c r="M48" i="3" a="1"/>
  <c r="N48" i="3" a="1"/>
  <c r="K49" i="3" a="1"/>
  <c r="C42" i="3" a="1"/>
  <c r="D42" i="3" a="1"/>
  <c r="E42" i="3" a="1"/>
  <c r="B43" i="3" a="1"/>
  <c r="N167" i="3" a="1"/>
  <c r="O167" i="3" a="1"/>
  <c r="P167" i="3" a="1"/>
  <c r="Q167" i="3" a="1"/>
  <c r="R167" i="3" a="1"/>
  <c r="AD60" i="3" a="1"/>
  <c r="AE60" i="3" a="1"/>
  <c r="AF60" i="3" a="1"/>
  <c r="AC61" i="3" a="1"/>
  <c r="U54" i="3" a="1"/>
  <c r="V54" i="3" a="1"/>
  <c r="W54" i="3" a="1"/>
  <c r="E161" i="3" a="1"/>
  <c r="J161" i="3" a="1"/>
  <c r="F161" i="3" a="1"/>
  <c r="H161" i="3" a="1"/>
  <c r="G161" i="3" a="1"/>
  <c r="D161" i="3" a="1"/>
  <c r="I161" i="3" a="1"/>
  <c r="D108" i="2" a="1"/>
  <c r="E108" i="2" a="1"/>
  <c r="F108" i="2" a="1"/>
  <c r="G108" i="2" a="1"/>
  <c r="H108" i="2" a="1"/>
  <c r="O108" i="2" a="1"/>
  <c r="P108" i="2" a="1"/>
  <c r="Q108" i="2" a="1"/>
  <c r="R108" i="2" a="1"/>
  <c r="S108" i="2" a="1"/>
  <c r="Z108" i="2" a="1"/>
  <c r="AA108" i="2" a="1"/>
  <c r="AB108" i="2" a="1"/>
  <c r="AC108" i="2" a="1"/>
  <c r="AD108" i="2" a="1"/>
  <c r="AK108" i="2" a="1"/>
  <c r="AL108" i="2" a="1"/>
  <c r="AM108" i="2" a="1"/>
  <c r="AN108" i="2" a="1"/>
  <c r="AO108" i="2" a="1"/>
  <c r="B110" i="2" a="1"/>
  <c r="I161" i="3" l="1"/>
  <c r="D161" i="3"/>
  <c r="G161" i="3"/>
  <c r="H161" i="3"/>
  <c r="F161" i="3"/>
  <c r="J161" i="3"/>
  <c r="E161" i="3"/>
  <c r="W54" i="3"/>
  <c r="Y54" i="3" s="1"/>
  <c r="V54" i="3"/>
  <c r="X54" i="3" s="1"/>
  <c r="U54" i="3"/>
  <c r="AC61" i="3"/>
  <c r="AF60" i="3"/>
  <c r="AH60" i="3" s="1"/>
  <c r="AE60" i="3"/>
  <c r="AG60" i="3" s="1"/>
  <c r="AD60" i="3"/>
  <c r="R167" i="3"/>
  <c r="Q167" i="3"/>
  <c r="P167" i="3"/>
  <c r="O167" i="3"/>
  <c r="N167" i="3"/>
  <c r="B43" i="3"/>
  <c r="E42" i="3"/>
  <c r="G42" i="3" s="1"/>
  <c r="D42" i="3"/>
  <c r="F42" i="3" s="1"/>
  <c r="C42" i="3"/>
  <c r="K49" i="3"/>
  <c r="N48" i="3"/>
  <c r="P48" i="3" s="1"/>
  <c r="M48" i="3"/>
  <c r="O48" i="3" s="1"/>
  <c r="L48" i="3"/>
  <c r="C162" i="3"/>
  <c r="M168" i="3"/>
  <c r="B163" i="3"/>
  <c r="L169" i="3"/>
  <c r="X107" i="2"/>
  <c r="K107" i="2"/>
  <c r="AG107" i="2"/>
  <c r="AQ107" i="2"/>
  <c r="U107" i="2"/>
  <c r="J107" i="2"/>
  <c r="AH107" i="2"/>
  <c r="AR107" i="2"/>
  <c r="B110" i="2"/>
  <c r="AO108" i="2"/>
  <c r="AN108" i="2"/>
  <c r="AM108" i="2"/>
  <c r="AP108" i="2" s="1"/>
  <c r="AL108" i="2"/>
  <c r="AK108" i="2"/>
  <c r="AD108" i="2"/>
  <c r="AC108" i="2"/>
  <c r="AB108" i="2"/>
  <c r="AE108" i="2" s="1"/>
  <c r="AA108" i="2"/>
  <c r="Z108" i="2"/>
  <c r="S108" i="2"/>
  <c r="R108" i="2"/>
  <c r="Q108" i="2"/>
  <c r="T108" i="2" s="1"/>
  <c r="P108" i="2"/>
  <c r="O108" i="2"/>
  <c r="H108" i="2"/>
  <c r="G108" i="2"/>
  <c r="F108" i="2"/>
  <c r="I108" i="2" s="1"/>
  <c r="E108" i="2"/>
  <c r="D108" i="2"/>
  <c r="W107" i="2"/>
  <c r="AT107" i="2"/>
  <c r="C109" i="2"/>
  <c r="M107" i="2"/>
  <c r="AF107" i="2"/>
  <c r="L107" i="2"/>
  <c r="V107" i="2"/>
  <c r="AI107" i="2"/>
  <c r="C43" i="3" a="1"/>
  <c r="D43" i="3" a="1"/>
  <c r="E43" i="3" a="1"/>
  <c r="B44" i="3" a="1"/>
  <c r="E162" i="3" a="1"/>
  <c r="J162" i="3" a="1"/>
  <c r="F162" i="3" a="1"/>
  <c r="H162" i="3" a="1"/>
  <c r="G162" i="3" a="1"/>
  <c r="D162" i="3" a="1"/>
  <c r="I162" i="3" a="1"/>
  <c r="N168" i="3" a="1"/>
  <c r="O168" i="3" a="1"/>
  <c r="P168" i="3" a="1"/>
  <c r="Q168" i="3" a="1"/>
  <c r="R168" i="3" a="1"/>
  <c r="AD61" i="3" a="1"/>
  <c r="AE61" i="3" a="1"/>
  <c r="AF61" i="3" a="1"/>
  <c r="AC62" i="3" a="1"/>
  <c r="L49" i="3" a="1"/>
  <c r="M49" i="3" a="1"/>
  <c r="N49" i="3" a="1"/>
  <c r="K50" i="3" a="1"/>
  <c r="B111" i="2" a="1"/>
  <c r="D109" i="2" a="1"/>
  <c r="E109" i="2" a="1"/>
  <c r="F109" i="2" a="1"/>
  <c r="G109" i="2" a="1"/>
  <c r="H109" i="2" a="1"/>
  <c r="O109" i="2" a="1"/>
  <c r="P109" i="2" a="1"/>
  <c r="Q109" i="2" a="1"/>
  <c r="R109" i="2" a="1"/>
  <c r="S109" i="2" a="1"/>
  <c r="Z109" i="2" a="1"/>
  <c r="AA109" i="2" a="1"/>
  <c r="AB109" i="2" a="1"/>
  <c r="AC109" i="2" a="1"/>
  <c r="AD109" i="2" a="1"/>
  <c r="AK109" i="2" a="1"/>
  <c r="AL109" i="2" a="1"/>
  <c r="AM109" i="2" a="1"/>
  <c r="AN109" i="2" a="1"/>
  <c r="AO109" i="2" a="1"/>
  <c r="K50" i="3" l="1"/>
  <c r="N49" i="3"/>
  <c r="P49" i="3" s="1"/>
  <c r="M49" i="3"/>
  <c r="O49" i="3" s="1"/>
  <c r="L49" i="3"/>
  <c r="AC62" i="3"/>
  <c r="AF61" i="3"/>
  <c r="AH61" i="3" s="1"/>
  <c r="AE61" i="3"/>
  <c r="AG61" i="3" s="1"/>
  <c r="AD61" i="3"/>
  <c r="R168" i="3"/>
  <c r="Q168" i="3"/>
  <c r="P168" i="3"/>
  <c r="O168" i="3"/>
  <c r="N168" i="3"/>
  <c r="I162" i="3"/>
  <c r="D162" i="3"/>
  <c r="G162" i="3"/>
  <c r="H162" i="3"/>
  <c r="F162" i="3"/>
  <c r="J162" i="3"/>
  <c r="E162" i="3"/>
  <c r="B44" i="3"/>
  <c r="E43" i="3"/>
  <c r="G43" i="3" s="1"/>
  <c r="D43" i="3"/>
  <c r="F43" i="3" s="1"/>
  <c r="C43" i="3"/>
  <c r="L170" i="3"/>
  <c r="C163" i="3"/>
  <c r="M169" i="3"/>
  <c r="B164" i="3"/>
  <c r="AG108" i="2"/>
  <c r="AS108" i="2"/>
  <c r="K108" i="2"/>
  <c r="U108" i="2"/>
  <c r="AF108" i="2"/>
  <c r="AT108" i="2"/>
  <c r="L108" i="2"/>
  <c r="AO109" i="2"/>
  <c r="AN109" i="2"/>
  <c r="AM109" i="2"/>
  <c r="AP109" i="2" s="1"/>
  <c r="AL109" i="2"/>
  <c r="AK109" i="2"/>
  <c r="AD109" i="2"/>
  <c r="AC109" i="2"/>
  <c r="AB109" i="2"/>
  <c r="AE109" i="2" s="1"/>
  <c r="AA109" i="2"/>
  <c r="Z109" i="2"/>
  <c r="S109" i="2"/>
  <c r="R109" i="2"/>
  <c r="Q109" i="2"/>
  <c r="T109" i="2" s="1"/>
  <c r="P109" i="2"/>
  <c r="O109" i="2"/>
  <c r="H109" i="2"/>
  <c r="G109" i="2"/>
  <c r="F109" i="2"/>
  <c r="I109" i="2" s="1"/>
  <c r="E109" i="2"/>
  <c r="D109" i="2"/>
  <c r="B111" i="2"/>
  <c r="X108" i="2"/>
  <c r="W108" i="2"/>
  <c r="M108" i="2"/>
  <c r="C110" i="2"/>
  <c r="V108" i="2"/>
  <c r="AI108" i="2"/>
  <c r="AQ108" i="2"/>
  <c r="J108" i="2"/>
  <c r="AH108" i="2"/>
  <c r="AR108" i="2"/>
  <c r="L50" i="3" a="1"/>
  <c r="M50" i="3" a="1"/>
  <c r="N50" i="3" a="1"/>
  <c r="K51" i="3" a="1"/>
  <c r="E163" i="3" a="1"/>
  <c r="J163" i="3" a="1"/>
  <c r="F163" i="3" a="1"/>
  <c r="H163" i="3" a="1"/>
  <c r="G163" i="3" a="1"/>
  <c r="D163" i="3" a="1"/>
  <c r="I163" i="3" a="1"/>
  <c r="N169" i="3" a="1"/>
  <c r="O169" i="3" a="1"/>
  <c r="P169" i="3" a="1"/>
  <c r="Q169" i="3" a="1"/>
  <c r="R169" i="3" a="1"/>
  <c r="AD62" i="3" a="1"/>
  <c r="AE62" i="3" a="1"/>
  <c r="AF62" i="3" a="1"/>
  <c r="AC63" i="3" a="1"/>
  <c r="C44" i="3" a="1"/>
  <c r="D44" i="3" a="1"/>
  <c r="E44" i="3" a="1"/>
  <c r="B45" i="3" a="1"/>
  <c r="D110" i="2" a="1"/>
  <c r="E110" i="2" a="1"/>
  <c r="F110" i="2" a="1"/>
  <c r="G110" i="2" a="1"/>
  <c r="H110" i="2" a="1"/>
  <c r="O110" i="2" a="1"/>
  <c r="P110" i="2" a="1"/>
  <c r="Q110" i="2" a="1"/>
  <c r="R110" i="2" a="1"/>
  <c r="S110" i="2" a="1"/>
  <c r="B112" i="2" a="1"/>
  <c r="B45" i="3" l="1"/>
  <c r="E44" i="3"/>
  <c r="G44" i="3" s="1"/>
  <c r="D44" i="3"/>
  <c r="F44" i="3" s="1"/>
  <c r="C44" i="3"/>
  <c r="AC63" i="3"/>
  <c r="AF62" i="3"/>
  <c r="AH62" i="3" s="1"/>
  <c r="AE62" i="3"/>
  <c r="AG62" i="3" s="1"/>
  <c r="AD62" i="3"/>
  <c r="R169" i="3"/>
  <c r="Q169" i="3"/>
  <c r="P169" i="3"/>
  <c r="O169" i="3"/>
  <c r="N169" i="3"/>
  <c r="I163" i="3"/>
  <c r="D163" i="3"/>
  <c r="G163" i="3"/>
  <c r="H163" i="3"/>
  <c r="F163" i="3"/>
  <c r="J163" i="3"/>
  <c r="E163" i="3"/>
  <c r="K51" i="3"/>
  <c r="N50" i="3"/>
  <c r="P50" i="3" s="1"/>
  <c r="M50" i="3"/>
  <c r="O50" i="3" s="1"/>
  <c r="L50" i="3"/>
  <c r="B165" i="3"/>
  <c r="C164" i="3"/>
  <c r="M170" i="3"/>
  <c r="L171" i="3"/>
  <c r="X109" i="2"/>
  <c r="K109" i="2"/>
  <c r="AS109" i="2"/>
  <c r="J109" i="2"/>
  <c r="AH109" i="2"/>
  <c r="AR109" i="2"/>
  <c r="W109" i="2"/>
  <c r="AG109" i="2"/>
  <c r="B112" i="2"/>
  <c r="S110" i="2"/>
  <c r="R110" i="2"/>
  <c r="Q110" i="2"/>
  <c r="T110" i="2" s="1"/>
  <c r="P110" i="2"/>
  <c r="O110" i="2"/>
  <c r="H110" i="2"/>
  <c r="G110" i="2"/>
  <c r="F110" i="2"/>
  <c r="I110" i="2" s="1"/>
  <c r="E110" i="2"/>
  <c r="D110" i="2"/>
  <c r="C111" i="2"/>
  <c r="AT109" i="2"/>
  <c r="AF109" i="2"/>
  <c r="M109" i="2"/>
  <c r="U109" i="2"/>
  <c r="L109" i="2"/>
  <c r="V109" i="2"/>
  <c r="AI109" i="2"/>
  <c r="AQ109" i="2"/>
  <c r="E164" i="3" a="1"/>
  <c r="J164" i="3" a="1"/>
  <c r="F164" i="3" a="1"/>
  <c r="H164" i="3" a="1"/>
  <c r="G164" i="3" a="1"/>
  <c r="D164" i="3" a="1"/>
  <c r="I164" i="3" a="1"/>
  <c r="N170" i="3" a="1"/>
  <c r="O170" i="3" a="1"/>
  <c r="P170" i="3" a="1"/>
  <c r="Q170" i="3" a="1"/>
  <c r="R170" i="3" a="1"/>
  <c r="AD63" i="3" a="1"/>
  <c r="AE63" i="3" a="1"/>
  <c r="AF63" i="3" a="1"/>
  <c r="AC64" i="3" a="1"/>
  <c r="L51" i="3" a="1"/>
  <c r="M51" i="3" a="1"/>
  <c r="N51" i="3" a="1"/>
  <c r="K52" i="3" a="1"/>
  <c r="C45" i="3" a="1"/>
  <c r="D45" i="3" a="1"/>
  <c r="E45" i="3" a="1"/>
  <c r="B46" i="3" a="1"/>
  <c r="B113" i="2" a="1"/>
  <c r="AS80" i="2" a="1"/>
  <c r="AH80" i="2" a="1"/>
  <c r="D111" i="2" a="1"/>
  <c r="E111" i="2" a="1"/>
  <c r="F111" i="2" a="1"/>
  <c r="G111" i="2" a="1"/>
  <c r="H111" i="2" a="1"/>
  <c r="O111" i="2" a="1"/>
  <c r="P111" i="2" a="1"/>
  <c r="Q111" i="2" a="1"/>
  <c r="R111" i="2" a="1"/>
  <c r="S111" i="2" a="1"/>
  <c r="B46" i="3" l="1"/>
  <c r="E45" i="3"/>
  <c r="G45" i="3" s="1"/>
  <c r="D45" i="3"/>
  <c r="F45" i="3" s="1"/>
  <c r="C45" i="3"/>
  <c r="K52" i="3"/>
  <c r="N51" i="3"/>
  <c r="P51" i="3" s="1"/>
  <c r="M51" i="3"/>
  <c r="O51" i="3" s="1"/>
  <c r="L51" i="3"/>
  <c r="AC64" i="3"/>
  <c r="AF63" i="3"/>
  <c r="AH63" i="3" s="1"/>
  <c r="AE63" i="3"/>
  <c r="AG63" i="3" s="1"/>
  <c r="AD63" i="3"/>
  <c r="R170" i="3"/>
  <c r="Q170" i="3"/>
  <c r="P170" i="3"/>
  <c r="O170" i="3"/>
  <c r="N170" i="3"/>
  <c r="I164" i="3"/>
  <c r="D164" i="3"/>
  <c r="G164" i="3"/>
  <c r="H164" i="3"/>
  <c r="F164" i="3"/>
  <c r="J164" i="3"/>
  <c r="E164" i="3"/>
  <c r="B166" i="3"/>
  <c r="M171" i="3"/>
  <c r="L172" i="3"/>
  <c r="C165" i="3"/>
  <c r="K110" i="2"/>
  <c r="J110" i="2"/>
  <c r="X110" i="2"/>
  <c r="U110" i="2"/>
  <c r="S111" i="2"/>
  <c r="R111" i="2"/>
  <c r="Q111" i="2"/>
  <c r="T111" i="2" s="1"/>
  <c r="P111" i="2"/>
  <c r="O111" i="2"/>
  <c r="H111" i="2"/>
  <c r="G111" i="2"/>
  <c r="F111" i="2"/>
  <c r="I111" i="2" s="1"/>
  <c r="E111" i="2"/>
  <c r="D111" i="2"/>
  <c r="AH80" i="2"/>
  <c r="AS80" i="2"/>
  <c r="B113" i="2"/>
  <c r="W110" i="2"/>
  <c r="L110" i="2"/>
  <c r="M110" i="2"/>
  <c r="V110" i="2"/>
  <c r="C112" i="2"/>
  <c r="C46" i="3" a="1"/>
  <c r="D46" i="3" a="1"/>
  <c r="E46" i="3" a="1"/>
  <c r="B47" i="3" a="1"/>
  <c r="AD64" i="3" a="1"/>
  <c r="AE64" i="3" a="1"/>
  <c r="AF64" i="3" a="1"/>
  <c r="AC65" i="3" a="1"/>
  <c r="N171" i="3" a="1"/>
  <c r="O171" i="3" a="1"/>
  <c r="P171" i="3" a="1"/>
  <c r="Q171" i="3" a="1"/>
  <c r="R171" i="3" a="1"/>
  <c r="E165" i="3" a="1"/>
  <c r="J165" i="3" a="1"/>
  <c r="F165" i="3" a="1"/>
  <c r="H165" i="3" a="1"/>
  <c r="G165" i="3" a="1"/>
  <c r="D165" i="3" a="1"/>
  <c r="I165" i="3" a="1"/>
  <c r="L52" i="3" a="1"/>
  <c r="M52" i="3" a="1"/>
  <c r="N52" i="3" a="1"/>
  <c r="K53" i="3" a="1"/>
  <c r="D112" i="2" a="1"/>
  <c r="E112" i="2" a="1"/>
  <c r="F112" i="2" a="1"/>
  <c r="G112" i="2" a="1"/>
  <c r="H112" i="2" a="1"/>
  <c r="O112" i="2" a="1"/>
  <c r="P112" i="2" a="1"/>
  <c r="Q112" i="2" a="1"/>
  <c r="R112" i="2" a="1"/>
  <c r="S112" i="2" a="1"/>
  <c r="B114" i="2" a="1"/>
  <c r="K53" i="3" l="1"/>
  <c r="N52" i="3"/>
  <c r="P52" i="3" s="1"/>
  <c r="M52" i="3"/>
  <c r="O52" i="3" s="1"/>
  <c r="L52" i="3"/>
  <c r="I165" i="3"/>
  <c r="D165" i="3"/>
  <c r="G165" i="3"/>
  <c r="H165" i="3"/>
  <c r="F165" i="3"/>
  <c r="J165" i="3"/>
  <c r="E165" i="3"/>
  <c r="R171" i="3"/>
  <c r="Q171" i="3"/>
  <c r="P171" i="3"/>
  <c r="O171" i="3"/>
  <c r="N171" i="3"/>
  <c r="AC65" i="3"/>
  <c r="AF64" i="3"/>
  <c r="AH64" i="3" s="1"/>
  <c r="AE64" i="3"/>
  <c r="AG64" i="3" s="1"/>
  <c r="AD64" i="3"/>
  <c r="B47" i="3"/>
  <c r="E46" i="3"/>
  <c r="G46" i="3" s="1"/>
  <c r="D46" i="3"/>
  <c r="F46" i="3" s="1"/>
  <c r="C46" i="3"/>
  <c r="L173" i="3"/>
  <c r="C166" i="3"/>
  <c r="B167" i="3"/>
  <c r="M172" i="3"/>
  <c r="J111" i="2"/>
  <c r="K111" i="2"/>
  <c r="B114" i="2"/>
  <c r="S112" i="2"/>
  <c r="R112" i="2"/>
  <c r="Q112" i="2"/>
  <c r="T112" i="2" s="1"/>
  <c r="P112" i="2"/>
  <c r="W112" i="2" s="1"/>
  <c r="O112" i="2"/>
  <c r="H112" i="2"/>
  <c r="G112" i="2"/>
  <c r="F112" i="2"/>
  <c r="I112" i="2" s="1"/>
  <c r="E112" i="2"/>
  <c r="D112" i="2"/>
  <c r="C113" i="2"/>
  <c r="X111" i="2"/>
  <c r="W111" i="2"/>
  <c r="M111" i="2"/>
  <c r="U111" i="2"/>
  <c r="L111" i="2"/>
  <c r="V111" i="2"/>
  <c r="E166" i="3" a="1"/>
  <c r="J166" i="3" a="1"/>
  <c r="F166" i="3" a="1"/>
  <c r="H166" i="3" a="1"/>
  <c r="G166" i="3" a="1"/>
  <c r="D166" i="3" a="1"/>
  <c r="I166" i="3" a="1"/>
  <c r="L53" i="3" a="1"/>
  <c r="M53" i="3" a="1"/>
  <c r="N53" i="3" a="1"/>
  <c r="K54" i="3" a="1"/>
  <c r="AD65" i="3" a="1"/>
  <c r="AE65" i="3" a="1"/>
  <c r="AF65" i="3" a="1"/>
  <c r="AC66" i="3" a="1"/>
  <c r="N172" i="3" a="1"/>
  <c r="O172" i="3" a="1"/>
  <c r="P172" i="3" a="1"/>
  <c r="Q172" i="3" a="1"/>
  <c r="R172" i="3" a="1"/>
  <c r="C47" i="3" a="1"/>
  <c r="D47" i="3" a="1"/>
  <c r="E47" i="3" a="1"/>
  <c r="B48" i="3" a="1"/>
  <c r="B115" i="2" a="1"/>
  <c r="D113" i="2" a="1"/>
  <c r="E113" i="2" a="1"/>
  <c r="F113" i="2" a="1"/>
  <c r="G113" i="2" a="1"/>
  <c r="H113" i="2" a="1"/>
  <c r="O113" i="2" a="1"/>
  <c r="P113" i="2" a="1"/>
  <c r="Q113" i="2" a="1"/>
  <c r="R113" i="2" a="1"/>
  <c r="S113" i="2" a="1"/>
  <c r="B48" i="3" l="1"/>
  <c r="E47" i="3"/>
  <c r="G47" i="3" s="1"/>
  <c r="D47" i="3"/>
  <c r="F47" i="3" s="1"/>
  <c r="C47" i="3"/>
  <c r="R172" i="3"/>
  <c r="Q172" i="3"/>
  <c r="P172" i="3"/>
  <c r="O172" i="3"/>
  <c r="N172" i="3"/>
  <c r="AC66" i="3"/>
  <c r="AF65" i="3"/>
  <c r="AH65" i="3" s="1"/>
  <c r="AE65" i="3"/>
  <c r="AG65" i="3" s="1"/>
  <c r="AD65" i="3"/>
  <c r="K54" i="3"/>
  <c r="N53" i="3"/>
  <c r="P53" i="3" s="1"/>
  <c r="M53" i="3"/>
  <c r="O53" i="3" s="1"/>
  <c r="L53" i="3"/>
  <c r="I166" i="3"/>
  <c r="D166" i="3"/>
  <c r="G166" i="3"/>
  <c r="H166" i="3"/>
  <c r="F166" i="3"/>
  <c r="J166" i="3"/>
  <c r="E166" i="3"/>
  <c r="B168" i="3"/>
  <c r="C167" i="3"/>
  <c r="M173" i="3"/>
  <c r="X112" i="2"/>
  <c r="J112" i="2"/>
  <c r="K112" i="2"/>
  <c r="S113" i="2"/>
  <c r="R113" i="2"/>
  <c r="Q113" i="2"/>
  <c r="T113" i="2" s="1"/>
  <c r="P113" i="2"/>
  <c r="O113" i="2"/>
  <c r="H113" i="2"/>
  <c r="G113" i="2"/>
  <c r="F113" i="2"/>
  <c r="I113" i="2" s="1"/>
  <c r="E113" i="2"/>
  <c r="D113" i="2"/>
  <c r="B115" i="2"/>
  <c r="M112" i="2"/>
  <c r="U112" i="2"/>
  <c r="L112" i="2"/>
  <c r="V112" i="2"/>
  <c r="C114" i="2"/>
  <c r="AD66" i="3" a="1"/>
  <c r="AE66" i="3" a="1"/>
  <c r="AF66" i="3" a="1"/>
  <c r="AC67" i="3" a="1"/>
  <c r="E167" i="3" a="1"/>
  <c r="J167" i="3" a="1"/>
  <c r="F167" i="3" a="1"/>
  <c r="H167" i="3" a="1"/>
  <c r="G167" i="3" a="1"/>
  <c r="D167" i="3" a="1"/>
  <c r="I167" i="3" a="1"/>
  <c r="N173" i="3" a="1"/>
  <c r="O173" i="3" a="1"/>
  <c r="P173" i="3" a="1"/>
  <c r="Q173" i="3" a="1"/>
  <c r="R173" i="3" a="1"/>
  <c r="C48" i="3" a="1"/>
  <c r="D48" i="3" a="1"/>
  <c r="E48" i="3" a="1"/>
  <c r="B49" i="3" a="1"/>
  <c r="L54" i="3" a="1"/>
  <c r="M54" i="3" a="1"/>
  <c r="N54" i="3" a="1"/>
  <c r="K55" i="3" a="1"/>
  <c r="B116" i="2" a="1"/>
  <c r="D114" i="2" a="1"/>
  <c r="E114" i="2" a="1"/>
  <c r="F114" i="2" a="1"/>
  <c r="G114" i="2" a="1"/>
  <c r="H114" i="2" a="1"/>
  <c r="O114" i="2" a="1"/>
  <c r="P114" i="2" a="1"/>
  <c r="Q114" i="2" a="1"/>
  <c r="R114" i="2" a="1"/>
  <c r="S114" i="2" a="1"/>
  <c r="K55" i="3" l="1"/>
  <c r="N54" i="3"/>
  <c r="P54" i="3" s="1"/>
  <c r="M54" i="3"/>
  <c r="O54" i="3" s="1"/>
  <c r="L54" i="3"/>
  <c r="B49" i="3"/>
  <c r="E48" i="3"/>
  <c r="G48" i="3" s="1"/>
  <c r="D48" i="3"/>
  <c r="F48" i="3" s="1"/>
  <c r="C48" i="3"/>
  <c r="R173" i="3"/>
  <c r="Q173" i="3"/>
  <c r="P173" i="3"/>
  <c r="O173" i="3"/>
  <c r="N173" i="3"/>
  <c r="I167" i="3"/>
  <c r="D167" i="3"/>
  <c r="G167" i="3"/>
  <c r="H167" i="3"/>
  <c r="F167" i="3"/>
  <c r="J167" i="3"/>
  <c r="E167" i="3"/>
  <c r="AC67" i="3"/>
  <c r="AF66" i="3"/>
  <c r="AH66" i="3" s="1"/>
  <c r="AE66" i="3"/>
  <c r="AG66" i="3" s="1"/>
  <c r="AD66" i="3"/>
  <c r="C168" i="3"/>
  <c r="B169" i="3"/>
  <c r="X113" i="2"/>
  <c r="M113" i="2"/>
  <c r="U113" i="2"/>
  <c r="J113" i="2"/>
  <c r="S114" i="2"/>
  <c r="R114" i="2"/>
  <c r="Q114" i="2"/>
  <c r="T114" i="2" s="1"/>
  <c r="P114" i="2"/>
  <c r="O114" i="2"/>
  <c r="H114" i="2"/>
  <c r="G114" i="2"/>
  <c r="F114" i="2"/>
  <c r="I114" i="2" s="1"/>
  <c r="E114" i="2"/>
  <c r="D114" i="2"/>
  <c r="B116" i="2"/>
  <c r="K113" i="2"/>
  <c r="W113" i="2"/>
  <c r="C115" i="2"/>
  <c r="L113" i="2"/>
  <c r="V113" i="2"/>
  <c r="C49" i="3" a="1"/>
  <c r="D49" i="3" a="1"/>
  <c r="E49" i="3" a="1"/>
  <c r="B50" i="3" a="1"/>
  <c r="R111" i="3" a="1"/>
  <c r="AD67" i="3" a="1"/>
  <c r="AE67" i="3" a="1"/>
  <c r="AF67" i="3" a="1"/>
  <c r="L55" i="3" a="1"/>
  <c r="M55" i="3" a="1"/>
  <c r="N55" i="3" a="1"/>
  <c r="K56" i="3" a="1"/>
  <c r="E168" i="3" a="1"/>
  <c r="J168" i="3" a="1"/>
  <c r="F168" i="3" a="1"/>
  <c r="H168" i="3" a="1"/>
  <c r="G168" i="3" a="1"/>
  <c r="D168" i="3" a="1"/>
  <c r="I168" i="3" a="1"/>
  <c r="B117" i="2" a="1"/>
  <c r="D115" i="2" a="1"/>
  <c r="E115" i="2" a="1"/>
  <c r="F115" i="2" a="1"/>
  <c r="G115" i="2" a="1"/>
  <c r="H115" i="2" a="1"/>
  <c r="O115" i="2" a="1"/>
  <c r="P115" i="2" a="1"/>
  <c r="Q115" i="2" a="1"/>
  <c r="R115" i="2" a="1"/>
  <c r="S115" i="2" a="1"/>
  <c r="I168" i="3" l="1"/>
  <c r="D168" i="3"/>
  <c r="G168" i="3"/>
  <c r="H168" i="3"/>
  <c r="F168" i="3"/>
  <c r="J168" i="3"/>
  <c r="E168" i="3"/>
  <c r="K56" i="3"/>
  <c r="N55" i="3"/>
  <c r="P55" i="3" s="1"/>
  <c r="M55" i="3"/>
  <c r="O55" i="3" s="1"/>
  <c r="L55" i="3"/>
  <c r="AF67" i="3"/>
  <c r="AH67" i="3" s="1"/>
  <c r="AE67" i="3"/>
  <c r="AG67" i="3" s="1"/>
  <c r="AD67" i="3"/>
  <c r="R111" i="3"/>
  <c r="B50" i="3"/>
  <c r="E49" i="3"/>
  <c r="G49" i="3" s="1"/>
  <c r="D49" i="3"/>
  <c r="F49" i="3" s="1"/>
  <c r="C49" i="3"/>
  <c r="C169" i="3"/>
  <c r="B170" i="3"/>
  <c r="X114" i="2"/>
  <c r="U114" i="2"/>
  <c r="J114" i="2"/>
  <c r="S115" i="2"/>
  <c r="R115" i="2"/>
  <c r="Q115" i="2"/>
  <c r="T115" i="2" s="1"/>
  <c r="P115" i="2"/>
  <c r="O115" i="2"/>
  <c r="H115" i="2"/>
  <c r="G115" i="2"/>
  <c r="F115" i="2"/>
  <c r="I115" i="2" s="1"/>
  <c r="E115" i="2"/>
  <c r="D115" i="2"/>
  <c r="B117" i="2"/>
  <c r="K114" i="2"/>
  <c r="W114" i="2"/>
  <c r="C116" i="2"/>
  <c r="M114" i="2"/>
  <c r="L114" i="2"/>
  <c r="V114" i="2"/>
  <c r="E169" i="3" a="1"/>
  <c r="J169" i="3" a="1"/>
  <c r="F169" i="3" a="1"/>
  <c r="H169" i="3" a="1"/>
  <c r="G169" i="3" a="1"/>
  <c r="D169" i="3" a="1"/>
  <c r="I169" i="3" a="1"/>
  <c r="L56" i="3" a="1"/>
  <c r="M56" i="3" a="1"/>
  <c r="N56" i="3" a="1"/>
  <c r="K57" i="3" a="1"/>
  <c r="C50" i="3" a="1"/>
  <c r="D50" i="3" a="1"/>
  <c r="E50" i="3" a="1"/>
  <c r="B51" i="3" a="1"/>
  <c r="B118" i="2" a="1"/>
  <c r="D116" i="2" a="1"/>
  <c r="E116" i="2" a="1"/>
  <c r="F116" i="2" a="1"/>
  <c r="G116" i="2" a="1"/>
  <c r="H116" i="2" a="1"/>
  <c r="O116" i="2" a="1"/>
  <c r="P116" i="2" a="1"/>
  <c r="Q116" i="2" a="1"/>
  <c r="R116" i="2" a="1"/>
  <c r="S116" i="2" a="1"/>
  <c r="B51" i="3" l="1"/>
  <c r="E50" i="3"/>
  <c r="G50" i="3" s="1"/>
  <c r="D50" i="3"/>
  <c r="F50" i="3" s="1"/>
  <c r="C50" i="3"/>
  <c r="K57" i="3"/>
  <c r="N56" i="3"/>
  <c r="P56" i="3" s="1"/>
  <c r="M56" i="3"/>
  <c r="O56" i="3" s="1"/>
  <c r="L56" i="3"/>
  <c r="I169" i="3"/>
  <c r="D169" i="3"/>
  <c r="G169" i="3"/>
  <c r="H169" i="3"/>
  <c r="F169" i="3"/>
  <c r="J169" i="3"/>
  <c r="E169" i="3"/>
  <c r="B171" i="3"/>
  <c r="C170" i="3"/>
  <c r="W115" i="2"/>
  <c r="K115" i="2"/>
  <c r="X115" i="2"/>
  <c r="J115" i="2"/>
  <c r="S116" i="2"/>
  <c r="R116" i="2"/>
  <c r="Q116" i="2"/>
  <c r="T116" i="2" s="1"/>
  <c r="P116" i="2"/>
  <c r="O116" i="2"/>
  <c r="H116" i="2"/>
  <c r="G116" i="2"/>
  <c r="F116" i="2"/>
  <c r="I116" i="2" s="1"/>
  <c r="E116" i="2"/>
  <c r="D116" i="2"/>
  <c r="B118" i="2"/>
  <c r="C117" i="2"/>
  <c r="M115" i="2"/>
  <c r="U115" i="2"/>
  <c r="L115" i="2"/>
  <c r="V115" i="2"/>
  <c r="C51" i="3" a="1"/>
  <c r="D51" i="3" a="1"/>
  <c r="E51" i="3" a="1"/>
  <c r="B52" i="3" a="1"/>
  <c r="E170" i="3" a="1"/>
  <c r="J170" i="3" a="1"/>
  <c r="F170" i="3" a="1"/>
  <c r="H170" i="3" a="1"/>
  <c r="G170" i="3" a="1"/>
  <c r="D170" i="3" a="1"/>
  <c r="I170" i="3" a="1"/>
  <c r="L57" i="3" a="1"/>
  <c r="M57" i="3" a="1"/>
  <c r="N57" i="3" a="1"/>
  <c r="K58" i="3" a="1"/>
  <c r="B119" i="2" a="1"/>
  <c r="D117" i="2" a="1"/>
  <c r="E117" i="2" a="1"/>
  <c r="F117" i="2" a="1"/>
  <c r="G117" i="2" a="1"/>
  <c r="H117" i="2" a="1"/>
  <c r="O117" i="2" a="1"/>
  <c r="P117" i="2" a="1"/>
  <c r="Q117" i="2" a="1"/>
  <c r="R117" i="2" a="1"/>
  <c r="S117" i="2" a="1"/>
  <c r="K58" i="3" l="1"/>
  <c r="N57" i="3"/>
  <c r="P57" i="3" s="1"/>
  <c r="M57" i="3"/>
  <c r="O57" i="3" s="1"/>
  <c r="L57" i="3"/>
  <c r="I170" i="3"/>
  <c r="D170" i="3"/>
  <c r="G170" i="3"/>
  <c r="H170" i="3"/>
  <c r="F170" i="3"/>
  <c r="J170" i="3"/>
  <c r="E170" i="3"/>
  <c r="B52" i="3"/>
  <c r="E51" i="3"/>
  <c r="G51" i="3" s="1"/>
  <c r="D51" i="3"/>
  <c r="F51" i="3" s="1"/>
  <c r="C51" i="3"/>
  <c r="C171" i="3"/>
  <c r="B172" i="3"/>
  <c r="J116" i="2"/>
  <c r="K116" i="2"/>
  <c r="X116" i="2"/>
  <c r="W116" i="2"/>
  <c r="S117" i="2"/>
  <c r="R117" i="2"/>
  <c r="Q117" i="2"/>
  <c r="T117" i="2" s="1"/>
  <c r="P117" i="2"/>
  <c r="W117" i="2" s="1"/>
  <c r="O117" i="2"/>
  <c r="H117" i="2"/>
  <c r="G117" i="2"/>
  <c r="F117" i="2"/>
  <c r="I117" i="2" s="1"/>
  <c r="E117" i="2"/>
  <c r="D117" i="2"/>
  <c r="B119" i="2"/>
  <c r="C118" i="2"/>
  <c r="M116" i="2"/>
  <c r="U116" i="2"/>
  <c r="L116" i="2"/>
  <c r="V116" i="2"/>
  <c r="E171" i="3" a="1"/>
  <c r="J171" i="3" a="1"/>
  <c r="F171" i="3" a="1"/>
  <c r="H171" i="3" a="1"/>
  <c r="G171" i="3" a="1"/>
  <c r="D171" i="3" a="1"/>
  <c r="I171" i="3" a="1"/>
  <c r="L58" i="3" a="1"/>
  <c r="M58" i="3" a="1"/>
  <c r="N58" i="3" a="1"/>
  <c r="K59" i="3" a="1"/>
  <c r="C52" i="3" a="1"/>
  <c r="D52" i="3" a="1"/>
  <c r="E52" i="3" a="1"/>
  <c r="B53" i="3" a="1"/>
  <c r="B120" i="2" a="1"/>
  <c r="D118" i="2" a="1"/>
  <c r="E118" i="2" a="1"/>
  <c r="F118" i="2" a="1"/>
  <c r="G118" i="2" a="1"/>
  <c r="H118" i="2" a="1"/>
  <c r="O118" i="2" a="1"/>
  <c r="P118" i="2" a="1"/>
  <c r="Q118" i="2" a="1"/>
  <c r="R118" i="2" a="1"/>
  <c r="S118" i="2" a="1"/>
  <c r="B53" i="3" l="1"/>
  <c r="E52" i="3"/>
  <c r="G52" i="3" s="1"/>
  <c r="D52" i="3"/>
  <c r="F52" i="3" s="1"/>
  <c r="C52" i="3"/>
  <c r="K59" i="3"/>
  <c r="N58" i="3"/>
  <c r="P58" i="3" s="1"/>
  <c r="M58" i="3"/>
  <c r="O58" i="3" s="1"/>
  <c r="L58" i="3"/>
  <c r="I171" i="3"/>
  <c r="D171" i="3"/>
  <c r="G171" i="3"/>
  <c r="H171" i="3"/>
  <c r="F171" i="3"/>
  <c r="J171" i="3"/>
  <c r="E171" i="3"/>
  <c r="C172" i="3"/>
  <c r="B173" i="3"/>
  <c r="J117" i="2"/>
  <c r="K117" i="2"/>
  <c r="X117" i="2"/>
  <c r="U117" i="2"/>
  <c r="S118" i="2"/>
  <c r="R118" i="2"/>
  <c r="Q118" i="2"/>
  <c r="T118" i="2" s="1"/>
  <c r="P118" i="2"/>
  <c r="W118" i="2" s="1"/>
  <c r="O118" i="2"/>
  <c r="H118" i="2"/>
  <c r="G118" i="2"/>
  <c r="F118" i="2"/>
  <c r="I118" i="2" s="1"/>
  <c r="E118" i="2"/>
  <c r="D118" i="2"/>
  <c r="B120" i="2"/>
  <c r="C119" i="2"/>
  <c r="M117" i="2"/>
  <c r="L117" i="2"/>
  <c r="V117" i="2"/>
  <c r="E172" i="3" a="1"/>
  <c r="J172" i="3" a="1"/>
  <c r="F172" i="3" a="1"/>
  <c r="H172" i="3" a="1"/>
  <c r="G172" i="3" a="1"/>
  <c r="D172" i="3" a="1"/>
  <c r="I172" i="3" a="1"/>
  <c r="C53" i="3" a="1"/>
  <c r="D53" i="3" a="1"/>
  <c r="E53" i="3" a="1"/>
  <c r="B54" i="3" a="1"/>
  <c r="L59" i="3" a="1"/>
  <c r="M59" i="3" a="1"/>
  <c r="N59" i="3" a="1"/>
  <c r="K60" i="3" a="1"/>
  <c r="B121" i="2" a="1"/>
  <c r="D119" i="2" a="1"/>
  <c r="E119" i="2" a="1"/>
  <c r="F119" i="2" a="1"/>
  <c r="G119" i="2" a="1"/>
  <c r="H119" i="2" a="1"/>
  <c r="O119" i="2" a="1"/>
  <c r="P119" i="2" a="1"/>
  <c r="Q119" i="2" a="1"/>
  <c r="R119" i="2" a="1"/>
  <c r="S119" i="2" a="1"/>
  <c r="K60" i="3" l="1"/>
  <c r="N59" i="3"/>
  <c r="P59" i="3" s="1"/>
  <c r="M59" i="3"/>
  <c r="O59" i="3" s="1"/>
  <c r="L59" i="3"/>
  <c r="B54" i="3"/>
  <c r="E53" i="3"/>
  <c r="G53" i="3" s="1"/>
  <c r="D53" i="3"/>
  <c r="F53" i="3" s="1"/>
  <c r="C53" i="3"/>
  <c r="I172" i="3"/>
  <c r="D172" i="3"/>
  <c r="G172" i="3"/>
  <c r="H172" i="3"/>
  <c r="F172" i="3"/>
  <c r="J172" i="3"/>
  <c r="E172" i="3"/>
  <c r="C173" i="3"/>
  <c r="J118" i="2"/>
  <c r="K118" i="2"/>
  <c r="X118" i="2"/>
  <c r="S119" i="2"/>
  <c r="R119" i="2"/>
  <c r="Q119" i="2"/>
  <c r="T119" i="2" s="1"/>
  <c r="P119" i="2"/>
  <c r="O119" i="2"/>
  <c r="X119" i="2" s="1"/>
  <c r="H119" i="2"/>
  <c r="G119" i="2"/>
  <c r="F119" i="2"/>
  <c r="I119" i="2" s="1"/>
  <c r="E119" i="2"/>
  <c r="D119" i="2"/>
  <c r="B121" i="2"/>
  <c r="C120" i="2"/>
  <c r="M118" i="2"/>
  <c r="U118" i="2"/>
  <c r="L118" i="2"/>
  <c r="V118" i="2"/>
  <c r="C54" i="3" a="1"/>
  <c r="D54" i="3" a="1"/>
  <c r="E54" i="3" a="1"/>
  <c r="B55" i="3" a="1"/>
  <c r="E173" i="3" a="1"/>
  <c r="J173" i="3" a="1"/>
  <c r="F173" i="3" a="1"/>
  <c r="H173" i="3" a="1"/>
  <c r="G173" i="3" a="1"/>
  <c r="D173" i="3" a="1"/>
  <c r="I173" i="3" a="1"/>
  <c r="L60" i="3" a="1"/>
  <c r="M60" i="3" a="1"/>
  <c r="N60" i="3" a="1"/>
  <c r="K61" i="3" a="1"/>
  <c r="B122" i="2" a="1"/>
  <c r="D120" i="2" a="1"/>
  <c r="E120" i="2" a="1"/>
  <c r="F120" i="2" a="1"/>
  <c r="G120" i="2" a="1"/>
  <c r="H120" i="2" a="1"/>
  <c r="O120" i="2" a="1"/>
  <c r="P120" i="2" a="1"/>
  <c r="Q120" i="2" a="1"/>
  <c r="R120" i="2" a="1"/>
  <c r="S120" i="2" a="1"/>
  <c r="K61" i="3" l="1"/>
  <c r="N60" i="3"/>
  <c r="P60" i="3" s="1"/>
  <c r="M60" i="3"/>
  <c r="O60" i="3" s="1"/>
  <c r="L60" i="3"/>
  <c r="I173" i="3"/>
  <c r="D173" i="3"/>
  <c r="G173" i="3"/>
  <c r="H173" i="3"/>
  <c r="F173" i="3"/>
  <c r="J173" i="3"/>
  <c r="E173" i="3"/>
  <c r="B55" i="3"/>
  <c r="E54" i="3"/>
  <c r="G54" i="3" s="1"/>
  <c r="D54" i="3"/>
  <c r="F54" i="3" s="1"/>
  <c r="C54" i="3"/>
  <c r="K119" i="2"/>
  <c r="J119" i="2"/>
  <c r="U119" i="2"/>
  <c r="S120" i="2"/>
  <c r="R120" i="2"/>
  <c r="Q120" i="2"/>
  <c r="T120" i="2" s="1"/>
  <c r="P120" i="2"/>
  <c r="W120" i="2" s="1"/>
  <c r="O120" i="2"/>
  <c r="H120" i="2"/>
  <c r="K120" i="2" s="1"/>
  <c r="G120" i="2"/>
  <c r="F120" i="2"/>
  <c r="I120" i="2" s="1"/>
  <c r="E120" i="2"/>
  <c r="D120" i="2"/>
  <c r="B122" i="2"/>
  <c r="W119" i="2"/>
  <c r="C121" i="2"/>
  <c r="M119" i="2"/>
  <c r="L119" i="2"/>
  <c r="V119" i="2"/>
  <c r="J111" i="3" a="1"/>
  <c r="L61" i="3" a="1"/>
  <c r="M61" i="3" a="1"/>
  <c r="N61" i="3" a="1"/>
  <c r="K62" i="3" a="1"/>
  <c r="C55" i="3" a="1"/>
  <c r="D55" i="3" a="1"/>
  <c r="E55" i="3" a="1"/>
  <c r="B56" i="3" a="1"/>
  <c r="B123" i="2" a="1"/>
  <c r="D121" i="2" a="1"/>
  <c r="E121" i="2" a="1"/>
  <c r="F121" i="2" a="1"/>
  <c r="G121" i="2" a="1"/>
  <c r="H121" i="2" a="1"/>
  <c r="O121" i="2" a="1"/>
  <c r="P121" i="2" a="1"/>
  <c r="Q121" i="2" a="1"/>
  <c r="R121" i="2" a="1"/>
  <c r="S121" i="2" a="1"/>
  <c r="B56" i="3" l="1"/>
  <c r="E55" i="3"/>
  <c r="G55" i="3" s="1"/>
  <c r="D55" i="3"/>
  <c r="F55" i="3" s="1"/>
  <c r="C55" i="3"/>
  <c r="K62" i="3"/>
  <c r="N61" i="3"/>
  <c r="P61" i="3" s="1"/>
  <c r="M61" i="3"/>
  <c r="O61" i="3" s="1"/>
  <c r="L61" i="3"/>
  <c r="J111" i="3"/>
  <c r="X120" i="2"/>
  <c r="J120" i="2"/>
  <c r="S121" i="2"/>
  <c r="R121" i="2"/>
  <c r="Q121" i="2"/>
  <c r="T121" i="2" s="1"/>
  <c r="P121" i="2"/>
  <c r="O121" i="2"/>
  <c r="H121" i="2"/>
  <c r="G121" i="2"/>
  <c r="F121" i="2"/>
  <c r="I121" i="2" s="1"/>
  <c r="E121" i="2"/>
  <c r="D121" i="2"/>
  <c r="B123" i="2"/>
  <c r="C122" i="2"/>
  <c r="M120" i="2"/>
  <c r="U120" i="2"/>
  <c r="L120" i="2"/>
  <c r="V120" i="2"/>
  <c r="C56" i="3" a="1"/>
  <c r="D56" i="3" a="1"/>
  <c r="E56" i="3" a="1"/>
  <c r="B57" i="3" a="1"/>
  <c r="L62" i="3" a="1"/>
  <c r="M62" i="3" a="1"/>
  <c r="N62" i="3" a="1"/>
  <c r="K63" i="3" a="1"/>
  <c r="B124" i="2" a="1"/>
  <c r="D122" i="2" a="1"/>
  <c r="E122" i="2" a="1"/>
  <c r="F122" i="2" a="1"/>
  <c r="G122" i="2" a="1"/>
  <c r="H122" i="2" a="1"/>
  <c r="O122" i="2" a="1"/>
  <c r="P122" i="2" a="1"/>
  <c r="Q122" i="2" a="1"/>
  <c r="R122" i="2" a="1"/>
  <c r="S122" i="2" a="1"/>
  <c r="K63" i="3" l="1"/>
  <c r="N62" i="3"/>
  <c r="P62" i="3" s="1"/>
  <c r="M62" i="3"/>
  <c r="O62" i="3" s="1"/>
  <c r="L62" i="3"/>
  <c r="B57" i="3"/>
  <c r="E56" i="3"/>
  <c r="G56" i="3" s="1"/>
  <c r="D56" i="3"/>
  <c r="F56" i="3" s="1"/>
  <c r="C56" i="3"/>
  <c r="X121" i="2"/>
  <c r="J121" i="2"/>
  <c r="U121" i="2"/>
  <c r="S122" i="2"/>
  <c r="R122" i="2"/>
  <c r="Q122" i="2"/>
  <c r="T122" i="2" s="1"/>
  <c r="P122" i="2"/>
  <c r="W122" i="2" s="1"/>
  <c r="O122" i="2"/>
  <c r="X122" i="2" s="1"/>
  <c r="H122" i="2"/>
  <c r="K122" i="2" s="1"/>
  <c r="G122" i="2"/>
  <c r="F122" i="2"/>
  <c r="I122" i="2" s="1"/>
  <c r="E122" i="2"/>
  <c r="D122" i="2"/>
  <c r="B124" i="2"/>
  <c r="K121" i="2"/>
  <c r="W121" i="2"/>
  <c r="C123" i="2"/>
  <c r="M121" i="2"/>
  <c r="L121" i="2"/>
  <c r="V121" i="2"/>
  <c r="L63" i="3" a="1"/>
  <c r="M63" i="3" a="1"/>
  <c r="N63" i="3" a="1"/>
  <c r="K64" i="3" a="1"/>
  <c r="C57" i="3" a="1"/>
  <c r="D57" i="3" a="1"/>
  <c r="E57" i="3" a="1"/>
  <c r="B58" i="3" a="1"/>
  <c r="B125" i="2" a="1"/>
  <c r="D123" i="2" a="1"/>
  <c r="E123" i="2" a="1"/>
  <c r="F123" i="2" a="1"/>
  <c r="G123" i="2" a="1"/>
  <c r="H123" i="2" a="1"/>
  <c r="O123" i="2" a="1"/>
  <c r="P123" i="2" a="1"/>
  <c r="Q123" i="2" a="1"/>
  <c r="R123" i="2" a="1"/>
  <c r="S123" i="2" a="1"/>
  <c r="B58" i="3" l="1"/>
  <c r="E57" i="3"/>
  <c r="G57" i="3" s="1"/>
  <c r="D57" i="3"/>
  <c r="F57" i="3" s="1"/>
  <c r="C57" i="3"/>
  <c r="K64" i="3"/>
  <c r="N63" i="3"/>
  <c r="P63" i="3" s="1"/>
  <c r="M63" i="3"/>
  <c r="O63" i="3" s="1"/>
  <c r="L63" i="3"/>
  <c r="J122" i="2"/>
  <c r="S123" i="2"/>
  <c r="R123" i="2"/>
  <c r="Q123" i="2"/>
  <c r="T123" i="2" s="1"/>
  <c r="P123" i="2"/>
  <c r="O123" i="2"/>
  <c r="H123" i="2"/>
  <c r="G123" i="2"/>
  <c r="F123" i="2"/>
  <c r="I123" i="2" s="1"/>
  <c r="E123" i="2"/>
  <c r="D123" i="2"/>
  <c r="B125" i="2"/>
  <c r="C124" i="2"/>
  <c r="M122" i="2"/>
  <c r="U122" i="2"/>
  <c r="L122" i="2"/>
  <c r="V122" i="2"/>
  <c r="C58" i="3" a="1"/>
  <c r="D58" i="3" a="1"/>
  <c r="E58" i="3" a="1"/>
  <c r="B59" i="3" a="1"/>
  <c r="L64" i="3" a="1"/>
  <c r="M64" i="3" a="1"/>
  <c r="N64" i="3" a="1"/>
  <c r="K65" i="3" a="1"/>
  <c r="B126" i="2" a="1"/>
  <c r="D124" i="2" a="1"/>
  <c r="E124" i="2" a="1"/>
  <c r="F124" i="2" a="1"/>
  <c r="G124" i="2" a="1"/>
  <c r="H124" i="2" a="1"/>
  <c r="O124" i="2" a="1"/>
  <c r="P124" i="2" a="1"/>
  <c r="Q124" i="2" a="1"/>
  <c r="R124" i="2" a="1"/>
  <c r="S124" i="2" a="1"/>
  <c r="K65" i="3" l="1"/>
  <c r="N64" i="3"/>
  <c r="P64" i="3" s="1"/>
  <c r="M64" i="3"/>
  <c r="O64" i="3" s="1"/>
  <c r="L64" i="3"/>
  <c r="B59" i="3"/>
  <c r="E58" i="3"/>
  <c r="G58" i="3" s="1"/>
  <c r="D58" i="3"/>
  <c r="F58" i="3" s="1"/>
  <c r="C58" i="3"/>
  <c r="K123" i="2"/>
  <c r="J123" i="2"/>
  <c r="X123" i="2"/>
  <c r="U123" i="2"/>
  <c r="S124" i="2"/>
  <c r="R124" i="2"/>
  <c r="Q124" i="2"/>
  <c r="T124" i="2" s="1"/>
  <c r="P124" i="2"/>
  <c r="O124" i="2"/>
  <c r="H124" i="2"/>
  <c r="K124" i="2" s="1"/>
  <c r="G124" i="2"/>
  <c r="F124" i="2"/>
  <c r="I124" i="2" s="1"/>
  <c r="E124" i="2"/>
  <c r="D124" i="2"/>
  <c r="B126" i="2"/>
  <c r="W123" i="2"/>
  <c r="C125" i="2"/>
  <c r="M123" i="2"/>
  <c r="L123" i="2"/>
  <c r="V123" i="2"/>
  <c r="L65" i="3" a="1"/>
  <c r="M65" i="3" a="1"/>
  <c r="N65" i="3" a="1"/>
  <c r="K66" i="3" a="1"/>
  <c r="C59" i="3" a="1"/>
  <c r="D59" i="3" a="1"/>
  <c r="E59" i="3" a="1"/>
  <c r="B60" i="3" a="1"/>
  <c r="B127" i="2" a="1"/>
  <c r="D125" i="2" a="1"/>
  <c r="E125" i="2" a="1"/>
  <c r="F125" i="2" a="1"/>
  <c r="G125" i="2" a="1"/>
  <c r="H125" i="2" a="1"/>
  <c r="O125" i="2" a="1"/>
  <c r="P125" i="2" a="1"/>
  <c r="Q125" i="2" a="1"/>
  <c r="R125" i="2" a="1"/>
  <c r="S125" i="2" a="1"/>
  <c r="B60" i="3" l="1"/>
  <c r="E59" i="3"/>
  <c r="G59" i="3" s="1"/>
  <c r="D59" i="3"/>
  <c r="F59" i="3" s="1"/>
  <c r="C59" i="3"/>
  <c r="K66" i="3"/>
  <c r="N65" i="3"/>
  <c r="P65" i="3" s="1"/>
  <c r="M65" i="3"/>
  <c r="O65" i="3" s="1"/>
  <c r="L65" i="3"/>
  <c r="M124" i="2"/>
  <c r="J124" i="2"/>
  <c r="X124" i="2"/>
  <c r="U124" i="2"/>
  <c r="S125" i="2"/>
  <c r="R125" i="2"/>
  <c r="Q125" i="2"/>
  <c r="T125" i="2" s="1"/>
  <c r="P125" i="2"/>
  <c r="O125" i="2"/>
  <c r="H125" i="2"/>
  <c r="G125" i="2"/>
  <c r="F125" i="2"/>
  <c r="I125" i="2" s="1"/>
  <c r="E125" i="2"/>
  <c r="D125" i="2"/>
  <c r="B127" i="2"/>
  <c r="W124" i="2"/>
  <c r="C126" i="2"/>
  <c r="L124" i="2"/>
  <c r="V124" i="2"/>
  <c r="L66" i="3" a="1"/>
  <c r="M66" i="3" a="1"/>
  <c r="N66" i="3" a="1"/>
  <c r="K67" i="3" a="1"/>
  <c r="C60" i="3" a="1"/>
  <c r="D60" i="3" a="1"/>
  <c r="E60" i="3" a="1"/>
  <c r="B61" i="3" a="1"/>
  <c r="B128" i="2" a="1"/>
  <c r="D126" i="2" a="1"/>
  <c r="E126" i="2" a="1"/>
  <c r="F126" i="2" a="1"/>
  <c r="G126" i="2" a="1"/>
  <c r="H126" i="2" a="1"/>
  <c r="O126" i="2" a="1"/>
  <c r="P126" i="2" a="1"/>
  <c r="Q126" i="2" a="1"/>
  <c r="R126" i="2" a="1"/>
  <c r="S126" i="2" a="1"/>
  <c r="B61" i="3" l="1"/>
  <c r="E60" i="3"/>
  <c r="G60" i="3" s="1"/>
  <c r="D60" i="3"/>
  <c r="F60" i="3" s="1"/>
  <c r="C60" i="3"/>
  <c r="K67" i="3"/>
  <c r="N66" i="3"/>
  <c r="P66" i="3" s="1"/>
  <c r="M66" i="3"/>
  <c r="O66" i="3" s="1"/>
  <c r="L66" i="3"/>
  <c r="J125" i="2"/>
  <c r="X125" i="2"/>
  <c r="K125" i="2"/>
  <c r="U125" i="2"/>
  <c r="S126" i="2"/>
  <c r="R126" i="2"/>
  <c r="Q126" i="2"/>
  <c r="T126" i="2" s="1"/>
  <c r="P126" i="2"/>
  <c r="O126" i="2"/>
  <c r="H126" i="2"/>
  <c r="G126" i="2"/>
  <c r="F126" i="2"/>
  <c r="I126" i="2" s="1"/>
  <c r="E126" i="2"/>
  <c r="D126" i="2"/>
  <c r="B128" i="2"/>
  <c r="W125" i="2"/>
  <c r="C127" i="2"/>
  <c r="M125" i="2"/>
  <c r="L125" i="2"/>
  <c r="V125" i="2"/>
  <c r="C61" i="3" a="1"/>
  <c r="D61" i="3" a="1"/>
  <c r="E61" i="3" a="1"/>
  <c r="B62" i="3" a="1"/>
  <c r="L67" i="3" a="1"/>
  <c r="M67" i="3" a="1"/>
  <c r="N67" i="3" a="1"/>
  <c r="B129" i="2" a="1"/>
  <c r="D127" i="2" a="1"/>
  <c r="E127" i="2" a="1"/>
  <c r="F127" i="2" a="1"/>
  <c r="G127" i="2" a="1"/>
  <c r="H127" i="2" a="1"/>
  <c r="O127" i="2" a="1"/>
  <c r="P127" i="2" a="1"/>
  <c r="Q127" i="2" a="1"/>
  <c r="R127" i="2" a="1"/>
  <c r="S127" i="2" a="1"/>
  <c r="N67" i="3" l="1"/>
  <c r="P67" i="3" s="1"/>
  <c r="M67" i="3"/>
  <c r="O67" i="3" s="1"/>
  <c r="L67" i="3"/>
  <c r="B62" i="3"/>
  <c r="E61" i="3"/>
  <c r="G61" i="3" s="1"/>
  <c r="D61" i="3"/>
  <c r="F61" i="3" s="1"/>
  <c r="C61" i="3"/>
  <c r="J126" i="2"/>
  <c r="X126" i="2"/>
  <c r="M126" i="2"/>
  <c r="U126" i="2"/>
  <c r="S127" i="2"/>
  <c r="R127" i="2"/>
  <c r="Q127" i="2"/>
  <c r="T127" i="2" s="1"/>
  <c r="P127" i="2"/>
  <c r="W127" i="2" s="1"/>
  <c r="O127" i="2"/>
  <c r="H127" i="2"/>
  <c r="G127" i="2"/>
  <c r="F127" i="2"/>
  <c r="I127" i="2" s="1"/>
  <c r="E127" i="2"/>
  <c r="D127" i="2"/>
  <c r="B129" i="2"/>
  <c r="K126" i="2"/>
  <c r="W126" i="2"/>
  <c r="C128" i="2"/>
  <c r="L126" i="2"/>
  <c r="V126" i="2"/>
  <c r="C62" i="3" a="1"/>
  <c r="D62" i="3" a="1"/>
  <c r="E62" i="3" a="1"/>
  <c r="B63" i="3" a="1"/>
  <c r="B130" i="2" a="1"/>
  <c r="D128" i="2" a="1"/>
  <c r="E128" i="2" a="1"/>
  <c r="F128" i="2" a="1"/>
  <c r="G128" i="2" a="1"/>
  <c r="H128" i="2" a="1"/>
  <c r="O128" i="2" a="1"/>
  <c r="P128" i="2" a="1"/>
  <c r="Q128" i="2" a="1"/>
  <c r="R128" i="2" a="1"/>
  <c r="S128" i="2" a="1"/>
  <c r="B63" i="3" l="1"/>
  <c r="E62" i="3"/>
  <c r="G62" i="3" s="1"/>
  <c r="D62" i="3"/>
  <c r="F62" i="3" s="1"/>
  <c r="C62" i="3"/>
  <c r="X127" i="2"/>
  <c r="K127" i="2"/>
  <c r="J127" i="2"/>
  <c r="S128" i="2"/>
  <c r="R128" i="2"/>
  <c r="Q128" i="2"/>
  <c r="T128" i="2" s="1"/>
  <c r="P128" i="2"/>
  <c r="O128" i="2"/>
  <c r="H128" i="2"/>
  <c r="G128" i="2"/>
  <c r="F128" i="2"/>
  <c r="I128" i="2" s="1"/>
  <c r="E128" i="2"/>
  <c r="D128" i="2"/>
  <c r="B130" i="2"/>
  <c r="C129" i="2"/>
  <c r="M127" i="2"/>
  <c r="U127" i="2"/>
  <c r="L127" i="2"/>
  <c r="V127" i="2"/>
  <c r="C63" i="3" a="1"/>
  <c r="D63" i="3" a="1"/>
  <c r="E63" i="3" a="1"/>
  <c r="B64" i="3" a="1"/>
  <c r="B131" i="2" a="1"/>
  <c r="D129" i="2" a="1"/>
  <c r="E129" i="2" a="1"/>
  <c r="F129" i="2" a="1"/>
  <c r="G129" i="2" a="1"/>
  <c r="H129" i="2" a="1"/>
  <c r="O129" i="2" a="1"/>
  <c r="P129" i="2" a="1"/>
  <c r="Q129" i="2" a="1"/>
  <c r="R129" i="2" a="1"/>
  <c r="S129" i="2" a="1"/>
  <c r="B64" i="3" l="1"/>
  <c r="E63" i="3"/>
  <c r="G63" i="3" s="1"/>
  <c r="D63" i="3"/>
  <c r="F63" i="3" s="1"/>
  <c r="C63" i="3"/>
  <c r="J128" i="2"/>
  <c r="K128" i="2"/>
  <c r="X128" i="2"/>
  <c r="W128" i="2"/>
  <c r="S129" i="2"/>
  <c r="R129" i="2"/>
  <c r="Q129" i="2"/>
  <c r="T129" i="2" s="1"/>
  <c r="P129" i="2"/>
  <c r="O129" i="2"/>
  <c r="H129" i="2"/>
  <c r="K129" i="2" s="1"/>
  <c r="G129" i="2"/>
  <c r="F129" i="2"/>
  <c r="I129" i="2" s="1"/>
  <c r="E129" i="2"/>
  <c r="D129" i="2"/>
  <c r="B131" i="2"/>
  <c r="C130" i="2"/>
  <c r="M128" i="2"/>
  <c r="U128" i="2"/>
  <c r="L128" i="2"/>
  <c r="V128" i="2"/>
  <c r="C64" i="3" a="1"/>
  <c r="D64" i="3" a="1"/>
  <c r="E64" i="3" a="1"/>
  <c r="B65" i="3" a="1"/>
  <c r="D130" i="2" a="1"/>
  <c r="E130" i="2" a="1"/>
  <c r="F130" i="2" a="1"/>
  <c r="G130" i="2" a="1"/>
  <c r="H130" i="2" a="1"/>
  <c r="O130" i="2" a="1"/>
  <c r="P130" i="2" a="1"/>
  <c r="Q130" i="2" a="1"/>
  <c r="R130" i="2" a="1"/>
  <c r="S130" i="2" a="1"/>
  <c r="B132" i="2" a="1"/>
  <c r="B65" i="3" l="1"/>
  <c r="E64" i="3"/>
  <c r="G64" i="3" s="1"/>
  <c r="D64" i="3"/>
  <c r="F64" i="3" s="1"/>
  <c r="C64" i="3"/>
  <c r="W129" i="2"/>
  <c r="X129" i="2"/>
  <c r="J129" i="2"/>
  <c r="B132" i="2"/>
  <c r="S130" i="2"/>
  <c r="R130" i="2"/>
  <c r="Q130" i="2"/>
  <c r="T130" i="2" s="1"/>
  <c r="P130" i="2"/>
  <c r="O130" i="2"/>
  <c r="H130" i="2"/>
  <c r="G130" i="2"/>
  <c r="F130" i="2"/>
  <c r="I130" i="2" s="1"/>
  <c r="E130" i="2"/>
  <c r="D130" i="2"/>
  <c r="C131" i="2"/>
  <c r="M129" i="2"/>
  <c r="U129" i="2"/>
  <c r="L129" i="2"/>
  <c r="V129" i="2"/>
  <c r="C65" i="3" a="1"/>
  <c r="D65" i="3" a="1"/>
  <c r="E65" i="3" a="1"/>
  <c r="B66" i="3" a="1"/>
  <c r="B133" i="2" a="1"/>
  <c r="D131" i="2" a="1"/>
  <c r="E131" i="2" a="1"/>
  <c r="F131" i="2" a="1"/>
  <c r="G131" i="2" a="1"/>
  <c r="H131" i="2" a="1"/>
  <c r="O131" i="2" a="1"/>
  <c r="P131" i="2" a="1"/>
  <c r="Q131" i="2" a="1"/>
  <c r="R131" i="2" a="1"/>
  <c r="S131" i="2" a="1"/>
  <c r="B66" i="3" l="1"/>
  <c r="E65" i="3"/>
  <c r="G65" i="3" s="1"/>
  <c r="D65" i="3"/>
  <c r="F65" i="3" s="1"/>
  <c r="C65" i="3"/>
  <c r="W130" i="2"/>
  <c r="K130" i="2"/>
  <c r="X130" i="2"/>
  <c r="J130" i="2"/>
  <c r="S131" i="2"/>
  <c r="R131" i="2"/>
  <c r="Q131" i="2"/>
  <c r="T131" i="2" s="1"/>
  <c r="P131" i="2"/>
  <c r="O131" i="2"/>
  <c r="H131" i="2"/>
  <c r="G131" i="2"/>
  <c r="F131" i="2"/>
  <c r="I131" i="2" s="1"/>
  <c r="E131" i="2"/>
  <c r="D131" i="2"/>
  <c r="B133" i="2"/>
  <c r="U130" i="2"/>
  <c r="L130" i="2"/>
  <c r="V130" i="2"/>
  <c r="M130" i="2"/>
  <c r="C132" i="2"/>
  <c r="C66" i="3" a="1"/>
  <c r="D66" i="3" a="1"/>
  <c r="E66" i="3" a="1"/>
  <c r="B67" i="3" a="1"/>
  <c r="B134" i="2" a="1"/>
  <c r="D132" i="2" a="1"/>
  <c r="E132" i="2" a="1"/>
  <c r="F132" i="2" a="1"/>
  <c r="G132" i="2" a="1"/>
  <c r="H132" i="2" a="1"/>
  <c r="O132" i="2" a="1"/>
  <c r="P132" i="2" a="1"/>
  <c r="Q132" i="2" a="1"/>
  <c r="R132" i="2" a="1"/>
  <c r="S132" i="2" a="1"/>
  <c r="B67" i="3" l="1"/>
  <c r="E66" i="3"/>
  <c r="G66" i="3" s="1"/>
  <c r="D66" i="3"/>
  <c r="F66" i="3" s="1"/>
  <c r="C66" i="3"/>
  <c r="K131" i="2"/>
  <c r="X131" i="2"/>
  <c r="W131" i="2"/>
  <c r="J131" i="2"/>
  <c r="S132" i="2"/>
  <c r="R132" i="2"/>
  <c r="Q132" i="2"/>
  <c r="T132" i="2" s="1"/>
  <c r="P132" i="2"/>
  <c r="O132" i="2"/>
  <c r="H132" i="2"/>
  <c r="G132" i="2"/>
  <c r="F132" i="2"/>
  <c r="I132" i="2" s="1"/>
  <c r="E132" i="2"/>
  <c r="D132" i="2"/>
  <c r="B134" i="2"/>
  <c r="M131" i="2"/>
  <c r="U131" i="2"/>
  <c r="C133" i="2"/>
  <c r="L131" i="2"/>
  <c r="V131" i="2"/>
  <c r="C67" i="3" a="1"/>
  <c r="D67" i="3" a="1"/>
  <c r="E67" i="3" a="1"/>
  <c r="B135" i="2" a="1"/>
  <c r="D133" i="2" a="1"/>
  <c r="E133" i="2" a="1"/>
  <c r="F133" i="2" a="1"/>
  <c r="G133" i="2" a="1"/>
  <c r="H133" i="2" a="1"/>
  <c r="O133" i="2" a="1"/>
  <c r="P133" i="2" a="1"/>
  <c r="Q133" i="2" a="1"/>
  <c r="R133" i="2" a="1"/>
  <c r="S133" i="2" a="1"/>
  <c r="E67" i="3" l="1"/>
  <c r="G67" i="3" s="1"/>
  <c r="D67" i="3"/>
  <c r="F67" i="3" s="1"/>
  <c r="C67" i="3"/>
  <c r="J132" i="2"/>
  <c r="K132" i="2"/>
  <c r="X132" i="2"/>
  <c r="W132" i="2"/>
  <c r="S133" i="2"/>
  <c r="R133" i="2"/>
  <c r="Q133" i="2"/>
  <c r="T133" i="2" s="1"/>
  <c r="P133" i="2"/>
  <c r="O133" i="2"/>
  <c r="H133" i="2"/>
  <c r="G133" i="2"/>
  <c r="F133" i="2"/>
  <c r="I133" i="2" s="1"/>
  <c r="E133" i="2"/>
  <c r="D133" i="2"/>
  <c r="B135" i="2"/>
  <c r="C134" i="2"/>
  <c r="M132" i="2"/>
  <c r="U132" i="2"/>
  <c r="L132" i="2"/>
  <c r="V132" i="2"/>
  <c r="B136" i="2" a="1"/>
  <c r="D134" i="2" a="1"/>
  <c r="E134" i="2" a="1"/>
  <c r="F134" i="2" a="1"/>
  <c r="G134" i="2" a="1"/>
  <c r="H134" i="2" a="1"/>
  <c r="O134" i="2" a="1"/>
  <c r="P134" i="2" a="1"/>
  <c r="Q134" i="2" a="1"/>
  <c r="R134" i="2" a="1"/>
  <c r="S134" i="2" a="1"/>
  <c r="K133" i="2" l="1"/>
  <c r="X133" i="2"/>
  <c r="W133" i="2"/>
  <c r="J133" i="2"/>
  <c r="S134" i="2"/>
  <c r="R134" i="2"/>
  <c r="Q134" i="2"/>
  <c r="T134" i="2" s="1"/>
  <c r="P134" i="2"/>
  <c r="O134" i="2"/>
  <c r="H134" i="2"/>
  <c r="G134" i="2"/>
  <c r="F134" i="2"/>
  <c r="I134" i="2" s="1"/>
  <c r="E134" i="2"/>
  <c r="D134" i="2"/>
  <c r="B136" i="2"/>
  <c r="C135" i="2"/>
  <c r="M133" i="2"/>
  <c r="U133" i="2"/>
  <c r="L133" i="2"/>
  <c r="V133" i="2"/>
  <c r="B137" i="2" a="1"/>
  <c r="D135" i="2" a="1"/>
  <c r="E135" i="2" a="1"/>
  <c r="F135" i="2" a="1"/>
  <c r="G135" i="2" a="1"/>
  <c r="H135" i="2" a="1"/>
  <c r="O135" i="2" a="1"/>
  <c r="P135" i="2" a="1"/>
  <c r="Q135" i="2" a="1"/>
  <c r="R135" i="2" a="1"/>
  <c r="S135" i="2" a="1"/>
  <c r="J134" i="2" l="1"/>
  <c r="K134" i="2"/>
  <c r="X134" i="2"/>
  <c r="W134" i="2"/>
  <c r="S135" i="2"/>
  <c r="R135" i="2"/>
  <c r="Q135" i="2"/>
  <c r="T135" i="2" s="1"/>
  <c r="P135" i="2"/>
  <c r="O135" i="2"/>
  <c r="H135" i="2"/>
  <c r="G135" i="2"/>
  <c r="F135" i="2"/>
  <c r="I135" i="2" s="1"/>
  <c r="E135" i="2"/>
  <c r="D135" i="2"/>
  <c r="B137" i="2"/>
  <c r="C136" i="2"/>
  <c r="M134" i="2"/>
  <c r="U134" i="2"/>
  <c r="L134" i="2"/>
  <c r="V134" i="2"/>
  <c r="B138" i="2" a="1"/>
  <c r="D136" i="2" a="1"/>
  <c r="E136" i="2" a="1"/>
  <c r="F136" i="2" a="1"/>
  <c r="G136" i="2" a="1"/>
  <c r="H136" i="2" a="1"/>
  <c r="O136" i="2" a="1"/>
  <c r="P136" i="2" a="1"/>
  <c r="Q136" i="2" a="1"/>
  <c r="R136" i="2" a="1"/>
  <c r="S136" i="2" a="1"/>
  <c r="J135" i="2" l="1"/>
  <c r="K135" i="2"/>
  <c r="X135" i="2"/>
  <c r="W135" i="2"/>
  <c r="S136" i="2"/>
  <c r="R136" i="2"/>
  <c r="Q136" i="2"/>
  <c r="T136" i="2" s="1"/>
  <c r="P136" i="2"/>
  <c r="O136" i="2"/>
  <c r="H136" i="2"/>
  <c r="G136" i="2"/>
  <c r="F136" i="2"/>
  <c r="I136" i="2" s="1"/>
  <c r="E136" i="2"/>
  <c r="D136" i="2"/>
  <c r="B138" i="2"/>
  <c r="M135" i="2"/>
  <c r="U135" i="2"/>
  <c r="C137" i="2"/>
  <c r="L135" i="2"/>
  <c r="V135" i="2"/>
  <c r="B139" i="2" a="1"/>
  <c r="D137" i="2" a="1"/>
  <c r="E137" i="2" a="1"/>
  <c r="F137" i="2" a="1"/>
  <c r="G137" i="2" a="1"/>
  <c r="H137" i="2" a="1"/>
  <c r="O137" i="2" a="1"/>
  <c r="P137" i="2" a="1"/>
  <c r="Q137" i="2" a="1"/>
  <c r="R137" i="2" a="1"/>
  <c r="S137" i="2" a="1"/>
  <c r="J136" i="2" l="1"/>
  <c r="K136" i="2"/>
  <c r="X136" i="2"/>
  <c r="W136" i="2"/>
  <c r="S137" i="2"/>
  <c r="R137" i="2"/>
  <c r="Q137" i="2"/>
  <c r="T137" i="2" s="1"/>
  <c r="P137" i="2"/>
  <c r="O137" i="2"/>
  <c r="H137" i="2"/>
  <c r="G137" i="2"/>
  <c r="F137" i="2"/>
  <c r="I137" i="2" s="1"/>
  <c r="E137" i="2"/>
  <c r="D137" i="2"/>
  <c r="B139" i="2"/>
  <c r="C138" i="2"/>
  <c r="M136" i="2"/>
  <c r="U136" i="2"/>
  <c r="L136" i="2"/>
  <c r="V136" i="2"/>
  <c r="B140" i="2" a="1"/>
  <c r="D138" i="2" a="1"/>
  <c r="E138" i="2" a="1"/>
  <c r="F138" i="2" a="1"/>
  <c r="G138" i="2" a="1"/>
  <c r="H138" i="2" a="1"/>
  <c r="O138" i="2" a="1"/>
  <c r="P138" i="2" a="1"/>
  <c r="Q138" i="2" a="1"/>
  <c r="R138" i="2" a="1"/>
  <c r="S138" i="2" a="1"/>
  <c r="X137" i="2" l="1"/>
  <c r="W137" i="2"/>
  <c r="K137" i="2"/>
  <c r="J137" i="2"/>
  <c r="S138" i="2"/>
  <c r="R138" i="2"/>
  <c r="Q138" i="2"/>
  <c r="T138" i="2" s="1"/>
  <c r="P138" i="2"/>
  <c r="O138" i="2"/>
  <c r="H138" i="2"/>
  <c r="G138" i="2"/>
  <c r="F138" i="2"/>
  <c r="I138" i="2" s="1"/>
  <c r="E138" i="2"/>
  <c r="D138" i="2"/>
  <c r="B140" i="2"/>
  <c r="C139" i="2"/>
  <c r="M137" i="2"/>
  <c r="U137" i="2"/>
  <c r="L137" i="2"/>
  <c r="V137" i="2"/>
  <c r="B141" i="2" a="1"/>
  <c r="D139" i="2" a="1"/>
  <c r="E139" i="2" a="1"/>
  <c r="F139" i="2" a="1"/>
  <c r="G139" i="2" a="1"/>
  <c r="H139" i="2" a="1"/>
  <c r="O139" i="2" a="1"/>
  <c r="P139" i="2" a="1"/>
  <c r="Q139" i="2" a="1"/>
  <c r="R139" i="2" a="1"/>
  <c r="S139" i="2" a="1"/>
  <c r="J138" i="2" l="1"/>
  <c r="K138" i="2"/>
  <c r="X138" i="2"/>
  <c r="W138" i="2"/>
  <c r="S139" i="2"/>
  <c r="R139" i="2"/>
  <c r="Q139" i="2"/>
  <c r="T139" i="2" s="1"/>
  <c r="P139" i="2"/>
  <c r="W139" i="2" s="1"/>
  <c r="O139" i="2"/>
  <c r="H139" i="2"/>
  <c r="G139" i="2"/>
  <c r="F139" i="2"/>
  <c r="I139" i="2" s="1"/>
  <c r="E139" i="2"/>
  <c r="D139" i="2"/>
  <c r="B141" i="2"/>
  <c r="C140" i="2"/>
  <c r="M138" i="2"/>
  <c r="U138" i="2"/>
  <c r="L138" i="2"/>
  <c r="V138" i="2"/>
  <c r="B142" i="2" a="1"/>
  <c r="D140" i="2" a="1"/>
  <c r="E140" i="2" a="1"/>
  <c r="F140" i="2" a="1"/>
  <c r="G140" i="2" a="1"/>
  <c r="H140" i="2" a="1"/>
  <c r="O140" i="2" a="1"/>
  <c r="P140" i="2" a="1"/>
  <c r="Q140" i="2" a="1"/>
  <c r="R140" i="2" a="1"/>
  <c r="S140" i="2" a="1"/>
  <c r="K139" i="2" l="1"/>
  <c r="X139" i="2"/>
  <c r="J139" i="2"/>
  <c r="S140" i="2"/>
  <c r="R140" i="2"/>
  <c r="Q140" i="2"/>
  <c r="T140" i="2" s="1"/>
  <c r="P140" i="2"/>
  <c r="O140" i="2"/>
  <c r="H140" i="2"/>
  <c r="G140" i="2"/>
  <c r="F140" i="2"/>
  <c r="I140" i="2" s="1"/>
  <c r="E140" i="2"/>
  <c r="D140" i="2"/>
  <c r="B142" i="2"/>
  <c r="C141" i="2"/>
  <c r="M139" i="2"/>
  <c r="U139" i="2"/>
  <c r="L139" i="2"/>
  <c r="V139" i="2"/>
  <c r="B143" i="2" a="1"/>
  <c r="D141" i="2" a="1"/>
  <c r="E141" i="2" a="1"/>
  <c r="F141" i="2" a="1"/>
  <c r="G141" i="2" a="1"/>
  <c r="H141" i="2" a="1"/>
  <c r="O141" i="2" a="1"/>
  <c r="P141" i="2" a="1"/>
  <c r="Q141" i="2" a="1"/>
  <c r="R141" i="2" a="1"/>
  <c r="S141" i="2" a="1"/>
  <c r="J140" i="2" l="1"/>
  <c r="K140" i="2"/>
  <c r="X140" i="2"/>
  <c r="W140" i="2"/>
  <c r="S141" i="2"/>
  <c r="R141" i="2"/>
  <c r="Q141" i="2"/>
  <c r="T141" i="2" s="1"/>
  <c r="P141" i="2"/>
  <c r="O141" i="2"/>
  <c r="H141" i="2"/>
  <c r="G141" i="2"/>
  <c r="F141" i="2"/>
  <c r="I141" i="2" s="1"/>
  <c r="E141" i="2"/>
  <c r="D141" i="2"/>
  <c r="B143" i="2"/>
  <c r="C142" i="2"/>
  <c r="M140" i="2"/>
  <c r="U140" i="2"/>
  <c r="L140" i="2"/>
  <c r="V140" i="2"/>
  <c r="B144" i="2" a="1"/>
  <c r="D142" i="2" a="1"/>
  <c r="E142" i="2" a="1"/>
  <c r="F142" i="2" a="1"/>
  <c r="G142" i="2" a="1"/>
  <c r="H142" i="2" a="1"/>
  <c r="O142" i="2" a="1"/>
  <c r="P142" i="2" a="1"/>
  <c r="Q142" i="2" a="1"/>
  <c r="R142" i="2" a="1"/>
  <c r="S142" i="2" a="1"/>
  <c r="J141" i="2" l="1"/>
  <c r="K141" i="2"/>
  <c r="X141" i="2"/>
  <c r="W141" i="2"/>
  <c r="S142" i="2"/>
  <c r="R142" i="2"/>
  <c r="Q142" i="2"/>
  <c r="T142" i="2" s="1"/>
  <c r="P142" i="2"/>
  <c r="O142" i="2"/>
  <c r="H142" i="2"/>
  <c r="G142" i="2"/>
  <c r="F142" i="2"/>
  <c r="I142" i="2" s="1"/>
  <c r="E142" i="2"/>
  <c r="D142" i="2"/>
  <c r="B144" i="2"/>
  <c r="M141" i="2"/>
  <c r="U141" i="2"/>
  <c r="C143" i="2"/>
  <c r="L141" i="2"/>
  <c r="V141" i="2"/>
  <c r="D143" i="2" a="1"/>
  <c r="E143" i="2" a="1"/>
  <c r="F143" i="2" a="1"/>
  <c r="G143" i="2" a="1"/>
  <c r="H143" i="2" a="1"/>
  <c r="O143" i="2" a="1"/>
  <c r="P143" i="2" a="1"/>
  <c r="Q143" i="2" a="1"/>
  <c r="R143" i="2" a="1"/>
  <c r="S143" i="2" a="1"/>
  <c r="K142" i="2" l="1"/>
  <c r="X142" i="2"/>
  <c r="W142" i="2"/>
  <c r="J142" i="2"/>
  <c r="S143" i="2"/>
  <c r="R143" i="2"/>
  <c r="Q143" i="2"/>
  <c r="T143" i="2" s="1"/>
  <c r="P143" i="2"/>
  <c r="O143" i="2"/>
  <c r="H143" i="2"/>
  <c r="G143" i="2"/>
  <c r="F143" i="2"/>
  <c r="I143" i="2" s="1"/>
  <c r="E143" i="2"/>
  <c r="D143" i="2"/>
  <c r="C144" i="2"/>
  <c r="M142" i="2"/>
  <c r="U142" i="2"/>
  <c r="L142" i="2"/>
  <c r="V142" i="2"/>
  <c r="D144" i="2" a="1"/>
  <c r="E144" i="2" a="1"/>
  <c r="F144" i="2" a="1"/>
  <c r="G144" i="2" a="1"/>
  <c r="H144" i="2" a="1"/>
  <c r="O144" i="2" a="1"/>
  <c r="P144" i="2" a="1"/>
  <c r="Q144" i="2" a="1"/>
  <c r="R144" i="2" a="1"/>
  <c r="S144" i="2" a="1"/>
  <c r="J143" i="2" l="1"/>
  <c r="K143" i="2"/>
  <c r="X143" i="2"/>
  <c r="W143" i="2"/>
  <c r="S144" i="2"/>
  <c r="R144" i="2"/>
  <c r="Q144" i="2"/>
  <c r="T144" i="2" s="1"/>
  <c r="P144" i="2"/>
  <c r="W144" i="2" s="1"/>
  <c r="O144" i="2"/>
  <c r="H144" i="2"/>
  <c r="G144" i="2"/>
  <c r="F144" i="2"/>
  <c r="I144" i="2" s="1"/>
  <c r="E144" i="2"/>
  <c r="D144" i="2"/>
  <c r="M143" i="2"/>
  <c r="U143" i="2"/>
  <c r="L143" i="2"/>
  <c r="V143" i="2"/>
  <c r="K144" i="2" l="1"/>
  <c r="J144" i="2"/>
  <c r="X144" i="2"/>
  <c r="U144" i="2"/>
  <c r="M144" i="2"/>
  <c r="L144" i="2"/>
  <c r="V144" i="2"/>
  <c r="W80" i="2" a="1"/>
  <c r="L80" i="2" a="1"/>
  <c r="L80" i="2" l="1"/>
  <c r="W80" i="2"/>
  <c r="Y16" i="2" a="1"/>
  <c r="Y16" i="2" l="1"/>
  <c r="Z16" i="2" s="1"/>
  <c r="U16" i="2" a="1"/>
  <c r="U16" i="2" l="1"/>
  <c r="V16" i="2" s="1"/>
  <c r="Q16" i="2" a="1"/>
  <c r="Q16" i="2" l="1"/>
  <c r="R16" i="2" s="1"/>
  <c r="M16" i="2" a="1"/>
  <c r="M16" i="2" l="1"/>
  <c r="N16" i="2" s="1"/>
  <c r="I16" i="2" a="1"/>
  <c r="I16" i="2" l="1"/>
  <c r="J16" i="2" s="1"/>
  <c r="E16" i="2" a="1"/>
  <c r="E16" i="2" l="1"/>
  <c r="F16" i="2" s="1"/>
  <c r="C16" i="2"/>
  <c r="C11" i="2" a="1"/>
  <c r="C11" i="2" l="1"/>
  <c r="E11" i="2" s="1"/>
  <c r="C10" i="2" a="1"/>
  <c r="C10" i="2" l="1"/>
  <c r="E10" i="2" s="1"/>
  <c r="C9" i="2" a="1"/>
  <c r="C9" i="2" l="1"/>
  <c r="E9" i="2" s="1"/>
  <c r="C8" i="2" a="1"/>
  <c r="C8" i="2" l="1"/>
  <c r="E8" i="2" s="1"/>
  <c r="C7" i="2" a="1"/>
  <c r="C7" i="2" l="1"/>
  <c r="E7" i="2" s="1"/>
  <c r="C6" i="2" a="1"/>
  <c r="C6" i="2" l="1"/>
  <c r="E6" i="2" s="1"/>
  <c r="B2" i="2" a="1"/>
  <c r="B2" i="2" l="1"/>
  <c r="B16" i="2" s="1"/>
  <c r="B1" i="2" a="1"/>
  <c r="B1" i="2" l="1"/>
  <c r="Y17" i="13"/>
  <c r="Y18" i="13" s="1"/>
  <c r="E69" i="13"/>
  <c r="B17" i="2" a="1"/>
  <c r="B17" i="2" l="1"/>
  <c r="H79" i="9"/>
  <c r="F82" i="9"/>
  <c r="F83" i="9" s="1"/>
  <c r="F84" i="9" s="1"/>
  <c r="C17" i="2" a="1"/>
  <c r="B18" i="2" a="1"/>
  <c r="D81" i="9" a="1"/>
  <c r="D79" i="9" a="1"/>
  <c r="D80" i="9" a="1"/>
  <c r="H88" i="1"/>
  <c r="H87" i="1"/>
  <c r="H86" i="1"/>
  <c r="H85" i="1"/>
  <c r="H84" i="1"/>
  <c r="H83" i="1"/>
  <c r="H82" i="1"/>
  <c r="H81" i="1"/>
  <c r="B18" i="2" l="1"/>
  <c r="C17" i="2"/>
  <c r="D17" i="2"/>
  <c r="D80" i="9"/>
  <c r="E80" i="9"/>
  <c r="D79" i="9"/>
  <c r="E79" i="9"/>
  <c r="D81" i="9"/>
  <c r="E81" i="9"/>
  <c r="C18" i="2" a="1"/>
  <c r="B19" i="2" a="1"/>
  <c r="E17" i="2" a="1"/>
  <c r="I17" i="2" a="1"/>
  <c r="M17" i="2" a="1"/>
  <c r="Q17" i="2" a="1"/>
  <c r="U17" i="2" a="1"/>
  <c r="Y17" i="2" a="1"/>
  <c r="K80" i="1" a="1"/>
  <c r="H80" i="1"/>
  <c r="Y17" i="2" l="1"/>
  <c r="U17" i="2"/>
  <c r="Q17" i="2"/>
  <c r="M17" i="2"/>
  <c r="I17" i="2"/>
  <c r="E17" i="2"/>
  <c r="B19" i="2"/>
  <c r="C18" i="2"/>
  <c r="D18" i="2" s="1"/>
  <c r="K88" i="1"/>
  <c r="K80" i="1"/>
  <c r="K87" i="1"/>
  <c r="K86" i="1"/>
  <c r="K85" i="1"/>
  <c r="K84" i="1"/>
  <c r="K83" i="1"/>
  <c r="K82" i="1"/>
  <c r="K81" i="1"/>
  <c r="H75" i="1"/>
  <c r="C19" i="2" a="1"/>
  <c r="B20" i="2" a="1"/>
  <c r="E18" i="2" a="1"/>
  <c r="I18" i="2" a="1"/>
  <c r="M18" i="2" a="1"/>
  <c r="Q18" i="2" a="1"/>
  <c r="U18" i="2" a="1"/>
  <c r="Y18" i="2" a="1"/>
  <c r="I75" i="1"/>
  <c r="Y18" i="2" l="1"/>
  <c r="U18" i="2"/>
  <c r="Q18" i="2"/>
  <c r="M18" i="2"/>
  <c r="I18" i="2"/>
  <c r="E18" i="2"/>
  <c r="B20" i="2"/>
  <c r="C19" i="2"/>
  <c r="D19" i="2" s="1"/>
  <c r="H74" i="1"/>
  <c r="E19" i="2" a="1"/>
  <c r="I19" i="2" a="1"/>
  <c r="M19" i="2" a="1"/>
  <c r="Q19" i="2" a="1"/>
  <c r="U19" i="2" a="1"/>
  <c r="Y19" i="2" a="1"/>
  <c r="B21" i="2" a="1"/>
  <c r="I74" i="1"/>
  <c r="B21" i="2" l="1"/>
  <c r="Y19" i="2"/>
  <c r="U19" i="2"/>
  <c r="Q19" i="2"/>
  <c r="M19" i="2"/>
  <c r="I19" i="2"/>
  <c r="E19" i="2"/>
  <c r="C20" i="2" a="1"/>
  <c r="C20" i="2" s="1"/>
  <c r="D20" i="2" s="1"/>
  <c r="Z19" i="2"/>
  <c r="V19" i="2"/>
  <c r="R19" i="2"/>
  <c r="N19" i="2"/>
  <c r="J19" i="2"/>
  <c r="F19" i="2"/>
  <c r="H73" i="1"/>
  <c r="C21" i="2" a="1"/>
  <c r="B22" i="2" a="1"/>
  <c r="I73" i="1"/>
  <c r="B22" i="2" l="1"/>
  <c r="C21" i="2"/>
  <c r="M20" i="2" a="1"/>
  <c r="M20" i="2" s="1"/>
  <c r="Q20" i="2" a="1"/>
  <c r="Q20" i="2" s="1"/>
  <c r="I20" i="2" a="1"/>
  <c r="I20" i="2" s="1"/>
  <c r="Y20" i="2" a="1"/>
  <c r="Y20" i="2" s="1"/>
  <c r="E20" i="2" a="1"/>
  <c r="E20" i="2" s="1"/>
  <c r="U20" i="2" a="1"/>
  <c r="U20" i="2" s="1"/>
  <c r="V20" i="2"/>
  <c r="Z20" i="2"/>
  <c r="R20" i="2"/>
  <c r="J20" i="2"/>
  <c r="N20" i="2"/>
  <c r="F20" i="2"/>
  <c r="D21" i="2"/>
  <c r="H72" i="1"/>
  <c r="C22" i="2" a="1"/>
  <c r="B23" i="2" a="1"/>
  <c r="E21" i="2" a="1"/>
  <c r="I21" i="2" a="1"/>
  <c r="M21" i="2" a="1"/>
  <c r="Q21" i="2" a="1"/>
  <c r="U21" i="2" a="1"/>
  <c r="Y21" i="2" a="1"/>
  <c r="I72" i="1"/>
  <c r="Y21" i="2" l="1"/>
  <c r="U21" i="2"/>
  <c r="Q21" i="2"/>
  <c r="M21" i="2"/>
  <c r="I21" i="2"/>
  <c r="E21" i="2"/>
  <c r="B23" i="2"/>
  <c r="C22" i="2"/>
  <c r="Z21" i="2"/>
  <c r="V21" i="2"/>
  <c r="R21" i="2"/>
  <c r="N21" i="2"/>
  <c r="J21" i="2"/>
  <c r="F21" i="2"/>
  <c r="D22" i="2"/>
  <c r="H71" i="1"/>
  <c r="E22" i="2" a="1"/>
  <c r="I22" i="2" a="1"/>
  <c r="M22" i="2" a="1"/>
  <c r="Q22" i="2" a="1"/>
  <c r="U22" i="2" a="1"/>
  <c r="Y22" i="2" a="1"/>
  <c r="C23" i="2" a="1"/>
  <c r="B24" i="2" a="1"/>
  <c r="I71" i="1"/>
  <c r="I70" i="1"/>
  <c r="C70" i="1"/>
  <c r="I69" i="1"/>
  <c r="C69" i="1"/>
  <c r="I68" i="1"/>
  <c r="C68" i="1"/>
  <c r="I67" i="1"/>
  <c r="C67" i="1"/>
  <c r="I66" i="1"/>
  <c r="C66" i="1"/>
  <c r="C62" i="1"/>
  <c r="C61" i="1"/>
  <c r="C60" i="1"/>
  <c r="F59" i="1"/>
  <c r="E59" i="1"/>
  <c r="D59" i="1"/>
  <c r="C59" i="1"/>
  <c r="B24" i="2" l="1"/>
  <c r="C23" i="2"/>
  <c r="D23" i="2" s="1"/>
  <c r="Y22" i="2"/>
  <c r="U22" i="2"/>
  <c r="Q22" i="2"/>
  <c r="M22" i="2"/>
  <c r="I22" i="2"/>
  <c r="E22" i="2"/>
  <c r="D60" i="1"/>
  <c r="D61" i="1" s="1"/>
  <c r="D62" i="1" s="1"/>
  <c r="C24" i="2" a="1"/>
  <c r="B25" i="2" a="1"/>
  <c r="E23" i="2" a="1"/>
  <c r="I23" i="2" a="1"/>
  <c r="M23" i="2" a="1"/>
  <c r="Q23" i="2" a="1"/>
  <c r="U23" i="2" a="1"/>
  <c r="Y23" i="2" a="1"/>
  <c r="Y23" i="2" l="1"/>
  <c r="U23" i="2"/>
  <c r="Q23" i="2"/>
  <c r="M23" i="2"/>
  <c r="I23" i="2"/>
  <c r="E23" i="2"/>
  <c r="F23" i="2" s="1"/>
  <c r="B25" i="2"/>
  <c r="C24" i="2"/>
  <c r="D24" i="2" s="1"/>
  <c r="E60" i="1"/>
  <c r="E61" i="1" s="1"/>
  <c r="E62" i="1" s="1"/>
  <c r="C25" i="2" a="1"/>
  <c r="B26" i="2" a="1"/>
  <c r="E24" i="2" a="1"/>
  <c r="I24" i="2" a="1"/>
  <c r="M24" i="2" a="1"/>
  <c r="Q24" i="2" a="1"/>
  <c r="U24" i="2" a="1"/>
  <c r="Y24" i="2" a="1"/>
  <c r="F58" i="1"/>
  <c r="E58" i="1"/>
  <c r="D58" i="1"/>
  <c r="C58" i="1"/>
  <c r="F57" i="1"/>
  <c r="E57" i="1"/>
  <c r="D57" i="1"/>
  <c r="C57" i="1"/>
  <c r="F56" i="1"/>
  <c r="E56" i="1"/>
  <c r="D56" i="1"/>
  <c r="C56" i="1"/>
  <c r="F55" i="1"/>
  <c r="E55" i="1"/>
  <c r="D55" i="1"/>
  <c r="C55" i="1"/>
  <c r="F54" i="1"/>
  <c r="E54" i="1"/>
  <c r="D54" i="1"/>
  <c r="C54" i="1"/>
  <c r="F53" i="1"/>
  <c r="E53" i="1"/>
  <c r="D53" i="1"/>
  <c r="C53" i="1"/>
  <c r="F52" i="1"/>
  <c r="E52" i="1"/>
  <c r="M52" i="1" s="1" a="1"/>
  <c r="D52" i="1"/>
  <c r="L52" i="1" s="1" a="1"/>
  <c r="C52" i="1"/>
  <c r="K52" i="1" s="1" a="1"/>
  <c r="Y24" i="2" l="1"/>
  <c r="U24" i="2"/>
  <c r="Q24" i="2"/>
  <c r="M24" i="2"/>
  <c r="I24" i="2"/>
  <c r="E24" i="2"/>
  <c r="B26" i="2"/>
  <c r="C25" i="2"/>
  <c r="D25" i="2" s="1"/>
  <c r="F60" i="1"/>
  <c r="K62" i="1"/>
  <c r="K54" i="1"/>
  <c r="K61" i="1"/>
  <c r="K53" i="1"/>
  <c r="K60" i="1"/>
  <c r="K52" i="1"/>
  <c r="K50" i="1" s="1"/>
  <c r="K59" i="1"/>
  <c r="K58" i="1"/>
  <c r="K56" i="1"/>
  <c r="K57" i="1"/>
  <c r="K55" i="1"/>
  <c r="L62" i="1"/>
  <c r="L54" i="1"/>
  <c r="L61" i="1"/>
  <c r="L53" i="1"/>
  <c r="L60" i="1"/>
  <c r="L52" i="1"/>
  <c r="L51" i="1" s="1"/>
  <c r="L59" i="1"/>
  <c r="L58" i="1"/>
  <c r="L57" i="1"/>
  <c r="L56" i="1"/>
  <c r="L55" i="1"/>
  <c r="M62" i="1"/>
  <c r="M54" i="1"/>
  <c r="M61" i="1"/>
  <c r="M53" i="1"/>
  <c r="M60" i="1"/>
  <c r="M52" i="1"/>
  <c r="M51" i="1" s="1"/>
  <c r="M59" i="1"/>
  <c r="M58" i="1"/>
  <c r="M57" i="1"/>
  <c r="M56" i="1"/>
  <c r="M55" i="1"/>
  <c r="J51" i="1"/>
  <c r="I51" i="1"/>
  <c r="H51" i="1"/>
  <c r="G51" i="1"/>
  <c r="F51" i="1"/>
  <c r="E51" i="1"/>
  <c r="D51" i="1"/>
  <c r="C51" i="1"/>
  <c r="J50" i="1"/>
  <c r="I50" i="1"/>
  <c r="H50" i="1"/>
  <c r="G50" i="1"/>
  <c r="F50" i="1"/>
  <c r="E50" i="1"/>
  <c r="D50" i="1"/>
  <c r="C50" i="1"/>
  <c r="J49" i="1"/>
  <c r="N49" i="1" s="1"/>
  <c r="R49" i="1" s="1"/>
  <c r="I49" i="1"/>
  <c r="M49" i="1" s="1"/>
  <c r="Q49" i="1" s="1"/>
  <c r="H49" i="1"/>
  <c r="L49" i="1" s="1"/>
  <c r="P49" i="1" s="1"/>
  <c r="G49" i="1"/>
  <c r="K49" i="1" s="1"/>
  <c r="O49" i="1" s="1"/>
  <c r="C26" i="2" a="1"/>
  <c r="B27" i="2" a="1"/>
  <c r="E25" i="2" a="1"/>
  <c r="I25" i="2" a="1"/>
  <c r="M25" i="2" a="1"/>
  <c r="Q25" i="2" a="1"/>
  <c r="U25" i="2" a="1"/>
  <c r="Y25" i="2" a="1"/>
  <c r="E45" i="1"/>
  <c r="D45" i="1"/>
  <c r="C45" i="1"/>
  <c r="E44" i="1"/>
  <c r="D44" i="1"/>
  <c r="C44" i="1"/>
  <c r="E43" i="1"/>
  <c r="D43" i="1"/>
  <c r="C43" i="1"/>
  <c r="E42" i="1"/>
  <c r="D42" i="1"/>
  <c r="C42" i="1"/>
  <c r="E41" i="1"/>
  <c r="D41" i="1"/>
  <c r="C41" i="1"/>
  <c r="E40" i="1"/>
  <c r="D40" i="1"/>
  <c r="C40" i="1"/>
  <c r="E39" i="1"/>
  <c r="D39" i="1"/>
  <c r="C39" i="1"/>
  <c r="E38" i="1"/>
  <c r="D38" i="1"/>
  <c r="C38" i="1"/>
  <c r="E37" i="1"/>
  <c r="D37" i="1"/>
  <c r="C37" i="1"/>
  <c r="E36" i="1"/>
  <c r="D36" i="1"/>
  <c r="C36" i="1"/>
  <c r="E35" i="1"/>
  <c r="D35" i="1"/>
  <c r="C35" i="1"/>
  <c r="E34" i="1"/>
  <c r="D34" i="1"/>
  <c r="C34" i="1"/>
  <c r="E33" i="1"/>
  <c r="D33" i="1"/>
  <c r="C33" i="1"/>
  <c r="E32" i="1"/>
  <c r="K32" i="1" s="1" a="1"/>
  <c r="D32" i="1"/>
  <c r="J32" i="1" s="1" a="1"/>
  <c r="C32" i="1"/>
  <c r="I32" i="1" s="1" a="1"/>
  <c r="Y25" i="2" l="1"/>
  <c r="Z25" i="2" s="1"/>
  <c r="U25" i="2"/>
  <c r="V25" i="2" s="1"/>
  <c r="Q25" i="2"/>
  <c r="R25" i="2" s="1"/>
  <c r="M25" i="2"/>
  <c r="N25" i="2" s="1"/>
  <c r="I25" i="2"/>
  <c r="E25" i="2"/>
  <c r="F25" i="2" s="1"/>
  <c r="B27" i="2"/>
  <c r="C26" i="2"/>
  <c r="D26" i="2" s="1"/>
  <c r="M50" i="1"/>
  <c r="F61" i="1"/>
  <c r="L50" i="1"/>
  <c r="K51" i="1"/>
  <c r="I45" i="1"/>
  <c r="I37" i="1"/>
  <c r="I44" i="1"/>
  <c r="I36" i="1"/>
  <c r="I43" i="1"/>
  <c r="I35" i="1"/>
  <c r="I42" i="1"/>
  <c r="I34" i="1"/>
  <c r="I33" i="1"/>
  <c r="I40" i="1"/>
  <c r="I32" i="1"/>
  <c r="I38" i="1"/>
  <c r="I41" i="1"/>
  <c r="I39" i="1"/>
  <c r="J45" i="1"/>
  <c r="J37" i="1"/>
  <c r="J44" i="1"/>
  <c r="J36" i="1"/>
  <c r="J43" i="1"/>
  <c r="J35" i="1"/>
  <c r="J42" i="1"/>
  <c r="J34" i="1"/>
  <c r="J41" i="1"/>
  <c r="J40" i="1"/>
  <c r="J32" i="1"/>
  <c r="J38" i="1"/>
  <c r="J33" i="1"/>
  <c r="J39" i="1"/>
  <c r="K45" i="1"/>
  <c r="K37" i="1"/>
  <c r="K36" i="1"/>
  <c r="K43" i="1"/>
  <c r="K42" i="1"/>
  <c r="K34" i="1"/>
  <c r="K41" i="1"/>
  <c r="K33" i="1"/>
  <c r="K40" i="1"/>
  <c r="K39" i="1"/>
  <c r="K44" i="1"/>
  <c r="K32" i="1"/>
  <c r="K38" i="1"/>
  <c r="K35" i="1"/>
  <c r="C27" i="2" a="1"/>
  <c r="B28" i="2" a="1"/>
  <c r="E26" i="2" a="1"/>
  <c r="I26" i="2" a="1"/>
  <c r="M26" i="2" a="1"/>
  <c r="Q26" i="2" a="1"/>
  <c r="U26" i="2" a="1"/>
  <c r="Y26" i="2" a="1"/>
  <c r="I27" i="1" a="1"/>
  <c r="Y26" i="2" l="1"/>
  <c r="U26" i="2"/>
  <c r="Q26" i="2"/>
  <c r="M26" i="2"/>
  <c r="I26" i="2"/>
  <c r="E26" i="2"/>
  <c r="B28" i="2"/>
  <c r="C27" i="2"/>
  <c r="D27" i="2" s="1"/>
  <c r="F62" i="1"/>
  <c r="I27" i="1"/>
  <c r="C28" i="2" a="1"/>
  <c r="B29" i="2" a="1"/>
  <c r="E27" i="2" a="1"/>
  <c r="I27" i="2" a="1"/>
  <c r="M27" i="2" a="1"/>
  <c r="Q27" i="2" a="1"/>
  <c r="U27" i="2" a="1"/>
  <c r="Y27" i="2" a="1"/>
  <c r="N52" i="1" a="1"/>
  <c r="H27" i="1" a="1"/>
  <c r="Y27" i="2" l="1"/>
  <c r="U27" i="2"/>
  <c r="Q27" i="2"/>
  <c r="M27" i="2"/>
  <c r="I27" i="2"/>
  <c r="E27" i="2"/>
  <c r="B29" i="2"/>
  <c r="C28" i="2"/>
  <c r="D28" i="2" s="1"/>
  <c r="N57" i="1"/>
  <c r="N62" i="1"/>
  <c r="N56" i="1"/>
  <c r="N54" i="1"/>
  <c r="N55" i="1"/>
  <c r="N58" i="1"/>
  <c r="N60" i="1"/>
  <c r="N61" i="1"/>
  <c r="N53" i="1"/>
  <c r="N59" i="1"/>
  <c r="N52" i="1"/>
  <c r="H27" i="1"/>
  <c r="C29" i="2" a="1"/>
  <c r="B30" i="2" a="1"/>
  <c r="E28" i="2" a="1"/>
  <c r="I28" i="2" a="1"/>
  <c r="M28" i="2" a="1"/>
  <c r="Q28" i="2" a="1"/>
  <c r="U28" i="2" a="1"/>
  <c r="Y28" i="2" a="1"/>
  <c r="I26" i="1" a="1"/>
  <c r="Y28" i="2" l="1"/>
  <c r="U28" i="2"/>
  <c r="Q28" i="2"/>
  <c r="M28" i="2"/>
  <c r="I28" i="2"/>
  <c r="E28" i="2"/>
  <c r="B30" i="2"/>
  <c r="C29" i="2"/>
  <c r="D29" i="2" s="1"/>
  <c r="N51" i="1"/>
  <c r="N50" i="1"/>
  <c r="I26" i="1"/>
  <c r="C30" i="2" a="1"/>
  <c r="B31" i="2" a="1"/>
  <c r="E29" i="2" a="1"/>
  <c r="I29" i="2" a="1"/>
  <c r="M29" i="2" a="1"/>
  <c r="Q29" i="2" a="1"/>
  <c r="U29" i="2" a="1"/>
  <c r="Y29" i="2" a="1"/>
  <c r="H26" i="1" a="1"/>
  <c r="Y29" i="2" l="1"/>
  <c r="U29" i="2"/>
  <c r="Q29" i="2"/>
  <c r="M29" i="2"/>
  <c r="I29" i="2"/>
  <c r="E29" i="2"/>
  <c r="B31" i="2"/>
  <c r="C30" i="2"/>
  <c r="D30" i="2" s="1"/>
  <c r="H26" i="1"/>
  <c r="C31" i="2" a="1"/>
  <c r="B32" i="2" a="1"/>
  <c r="E30" i="2" a="1"/>
  <c r="I30" i="2" a="1"/>
  <c r="M30" i="2" a="1"/>
  <c r="Q30" i="2" a="1"/>
  <c r="U30" i="2" a="1"/>
  <c r="Y30" i="2" a="1"/>
  <c r="I25" i="1" a="1"/>
  <c r="Y30" i="2" l="1"/>
  <c r="U30" i="2"/>
  <c r="Q30" i="2"/>
  <c r="M30" i="2"/>
  <c r="I30" i="2"/>
  <c r="E30" i="2"/>
  <c r="B32" i="2"/>
  <c r="C31" i="2"/>
  <c r="D31" i="2" s="1"/>
  <c r="I25" i="1"/>
  <c r="C32" i="2" a="1"/>
  <c r="B33" i="2" a="1"/>
  <c r="E31" i="2" a="1"/>
  <c r="I31" i="2" a="1"/>
  <c r="M31" i="2" a="1"/>
  <c r="Q31" i="2" a="1"/>
  <c r="U31" i="2" a="1"/>
  <c r="Y31" i="2" a="1"/>
  <c r="H25" i="1" a="1"/>
  <c r="Y31" i="2" l="1"/>
  <c r="U31" i="2"/>
  <c r="Q31" i="2"/>
  <c r="M31" i="2"/>
  <c r="I31" i="2"/>
  <c r="E31" i="2"/>
  <c r="B33" i="2"/>
  <c r="C32" i="2"/>
  <c r="D32" i="2" s="1"/>
  <c r="H25" i="1"/>
  <c r="C33" i="2" a="1"/>
  <c r="B34" i="2" a="1"/>
  <c r="E32" i="2" a="1"/>
  <c r="I32" i="2" a="1"/>
  <c r="M32" i="2" a="1"/>
  <c r="Q32" i="2" a="1"/>
  <c r="U32" i="2" a="1"/>
  <c r="Y32" i="2" a="1"/>
  <c r="I24" i="1"/>
  <c r="H24" i="1" a="1"/>
  <c r="Y32" i="2" l="1"/>
  <c r="Y33" i="2" s="1"/>
  <c r="Y34" i="2" s="1"/>
  <c r="Y35" i="2" s="1"/>
  <c r="Y36" i="2" s="1"/>
  <c r="Y37" i="2" s="1"/>
  <c r="Y38" i="2" s="1"/>
  <c r="Y39" i="2" s="1"/>
  <c r="Y40" i="2" s="1"/>
  <c r="Y41" i="2" s="1"/>
  <c r="Y42" i="2" s="1"/>
  <c r="Y43" i="2" s="1"/>
  <c r="Y44" i="2" s="1"/>
  <c r="Y45" i="2" s="1"/>
  <c r="Y46" i="2" s="1"/>
  <c r="Y47" i="2" s="1"/>
  <c r="Y48" i="2" s="1"/>
  <c r="Y49" i="2" s="1"/>
  <c r="Y50" i="2" s="1"/>
  <c r="Y51" i="2" s="1"/>
  <c r="Y52" i="2" s="1"/>
  <c r="Y53" i="2" s="1"/>
  <c r="Y54" i="2" s="1"/>
  <c r="Y55" i="2" s="1"/>
  <c r="Y56" i="2" s="1"/>
  <c r="Y57" i="2" s="1"/>
  <c r="Y58" i="2" s="1"/>
  <c r="Y59" i="2" s="1"/>
  <c r="Y60" i="2" s="1"/>
  <c r="Y61" i="2" s="1"/>
  <c r="Y62" i="2" s="1"/>
  <c r="Y63" i="2" s="1"/>
  <c r="Y64" i="2" s="1"/>
  <c r="U32" i="2"/>
  <c r="Q32" i="2"/>
  <c r="M32" i="2"/>
  <c r="I32" i="2"/>
  <c r="E32" i="2"/>
  <c r="B34" i="2"/>
  <c r="C33" i="2"/>
  <c r="D33" i="2" s="1"/>
  <c r="H24" i="1"/>
  <c r="C34" i="2" a="1"/>
  <c r="B35" i="2" a="1"/>
  <c r="E33" i="2" a="1"/>
  <c r="I33" i="2" a="1"/>
  <c r="M33" i="2" a="1"/>
  <c r="Q33" i="2" a="1"/>
  <c r="U33" i="2" a="1"/>
  <c r="I23" i="1" a="1"/>
  <c r="U33" i="2" l="1"/>
  <c r="Q33" i="2"/>
  <c r="M33" i="2"/>
  <c r="I33" i="2"/>
  <c r="E33" i="2"/>
  <c r="B35" i="2"/>
  <c r="C34" i="2"/>
  <c r="D34" i="2"/>
  <c r="I23" i="1"/>
  <c r="C35" i="2" a="1"/>
  <c r="B36" i="2" a="1"/>
  <c r="E34" i="2" a="1"/>
  <c r="I34" i="2" a="1"/>
  <c r="M34" i="2" a="1"/>
  <c r="Q34" i="2" a="1"/>
  <c r="U34" i="2" a="1"/>
  <c r="H23" i="1" a="1"/>
  <c r="U34" i="2" l="1"/>
  <c r="Q34" i="2"/>
  <c r="M34" i="2"/>
  <c r="I34" i="2"/>
  <c r="E34" i="2"/>
  <c r="B36" i="2"/>
  <c r="C35" i="2"/>
  <c r="D35" i="2"/>
  <c r="H23" i="1"/>
  <c r="C36" i="2" a="1"/>
  <c r="B37" i="2" a="1"/>
  <c r="E35" i="2" a="1"/>
  <c r="I35" i="2" a="1"/>
  <c r="M35" i="2" a="1"/>
  <c r="Q35" i="2" a="1"/>
  <c r="U35" i="2" a="1"/>
  <c r="I22" i="1" a="1"/>
  <c r="U35" i="2" l="1"/>
  <c r="Q35" i="2"/>
  <c r="M35" i="2"/>
  <c r="I35" i="2"/>
  <c r="E35" i="2"/>
  <c r="B37" i="2"/>
  <c r="C36" i="2"/>
  <c r="D36" i="2"/>
  <c r="I22" i="1"/>
  <c r="C37" i="2" a="1"/>
  <c r="B38" i="2" a="1"/>
  <c r="E36" i="2" a="1"/>
  <c r="I36" i="2" a="1"/>
  <c r="M36" i="2" a="1"/>
  <c r="Q36" i="2" a="1"/>
  <c r="U36" i="2" a="1"/>
  <c r="H22" i="1" a="1"/>
  <c r="F22" i="1"/>
  <c r="U36" i="2" l="1"/>
  <c r="Q36" i="2"/>
  <c r="M36" i="2"/>
  <c r="I36" i="2"/>
  <c r="E36" i="2"/>
  <c r="B38" i="2"/>
  <c r="C37" i="2"/>
  <c r="D37" i="2"/>
  <c r="H22" i="1"/>
  <c r="C38" i="2" a="1"/>
  <c r="B39" i="2" a="1"/>
  <c r="E37" i="2" a="1"/>
  <c r="I37" i="2" a="1"/>
  <c r="M37" i="2" a="1"/>
  <c r="Q37" i="2" a="1"/>
  <c r="U37" i="2" a="1"/>
  <c r="I21" i="1" a="1"/>
  <c r="U37" i="2" l="1"/>
  <c r="V37" i="2" s="1"/>
  <c r="Q37" i="2"/>
  <c r="R37" i="2" s="1"/>
  <c r="M37" i="2"/>
  <c r="N37" i="2" s="1"/>
  <c r="I37" i="2"/>
  <c r="E37" i="2"/>
  <c r="F37" i="2" s="1"/>
  <c r="B39" i="2"/>
  <c r="C38" i="2"/>
  <c r="D38" i="2"/>
  <c r="I21" i="1"/>
  <c r="C39" i="2" a="1"/>
  <c r="B40" i="2" a="1"/>
  <c r="E38" i="2" a="1"/>
  <c r="I38" i="2" a="1"/>
  <c r="M38" i="2" a="1"/>
  <c r="Q38" i="2" a="1"/>
  <c r="U38" i="2" a="1"/>
  <c r="H21" i="1" a="1"/>
  <c r="F21" i="1"/>
  <c r="U38" i="2" l="1"/>
  <c r="Q38" i="2"/>
  <c r="M38" i="2"/>
  <c r="I38" i="2"/>
  <c r="E38" i="2"/>
  <c r="B40" i="2"/>
  <c r="C39" i="2"/>
  <c r="D39" i="2"/>
  <c r="H21" i="1"/>
  <c r="C40" i="2" a="1"/>
  <c r="B41" i="2" a="1"/>
  <c r="E39" i="2" a="1"/>
  <c r="I39" i="2" a="1"/>
  <c r="M39" i="2" a="1"/>
  <c r="Q39" i="2" a="1"/>
  <c r="U39" i="2" a="1"/>
  <c r="U39" i="2" l="1"/>
  <c r="Q39" i="2"/>
  <c r="M39" i="2"/>
  <c r="I39" i="2"/>
  <c r="E39" i="2"/>
  <c r="B41" i="2"/>
  <c r="C40" i="2"/>
  <c r="D40" i="2"/>
  <c r="C195" i="1"/>
  <c r="C179" i="1"/>
  <c r="C163" i="1"/>
  <c r="C146" i="1"/>
  <c r="C129" i="1"/>
  <c r="C113" i="1"/>
  <c r="C96" i="1"/>
  <c r="G18" i="1"/>
  <c r="C41" i="2" a="1"/>
  <c r="B42" i="2" a="1"/>
  <c r="E40" i="2" a="1"/>
  <c r="I40" i="2" a="1"/>
  <c r="M40" i="2" a="1"/>
  <c r="Q40" i="2" a="1"/>
  <c r="U40" i="2" a="1"/>
  <c r="U40" i="2" l="1"/>
  <c r="Q40" i="2"/>
  <c r="M40" i="2"/>
  <c r="I40" i="2"/>
  <c r="E40" i="2"/>
  <c r="B42" i="2"/>
  <c r="C41" i="2"/>
  <c r="D41" i="2"/>
  <c r="H18" i="1"/>
  <c r="B27" i="1" s="1"/>
  <c r="C27" i="1" s="1"/>
  <c r="C42" i="2" a="1"/>
  <c r="B43" i="2" a="1"/>
  <c r="E41" i="2" a="1"/>
  <c r="I41" i="2" a="1"/>
  <c r="M41" i="2" a="1"/>
  <c r="Q41" i="2" a="1"/>
  <c r="U41" i="2" a="1"/>
  <c r="U41" i="2" l="1"/>
  <c r="Q41" i="2"/>
  <c r="M41" i="2"/>
  <c r="I41" i="2"/>
  <c r="E41" i="2"/>
  <c r="B43" i="2"/>
  <c r="C42" i="2"/>
  <c r="D42" i="2"/>
  <c r="B18" i="1"/>
  <c r="C43" i="2" a="1"/>
  <c r="B44" i="2" a="1"/>
  <c r="E42" i="2" a="1"/>
  <c r="I42" i="2" a="1"/>
  <c r="M42" i="2" a="1"/>
  <c r="Q42" i="2" a="1"/>
  <c r="U42" i="2" a="1"/>
  <c r="D18" i="1" a="1"/>
  <c r="U42" i="2" l="1"/>
  <c r="Q42" i="2"/>
  <c r="M42" i="2"/>
  <c r="I42" i="2"/>
  <c r="E42" i="2"/>
  <c r="B44" i="2"/>
  <c r="C43" i="2"/>
  <c r="D43" i="2"/>
  <c r="D18" i="1"/>
  <c r="F18" i="1" s="1"/>
  <c r="I18" i="1" s="1"/>
  <c r="G17" i="1"/>
  <c r="C44" i="2" a="1"/>
  <c r="B45" i="2" a="1"/>
  <c r="E43" i="2" a="1"/>
  <c r="I43" i="2" a="1"/>
  <c r="M43" i="2" a="1"/>
  <c r="Q43" i="2" a="1"/>
  <c r="U43" i="2" a="1"/>
  <c r="U43" i="2" l="1"/>
  <c r="Q43" i="2"/>
  <c r="M43" i="2"/>
  <c r="I43" i="2"/>
  <c r="E43" i="2"/>
  <c r="B45" i="2"/>
  <c r="C44" i="2"/>
  <c r="D44" i="2"/>
  <c r="H17" i="1"/>
  <c r="B26" i="1" s="1"/>
  <c r="C26" i="1" s="1"/>
  <c r="E44" i="2" a="1"/>
  <c r="I44" i="2" a="1"/>
  <c r="M44" i="2" a="1"/>
  <c r="Q44" i="2" a="1"/>
  <c r="U44" i="2" a="1"/>
  <c r="C45" i="2" a="1"/>
  <c r="B46" i="2" a="1"/>
  <c r="B46" i="2" l="1"/>
  <c r="C45" i="2"/>
  <c r="U44" i="2"/>
  <c r="Q44" i="2"/>
  <c r="M44" i="2"/>
  <c r="I44" i="2"/>
  <c r="E44" i="2"/>
  <c r="D45" i="2"/>
  <c r="B17" i="1"/>
  <c r="E45" i="2" a="1"/>
  <c r="I45" i="2" a="1"/>
  <c r="M45" i="2" a="1"/>
  <c r="Q45" i="2" a="1"/>
  <c r="U45" i="2" a="1"/>
  <c r="C46" i="2" a="1"/>
  <c r="B47" i="2" a="1"/>
  <c r="D17" i="1" a="1"/>
  <c r="B47" i="2" l="1"/>
  <c r="C46" i="2"/>
  <c r="U45" i="2"/>
  <c r="Q45" i="2"/>
  <c r="M45" i="2"/>
  <c r="I45" i="2"/>
  <c r="E45" i="2"/>
  <c r="D46" i="2"/>
  <c r="D17" i="1"/>
  <c r="F17" i="1" s="1"/>
  <c r="I17" i="1" s="1"/>
  <c r="G16" i="1"/>
  <c r="H16" i="1" s="1"/>
  <c r="B25" i="1" s="1"/>
  <c r="C25" i="1" s="1"/>
  <c r="F16" i="1"/>
  <c r="E46" i="2" a="1"/>
  <c r="I46" i="2" a="1"/>
  <c r="M46" i="2" a="1"/>
  <c r="Q46" i="2" a="1"/>
  <c r="U46" i="2" a="1"/>
  <c r="C47" i="2" a="1"/>
  <c r="B48" i="2" a="1"/>
  <c r="B48" i="2" l="1"/>
  <c r="C47" i="2"/>
  <c r="U46" i="2"/>
  <c r="Q46" i="2"/>
  <c r="M46" i="2"/>
  <c r="I46" i="2"/>
  <c r="E46" i="2"/>
  <c r="D47" i="2"/>
  <c r="I16" i="1"/>
  <c r="B16" i="1"/>
  <c r="U15" i="1" a="1"/>
  <c r="U15" i="1" s="1"/>
  <c r="G15" i="1"/>
  <c r="E47" i="2" a="1"/>
  <c r="I47" i="2" a="1"/>
  <c r="M47" i="2" a="1"/>
  <c r="Q47" i="2" a="1"/>
  <c r="U47" i="2" a="1"/>
  <c r="C48" i="2" a="1"/>
  <c r="B49" i="2" a="1"/>
  <c r="D16" i="1" a="1"/>
  <c r="B49" i="2" l="1"/>
  <c r="C48" i="2"/>
  <c r="U47" i="2"/>
  <c r="Q47" i="2"/>
  <c r="M47" i="2"/>
  <c r="I47" i="2"/>
  <c r="E47" i="2"/>
  <c r="D48" i="2"/>
  <c r="D16" i="1"/>
  <c r="V15" i="1"/>
  <c r="X15" i="1"/>
  <c r="Z15" i="1"/>
  <c r="W15" i="1"/>
  <c r="H15" i="1"/>
  <c r="B24" i="1" s="1"/>
  <c r="C24" i="1" s="1"/>
  <c r="AA15" i="1"/>
  <c r="Y15" i="1"/>
  <c r="E48" i="2" a="1"/>
  <c r="I48" i="2" a="1"/>
  <c r="M48" i="2" a="1"/>
  <c r="Q48" i="2" a="1"/>
  <c r="U48" i="2" a="1"/>
  <c r="C49" i="2" a="1"/>
  <c r="B50" i="2" a="1"/>
  <c r="B50" i="2" l="1"/>
  <c r="C49" i="2"/>
  <c r="U48" i="2"/>
  <c r="Q48" i="2"/>
  <c r="M48" i="2"/>
  <c r="I48" i="2"/>
  <c r="E48" i="2"/>
  <c r="D49" i="2"/>
  <c r="B15" i="1"/>
  <c r="E49" i="2" a="1"/>
  <c r="I49" i="2" a="1"/>
  <c r="M49" i="2" a="1"/>
  <c r="Q49" i="2" a="1"/>
  <c r="U49" i="2" a="1"/>
  <c r="C50" i="2" a="1"/>
  <c r="B51" i="2" a="1"/>
  <c r="D15" i="1" a="1"/>
  <c r="B51" i="2" l="1"/>
  <c r="C50" i="2"/>
  <c r="U49" i="2"/>
  <c r="Q49" i="2"/>
  <c r="M49" i="2"/>
  <c r="I49" i="2"/>
  <c r="E49" i="2"/>
  <c r="D50" i="2"/>
  <c r="D15" i="1"/>
  <c r="F15" i="1" s="1"/>
  <c r="I15" i="1" s="1"/>
  <c r="G14" i="1"/>
  <c r="E50" i="2" a="1"/>
  <c r="I50" i="2" a="1"/>
  <c r="M50" i="2" a="1"/>
  <c r="Q50" i="2" a="1"/>
  <c r="U50" i="2" a="1"/>
  <c r="C51" i="2" a="1"/>
  <c r="B52" i="2" a="1"/>
  <c r="B52" i="2" l="1"/>
  <c r="C51" i="2"/>
  <c r="U50" i="2"/>
  <c r="Q50" i="2"/>
  <c r="M50" i="2"/>
  <c r="I50" i="2"/>
  <c r="E50" i="2"/>
  <c r="D51" i="2"/>
  <c r="H14" i="1"/>
  <c r="B23" i="1" s="1"/>
  <c r="C23" i="1" s="1"/>
  <c r="E51" i="2" a="1"/>
  <c r="I51" i="2" a="1"/>
  <c r="M51" i="2" a="1"/>
  <c r="Q51" i="2" a="1"/>
  <c r="U51" i="2" a="1"/>
  <c r="C52" i="2" a="1"/>
  <c r="B53" i="2" a="1"/>
  <c r="B53" i="2" l="1"/>
  <c r="C52" i="2"/>
  <c r="U51" i="2"/>
  <c r="Q51" i="2"/>
  <c r="M51" i="2"/>
  <c r="I51" i="2"/>
  <c r="E51" i="2"/>
  <c r="D52" i="2"/>
  <c r="B14" i="1"/>
  <c r="E52" i="2" a="1"/>
  <c r="I52" i="2" a="1"/>
  <c r="M52" i="2" a="1"/>
  <c r="Q52" i="2" a="1"/>
  <c r="U52" i="2" a="1"/>
  <c r="C53" i="2" a="1"/>
  <c r="B54" i="2" a="1"/>
  <c r="D14" i="1" a="1"/>
  <c r="B54" i="2" l="1"/>
  <c r="C53" i="2"/>
  <c r="U52" i="2"/>
  <c r="Q52" i="2"/>
  <c r="M52" i="2"/>
  <c r="I52" i="2"/>
  <c r="E52" i="2"/>
  <c r="D53" i="2"/>
  <c r="D14" i="1"/>
  <c r="F14" i="1" s="1"/>
  <c r="I14" i="1" s="1"/>
  <c r="G13" i="1"/>
  <c r="E53" i="2" a="1"/>
  <c r="I53" i="2" a="1"/>
  <c r="M53" i="2" a="1"/>
  <c r="Q53" i="2" a="1"/>
  <c r="U53" i="2" a="1"/>
  <c r="C54" i="2" a="1"/>
  <c r="B55" i="2" a="1"/>
  <c r="B55" i="2" l="1"/>
  <c r="C54" i="2"/>
  <c r="U53" i="2"/>
  <c r="Q53" i="2"/>
  <c r="M53" i="2"/>
  <c r="I53" i="2"/>
  <c r="E53" i="2"/>
  <c r="D54" i="2"/>
  <c r="H13" i="1"/>
  <c r="B22" i="1" s="1"/>
  <c r="C22" i="1" s="1"/>
  <c r="E54" i="2" a="1"/>
  <c r="I54" i="2" a="1"/>
  <c r="M54" i="2" a="1"/>
  <c r="Q54" i="2" a="1"/>
  <c r="U54" i="2" a="1"/>
  <c r="C55" i="2" a="1"/>
  <c r="B56" i="2" a="1"/>
  <c r="B56" i="2" l="1"/>
  <c r="C55" i="2"/>
  <c r="U54" i="2"/>
  <c r="Q54" i="2"/>
  <c r="M54" i="2"/>
  <c r="I54" i="2"/>
  <c r="E54" i="2"/>
  <c r="D55" i="2"/>
  <c r="B13" i="1"/>
  <c r="E55" i="2" a="1"/>
  <c r="I55" i="2" a="1"/>
  <c r="M55" i="2" a="1"/>
  <c r="Q55" i="2" a="1"/>
  <c r="U55" i="2" a="1"/>
  <c r="C56" i="2" a="1"/>
  <c r="B57" i="2" a="1"/>
  <c r="D13" i="1" a="1"/>
  <c r="B57" i="2" l="1"/>
  <c r="C56" i="2"/>
  <c r="D56" i="2" s="1"/>
  <c r="U55" i="2"/>
  <c r="Q55" i="2"/>
  <c r="M55" i="2"/>
  <c r="I55" i="2"/>
  <c r="E55" i="2"/>
  <c r="D13" i="1"/>
  <c r="F13" i="1" s="1"/>
  <c r="I13" i="1" s="1"/>
  <c r="G12" i="1"/>
  <c r="H12" i="1" s="1"/>
  <c r="B21" i="1" s="1"/>
  <c r="C57" i="2" a="1"/>
  <c r="B58" i="2" a="1"/>
  <c r="E56" i="2" a="1"/>
  <c r="I56" i="2" a="1"/>
  <c r="M56" i="2" a="1"/>
  <c r="Q56" i="2" a="1"/>
  <c r="U56" i="2" a="1"/>
  <c r="U56" i="2" l="1"/>
  <c r="Q56" i="2"/>
  <c r="M56" i="2"/>
  <c r="I56" i="2"/>
  <c r="E56" i="2"/>
  <c r="B58" i="2"/>
  <c r="C57" i="2"/>
  <c r="D57" i="2"/>
  <c r="C21" i="1"/>
  <c r="B12" i="1"/>
  <c r="C58" i="2" a="1"/>
  <c r="B59" i="2" a="1"/>
  <c r="E57" i="2" a="1"/>
  <c r="I57" i="2" a="1"/>
  <c r="M57" i="2" a="1"/>
  <c r="Q57" i="2" a="1"/>
  <c r="U57" i="2" a="1"/>
  <c r="D12" i="1" a="1"/>
  <c r="U57" i="2" l="1"/>
  <c r="Q57" i="2"/>
  <c r="M57" i="2"/>
  <c r="I57" i="2"/>
  <c r="E57" i="2"/>
  <c r="B59" i="2"/>
  <c r="C58" i="2"/>
  <c r="D58" i="2"/>
  <c r="D12" i="1"/>
  <c r="F12" i="1" s="1"/>
  <c r="N29" i="1"/>
  <c r="M29" i="1"/>
  <c r="L29" i="1"/>
  <c r="C59" i="2" a="1"/>
  <c r="B60" i="2" a="1"/>
  <c r="E58" i="2" a="1"/>
  <c r="I58" i="2" a="1"/>
  <c r="M58" i="2" a="1"/>
  <c r="Q58" i="2" a="1"/>
  <c r="U58" i="2" a="1"/>
  <c r="U58" i="2" l="1"/>
  <c r="Q58" i="2"/>
  <c r="M58" i="2"/>
  <c r="I58" i="2"/>
  <c r="E58" i="2"/>
  <c r="B60" i="2"/>
  <c r="C59" i="2"/>
  <c r="D59" i="2"/>
  <c r="I12" i="1"/>
  <c r="E8" i="1"/>
  <c r="B1" i="1"/>
  <c r="C77" i="9"/>
  <c r="C78" i="9" s="1"/>
  <c r="F79" i="9"/>
  <c r="C83" i="9"/>
  <c r="C84" i="9"/>
  <c r="C82" i="9"/>
  <c r="M84" i="9"/>
  <c r="K84" i="9"/>
  <c r="J84" i="9"/>
  <c r="M83" i="9"/>
  <c r="K83" i="9"/>
  <c r="J83" i="9"/>
  <c r="M82" i="9"/>
  <c r="K82" i="9"/>
  <c r="J82" i="9"/>
  <c r="M81" i="9"/>
  <c r="K81" i="9"/>
  <c r="J81" i="9"/>
  <c r="M80" i="9"/>
  <c r="K80" i="9"/>
  <c r="J80" i="9"/>
  <c r="M79" i="9"/>
  <c r="K79" i="9"/>
  <c r="J79" i="9"/>
  <c r="C60" i="2" a="1"/>
  <c r="B61" i="2" a="1"/>
  <c r="E59" i="2" a="1"/>
  <c r="I59" i="2" a="1"/>
  <c r="M59" i="2" a="1"/>
  <c r="Q59" i="2" a="1"/>
  <c r="U59" i="2" a="1"/>
  <c r="D84" i="9" a="1"/>
  <c r="D82" i="9" a="1"/>
  <c r="N79" i="9"/>
  <c r="D83" i="9" a="1"/>
  <c r="F98" i="1"/>
  <c r="D98" i="1"/>
  <c r="D100" i="1"/>
  <c r="G99" i="1"/>
  <c r="G98" i="1"/>
  <c r="F100" i="1"/>
  <c r="D102" i="1"/>
  <c r="G101" i="1"/>
  <c r="E98" i="1"/>
  <c r="G100" i="1"/>
  <c r="G102" i="1"/>
  <c r="E100" i="1"/>
  <c r="H98" i="1"/>
  <c r="E99" i="1"/>
  <c r="D99" i="1"/>
  <c r="F99" i="1"/>
  <c r="E102" i="1"/>
  <c r="F102" i="1"/>
  <c r="H100" i="1"/>
  <c r="H99" i="1"/>
  <c r="H101" i="1"/>
  <c r="D101" i="1"/>
  <c r="F103" i="1"/>
  <c r="H102" i="1"/>
  <c r="E101" i="1"/>
  <c r="F101" i="1"/>
  <c r="D103" i="1"/>
  <c r="G103" i="1"/>
  <c r="E103" i="1"/>
  <c r="H103" i="1"/>
  <c r="E104" i="1"/>
  <c r="D104" i="1"/>
  <c r="F104" i="1"/>
  <c r="G104" i="1"/>
  <c r="H104" i="1"/>
  <c r="D105" i="1"/>
  <c r="H105" i="1"/>
  <c r="E106" i="1"/>
  <c r="E105" i="1"/>
  <c r="F105" i="1"/>
  <c r="G105" i="1"/>
  <c r="D106" i="1"/>
  <c r="H106" i="1"/>
  <c r="E107" i="1"/>
  <c r="G106" i="1"/>
  <c r="D107" i="1"/>
  <c r="F106" i="1"/>
  <c r="G107" i="1"/>
  <c r="H107" i="1"/>
  <c r="F107" i="1"/>
  <c r="F108" i="1"/>
  <c r="D108" i="1"/>
  <c r="E108" i="1"/>
  <c r="E109" i="1"/>
  <c r="H108" i="1"/>
  <c r="G108" i="1"/>
  <c r="D109" i="1"/>
  <c r="G109" i="1"/>
  <c r="D115" i="1"/>
  <c r="F109" i="1"/>
  <c r="H109" i="1"/>
  <c r="E115" i="1"/>
  <c r="F115" i="1"/>
  <c r="H115" i="1"/>
  <c r="D116" i="1"/>
  <c r="E116" i="1"/>
  <c r="F116" i="1"/>
  <c r="G115" i="1"/>
  <c r="G116" i="1"/>
  <c r="H116" i="1"/>
  <c r="D117" i="1"/>
  <c r="H117" i="1"/>
  <c r="E117" i="1"/>
  <c r="F117" i="1"/>
  <c r="E118" i="1"/>
  <c r="G117" i="1"/>
  <c r="D118" i="1"/>
  <c r="G118" i="1"/>
  <c r="H118" i="1"/>
  <c r="F118" i="1"/>
  <c r="H119" i="1"/>
  <c r="D119" i="1"/>
  <c r="E119" i="1"/>
  <c r="G119" i="1"/>
  <c r="G120" i="1"/>
  <c r="E120" i="1"/>
  <c r="F119" i="1"/>
  <c r="H120" i="1"/>
  <c r="D120" i="1"/>
  <c r="F120" i="1"/>
  <c r="D121" i="1"/>
  <c r="H121" i="1"/>
  <c r="F121" i="1"/>
  <c r="E121" i="1"/>
  <c r="E122" i="1"/>
  <c r="G121" i="1"/>
  <c r="D122" i="1"/>
  <c r="F122" i="1"/>
  <c r="G122" i="1"/>
  <c r="H122" i="1"/>
  <c r="D123" i="1"/>
  <c r="E123" i="1"/>
  <c r="F123" i="1"/>
  <c r="H123" i="1"/>
  <c r="G123" i="1"/>
  <c r="E124" i="1"/>
  <c r="G124" i="1"/>
  <c r="D124" i="1"/>
  <c r="H124" i="1"/>
  <c r="F124" i="1"/>
  <c r="D125" i="1"/>
  <c r="E125" i="1"/>
  <c r="E126" i="1"/>
  <c r="G125" i="1"/>
  <c r="F125" i="1"/>
  <c r="H125" i="1"/>
  <c r="D126" i="1"/>
  <c r="F126" i="1"/>
  <c r="G126" i="1"/>
  <c r="D131" i="1"/>
  <c r="H126" i="1"/>
  <c r="F131" i="1"/>
  <c r="E131" i="1"/>
  <c r="H131" i="1"/>
  <c r="G131" i="1"/>
  <c r="E132" i="1"/>
  <c r="D132" i="1"/>
  <c r="F132" i="1"/>
  <c r="G132" i="1"/>
  <c r="H132" i="1"/>
  <c r="D133" i="1"/>
  <c r="E133" i="1"/>
  <c r="F133" i="1"/>
  <c r="G133" i="1"/>
  <c r="H133" i="1"/>
  <c r="E134" i="1"/>
  <c r="G134" i="1"/>
  <c r="D134" i="1"/>
  <c r="F134" i="1"/>
  <c r="H134" i="1"/>
  <c r="H135" i="1"/>
  <c r="D135" i="1"/>
  <c r="F135" i="1"/>
  <c r="G135" i="1"/>
  <c r="F136" i="1"/>
  <c r="E136" i="1"/>
  <c r="E135" i="1"/>
  <c r="G136" i="1"/>
  <c r="D136" i="1"/>
  <c r="H136" i="1"/>
  <c r="H137" i="1"/>
  <c r="E137" i="1"/>
  <c r="E138" i="1"/>
  <c r="D137" i="1"/>
  <c r="G137" i="1"/>
  <c r="F137" i="1"/>
  <c r="D138" i="1"/>
  <c r="G138" i="1"/>
  <c r="F138" i="1"/>
  <c r="E139" i="1"/>
  <c r="D139" i="1"/>
  <c r="H138" i="1"/>
  <c r="F139" i="1"/>
  <c r="H139" i="1"/>
  <c r="E140" i="1"/>
  <c r="F140" i="1"/>
  <c r="D140" i="1"/>
  <c r="G139" i="1"/>
  <c r="G140" i="1"/>
  <c r="D141" i="1"/>
  <c r="H140" i="1"/>
  <c r="E141" i="1"/>
  <c r="F141" i="1"/>
  <c r="G141" i="1"/>
  <c r="H141" i="1"/>
  <c r="E142" i="1"/>
  <c r="F142" i="1"/>
  <c r="G142" i="1"/>
  <c r="H142" i="1"/>
  <c r="D142" i="1"/>
  <c r="H148" i="1"/>
  <c r="E148" i="1"/>
  <c r="F148" i="1"/>
  <c r="D148" i="1"/>
  <c r="G148" i="1"/>
  <c r="D149" i="1"/>
  <c r="F149" i="1"/>
  <c r="E149" i="1"/>
  <c r="G149" i="1"/>
  <c r="D150" i="1"/>
  <c r="H149" i="1"/>
  <c r="E150" i="1"/>
  <c r="F150" i="1"/>
  <c r="H150" i="1"/>
  <c r="E151" i="1"/>
  <c r="G150" i="1"/>
  <c r="F151" i="1"/>
  <c r="D151" i="1"/>
  <c r="G151" i="1"/>
  <c r="H151" i="1"/>
  <c r="D152" i="1"/>
  <c r="E152" i="1"/>
  <c r="G152" i="1"/>
  <c r="F152" i="1"/>
  <c r="H152" i="1"/>
  <c r="E153" i="1"/>
  <c r="G153" i="1"/>
  <c r="F153" i="1"/>
  <c r="D153" i="1"/>
  <c r="H153" i="1"/>
  <c r="D154" i="1"/>
  <c r="E154" i="1"/>
  <c r="G154" i="1"/>
  <c r="F154" i="1"/>
  <c r="D155" i="1"/>
  <c r="F155" i="1"/>
  <c r="H154" i="1"/>
  <c r="E155" i="1"/>
  <c r="G155" i="1"/>
  <c r="H155" i="1"/>
  <c r="E156" i="1"/>
  <c r="D156" i="1"/>
  <c r="G156" i="1"/>
  <c r="F156" i="1"/>
  <c r="D157" i="1"/>
  <c r="F157" i="1"/>
  <c r="E157" i="1"/>
  <c r="H156" i="1"/>
  <c r="G157" i="1"/>
  <c r="H157" i="1"/>
  <c r="E158" i="1"/>
  <c r="G158" i="1"/>
  <c r="D158" i="1"/>
  <c r="F158" i="1"/>
  <c r="D159" i="1"/>
  <c r="H158" i="1"/>
  <c r="E159" i="1"/>
  <c r="F159" i="1"/>
  <c r="H159" i="1"/>
  <c r="G159" i="1"/>
  <c r="E165" i="1"/>
  <c r="D165" i="1"/>
  <c r="G165" i="1"/>
  <c r="F165" i="1"/>
  <c r="D166" i="1"/>
  <c r="H165" i="1"/>
  <c r="E166" i="1"/>
  <c r="G166" i="1"/>
  <c r="F166" i="1"/>
  <c r="D167" i="1"/>
  <c r="H166" i="1"/>
  <c r="H167" i="1"/>
  <c r="G167" i="1"/>
  <c r="E167" i="1"/>
  <c r="F167" i="1"/>
  <c r="F168" i="1"/>
  <c r="D168" i="1"/>
  <c r="H168" i="1"/>
  <c r="E169" i="1"/>
  <c r="E168" i="1"/>
  <c r="G168" i="1"/>
  <c r="D169" i="1"/>
  <c r="F169" i="1"/>
  <c r="G169" i="1"/>
  <c r="F170" i="1"/>
  <c r="H169" i="1"/>
  <c r="D170" i="1"/>
  <c r="H170" i="1"/>
  <c r="E170" i="1"/>
  <c r="G170" i="1"/>
  <c r="E171" i="1"/>
  <c r="D171" i="1"/>
  <c r="F171" i="1"/>
  <c r="F172" i="1"/>
  <c r="G171" i="1"/>
  <c r="H171" i="1"/>
  <c r="E172" i="1"/>
  <c r="H172" i="1"/>
  <c r="D172" i="1"/>
  <c r="G172" i="1"/>
  <c r="E173" i="1"/>
  <c r="D173" i="1"/>
  <c r="F173" i="1"/>
  <c r="G173" i="1"/>
  <c r="F174" i="1"/>
  <c r="H173" i="1"/>
  <c r="E174" i="1"/>
  <c r="D174" i="1"/>
  <c r="H174" i="1"/>
  <c r="G174" i="1"/>
  <c r="D175" i="1"/>
  <c r="E175" i="1"/>
  <c r="F175" i="1"/>
  <c r="G175" i="1"/>
  <c r="D176" i="1"/>
  <c r="F176" i="1"/>
  <c r="H176" i="1"/>
  <c r="E176" i="1"/>
  <c r="G176" i="1"/>
  <c r="D181" i="1"/>
  <c r="F181" i="1"/>
  <c r="E181" i="1"/>
  <c r="D182" i="1"/>
  <c r="G181" i="1"/>
  <c r="H175" i="1"/>
  <c r="F182" i="1"/>
  <c r="H181" i="1"/>
  <c r="H182" i="1"/>
  <c r="E182" i="1"/>
  <c r="G182" i="1"/>
  <c r="D183" i="1"/>
  <c r="E183" i="1"/>
  <c r="G183" i="1"/>
  <c r="F184" i="1"/>
  <c r="F183" i="1"/>
  <c r="H183" i="1"/>
  <c r="E184" i="1"/>
  <c r="H184" i="1"/>
  <c r="G184" i="1"/>
  <c r="D184" i="1"/>
  <c r="E185" i="1"/>
  <c r="D185" i="1"/>
  <c r="D186" i="1"/>
  <c r="F185" i="1"/>
  <c r="G185" i="1"/>
  <c r="F186" i="1"/>
  <c r="H185" i="1"/>
  <c r="E186" i="1"/>
  <c r="G186" i="1"/>
  <c r="H186" i="1"/>
  <c r="D187" i="1"/>
  <c r="F187" i="1"/>
  <c r="E187" i="1"/>
  <c r="F188" i="1"/>
  <c r="H187" i="1"/>
  <c r="G187" i="1"/>
  <c r="G188" i="1"/>
  <c r="E188" i="1"/>
  <c r="D188" i="1"/>
  <c r="H188" i="1"/>
  <c r="D189" i="1"/>
  <c r="E189" i="1"/>
  <c r="D190" i="1"/>
  <c r="F189" i="1"/>
  <c r="G189" i="1"/>
  <c r="H189" i="1"/>
  <c r="F190" i="1"/>
  <c r="G190" i="1"/>
  <c r="H190" i="1"/>
  <c r="E190" i="1"/>
  <c r="D191" i="1"/>
  <c r="F191" i="1"/>
  <c r="H191" i="1"/>
  <c r="E191" i="1"/>
  <c r="D192" i="1"/>
  <c r="G191" i="1"/>
  <c r="F192" i="1"/>
  <c r="E192" i="1"/>
  <c r="H192" i="1"/>
  <c r="G192" i="1"/>
  <c r="G197" i="1"/>
  <c r="F198" i="1"/>
  <c r="D198" i="1"/>
  <c r="D197" i="1"/>
  <c r="H197" i="1"/>
  <c r="E198" i="1"/>
  <c r="H198" i="1"/>
  <c r="E199" i="1"/>
  <c r="G198" i="1"/>
  <c r="D199" i="1"/>
  <c r="F199" i="1"/>
  <c r="G199" i="1"/>
  <c r="H199" i="1"/>
  <c r="F200" i="1"/>
  <c r="D200" i="1"/>
  <c r="E200" i="1"/>
  <c r="H200" i="1"/>
  <c r="E201" i="1"/>
  <c r="D201" i="1"/>
  <c r="G200" i="1"/>
  <c r="F201" i="1"/>
  <c r="G201" i="1"/>
  <c r="F202" i="1"/>
  <c r="D202" i="1"/>
  <c r="H201" i="1"/>
  <c r="E202" i="1"/>
  <c r="G202" i="1"/>
  <c r="H202" i="1"/>
  <c r="D203" i="1"/>
  <c r="E203" i="1"/>
  <c r="F203" i="1"/>
  <c r="E204" i="1"/>
  <c r="G203" i="1"/>
  <c r="D204" i="1"/>
  <c r="H203" i="1"/>
  <c r="G204" i="1"/>
  <c r="H204" i="1"/>
  <c r="F204" i="1"/>
  <c r="D205" i="1"/>
  <c r="E205" i="1"/>
  <c r="F205" i="1"/>
  <c r="G205" i="1"/>
  <c r="H205" i="1"/>
  <c r="D206" i="1"/>
  <c r="E206" i="1"/>
  <c r="G206" i="1"/>
  <c r="D207" i="1"/>
  <c r="F206" i="1"/>
  <c r="H206" i="1"/>
  <c r="E207" i="1"/>
  <c r="F207" i="1"/>
  <c r="G207" i="1"/>
  <c r="H207" i="1"/>
  <c r="F208" i="1"/>
  <c r="G208" i="1"/>
  <c r="E208" i="1"/>
  <c r="D208" i="1"/>
  <c r="H208" i="1"/>
  <c r="B2" i="1" a="1"/>
  <c r="B5" i="1"/>
  <c r="M32" i="1"/>
  <c r="M34" i="1"/>
  <c r="M35" i="1"/>
  <c r="M36" i="1"/>
  <c r="M37" i="1"/>
  <c r="M38" i="1"/>
  <c r="M39" i="1"/>
  <c r="M40" i="1"/>
  <c r="M41" i="1"/>
  <c r="M42" i="1"/>
  <c r="M43" i="1"/>
  <c r="M44" i="1"/>
  <c r="M45" i="1"/>
  <c r="N32" i="1"/>
  <c r="N34" i="1"/>
  <c r="N35" i="1"/>
  <c r="N36" i="1"/>
  <c r="N37" i="1"/>
  <c r="N38" i="1"/>
  <c r="N39" i="1"/>
  <c r="N40" i="1"/>
  <c r="N41" i="1"/>
  <c r="N42" i="1"/>
  <c r="N43" i="1"/>
  <c r="N44" i="1"/>
  <c r="N45" i="1"/>
  <c r="L32" i="1"/>
  <c r="L34" i="1"/>
  <c r="L35" i="1"/>
  <c r="L36" i="1"/>
  <c r="L37" i="1"/>
  <c r="L38" i="1"/>
  <c r="L39" i="1"/>
  <c r="L40" i="1"/>
  <c r="L41" i="1"/>
  <c r="L42" i="1"/>
  <c r="L43" i="1"/>
  <c r="L44" i="1"/>
  <c r="L45" i="1"/>
  <c r="C64" i="1" a="1"/>
  <c r="D66" i="1" a="1"/>
  <c r="J66" i="1" a="1"/>
  <c r="J67" i="1" a="1"/>
  <c r="J68" i="1" a="1"/>
  <c r="K69" i="1" a="1"/>
  <c r="K70" i="1" a="1"/>
  <c r="K71" i="1" a="1"/>
  <c r="K72" i="1" a="1"/>
  <c r="B73" i="1" a="1"/>
  <c r="K73" i="1" a="1"/>
  <c r="K74" i="1" a="1"/>
  <c r="K75" i="1" a="1"/>
  <c r="L80" i="1" a="1"/>
  <c r="L81" i="1" a="1"/>
  <c r="L82" i="1" a="1"/>
  <c r="L83" i="1" a="1"/>
  <c r="L84" i="1" a="1"/>
  <c r="L85" i="1" a="1"/>
  <c r="L86" i="1" a="1"/>
  <c r="L87" i="1" a="1"/>
  <c r="L88" i="1" a="1"/>
  <c r="B98" i="1" a="1"/>
  <c r="B99" i="1" a="1"/>
  <c r="B100" i="1" a="1"/>
  <c r="B101" i="1" a="1"/>
  <c r="B102" i="1" a="1"/>
  <c r="B103" i="1" a="1"/>
  <c r="B104" i="1" a="1"/>
  <c r="B105" i="1" a="1"/>
  <c r="B106" i="1" a="1"/>
  <c r="B107" i="1" a="1"/>
  <c r="B108" i="1" a="1"/>
  <c r="B109" i="1" a="1"/>
  <c r="B115" i="1" a="1"/>
  <c r="B116" i="1" a="1"/>
  <c r="B117" i="1" a="1"/>
  <c r="B118" i="1" a="1"/>
  <c r="B119" i="1" a="1"/>
  <c r="B120" i="1" a="1"/>
  <c r="B121" i="1" a="1"/>
  <c r="B122" i="1" a="1"/>
  <c r="B123" i="1" a="1"/>
  <c r="B124" i="1" a="1"/>
  <c r="B125" i="1" a="1"/>
  <c r="B126" i="1" a="1"/>
  <c r="B131" i="1" a="1"/>
  <c r="B132" i="1" a="1"/>
  <c r="B133" i="1" a="1"/>
  <c r="B134" i="1" a="1"/>
  <c r="B135" i="1" a="1"/>
  <c r="B136" i="1" a="1"/>
  <c r="B137" i="1" a="1"/>
  <c r="B138" i="1" a="1"/>
  <c r="B139" i="1" a="1"/>
  <c r="B140" i="1" a="1"/>
  <c r="B141" i="1" a="1"/>
  <c r="B142" i="1" a="1"/>
  <c r="B148" i="1" a="1"/>
  <c r="B149" i="1" a="1"/>
  <c r="B150" i="1" a="1"/>
  <c r="B151" i="1" a="1"/>
  <c r="B152" i="1" a="1"/>
  <c r="B153" i="1" a="1"/>
  <c r="B154" i="1" a="1"/>
  <c r="B155" i="1" a="1"/>
  <c r="B156" i="1" a="1"/>
  <c r="B157" i="1" a="1"/>
  <c r="B158" i="1" a="1"/>
  <c r="B159" i="1" a="1"/>
  <c r="B165" i="1" a="1"/>
  <c r="B166" i="1" a="1"/>
  <c r="B167" i="1" a="1"/>
  <c r="B168" i="1" a="1"/>
  <c r="B169" i="1" a="1"/>
  <c r="B170" i="1" a="1"/>
  <c r="B171" i="1" a="1"/>
  <c r="B172" i="1" a="1"/>
  <c r="B173" i="1" a="1"/>
  <c r="B174" i="1" a="1"/>
  <c r="B175" i="1" a="1"/>
  <c r="B176" i="1" a="1"/>
  <c r="B181" i="1" a="1"/>
  <c r="B182" i="1" a="1"/>
  <c r="B183" i="1" a="1"/>
  <c r="B184" i="1" a="1"/>
  <c r="B185" i="1" a="1"/>
  <c r="B186" i="1" a="1"/>
  <c r="B187" i="1" a="1"/>
  <c r="B188" i="1" a="1"/>
  <c r="B189" i="1" a="1"/>
  <c r="B190" i="1" a="1"/>
  <c r="B191" i="1" a="1"/>
  <c r="B192" i="1" a="1"/>
  <c r="B197" i="1" a="1"/>
  <c r="B198" i="1" a="1"/>
  <c r="B199" i="1" a="1"/>
  <c r="B200" i="1" a="1"/>
  <c r="B201" i="1" a="1"/>
  <c r="B202" i="1" a="1"/>
  <c r="B203" i="1" a="1"/>
  <c r="B204" i="1" a="1"/>
  <c r="B205" i="1" a="1"/>
  <c r="B206" i="1" a="1"/>
  <c r="B207" i="1" a="1"/>
  <c r="B208" i="1" a="1"/>
  <c r="Q79" i="9" a="1"/>
  <c r="U59" i="2" l="1"/>
  <c r="Q59" i="2"/>
  <c r="M59" i="2"/>
  <c r="I59" i="2"/>
  <c r="E59" i="2"/>
  <c r="B61" i="2"/>
  <c r="C60" i="2"/>
  <c r="D60" i="2"/>
  <c r="F80" i="9"/>
  <c r="E83" i="9"/>
  <c r="D83" i="9"/>
  <c r="E82" i="9"/>
  <c r="D82" i="9"/>
  <c r="D84" i="9"/>
  <c r="E84" i="9"/>
  <c r="H82" i="9"/>
  <c r="M208" i="1"/>
  <c r="L208" i="1"/>
  <c r="K208" i="1"/>
  <c r="J208" i="1"/>
  <c r="I208" i="1"/>
  <c r="B208" i="1"/>
  <c r="M207" i="1"/>
  <c r="L207" i="1"/>
  <c r="K207" i="1"/>
  <c r="J207" i="1"/>
  <c r="I207" i="1"/>
  <c r="B207" i="1"/>
  <c r="M206" i="1"/>
  <c r="L206" i="1"/>
  <c r="K206" i="1"/>
  <c r="J206" i="1"/>
  <c r="I206" i="1"/>
  <c r="B206" i="1"/>
  <c r="M205" i="1"/>
  <c r="L205" i="1"/>
  <c r="K205" i="1"/>
  <c r="J205" i="1"/>
  <c r="I205" i="1"/>
  <c r="B205" i="1"/>
  <c r="M204" i="1"/>
  <c r="L204" i="1"/>
  <c r="K204" i="1"/>
  <c r="J204" i="1"/>
  <c r="I204" i="1"/>
  <c r="B204" i="1"/>
  <c r="M203" i="1"/>
  <c r="L203" i="1"/>
  <c r="K203" i="1"/>
  <c r="J203" i="1"/>
  <c r="I203" i="1"/>
  <c r="B203" i="1"/>
  <c r="M202" i="1"/>
  <c r="L202" i="1"/>
  <c r="K202" i="1"/>
  <c r="J202" i="1"/>
  <c r="I202" i="1"/>
  <c r="B202" i="1"/>
  <c r="M201" i="1"/>
  <c r="L201" i="1"/>
  <c r="K201" i="1"/>
  <c r="J201" i="1"/>
  <c r="I201" i="1"/>
  <c r="B201" i="1"/>
  <c r="M200" i="1"/>
  <c r="L200" i="1"/>
  <c r="K200" i="1"/>
  <c r="J200" i="1"/>
  <c r="I200" i="1"/>
  <c r="B200" i="1"/>
  <c r="M199" i="1"/>
  <c r="L199" i="1"/>
  <c r="K199" i="1"/>
  <c r="J199" i="1"/>
  <c r="I199" i="1"/>
  <c r="B199" i="1"/>
  <c r="M198" i="1"/>
  <c r="L198" i="1"/>
  <c r="K198" i="1"/>
  <c r="F197" i="1"/>
  <c r="K197" i="1" s="1"/>
  <c r="J198" i="1"/>
  <c r="E197" i="1"/>
  <c r="J197" i="1" s="1"/>
  <c r="I198" i="1"/>
  <c r="B198" i="1"/>
  <c r="M197" i="1"/>
  <c r="L197" i="1"/>
  <c r="I197" i="1"/>
  <c r="B197" i="1"/>
  <c r="M192" i="1"/>
  <c r="L192" i="1"/>
  <c r="K192" i="1"/>
  <c r="J192" i="1"/>
  <c r="I192" i="1"/>
  <c r="B192" i="1"/>
  <c r="M191" i="1"/>
  <c r="L191" i="1"/>
  <c r="K191" i="1"/>
  <c r="J191" i="1"/>
  <c r="I191" i="1"/>
  <c r="B191" i="1"/>
  <c r="M190" i="1"/>
  <c r="L190" i="1"/>
  <c r="K190" i="1"/>
  <c r="J190" i="1"/>
  <c r="I190" i="1"/>
  <c r="B190" i="1"/>
  <c r="M189" i="1"/>
  <c r="L189" i="1"/>
  <c r="K189" i="1"/>
  <c r="J189" i="1"/>
  <c r="I189" i="1"/>
  <c r="B189" i="1"/>
  <c r="M188" i="1"/>
  <c r="L188" i="1"/>
  <c r="K188" i="1"/>
  <c r="J188" i="1"/>
  <c r="I188" i="1"/>
  <c r="B188" i="1"/>
  <c r="M187" i="1"/>
  <c r="L187" i="1"/>
  <c r="K187" i="1"/>
  <c r="J187" i="1"/>
  <c r="I187" i="1"/>
  <c r="B187" i="1"/>
  <c r="M186" i="1"/>
  <c r="L186" i="1"/>
  <c r="K186" i="1"/>
  <c r="J186" i="1"/>
  <c r="I186" i="1"/>
  <c r="B186" i="1"/>
  <c r="M185" i="1"/>
  <c r="L185" i="1"/>
  <c r="K185" i="1"/>
  <c r="J185" i="1"/>
  <c r="I185" i="1"/>
  <c r="B185" i="1"/>
  <c r="M184" i="1"/>
  <c r="L184" i="1"/>
  <c r="K184" i="1"/>
  <c r="J184" i="1"/>
  <c r="I184" i="1"/>
  <c r="B184" i="1"/>
  <c r="M183" i="1"/>
  <c r="L183" i="1"/>
  <c r="K183" i="1"/>
  <c r="J183" i="1"/>
  <c r="I183" i="1"/>
  <c r="B183" i="1"/>
  <c r="M182" i="1"/>
  <c r="L182" i="1"/>
  <c r="K182" i="1"/>
  <c r="J182" i="1"/>
  <c r="I182" i="1"/>
  <c r="B182" i="1"/>
  <c r="M181" i="1"/>
  <c r="L181" i="1"/>
  <c r="K181" i="1"/>
  <c r="J181" i="1"/>
  <c r="I181" i="1"/>
  <c r="B181" i="1"/>
  <c r="M176" i="1"/>
  <c r="L176" i="1"/>
  <c r="K176" i="1"/>
  <c r="J176" i="1"/>
  <c r="I176" i="1"/>
  <c r="B176" i="1"/>
  <c r="M175" i="1"/>
  <c r="L175" i="1"/>
  <c r="K175" i="1"/>
  <c r="J175" i="1"/>
  <c r="I175" i="1"/>
  <c r="B175" i="1"/>
  <c r="M174" i="1"/>
  <c r="L174" i="1"/>
  <c r="K174" i="1"/>
  <c r="J174" i="1"/>
  <c r="I174" i="1"/>
  <c r="B174" i="1"/>
  <c r="M173" i="1"/>
  <c r="L173" i="1"/>
  <c r="K173" i="1"/>
  <c r="J173" i="1"/>
  <c r="I173" i="1"/>
  <c r="B173" i="1"/>
  <c r="M172" i="1"/>
  <c r="L172" i="1"/>
  <c r="K172" i="1"/>
  <c r="J172" i="1"/>
  <c r="I172" i="1"/>
  <c r="B172" i="1"/>
  <c r="M171" i="1"/>
  <c r="L171" i="1"/>
  <c r="K171" i="1"/>
  <c r="J171" i="1"/>
  <c r="I171" i="1"/>
  <c r="B171" i="1"/>
  <c r="M170" i="1"/>
  <c r="L170" i="1"/>
  <c r="K170" i="1"/>
  <c r="J170" i="1"/>
  <c r="I170" i="1"/>
  <c r="B170" i="1"/>
  <c r="M169" i="1"/>
  <c r="L169" i="1"/>
  <c r="K169" i="1"/>
  <c r="J169" i="1"/>
  <c r="I169" i="1"/>
  <c r="B169" i="1"/>
  <c r="M168" i="1"/>
  <c r="L168" i="1"/>
  <c r="K168" i="1"/>
  <c r="J168" i="1"/>
  <c r="I168" i="1"/>
  <c r="B168" i="1"/>
  <c r="M167" i="1"/>
  <c r="L167" i="1"/>
  <c r="K167" i="1"/>
  <c r="J167" i="1"/>
  <c r="I167" i="1"/>
  <c r="B167" i="1"/>
  <c r="M166" i="1"/>
  <c r="L166" i="1"/>
  <c r="K166" i="1"/>
  <c r="J166" i="1"/>
  <c r="I166" i="1"/>
  <c r="B166" i="1"/>
  <c r="M165" i="1"/>
  <c r="L165" i="1"/>
  <c r="K165" i="1"/>
  <c r="J165" i="1"/>
  <c r="I165" i="1"/>
  <c r="B165" i="1"/>
  <c r="M159" i="1"/>
  <c r="L159" i="1"/>
  <c r="K159" i="1"/>
  <c r="J159" i="1"/>
  <c r="I159" i="1"/>
  <c r="B159" i="1"/>
  <c r="M158" i="1"/>
  <c r="L158" i="1"/>
  <c r="K158" i="1"/>
  <c r="J158" i="1"/>
  <c r="I158" i="1"/>
  <c r="B158" i="1"/>
  <c r="M157" i="1"/>
  <c r="L157" i="1"/>
  <c r="K157" i="1"/>
  <c r="J157" i="1"/>
  <c r="I157" i="1"/>
  <c r="B157" i="1"/>
  <c r="M156" i="1"/>
  <c r="L156" i="1"/>
  <c r="K156" i="1"/>
  <c r="J156" i="1"/>
  <c r="I156" i="1"/>
  <c r="B156" i="1"/>
  <c r="M155" i="1"/>
  <c r="L155" i="1"/>
  <c r="K155" i="1"/>
  <c r="J155" i="1"/>
  <c r="I155" i="1"/>
  <c r="B155" i="1"/>
  <c r="M154" i="1"/>
  <c r="L154" i="1"/>
  <c r="K154" i="1"/>
  <c r="J154" i="1"/>
  <c r="I154" i="1"/>
  <c r="B154" i="1"/>
  <c r="M153" i="1"/>
  <c r="L153" i="1"/>
  <c r="K153" i="1"/>
  <c r="J153" i="1"/>
  <c r="I153" i="1"/>
  <c r="B153" i="1"/>
  <c r="M152" i="1"/>
  <c r="L152" i="1"/>
  <c r="K152" i="1"/>
  <c r="J152" i="1"/>
  <c r="I152" i="1"/>
  <c r="B152" i="1"/>
  <c r="M151" i="1"/>
  <c r="L151" i="1"/>
  <c r="K151" i="1"/>
  <c r="J151" i="1"/>
  <c r="I151" i="1"/>
  <c r="B151" i="1"/>
  <c r="M150" i="1"/>
  <c r="L150" i="1"/>
  <c r="K150" i="1"/>
  <c r="J150" i="1"/>
  <c r="I150" i="1"/>
  <c r="B150" i="1"/>
  <c r="M149" i="1"/>
  <c r="L149" i="1"/>
  <c r="K149" i="1"/>
  <c r="J149" i="1"/>
  <c r="I149" i="1"/>
  <c r="B149" i="1"/>
  <c r="M148" i="1"/>
  <c r="L148" i="1"/>
  <c r="K148" i="1"/>
  <c r="J148" i="1"/>
  <c r="I148" i="1"/>
  <c r="B148" i="1"/>
  <c r="M142" i="1"/>
  <c r="L142" i="1"/>
  <c r="K142" i="1"/>
  <c r="J142" i="1"/>
  <c r="I142" i="1"/>
  <c r="B142" i="1"/>
  <c r="M141" i="1"/>
  <c r="L141" i="1"/>
  <c r="K141" i="1"/>
  <c r="J141" i="1"/>
  <c r="I141" i="1"/>
  <c r="B141" i="1"/>
  <c r="M140" i="1"/>
  <c r="L140" i="1"/>
  <c r="K140" i="1"/>
  <c r="J140" i="1"/>
  <c r="I140" i="1"/>
  <c r="B140" i="1"/>
  <c r="M139" i="1"/>
  <c r="L139" i="1"/>
  <c r="K139" i="1"/>
  <c r="J139" i="1"/>
  <c r="I139" i="1"/>
  <c r="B139" i="1"/>
  <c r="M138" i="1"/>
  <c r="L138" i="1"/>
  <c r="K138" i="1"/>
  <c r="J138" i="1"/>
  <c r="I138" i="1"/>
  <c r="B138" i="1"/>
  <c r="M137" i="1"/>
  <c r="L137" i="1"/>
  <c r="K137" i="1"/>
  <c r="J137" i="1"/>
  <c r="I137" i="1"/>
  <c r="B137" i="1"/>
  <c r="M136" i="1"/>
  <c r="L136" i="1"/>
  <c r="K136" i="1"/>
  <c r="J136" i="1"/>
  <c r="I136" i="1"/>
  <c r="B136" i="1"/>
  <c r="M135" i="1"/>
  <c r="L135" i="1"/>
  <c r="K135" i="1"/>
  <c r="J135" i="1"/>
  <c r="I135" i="1"/>
  <c r="B135" i="1"/>
  <c r="M134" i="1"/>
  <c r="L134" i="1"/>
  <c r="K134" i="1"/>
  <c r="J134" i="1"/>
  <c r="I134" i="1"/>
  <c r="B134" i="1"/>
  <c r="M133" i="1"/>
  <c r="L133" i="1"/>
  <c r="K133" i="1"/>
  <c r="J133" i="1"/>
  <c r="I133" i="1"/>
  <c r="B133" i="1"/>
  <c r="M132" i="1"/>
  <c r="L132" i="1"/>
  <c r="K132" i="1"/>
  <c r="J132" i="1"/>
  <c r="I132" i="1"/>
  <c r="B132" i="1"/>
  <c r="M131" i="1"/>
  <c r="L131" i="1"/>
  <c r="K131" i="1"/>
  <c r="J131" i="1"/>
  <c r="I131" i="1"/>
  <c r="B131" i="1"/>
  <c r="M126" i="1"/>
  <c r="L126" i="1"/>
  <c r="K126" i="1"/>
  <c r="J126" i="1"/>
  <c r="I126" i="1"/>
  <c r="B126" i="1"/>
  <c r="M125" i="1"/>
  <c r="L125" i="1"/>
  <c r="K125" i="1"/>
  <c r="J125" i="1"/>
  <c r="I125" i="1"/>
  <c r="B125" i="1"/>
  <c r="M124" i="1"/>
  <c r="L124" i="1"/>
  <c r="K124" i="1"/>
  <c r="J124" i="1"/>
  <c r="I124" i="1"/>
  <c r="B124" i="1"/>
  <c r="M123" i="1"/>
  <c r="L123" i="1"/>
  <c r="K123" i="1"/>
  <c r="J123" i="1"/>
  <c r="I123" i="1"/>
  <c r="B123" i="1"/>
  <c r="M122" i="1"/>
  <c r="L122" i="1"/>
  <c r="K122" i="1"/>
  <c r="J122" i="1"/>
  <c r="I122" i="1"/>
  <c r="B122" i="1"/>
  <c r="M121" i="1"/>
  <c r="L121" i="1"/>
  <c r="K121" i="1"/>
  <c r="J121" i="1"/>
  <c r="I121" i="1"/>
  <c r="B121" i="1"/>
  <c r="M120" i="1"/>
  <c r="L120" i="1"/>
  <c r="K120" i="1"/>
  <c r="J120" i="1"/>
  <c r="I120" i="1"/>
  <c r="B120" i="1"/>
  <c r="M119" i="1"/>
  <c r="L119" i="1"/>
  <c r="K119" i="1"/>
  <c r="J119" i="1"/>
  <c r="I119" i="1"/>
  <c r="B119" i="1"/>
  <c r="M118" i="1"/>
  <c r="L118" i="1"/>
  <c r="K118" i="1"/>
  <c r="J118" i="1"/>
  <c r="I118" i="1"/>
  <c r="B118" i="1"/>
  <c r="M117" i="1"/>
  <c r="L117" i="1"/>
  <c r="K117" i="1"/>
  <c r="J117" i="1"/>
  <c r="I117" i="1"/>
  <c r="B117" i="1"/>
  <c r="M116" i="1"/>
  <c r="L116" i="1"/>
  <c r="K116" i="1"/>
  <c r="J116" i="1"/>
  <c r="I116" i="1"/>
  <c r="B116" i="1"/>
  <c r="M115" i="1"/>
  <c r="L115" i="1"/>
  <c r="K115" i="1"/>
  <c r="J115" i="1"/>
  <c r="I115" i="1"/>
  <c r="B115" i="1"/>
  <c r="M109" i="1"/>
  <c r="L109" i="1"/>
  <c r="K109" i="1"/>
  <c r="J109" i="1"/>
  <c r="I109" i="1"/>
  <c r="B109" i="1"/>
  <c r="M108" i="1"/>
  <c r="L108" i="1"/>
  <c r="K108" i="1"/>
  <c r="J108" i="1"/>
  <c r="I108" i="1"/>
  <c r="B108" i="1"/>
  <c r="M107" i="1"/>
  <c r="L107" i="1"/>
  <c r="K107" i="1"/>
  <c r="J107" i="1"/>
  <c r="I107" i="1"/>
  <c r="B107" i="1"/>
  <c r="M106" i="1"/>
  <c r="L106" i="1"/>
  <c r="K106" i="1"/>
  <c r="J106" i="1"/>
  <c r="I106" i="1"/>
  <c r="B106" i="1"/>
  <c r="M105" i="1"/>
  <c r="L105" i="1"/>
  <c r="K105" i="1"/>
  <c r="J105" i="1"/>
  <c r="I105" i="1"/>
  <c r="B105" i="1"/>
  <c r="M104" i="1"/>
  <c r="L104" i="1"/>
  <c r="K104" i="1"/>
  <c r="J104" i="1"/>
  <c r="I104" i="1"/>
  <c r="B104" i="1"/>
  <c r="M103" i="1"/>
  <c r="L103" i="1"/>
  <c r="K103" i="1"/>
  <c r="J103" i="1"/>
  <c r="I103" i="1"/>
  <c r="B103" i="1"/>
  <c r="M102" i="1"/>
  <c r="L102" i="1"/>
  <c r="K102" i="1"/>
  <c r="J102" i="1"/>
  <c r="I102" i="1"/>
  <c r="B102" i="1"/>
  <c r="M101" i="1"/>
  <c r="L101" i="1"/>
  <c r="K101" i="1"/>
  <c r="J101" i="1"/>
  <c r="I101" i="1"/>
  <c r="B101" i="1"/>
  <c r="M100" i="1"/>
  <c r="L100" i="1"/>
  <c r="K100" i="1"/>
  <c r="J100" i="1"/>
  <c r="I100" i="1"/>
  <c r="B100" i="1"/>
  <c r="M99" i="1"/>
  <c r="L99" i="1"/>
  <c r="K99" i="1"/>
  <c r="J99" i="1"/>
  <c r="I99" i="1"/>
  <c r="B99" i="1"/>
  <c r="M98" i="1"/>
  <c r="L98" i="1"/>
  <c r="K98" i="1"/>
  <c r="J98" i="1"/>
  <c r="I98" i="1"/>
  <c r="B98" i="1"/>
  <c r="L88" i="1"/>
  <c r="L87" i="1"/>
  <c r="L86" i="1"/>
  <c r="L85" i="1"/>
  <c r="L84" i="1"/>
  <c r="L83" i="1"/>
  <c r="L82" i="1"/>
  <c r="L81" i="1"/>
  <c r="L80" i="1"/>
  <c r="K75" i="1"/>
  <c r="K74" i="1"/>
  <c r="K73" i="1"/>
  <c r="B73" i="1"/>
  <c r="K72" i="1"/>
  <c r="K71" i="1"/>
  <c r="K70" i="1"/>
  <c r="K69" i="1"/>
  <c r="J68" i="1"/>
  <c r="J67" i="1"/>
  <c r="J66" i="1"/>
  <c r="D66" i="1"/>
  <c r="C64" i="1"/>
  <c r="B2" i="1"/>
  <c r="M21" i="1"/>
  <c r="M20" i="1" s="1"/>
  <c r="T16" i="1"/>
  <c r="T17" i="1" s="1"/>
  <c r="T3" i="1"/>
  <c r="T4" i="1" s="1"/>
  <c r="Q79" i="9"/>
  <c r="H80" i="9"/>
  <c r="E60" i="2" a="1"/>
  <c r="I60" i="2" a="1"/>
  <c r="M60" i="2" a="1"/>
  <c r="Q60" i="2" a="1"/>
  <c r="U60" i="2" a="1"/>
  <c r="C61" i="2" a="1"/>
  <c r="B62" i="2" a="1"/>
  <c r="N82" i="9" a="1"/>
  <c r="Q82" i="9" a="1"/>
  <c r="N25" i="1"/>
  <c r="N24" i="1"/>
  <c r="N26" i="1"/>
  <c r="N22" i="1"/>
  <c r="N23" i="1"/>
  <c r="N27" i="1"/>
  <c r="K68" i="1" a="1"/>
  <c r="K66" i="1" a="1"/>
  <c r="C73" i="1"/>
  <c r="E73" i="1"/>
  <c r="B74" i="1" a="1"/>
  <c r="M194" i="1" a="1"/>
  <c r="K67" i="1" a="1"/>
  <c r="M162" i="1" a="1"/>
  <c r="E66" i="1" a="1"/>
  <c r="M178" i="1" a="1"/>
  <c r="M95" i="1" a="1"/>
  <c r="M128" i="1" a="1"/>
  <c r="D67" i="1" a="1"/>
  <c r="D68" i="1" a="1"/>
  <c r="D69" i="1" a="1"/>
  <c r="D70" i="1" a="1"/>
  <c r="O50" i="1"/>
  <c r="S52" i="1" a="1"/>
  <c r="S53" i="1" a="1"/>
  <c r="S54" i="1" a="1"/>
  <c r="S55" i="1" a="1"/>
  <c r="S56" i="1" a="1"/>
  <c r="S57" i="1" a="1"/>
  <c r="S58" i="1" a="1"/>
  <c r="S59" i="1" a="1"/>
  <c r="S60" i="1" a="1"/>
  <c r="S61" i="1" a="1"/>
  <c r="S62" i="1" a="1"/>
  <c r="M112" i="1" a="1"/>
  <c r="Q80" i="9" a="1"/>
  <c r="N80" i="9" a="1"/>
  <c r="B62" i="2" l="1"/>
  <c r="C61" i="2"/>
  <c r="D61" i="2" s="1"/>
  <c r="U60" i="2"/>
  <c r="Q60" i="2"/>
  <c r="M60" i="2"/>
  <c r="I60" i="2"/>
  <c r="E60" i="2"/>
  <c r="N82" i="9"/>
  <c r="F81" i="9"/>
  <c r="Q82" i="9"/>
  <c r="H83" i="9"/>
  <c r="M112" i="1"/>
  <c r="S62" i="1"/>
  <c r="S61" i="1"/>
  <c r="S60" i="1"/>
  <c r="S59" i="1"/>
  <c r="S58" i="1"/>
  <c r="S57" i="1"/>
  <c r="S56" i="1"/>
  <c r="S55" i="1"/>
  <c r="S54" i="1"/>
  <c r="S53" i="1"/>
  <c r="S52" i="1"/>
  <c r="D70" i="1"/>
  <c r="D69" i="1"/>
  <c r="D68" i="1"/>
  <c r="D67" i="1"/>
  <c r="M128" i="1"/>
  <c r="M95" i="1"/>
  <c r="M178" i="1"/>
  <c r="E66" i="1"/>
  <c r="M162" i="1"/>
  <c r="K67" i="1"/>
  <c r="M194" i="1"/>
  <c r="B74" i="1"/>
  <c r="K66" i="1"/>
  <c r="K68" i="1"/>
  <c r="T5" i="1"/>
  <c r="T18" i="1" s="1"/>
  <c r="N80" i="9"/>
  <c r="Q80" i="9"/>
  <c r="H81" i="9"/>
  <c r="C62" i="2" a="1"/>
  <c r="B63" i="2" a="1"/>
  <c r="E61" i="2" a="1"/>
  <c r="I61" i="2" a="1"/>
  <c r="M61" i="2" a="1"/>
  <c r="Q61" i="2" a="1"/>
  <c r="U61" i="2" a="1"/>
  <c r="N83" i="9" a="1"/>
  <c r="Q83" i="9" a="1"/>
  <c r="O62" i="1" a="1"/>
  <c r="Q62" i="1" a="1"/>
  <c r="P62" i="1" a="1"/>
  <c r="R62" i="1" a="1"/>
  <c r="O54" i="1"/>
  <c r="Q54" i="1" a="1"/>
  <c r="P54" i="1" a="1"/>
  <c r="R54" i="1" a="1"/>
  <c r="O61" i="1" a="1"/>
  <c r="Q61" i="1" a="1"/>
  <c r="P61" i="1" a="1"/>
  <c r="R61" i="1" a="1"/>
  <c r="O53" i="1"/>
  <c r="Q53" i="1" a="1"/>
  <c r="P53" i="1" a="1"/>
  <c r="R53" i="1" a="1"/>
  <c r="O60" i="1"/>
  <c r="Q60" i="1" a="1"/>
  <c r="P60" i="1" a="1"/>
  <c r="R60" i="1" a="1"/>
  <c r="E70" i="1" a="1"/>
  <c r="O58" i="1"/>
  <c r="Q58" i="1" a="1"/>
  <c r="P58" i="1" a="1"/>
  <c r="R58" i="1" a="1"/>
  <c r="E69" i="1" a="1"/>
  <c r="O57" i="1"/>
  <c r="Q57" i="1" a="1"/>
  <c r="P57" i="1" a="1"/>
  <c r="R57" i="1" a="1"/>
  <c r="E68" i="1" a="1"/>
  <c r="O56" i="1"/>
  <c r="Q56" i="1" a="1"/>
  <c r="P56" i="1" a="1"/>
  <c r="R56" i="1" a="1"/>
  <c r="E67" i="1" a="1"/>
  <c r="C74" i="1"/>
  <c r="E74" i="1"/>
  <c r="B75" i="1" a="1"/>
  <c r="O52" i="1"/>
  <c r="Q52" i="1" a="1"/>
  <c r="P52" i="1" a="1"/>
  <c r="R52" i="1" a="1"/>
  <c r="O59" i="1"/>
  <c r="Q59" i="1" a="1"/>
  <c r="P59" i="1" a="1"/>
  <c r="R59" i="1" a="1"/>
  <c r="O55" i="1" a="1"/>
  <c r="Q55" i="1" a="1"/>
  <c r="P55" i="1" a="1"/>
  <c r="R55" i="1" a="1"/>
  <c r="Q81" i="9" a="1"/>
  <c r="N81" i="9" a="1"/>
  <c r="U61" i="2" l="1"/>
  <c r="Q61" i="2"/>
  <c r="M61" i="2"/>
  <c r="I61" i="2"/>
  <c r="E61" i="2"/>
  <c r="B63" i="2"/>
  <c r="C62" i="2"/>
  <c r="D62" i="2"/>
  <c r="N83" i="9"/>
  <c r="Q83" i="9"/>
  <c r="H84" i="9"/>
  <c r="R55" i="1"/>
  <c r="P55" i="1"/>
  <c r="Q55" i="1"/>
  <c r="O55" i="1"/>
  <c r="R59" i="1"/>
  <c r="P59" i="1"/>
  <c r="Q59" i="1"/>
  <c r="R52" i="1"/>
  <c r="P52" i="1"/>
  <c r="Q52" i="1"/>
  <c r="B75" i="1"/>
  <c r="E67" i="1"/>
  <c r="R56" i="1"/>
  <c r="P56" i="1"/>
  <c r="Q56" i="1"/>
  <c r="E68" i="1"/>
  <c r="R57" i="1"/>
  <c r="P57" i="1"/>
  <c r="Q57" i="1"/>
  <c r="E69" i="1"/>
  <c r="R58" i="1"/>
  <c r="P58" i="1"/>
  <c r="Q58" i="1"/>
  <c r="E70" i="1"/>
  <c r="R60" i="1"/>
  <c r="P60" i="1"/>
  <c r="Q60" i="1"/>
  <c r="R53" i="1"/>
  <c r="P53" i="1"/>
  <c r="Q53" i="1"/>
  <c r="R61" i="1"/>
  <c r="P61" i="1"/>
  <c r="Q61" i="1"/>
  <c r="O61" i="1"/>
  <c r="R54" i="1"/>
  <c r="P54" i="1"/>
  <c r="Q54" i="1"/>
  <c r="R62" i="1"/>
  <c r="P62" i="1"/>
  <c r="Q62" i="1"/>
  <c r="O62" i="1"/>
  <c r="T9" i="1"/>
  <c r="T22" i="1" s="1"/>
  <c r="T13" i="1"/>
  <c r="T26" i="1" s="1"/>
  <c r="T6" i="1"/>
  <c r="T19" i="1" s="1"/>
  <c r="T10" i="1"/>
  <c r="T23" i="1" s="1"/>
  <c r="T11" i="1"/>
  <c r="T24" i="1" s="1"/>
  <c r="T12" i="1"/>
  <c r="T25" i="1" s="1"/>
  <c r="T14" i="1"/>
  <c r="T7" i="1"/>
  <c r="T20" i="1" s="1"/>
  <c r="T8" i="1"/>
  <c r="T21" i="1" s="1"/>
  <c r="N81" i="9"/>
  <c r="Q81" i="9"/>
  <c r="C63" i="2" a="1"/>
  <c r="B64" i="2" a="1"/>
  <c r="E62" i="2" a="1"/>
  <c r="I62" i="2" a="1"/>
  <c r="M62" i="2" a="1"/>
  <c r="Q62" i="2" a="1"/>
  <c r="U62" i="2" a="1"/>
  <c r="N84" i="9" a="1"/>
  <c r="Q84" i="9" a="1"/>
  <c r="C75" i="1"/>
  <c r="E75" i="1"/>
  <c r="B76" i="1" a="1"/>
  <c r="U62" i="2" l="1"/>
  <c r="Q62" i="2"/>
  <c r="M62" i="2"/>
  <c r="I62" i="2"/>
  <c r="E62" i="2"/>
  <c r="B64" i="2"/>
  <c r="C63" i="2"/>
  <c r="D63" i="2"/>
  <c r="N84" i="9"/>
  <c r="Q84" i="9"/>
  <c r="B76" i="1"/>
  <c r="C64" i="2" a="1"/>
  <c r="B65" i="2" a="1"/>
  <c r="E63" i="2" a="1"/>
  <c r="I63" i="2" a="1"/>
  <c r="M63" i="2" a="1"/>
  <c r="Q63" i="2" a="1"/>
  <c r="U63" i="2" a="1"/>
  <c r="C76" i="1"/>
  <c r="E76" i="1"/>
  <c r="B77" i="1" a="1"/>
  <c r="U63" i="2" l="1"/>
  <c r="Q63" i="2"/>
  <c r="M63" i="2"/>
  <c r="I63" i="2"/>
  <c r="E63" i="2"/>
  <c r="B65" i="2"/>
  <c r="C64" i="2"/>
  <c r="D64" i="2"/>
  <c r="B77" i="1"/>
  <c r="G81" i="5"/>
  <c r="G82" i="5" s="1"/>
  <c r="G83" i="5" s="1"/>
  <c r="C65" i="2" a="1"/>
  <c r="B66" i="2" a="1"/>
  <c r="E64" i="2" a="1"/>
  <c r="I64" i="2" a="1"/>
  <c r="M64" i="2" a="1"/>
  <c r="Q64" i="2" a="1"/>
  <c r="U64" i="2" a="1"/>
  <c r="C77" i="1"/>
  <c r="E77" i="1"/>
  <c r="B78" i="1" a="1"/>
  <c r="U64" i="2" l="1"/>
  <c r="Q64" i="2"/>
  <c r="M64" i="2"/>
  <c r="I64" i="2"/>
  <c r="E64" i="2"/>
  <c r="B66" i="2"/>
  <c r="C65" i="2"/>
  <c r="D65" i="2"/>
  <c r="B78" i="1"/>
  <c r="C66" i="2" a="1"/>
  <c r="B67" i="2" a="1"/>
  <c r="E65" i="2" a="1"/>
  <c r="I65" i="2" a="1"/>
  <c r="C78" i="1"/>
  <c r="E78" i="1"/>
  <c r="B79" i="1" a="1"/>
  <c r="I65" i="2" l="1"/>
  <c r="E65" i="2"/>
  <c r="B67" i="2"/>
  <c r="C66" i="2"/>
  <c r="D66" i="2"/>
  <c r="B79" i="1"/>
  <c r="C67" i="2" a="1"/>
  <c r="B68" i="2" a="1"/>
  <c r="E66" i="2" a="1"/>
  <c r="I66" i="2" a="1"/>
  <c r="C79" i="1"/>
  <c r="E79" i="1"/>
  <c r="B80" i="1" a="1"/>
  <c r="I66" i="2" l="1"/>
  <c r="E66" i="2"/>
  <c r="B68" i="2"/>
  <c r="C67" i="2"/>
  <c r="D67" i="2" s="1"/>
  <c r="B80" i="1"/>
  <c r="C68" i="2" a="1"/>
  <c r="B69" i="2" a="1"/>
  <c r="E67" i="2" a="1"/>
  <c r="I67" i="2" a="1"/>
  <c r="C80" i="1"/>
  <c r="E80" i="1"/>
  <c r="B81" i="1" a="1"/>
  <c r="I67" i="2" l="1"/>
  <c r="E67" i="2"/>
  <c r="B69" i="2"/>
  <c r="C68" i="2"/>
  <c r="D68" i="2" s="1"/>
  <c r="B81" i="1"/>
  <c r="C69" i="2" a="1"/>
  <c r="B70" i="2" a="1"/>
  <c r="E68" i="2" a="1"/>
  <c r="I68" i="2" a="1"/>
  <c r="C81" i="1"/>
  <c r="E81" i="1"/>
  <c r="B82" i="1" a="1"/>
  <c r="I68" i="2" l="1"/>
  <c r="E68" i="2"/>
  <c r="B70" i="2"/>
  <c r="C69" i="2"/>
  <c r="D69" i="2" s="1"/>
  <c r="B82" i="1"/>
  <c r="C70" i="2" a="1"/>
  <c r="B71" i="2" a="1"/>
  <c r="E69" i="2" a="1"/>
  <c r="I69" i="2" a="1"/>
  <c r="C82" i="1"/>
  <c r="E82" i="1"/>
  <c r="B83" i="1" a="1"/>
  <c r="I69" i="2" l="1"/>
  <c r="E69" i="2"/>
  <c r="B71" i="2"/>
  <c r="C70" i="2"/>
  <c r="D70" i="2" s="1"/>
  <c r="B83" i="1"/>
  <c r="C71" i="2" a="1"/>
  <c r="B72" i="2" a="1"/>
  <c r="E70" i="2" a="1"/>
  <c r="I70" i="2" a="1"/>
  <c r="C83" i="1"/>
  <c r="E83" i="1"/>
  <c r="B84" i="1" a="1"/>
  <c r="I70" i="2" l="1"/>
  <c r="E70" i="2"/>
  <c r="B72" i="2"/>
  <c r="C71" i="2"/>
  <c r="D71" i="2"/>
  <c r="B84" i="1"/>
  <c r="C72" i="2" a="1"/>
  <c r="B73" i="2" a="1"/>
  <c r="E71" i="2" a="1"/>
  <c r="I71" i="2" a="1"/>
  <c r="C84" i="1"/>
  <c r="E84" i="1"/>
  <c r="B85" i="1" a="1"/>
  <c r="I71" i="2" l="1"/>
  <c r="E71" i="2"/>
  <c r="B73" i="2"/>
  <c r="C72" i="2"/>
  <c r="D72" i="2"/>
  <c r="B85" i="1"/>
  <c r="C73" i="2" a="1"/>
  <c r="B74" i="2" a="1"/>
  <c r="E72" i="2" a="1"/>
  <c r="I72" i="2" a="1"/>
  <c r="C85" i="1"/>
  <c r="E85" i="1"/>
  <c r="B86" i="1" a="1"/>
  <c r="I72" i="2" l="1"/>
  <c r="E72" i="2"/>
  <c r="B74" i="2"/>
  <c r="C73" i="2"/>
  <c r="D73" i="2"/>
  <c r="B86" i="1"/>
  <c r="C74" i="2" a="1"/>
  <c r="B75" i="2" a="1"/>
  <c r="E73" i="2" a="1"/>
  <c r="I73" i="2" a="1"/>
  <c r="C86" i="1"/>
  <c r="E86" i="1"/>
  <c r="B87" i="1" a="1"/>
  <c r="I73" i="2" l="1"/>
  <c r="E73" i="2"/>
  <c r="B75" i="2"/>
  <c r="C74" i="2"/>
  <c r="D74" i="2" s="1"/>
  <c r="B87" i="1"/>
  <c r="C75" i="2" a="1"/>
  <c r="B76" i="2" a="1"/>
  <c r="E74" i="2" a="1"/>
  <c r="I74" i="2" a="1"/>
  <c r="C87" i="1"/>
  <c r="E87" i="1"/>
  <c r="B88" i="1" a="1"/>
  <c r="I74" i="2" l="1"/>
  <c r="E74" i="2"/>
  <c r="B76" i="2"/>
  <c r="C75" i="2"/>
  <c r="D75" i="2" s="1"/>
  <c r="B88" i="1"/>
  <c r="C76" i="2" a="1"/>
  <c r="B77" i="2" a="1"/>
  <c r="E75" i="2" a="1"/>
  <c r="I75" i="2" a="1"/>
  <c r="C88" i="1"/>
  <c r="E88" i="1"/>
  <c r="B89" i="1" a="1"/>
  <c r="I75" i="2" l="1"/>
  <c r="E75" i="2"/>
  <c r="B77" i="2"/>
  <c r="C76" i="2"/>
  <c r="D76" i="2" s="1"/>
  <c r="B89" i="1"/>
  <c r="C77" i="2" a="1"/>
  <c r="E76" i="2" a="1"/>
  <c r="I76" i="2" a="1"/>
  <c r="C89" i="1"/>
  <c r="E89" i="1"/>
  <c r="B90" i="1" a="1"/>
  <c r="I76" i="2" l="1"/>
  <c r="E76" i="2"/>
  <c r="C77" i="2"/>
  <c r="D77" i="2"/>
  <c r="B90" i="1"/>
  <c r="E77" i="2" a="1"/>
  <c r="I77" i="2" a="1"/>
  <c r="C90" i="1"/>
  <c r="E90" i="1"/>
  <c r="B91" i="1" a="1"/>
  <c r="I77" i="2" l="1"/>
  <c r="E77" i="2"/>
  <c r="B91" i="1"/>
  <c r="C91" i="1"/>
  <c r="E91" i="1"/>
  <c r="B4" i="1" s="1" a="1"/>
  <c r="B4" i="1" l="1"/>
  <c r="C86" i="11" l="1"/>
  <c r="C87" i="11"/>
  <c r="C88" i="11"/>
  <c r="C89" i="11"/>
  <c r="C90" i="11"/>
  <c r="C85" i="11"/>
  <c r="C150" i="5" l="1"/>
  <c r="C154" i="5" s="1"/>
  <c r="L159" i="5" s="1"/>
  <c r="C151" i="5"/>
  <c r="C155" i="5" s="1"/>
  <c r="L160" i="5" s="1"/>
  <c r="C149" i="5"/>
  <c r="C153" i="5" s="1"/>
  <c r="L158" i="5" s="1"/>
  <c r="I155" i="5"/>
  <c r="I154" i="5"/>
  <c r="G154" i="5"/>
  <c r="G155" i="5" s="1"/>
  <c r="I153" i="5"/>
  <c r="I151" i="5"/>
  <c r="I150" i="5"/>
  <c r="G150" i="5"/>
  <c r="G151" i="5" s="1"/>
  <c r="I149" i="5"/>
  <c r="L146" i="5"/>
  <c r="L147" i="5"/>
  <c r="L145" i="5"/>
  <c r="D155" i="5" a="1"/>
  <c r="D153" i="5" a="1"/>
  <c r="D150" i="5" a="1"/>
  <c r="D151" i="5" a="1"/>
  <c r="D149" i="5" a="1"/>
  <c r="D154" i="5" a="1"/>
  <c r="D155" i="5" l="1"/>
  <c r="D149" i="5"/>
  <c r="D150" i="5"/>
  <c r="D151" i="5"/>
  <c r="D153" i="5"/>
  <c r="D154" i="5"/>
  <c r="I142" i="5"/>
  <c r="C142" i="5"/>
  <c r="I141" i="5"/>
  <c r="G141" i="5"/>
  <c r="G142" i="5" s="1"/>
  <c r="C141" i="5"/>
  <c r="I140" i="5"/>
  <c r="G137" i="5"/>
  <c r="G138" i="5" s="1"/>
  <c r="L151" i="5" a="1"/>
  <c r="L155" i="5" a="1"/>
  <c r="L149" i="5" a="1"/>
  <c r="L153" i="5" a="1"/>
  <c r="L150" i="5" a="1"/>
  <c r="L154" i="5" a="1"/>
  <c r="L154" i="5" l="1"/>
  <c r="L153" i="5"/>
  <c r="L151" i="5"/>
  <c r="L150" i="5"/>
  <c r="L149" i="5"/>
  <c r="L155" i="5"/>
  <c r="C138" i="5" l="1"/>
  <c r="C137" i="5"/>
  <c r="I137" i="5"/>
  <c r="I138" i="5"/>
  <c r="I136" i="5"/>
  <c r="D140" i="5" a="1"/>
  <c r="D142" i="5" a="1"/>
  <c r="D137" i="5" a="1"/>
  <c r="D136" i="5" a="1"/>
  <c r="D141" i="5" a="1"/>
  <c r="D138" i="5" a="1"/>
  <c r="D142" i="5" l="1"/>
  <c r="D140" i="5"/>
  <c r="D141" i="5"/>
  <c r="D138" i="5"/>
  <c r="D136" i="5"/>
  <c r="D137" i="5"/>
  <c r="C22" i="9"/>
  <c r="L140" i="5" a="1"/>
  <c r="L138" i="5" a="1"/>
  <c r="L141" i="5" a="1"/>
  <c r="L142" i="5" a="1"/>
  <c r="L136" i="5" a="1"/>
  <c r="L137" i="5" a="1"/>
  <c r="AB25" i="9" a="1"/>
  <c r="AB23" i="9" a="1"/>
  <c r="AB24" i="9" a="1"/>
  <c r="L142" i="5" l="1"/>
  <c r="L141" i="5"/>
  <c r="L140" i="5"/>
  <c r="L137" i="5"/>
  <c r="L136" i="5"/>
  <c r="L138" i="5"/>
  <c r="AB23" i="9"/>
  <c r="AC23" i="9" s="1"/>
  <c r="AB25" i="9"/>
  <c r="AC25" i="9" s="1"/>
  <c r="AB24" i="9"/>
  <c r="AC24" i="9" s="1"/>
  <c r="I201" i="11" l="1"/>
  <c r="J201" i="11"/>
  <c r="L201" i="11"/>
  <c r="I166" i="11"/>
  <c r="J166" i="11"/>
  <c r="L166" i="11"/>
  <c r="U166" i="11"/>
  <c r="I167" i="11"/>
  <c r="J167" i="11"/>
  <c r="L167" i="11"/>
  <c r="U167" i="11"/>
  <c r="I168" i="11"/>
  <c r="J168" i="11"/>
  <c r="L168" i="11"/>
  <c r="U168" i="11"/>
  <c r="I169" i="11"/>
  <c r="J169" i="11"/>
  <c r="L169" i="11"/>
  <c r="U169" i="11"/>
  <c r="I170" i="11"/>
  <c r="J170" i="11"/>
  <c r="L170" i="11"/>
  <c r="U170" i="11"/>
  <c r="I171" i="11"/>
  <c r="J171" i="11"/>
  <c r="L171" i="11"/>
  <c r="U171" i="11"/>
  <c r="I172" i="11"/>
  <c r="J172" i="11"/>
  <c r="L172" i="11"/>
  <c r="U172" i="11"/>
  <c r="I173" i="11"/>
  <c r="J173" i="11"/>
  <c r="L173" i="11"/>
  <c r="U173" i="11"/>
  <c r="I174" i="11"/>
  <c r="J174" i="11"/>
  <c r="L174" i="11"/>
  <c r="U174" i="11"/>
  <c r="I175" i="11"/>
  <c r="J175" i="11"/>
  <c r="L175" i="11"/>
  <c r="U175" i="11"/>
  <c r="I176" i="11"/>
  <c r="J176" i="11"/>
  <c r="L176" i="11"/>
  <c r="U176" i="11"/>
  <c r="I177" i="11"/>
  <c r="J177" i="11"/>
  <c r="L177" i="11"/>
  <c r="U177" i="11"/>
  <c r="I190" i="11"/>
  <c r="J190" i="11"/>
  <c r="L190" i="11"/>
  <c r="I191" i="11"/>
  <c r="J191" i="11"/>
  <c r="L191" i="11"/>
  <c r="I192" i="11"/>
  <c r="J192" i="11"/>
  <c r="L192" i="11"/>
  <c r="I193" i="11"/>
  <c r="J193" i="11"/>
  <c r="L193" i="11"/>
  <c r="I194" i="11"/>
  <c r="J194" i="11"/>
  <c r="L194" i="11"/>
  <c r="I195" i="11"/>
  <c r="J195" i="11"/>
  <c r="L195" i="11"/>
  <c r="I196" i="11"/>
  <c r="J196" i="11"/>
  <c r="L196" i="11"/>
  <c r="I197" i="11"/>
  <c r="J197" i="11"/>
  <c r="L197" i="11"/>
  <c r="I198" i="11"/>
  <c r="J198" i="11"/>
  <c r="L198" i="11"/>
  <c r="I199" i="11"/>
  <c r="J199" i="11"/>
  <c r="L199" i="11"/>
  <c r="I200" i="11"/>
  <c r="J200" i="11"/>
  <c r="L200" i="11"/>
  <c r="D195" i="11"/>
  <c r="D191" i="11"/>
  <c r="D200" i="11"/>
  <c r="D198" i="11"/>
  <c r="D190" i="11"/>
  <c r="D192" i="11"/>
  <c r="D194" i="11"/>
  <c r="D188" i="11"/>
  <c r="D199" i="11"/>
  <c r="D180" i="11"/>
  <c r="D179" i="11"/>
  <c r="D189" i="11"/>
  <c r="D201" i="11"/>
  <c r="D193" i="11"/>
  <c r="D185" i="11"/>
  <c r="D184" i="11"/>
  <c r="D187" i="11"/>
  <c r="D196" i="11"/>
  <c r="D183" i="11"/>
  <c r="D197" i="11"/>
  <c r="D186" i="11"/>
  <c r="D182" i="11"/>
  <c r="D181" i="11"/>
  <c r="M167" i="11" a="1"/>
  <c r="M168" i="11" a="1"/>
  <c r="M174" i="11" a="1"/>
  <c r="M177" i="11" a="1"/>
  <c r="M173" i="11" a="1"/>
  <c r="M175" i="11" a="1"/>
  <c r="M172" i="11" a="1"/>
  <c r="M170" i="11" a="1"/>
  <c r="M166" i="11" a="1"/>
  <c r="M176" i="11" a="1"/>
  <c r="M171" i="11" a="1"/>
  <c r="M169" i="11" a="1"/>
  <c r="E201" i="11" l="1"/>
  <c r="E199" i="11"/>
  <c r="E195" i="11"/>
  <c r="E191" i="11"/>
  <c r="E187" i="11"/>
  <c r="E183" i="11"/>
  <c r="E179" i="11"/>
  <c r="E198" i="11"/>
  <c r="E194" i="11"/>
  <c r="E190" i="11"/>
  <c r="E186" i="11"/>
  <c r="E182" i="11"/>
  <c r="E185" i="11"/>
  <c r="E197" i="11"/>
  <c r="E193" i="11"/>
  <c r="E189" i="11"/>
  <c r="E181" i="11"/>
  <c r="E200" i="11"/>
  <c r="E196" i="11"/>
  <c r="E192" i="11"/>
  <c r="E188" i="11"/>
  <c r="E184" i="11"/>
  <c r="E180" i="11"/>
  <c r="M177" i="11"/>
  <c r="M173" i="11"/>
  <c r="M169" i="11"/>
  <c r="M174" i="11"/>
  <c r="M170" i="11"/>
  <c r="M166" i="11"/>
  <c r="M175" i="11"/>
  <c r="M171" i="11"/>
  <c r="M167" i="11"/>
  <c r="M176" i="11"/>
  <c r="M172" i="11"/>
  <c r="M168" i="11"/>
  <c r="Y128" i="5"/>
  <c r="X128" i="5"/>
  <c r="Y127" i="5"/>
  <c r="M195" i="11" a="1"/>
  <c r="M197" i="11" a="1"/>
  <c r="M196" i="11" a="1"/>
  <c r="M201" i="11" a="1"/>
  <c r="M198" i="11" a="1"/>
  <c r="M193" i="11" a="1"/>
  <c r="M191" i="11" a="1"/>
  <c r="M199" i="11" a="1"/>
  <c r="M200" i="11" a="1"/>
  <c r="M190" i="11" a="1"/>
  <c r="M192" i="11" a="1"/>
  <c r="M194" i="11" a="1"/>
  <c r="M200" i="11" l="1"/>
  <c r="M201" i="11"/>
  <c r="M191" i="11"/>
  <c r="M199" i="11"/>
  <c r="M190" i="11"/>
  <c r="M196" i="11"/>
  <c r="M193" i="11"/>
  <c r="M198" i="11"/>
  <c r="M192" i="11"/>
  <c r="M197" i="11"/>
  <c r="M195" i="11"/>
  <c r="M194" i="11"/>
  <c r="Y123" i="5"/>
  <c r="I123" i="5"/>
  <c r="Y122" i="5"/>
  <c r="X122" i="5"/>
  <c r="I122" i="5"/>
  <c r="M50" i="10" l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L50" i="10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K50" i="10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J50" i="10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I50" i="10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H50" i="10"/>
  <c r="H51" i="10" s="1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M38" i="10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L38" i="10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K38" i="10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J38" i="10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I38" i="10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H38" i="10"/>
  <c r="H39" i="10" s="1"/>
  <c r="H40" i="10" s="1"/>
  <c r="H41" i="10" s="1"/>
  <c r="H42" i="10" s="1"/>
  <c r="H43" i="10" s="1"/>
  <c r="H44" i="10" s="1"/>
  <c r="H45" i="10" s="1"/>
  <c r="H46" i="10" s="1"/>
  <c r="H47" i="10" s="1"/>
  <c r="H48" i="10" s="1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C41" i="13"/>
  <c r="C40" i="13"/>
  <c r="C39" i="13"/>
  <c r="C38" i="13"/>
  <c r="C37" i="13"/>
  <c r="C36" i="13"/>
  <c r="C33" i="13"/>
  <c r="C31" i="13"/>
  <c r="C30" i="13"/>
  <c r="C7" i="13"/>
  <c r="H1" i="13"/>
  <c r="O1" i="13" s="1"/>
  <c r="M73" i="9"/>
  <c r="K73" i="9"/>
  <c r="J73" i="9"/>
  <c r="H73" i="9"/>
  <c r="M72" i="9"/>
  <c r="K72" i="9"/>
  <c r="J72" i="9"/>
  <c r="H72" i="9"/>
  <c r="M71" i="9"/>
  <c r="K71" i="9"/>
  <c r="J71" i="9"/>
  <c r="H71" i="9"/>
  <c r="M70" i="9"/>
  <c r="K70" i="9"/>
  <c r="J70" i="9"/>
  <c r="H70" i="9"/>
  <c r="M69" i="9"/>
  <c r="K69" i="9"/>
  <c r="J69" i="9"/>
  <c r="H69" i="9"/>
  <c r="M68" i="9"/>
  <c r="K68" i="9"/>
  <c r="J68" i="9"/>
  <c r="H68" i="9"/>
  <c r="M67" i="9"/>
  <c r="K67" i="9"/>
  <c r="J67" i="9"/>
  <c r="H67" i="9"/>
  <c r="M66" i="9"/>
  <c r="K66" i="9"/>
  <c r="J66" i="9"/>
  <c r="H66" i="9"/>
  <c r="M65" i="9"/>
  <c r="K65" i="9"/>
  <c r="J65" i="9"/>
  <c r="H65" i="9"/>
  <c r="M64" i="9"/>
  <c r="K64" i="9"/>
  <c r="J64" i="9"/>
  <c r="H64" i="9"/>
  <c r="M63" i="9"/>
  <c r="K63" i="9"/>
  <c r="J63" i="9"/>
  <c r="H63" i="9"/>
  <c r="F63" i="9"/>
  <c r="F64" i="9" s="1"/>
  <c r="F65" i="9" s="1"/>
  <c r="F66" i="9" s="1"/>
  <c r="F67" i="9" s="1"/>
  <c r="F68" i="9" s="1"/>
  <c r="F69" i="9" s="1"/>
  <c r="F70" i="9" s="1"/>
  <c r="F71" i="9" s="1"/>
  <c r="F72" i="9" s="1"/>
  <c r="F73" i="9" s="1"/>
  <c r="M62" i="9"/>
  <c r="K62" i="9"/>
  <c r="J62" i="9"/>
  <c r="H62" i="9"/>
  <c r="M61" i="9"/>
  <c r="K61" i="9"/>
  <c r="J61" i="9"/>
  <c r="H61" i="9"/>
  <c r="M60" i="9"/>
  <c r="K60" i="9"/>
  <c r="J60" i="9"/>
  <c r="H60" i="9"/>
  <c r="M59" i="9"/>
  <c r="K59" i="9"/>
  <c r="J59" i="9"/>
  <c r="H59" i="9"/>
  <c r="M58" i="9"/>
  <c r="K58" i="9"/>
  <c r="J58" i="9"/>
  <c r="H58" i="9"/>
  <c r="M57" i="9"/>
  <c r="K57" i="9"/>
  <c r="J57" i="9"/>
  <c r="H57" i="9"/>
  <c r="M56" i="9"/>
  <c r="K56" i="9"/>
  <c r="J56" i="9"/>
  <c r="H56" i="9"/>
  <c r="M55" i="9"/>
  <c r="K55" i="9"/>
  <c r="J55" i="9"/>
  <c r="H55" i="9"/>
  <c r="F55" i="9"/>
  <c r="F56" i="9" s="1"/>
  <c r="F57" i="9" s="1"/>
  <c r="F58" i="9" s="1"/>
  <c r="F59" i="9" s="1"/>
  <c r="F60" i="9" s="1"/>
  <c r="F61" i="9" s="1"/>
  <c r="M54" i="9"/>
  <c r="K54" i="9"/>
  <c r="J54" i="9"/>
  <c r="H54" i="9"/>
  <c r="M51" i="9"/>
  <c r="K51" i="9"/>
  <c r="J51" i="9"/>
  <c r="M47" i="9"/>
  <c r="K47" i="9"/>
  <c r="J47" i="9"/>
  <c r="F47" i="9"/>
  <c r="M46" i="9"/>
  <c r="K46" i="9"/>
  <c r="J46" i="9"/>
  <c r="F46" i="9"/>
  <c r="M45" i="9"/>
  <c r="K45" i="9"/>
  <c r="J45" i="9"/>
  <c r="F45" i="9"/>
  <c r="M44" i="9"/>
  <c r="K44" i="9"/>
  <c r="J44" i="9"/>
  <c r="F44" i="9"/>
  <c r="M43" i="9"/>
  <c r="K43" i="9"/>
  <c r="J43" i="9"/>
  <c r="F43" i="9"/>
  <c r="M42" i="9"/>
  <c r="K42" i="9"/>
  <c r="J42" i="9"/>
  <c r="F42" i="9"/>
  <c r="M41" i="9"/>
  <c r="K41" i="9"/>
  <c r="J41" i="9"/>
  <c r="F41" i="9"/>
  <c r="M40" i="9"/>
  <c r="K40" i="9"/>
  <c r="J40" i="9"/>
  <c r="F40" i="9"/>
  <c r="M39" i="9"/>
  <c r="K39" i="9"/>
  <c r="J39" i="9"/>
  <c r="F39" i="9"/>
  <c r="M38" i="9"/>
  <c r="K38" i="9"/>
  <c r="J38" i="9"/>
  <c r="H38" i="9"/>
  <c r="F38" i="9"/>
  <c r="M37" i="9"/>
  <c r="K37" i="9"/>
  <c r="J37" i="9"/>
  <c r="H37" i="9"/>
  <c r="F37" i="9"/>
  <c r="M36" i="9"/>
  <c r="K36" i="9"/>
  <c r="J36" i="9"/>
  <c r="H36" i="9"/>
  <c r="F36" i="9"/>
  <c r="M35" i="9"/>
  <c r="K35" i="9"/>
  <c r="J35" i="9"/>
  <c r="H35" i="9"/>
  <c r="F35" i="9"/>
  <c r="M34" i="9"/>
  <c r="K34" i="9"/>
  <c r="J34" i="9"/>
  <c r="H34" i="9"/>
  <c r="F34" i="9"/>
  <c r="M33" i="9"/>
  <c r="K33" i="9"/>
  <c r="J33" i="9"/>
  <c r="H33" i="9"/>
  <c r="F33" i="9"/>
  <c r="M32" i="9"/>
  <c r="K32" i="9"/>
  <c r="J32" i="9"/>
  <c r="H32" i="9"/>
  <c r="F32" i="9"/>
  <c r="M31" i="9"/>
  <c r="K31" i="9"/>
  <c r="J31" i="9"/>
  <c r="H31" i="9"/>
  <c r="F31" i="9"/>
  <c r="M30" i="9"/>
  <c r="K30" i="9"/>
  <c r="J30" i="9"/>
  <c r="H30" i="9"/>
  <c r="F30" i="9"/>
  <c r="M25" i="9"/>
  <c r="K25" i="9"/>
  <c r="J25" i="9"/>
  <c r="M24" i="9"/>
  <c r="K24" i="9"/>
  <c r="J24" i="9"/>
  <c r="M23" i="9"/>
  <c r="K23" i="9"/>
  <c r="J23" i="9"/>
  <c r="M22" i="9"/>
  <c r="K22" i="9"/>
  <c r="J22" i="9"/>
  <c r="M21" i="9"/>
  <c r="K21" i="9"/>
  <c r="J21" i="9"/>
  <c r="M19" i="9"/>
  <c r="K19" i="9"/>
  <c r="J19" i="9"/>
  <c r="F19" i="9"/>
  <c r="M18" i="9"/>
  <c r="K18" i="9"/>
  <c r="J18" i="9"/>
  <c r="F18" i="9"/>
  <c r="M17" i="9"/>
  <c r="K17" i="9"/>
  <c r="J17" i="9"/>
  <c r="F17" i="9"/>
  <c r="M16" i="9"/>
  <c r="K16" i="9"/>
  <c r="J16" i="9"/>
  <c r="F16" i="9"/>
  <c r="M15" i="9"/>
  <c r="K15" i="9"/>
  <c r="J15" i="9"/>
  <c r="F15" i="9"/>
  <c r="M14" i="9"/>
  <c r="K14" i="9"/>
  <c r="J14" i="9"/>
  <c r="F14" i="9"/>
  <c r="M13" i="9"/>
  <c r="K13" i="9"/>
  <c r="J13" i="9"/>
  <c r="H13" i="9"/>
  <c r="H19" i="9" s="1"/>
  <c r="M12" i="9"/>
  <c r="K12" i="9"/>
  <c r="J12" i="9"/>
  <c r="H12" i="9"/>
  <c r="H18" i="9" s="1"/>
  <c r="M11" i="9"/>
  <c r="K11" i="9"/>
  <c r="J11" i="9"/>
  <c r="H11" i="9"/>
  <c r="H17" i="9" s="1"/>
  <c r="M10" i="9"/>
  <c r="K10" i="9"/>
  <c r="J10" i="9"/>
  <c r="H10" i="9"/>
  <c r="H16" i="9" s="1"/>
  <c r="M9" i="9"/>
  <c r="K9" i="9"/>
  <c r="J9" i="9"/>
  <c r="H9" i="9"/>
  <c r="H15" i="9" s="1"/>
  <c r="M8" i="9"/>
  <c r="K8" i="9"/>
  <c r="J8" i="9"/>
  <c r="H8" i="9"/>
  <c r="H14" i="9" s="1"/>
  <c r="F8" i="9"/>
  <c r="F9" i="9" s="1"/>
  <c r="F10" i="9" s="1"/>
  <c r="F11" i="9" s="1"/>
  <c r="F12" i="9" s="1"/>
  <c r="F13" i="9" s="1"/>
  <c r="M7" i="9"/>
  <c r="K7" i="9"/>
  <c r="J7" i="9"/>
  <c r="M6" i="9"/>
  <c r="K6" i="9"/>
  <c r="J6" i="9"/>
  <c r="M5" i="9"/>
  <c r="K5" i="9"/>
  <c r="J5" i="9"/>
  <c r="M4" i="9"/>
  <c r="K4" i="9"/>
  <c r="J4" i="9"/>
  <c r="M3" i="9"/>
  <c r="K3" i="9"/>
  <c r="J3" i="9"/>
  <c r="D3" i="9"/>
  <c r="M2" i="9"/>
  <c r="K2" i="9"/>
  <c r="J2" i="9"/>
  <c r="Y120" i="5"/>
  <c r="I120" i="5"/>
  <c r="Y119" i="5"/>
  <c r="I119" i="5"/>
  <c r="Y117" i="5"/>
  <c r="I117" i="5"/>
  <c r="Y116" i="5"/>
  <c r="I116" i="5"/>
  <c r="Y113" i="5"/>
  <c r="Y112" i="5"/>
  <c r="Y111" i="5"/>
  <c r="Y110" i="5"/>
  <c r="X110" i="5"/>
  <c r="X117" i="5" s="1"/>
  <c r="Y109" i="5"/>
  <c r="X109" i="5"/>
  <c r="X116" i="5" s="1"/>
  <c r="X123" i="5" s="1"/>
  <c r="Y108" i="5"/>
  <c r="X108" i="5"/>
  <c r="Y107" i="5"/>
  <c r="Y106" i="5"/>
  <c r="Y105" i="5"/>
  <c r="X105" i="5"/>
  <c r="X112" i="5" s="1"/>
  <c r="X119" i="5" s="1"/>
  <c r="Y104" i="5"/>
  <c r="K100" i="5"/>
  <c r="C100" i="5"/>
  <c r="Y100" i="5" s="1"/>
  <c r="Y99" i="5"/>
  <c r="K99" i="5"/>
  <c r="I99" i="5"/>
  <c r="K97" i="5"/>
  <c r="C97" i="5"/>
  <c r="Y97" i="5" s="1"/>
  <c r="Y96" i="5"/>
  <c r="K96" i="5"/>
  <c r="X100" i="5"/>
  <c r="X107" i="5" s="1"/>
  <c r="X99" i="5"/>
  <c r="X106" i="5" s="1"/>
  <c r="X113" i="5" s="1"/>
  <c r="X120" i="5" s="1"/>
  <c r="X127" i="5" s="1"/>
  <c r="X90" i="5"/>
  <c r="X97" i="5" s="1"/>
  <c r="X104" i="5" s="1"/>
  <c r="X111" i="5" s="1"/>
  <c r="K90" i="5"/>
  <c r="I90" i="5"/>
  <c r="G90" i="5"/>
  <c r="X89" i="5"/>
  <c r="X96" i="5" s="1"/>
  <c r="K89" i="5"/>
  <c r="I89" i="5"/>
  <c r="G89" i="5"/>
  <c r="X88" i="5"/>
  <c r="K88" i="5"/>
  <c r="I88" i="5"/>
  <c r="G88" i="5"/>
  <c r="X87" i="5"/>
  <c r="K87" i="5"/>
  <c r="I87" i="5"/>
  <c r="G87" i="5"/>
  <c r="E87" i="5"/>
  <c r="E88" i="5" s="1"/>
  <c r="E89" i="5" s="1"/>
  <c r="E90" i="5" s="1"/>
  <c r="K83" i="5"/>
  <c r="I83" i="5"/>
  <c r="K82" i="5"/>
  <c r="I82" i="5"/>
  <c r="K81" i="5"/>
  <c r="I81" i="5"/>
  <c r="E81" i="5"/>
  <c r="E82" i="5" s="1"/>
  <c r="E83" i="5" s="1"/>
  <c r="K80" i="5"/>
  <c r="I80" i="5"/>
  <c r="N76" i="5"/>
  <c r="N75" i="5"/>
  <c r="N74" i="5"/>
  <c r="N73" i="5"/>
  <c r="N72" i="5"/>
  <c r="N71" i="5"/>
  <c r="N70" i="5"/>
  <c r="N69" i="5"/>
  <c r="N68" i="5"/>
  <c r="N67" i="5"/>
  <c r="N66" i="5"/>
  <c r="K63" i="5"/>
  <c r="I63" i="5"/>
  <c r="G63" i="5"/>
  <c r="K62" i="5"/>
  <c r="I62" i="5"/>
  <c r="G62" i="5"/>
  <c r="K61" i="5"/>
  <c r="I61" i="5"/>
  <c r="G61" i="5"/>
  <c r="K60" i="5"/>
  <c r="I60" i="5"/>
  <c r="G60" i="5"/>
  <c r="K59" i="5"/>
  <c r="I59" i="5"/>
  <c r="G59" i="5"/>
  <c r="K58" i="5"/>
  <c r="I58" i="5"/>
  <c r="G58" i="5"/>
  <c r="K57" i="5"/>
  <c r="I57" i="5"/>
  <c r="G57" i="5"/>
  <c r="K56" i="5"/>
  <c r="I56" i="5"/>
  <c r="G56" i="5"/>
  <c r="K55" i="5"/>
  <c r="I55" i="5"/>
  <c r="G55" i="5"/>
  <c r="K54" i="5"/>
  <c r="I54" i="5"/>
  <c r="G54" i="5"/>
  <c r="C54" i="5"/>
  <c r="K52" i="5"/>
  <c r="I52" i="5"/>
  <c r="K51" i="5"/>
  <c r="I51" i="5"/>
  <c r="K50" i="5"/>
  <c r="I50" i="5"/>
  <c r="K49" i="5"/>
  <c r="I49" i="5"/>
  <c r="K48" i="5"/>
  <c r="I48" i="5"/>
  <c r="K47" i="5"/>
  <c r="I47" i="5"/>
  <c r="K46" i="5"/>
  <c r="I46" i="5"/>
  <c r="K45" i="5"/>
  <c r="I45" i="5"/>
  <c r="K44" i="5"/>
  <c r="I44" i="5"/>
  <c r="K43" i="5"/>
  <c r="I43" i="5"/>
  <c r="K39" i="5"/>
  <c r="I39" i="5"/>
  <c r="G39" i="5"/>
  <c r="K38" i="5"/>
  <c r="I38" i="5"/>
  <c r="G38" i="5"/>
  <c r="K37" i="5"/>
  <c r="I37" i="5"/>
  <c r="G37" i="5"/>
  <c r="K36" i="5"/>
  <c r="I36" i="5"/>
  <c r="G36" i="5"/>
  <c r="K35" i="5"/>
  <c r="I35" i="5"/>
  <c r="G35" i="5"/>
  <c r="K34" i="5"/>
  <c r="I34" i="5"/>
  <c r="G34" i="5"/>
  <c r="K33" i="5"/>
  <c r="I33" i="5"/>
  <c r="G33" i="5"/>
  <c r="K32" i="5"/>
  <c r="I32" i="5"/>
  <c r="G32" i="5"/>
  <c r="K31" i="5"/>
  <c r="I31" i="5"/>
  <c r="G31" i="5"/>
  <c r="K30" i="5"/>
  <c r="I30" i="5"/>
  <c r="G30" i="5"/>
  <c r="K29" i="5"/>
  <c r="I29" i="5"/>
  <c r="G29" i="5"/>
  <c r="K28" i="5"/>
  <c r="I28" i="5"/>
  <c r="G28" i="5"/>
  <c r="K26" i="5"/>
  <c r="I26" i="5"/>
  <c r="G26" i="5"/>
  <c r="K25" i="5"/>
  <c r="I25" i="5"/>
  <c r="G25" i="5"/>
  <c r="K24" i="5"/>
  <c r="I24" i="5"/>
  <c r="G24" i="5"/>
  <c r="K23" i="5"/>
  <c r="I23" i="5"/>
  <c r="G23" i="5"/>
  <c r="K22" i="5"/>
  <c r="I22" i="5"/>
  <c r="G22" i="5"/>
  <c r="K21" i="5"/>
  <c r="I21" i="5"/>
  <c r="G21" i="5"/>
  <c r="K20" i="5"/>
  <c r="I20" i="5"/>
  <c r="G20" i="5"/>
  <c r="K19" i="5"/>
  <c r="I19" i="5"/>
  <c r="G19" i="5"/>
  <c r="K18" i="5"/>
  <c r="I18" i="5"/>
  <c r="G18" i="5"/>
  <c r="AK17" i="5"/>
  <c r="K17" i="5"/>
  <c r="I17" i="5"/>
  <c r="G17" i="5"/>
  <c r="AK16" i="5"/>
  <c r="K16" i="5"/>
  <c r="I16" i="5"/>
  <c r="G16" i="5"/>
  <c r="AK15" i="5"/>
  <c r="K15" i="5"/>
  <c r="I15" i="5"/>
  <c r="G15" i="5"/>
  <c r="E14" i="5"/>
  <c r="E22" i="5" s="1"/>
  <c r="K12" i="5"/>
  <c r="I12" i="5"/>
  <c r="K11" i="5"/>
  <c r="I11" i="5"/>
  <c r="K10" i="5"/>
  <c r="I10" i="5"/>
  <c r="K9" i="5"/>
  <c r="I9" i="5"/>
  <c r="K7" i="5"/>
  <c r="I7" i="5"/>
  <c r="K6" i="5"/>
  <c r="K5" i="5"/>
  <c r="I5" i="5"/>
  <c r="K4" i="5"/>
  <c r="K3" i="5"/>
  <c r="I3" i="5"/>
  <c r="K2" i="5"/>
  <c r="J3" i="12"/>
  <c r="J4" i="12" s="1"/>
  <c r="J5" i="12" s="1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G3" i="12"/>
  <c r="G4" i="12" s="1"/>
  <c r="C3" i="12"/>
  <c r="B3" i="12"/>
  <c r="B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K13" i="12" s="1"/>
  <c r="K14" i="12" s="1"/>
  <c r="K15" i="12" s="1"/>
  <c r="K16" i="12" s="1"/>
  <c r="K17" i="12" s="1"/>
  <c r="I2" i="12"/>
  <c r="I3" i="12" s="1"/>
  <c r="I4" i="12" s="1"/>
  <c r="I5" i="12" s="1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H2" i="12"/>
  <c r="H3" i="12" s="1"/>
  <c r="H4" i="12" s="1"/>
  <c r="H5" i="12" s="1"/>
  <c r="H6" i="12" s="1"/>
  <c r="H7" i="12" s="1"/>
  <c r="H8" i="12" s="1"/>
  <c r="H9" i="12" s="1"/>
  <c r="H10" i="12" s="1"/>
  <c r="H11" i="12" s="1"/>
  <c r="H12" i="12" s="1"/>
  <c r="H13" i="12" s="1"/>
  <c r="H14" i="12" s="1"/>
  <c r="H15" i="12" s="1"/>
  <c r="H16" i="12" s="1"/>
  <c r="H17" i="12" s="1"/>
  <c r="I212" i="11"/>
  <c r="I211" i="11"/>
  <c r="B211" i="11"/>
  <c r="L210" i="11"/>
  <c r="J210" i="11"/>
  <c r="I210" i="11"/>
  <c r="L207" i="11"/>
  <c r="J207" i="11"/>
  <c r="I207" i="11"/>
  <c r="E207" i="11"/>
  <c r="L204" i="11"/>
  <c r="J204" i="11"/>
  <c r="I204" i="11"/>
  <c r="L203" i="11"/>
  <c r="J203" i="11"/>
  <c r="I203" i="11"/>
  <c r="L189" i="11"/>
  <c r="J189" i="11"/>
  <c r="I189" i="11"/>
  <c r="L188" i="11"/>
  <c r="J188" i="11"/>
  <c r="I188" i="11"/>
  <c r="L187" i="11"/>
  <c r="J187" i="11"/>
  <c r="I187" i="11"/>
  <c r="L186" i="11"/>
  <c r="J186" i="11"/>
  <c r="I186" i="11"/>
  <c r="L185" i="11"/>
  <c r="J185" i="11"/>
  <c r="I185" i="11"/>
  <c r="L184" i="11"/>
  <c r="J184" i="11"/>
  <c r="I184" i="11"/>
  <c r="L183" i="11"/>
  <c r="J183" i="11"/>
  <c r="I183" i="11"/>
  <c r="L182" i="11"/>
  <c r="J182" i="11"/>
  <c r="I182" i="11"/>
  <c r="L181" i="11"/>
  <c r="J181" i="11"/>
  <c r="I181" i="11"/>
  <c r="L180" i="11"/>
  <c r="J180" i="11"/>
  <c r="I180" i="11"/>
  <c r="L179" i="11"/>
  <c r="J179" i="11"/>
  <c r="I179" i="11"/>
  <c r="L178" i="11"/>
  <c r="J178" i="11"/>
  <c r="I178" i="11"/>
  <c r="U165" i="11"/>
  <c r="L165" i="11"/>
  <c r="J165" i="11"/>
  <c r="I165" i="11"/>
  <c r="U164" i="11"/>
  <c r="L164" i="11"/>
  <c r="J164" i="11"/>
  <c r="I164" i="11"/>
  <c r="U163" i="11"/>
  <c r="L163" i="11"/>
  <c r="J163" i="11"/>
  <c r="I163" i="11"/>
  <c r="U162" i="11"/>
  <c r="L162" i="11"/>
  <c r="J162" i="11"/>
  <c r="I162" i="11"/>
  <c r="U161" i="11"/>
  <c r="L161" i="11"/>
  <c r="J161" i="11"/>
  <c r="I161" i="11"/>
  <c r="U160" i="11"/>
  <c r="L160" i="11"/>
  <c r="J160" i="11"/>
  <c r="I160" i="11"/>
  <c r="U159" i="11"/>
  <c r="L159" i="11"/>
  <c r="J159" i="11"/>
  <c r="I159" i="11"/>
  <c r="U158" i="11"/>
  <c r="L158" i="11"/>
  <c r="J158" i="11"/>
  <c r="I158" i="11"/>
  <c r="U157" i="11"/>
  <c r="L157" i="11"/>
  <c r="J157" i="11"/>
  <c r="I157" i="11"/>
  <c r="U156" i="11"/>
  <c r="L156" i="11"/>
  <c r="J156" i="11"/>
  <c r="I156" i="11"/>
  <c r="U155" i="11"/>
  <c r="L155" i="11"/>
  <c r="J155" i="11"/>
  <c r="I155" i="11"/>
  <c r="U154" i="11"/>
  <c r="L154" i="11"/>
  <c r="J154" i="11"/>
  <c r="I154" i="11"/>
  <c r="L144" i="11"/>
  <c r="J144" i="11"/>
  <c r="I144" i="11"/>
  <c r="G144" i="11"/>
  <c r="L143" i="11"/>
  <c r="J143" i="11"/>
  <c r="I143" i="11"/>
  <c r="G143" i="11"/>
  <c r="L142" i="11"/>
  <c r="J142" i="11"/>
  <c r="I142" i="11"/>
  <c r="G142" i="11"/>
  <c r="L141" i="11"/>
  <c r="J141" i="11"/>
  <c r="I141" i="11"/>
  <c r="G141" i="11"/>
  <c r="L140" i="11"/>
  <c r="J140" i="11"/>
  <c r="I140" i="11"/>
  <c r="G140" i="11"/>
  <c r="L139" i="11"/>
  <c r="J139" i="11"/>
  <c r="I139" i="11"/>
  <c r="G139" i="11"/>
  <c r="I138" i="11"/>
  <c r="L136" i="11"/>
  <c r="J136" i="11"/>
  <c r="I136" i="11"/>
  <c r="L135" i="11"/>
  <c r="J135" i="11"/>
  <c r="I135" i="11"/>
  <c r="L134" i="11"/>
  <c r="J134" i="11"/>
  <c r="I134" i="11"/>
  <c r="G134" i="11"/>
  <c r="T131" i="11"/>
  <c r="S131" i="11" s="1"/>
  <c r="T130" i="11"/>
  <c r="S130" i="11" s="1"/>
  <c r="T129" i="11"/>
  <c r="S129" i="11" s="1"/>
  <c r="O129" i="11"/>
  <c r="O130" i="11" s="1"/>
  <c r="T128" i="11"/>
  <c r="S128" i="11" s="1"/>
  <c r="L127" i="11"/>
  <c r="J127" i="11"/>
  <c r="I127" i="11"/>
  <c r="E127" i="11"/>
  <c r="L126" i="11"/>
  <c r="J126" i="11"/>
  <c r="I126" i="11"/>
  <c r="E126" i="11"/>
  <c r="L125" i="11"/>
  <c r="J125" i="11"/>
  <c r="I125" i="11"/>
  <c r="E125" i="11"/>
  <c r="L123" i="11"/>
  <c r="J123" i="11"/>
  <c r="I123" i="11"/>
  <c r="G123" i="11"/>
  <c r="L122" i="11"/>
  <c r="J122" i="11"/>
  <c r="I122" i="11"/>
  <c r="G122" i="11"/>
  <c r="L121" i="11"/>
  <c r="J121" i="11"/>
  <c r="I121" i="11"/>
  <c r="G121" i="11"/>
  <c r="L120" i="11"/>
  <c r="J120" i="11"/>
  <c r="I120" i="11"/>
  <c r="G120" i="11"/>
  <c r="L119" i="11"/>
  <c r="J119" i="11"/>
  <c r="I119" i="11"/>
  <c r="G119" i="11"/>
  <c r="L118" i="11"/>
  <c r="J118" i="11"/>
  <c r="I118" i="11"/>
  <c r="G118" i="11"/>
  <c r="L117" i="11"/>
  <c r="J117" i="11"/>
  <c r="I117" i="11"/>
  <c r="G117" i="11"/>
  <c r="L116" i="11"/>
  <c r="J116" i="11"/>
  <c r="I116" i="11"/>
  <c r="G116" i="11"/>
  <c r="L115" i="11"/>
  <c r="J115" i="11"/>
  <c r="I115" i="11"/>
  <c r="G115" i="11"/>
  <c r="L114" i="11"/>
  <c r="J114" i="11"/>
  <c r="I114" i="11"/>
  <c r="G114" i="11"/>
  <c r="L113" i="11"/>
  <c r="J113" i="11"/>
  <c r="I113" i="11"/>
  <c r="G113" i="11"/>
  <c r="L112" i="11"/>
  <c r="J112" i="11"/>
  <c r="I112" i="11"/>
  <c r="G112" i="11"/>
  <c r="L111" i="11"/>
  <c r="J111" i="11"/>
  <c r="I111" i="11"/>
  <c r="G111" i="11"/>
  <c r="L110" i="11"/>
  <c r="J110" i="11"/>
  <c r="I110" i="11"/>
  <c r="G110" i="11"/>
  <c r="L109" i="11"/>
  <c r="J109" i="11"/>
  <c r="I109" i="11"/>
  <c r="G109" i="11"/>
  <c r="L108" i="11"/>
  <c r="J108" i="11"/>
  <c r="I108" i="11"/>
  <c r="G108" i="11"/>
  <c r="L107" i="11"/>
  <c r="J107" i="11"/>
  <c r="I107" i="11"/>
  <c r="G107" i="11"/>
  <c r="L106" i="11"/>
  <c r="J106" i="11"/>
  <c r="I106" i="11"/>
  <c r="G106" i="11"/>
  <c r="L105" i="11"/>
  <c r="J105" i="11"/>
  <c r="I105" i="11"/>
  <c r="G105" i="11"/>
  <c r="L104" i="11"/>
  <c r="J104" i="11"/>
  <c r="I104" i="11"/>
  <c r="G104" i="11"/>
  <c r="L103" i="11"/>
  <c r="J103" i="11"/>
  <c r="I103" i="11"/>
  <c r="G103" i="11"/>
  <c r="L102" i="11"/>
  <c r="J102" i="11"/>
  <c r="I102" i="11"/>
  <c r="G102" i="11"/>
  <c r="L101" i="11"/>
  <c r="J101" i="11"/>
  <c r="I101" i="11"/>
  <c r="G101" i="11"/>
  <c r="L100" i="11"/>
  <c r="J100" i="11"/>
  <c r="I100" i="11"/>
  <c r="G100" i="11"/>
  <c r="L90" i="11"/>
  <c r="J90" i="11"/>
  <c r="I90" i="11"/>
  <c r="U90" i="11"/>
  <c r="L89" i="11"/>
  <c r="J89" i="11"/>
  <c r="I89" i="11"/>
  <c r="U89" i="11"/>
  <c r="L88" i="11"/>
  <c r="J88" i="11"/>
  <c r="I88" i="11"/>
  <c r="U88" i="11"/>
  <c r="L87" i="11"/>
  <c r="J87" i="11"/>
  <c r="I87" i="11"/>
  <c r="U87" i="11"/>
  <c r="L86" i="11"/>
  <c r="J86" i="11"/>
  <c r="I86" i="11"/>
  <c r="U86" i="11"/>
  <c r="L85" i="11"/>
  <c r="J85" i="11"/>
  <c r="I85" i="11"/>
  <c r="U85" i="11"/>
  <c r="U82" i="11"/>
  <c r="L82" i="11"/>
  <c r="J82" i="11"/>
  <c r="I82" i="11"/>
  <c r="U81" i="11"/>
  <c r="L81" i="11"/>
  <c r="J81" i="11"/>
  <c r="I81" i="11"/>
  <c r="W80" i="11"/>
  <c r="U80" i="11"/>
  <c r="L80" i="11"/>
  <c r="J80" i="11"/>
  <c r="I80" i="11"/>
  <c r="U79" i="11"/>
  <c r="L79" i="11"/>
  <c r="J79" i="11"/>
  <c r="I79" i="11"/>
  <c r="U78" i="11"/>
  <c r="L78" i="11"/>
  <c r="J78" i="11"/>
  <c r="I78" i="11"/>
  <c r="U77" i="11"/>
  <c r="L77" i="11"/>
  <c r="J77" i="11"/>
  <c r="I77" i="11"/>
  <c r="U70" i="11"/>
  <c r="L70" i="11"/>
  <c r="J70" i="11"/>
  <c r="I70" i="11"/>
  <c r="U69" i="11"/>
  <c r="L69" i="11"/>
  <c r="J69" i="11"/>
  <c r="I69" i="11"/>
  <c r="W67" i="11"/>
  <c r="V67" i="11"/>
  <c r="U67" i="11"/>
  <c r="L67" i="11"/>
  <c r="J67" i="11"/>
  <c r="I67" i="11"/>
  <c r="V53" i="11"/>
  <c r="U53" i="11"/>
  <c r="L53" i="11"/>
  <c r="J53" i="11"/>
  <c r="I53" i="11"/>
  <c r="E53" i="11"/>
  <c r="V52" i="11"/>
  <c r="U52" i="11"/>
  <c r="L52" i="11"/>
  <c r="J52" i="11"/>
  <c r="I52" i="11"/>
  <c r="E52" i="11"/>
  <c r="V51" i="11"/>
  <c r="U51" i="11"/>
  <c r="L51" i="11"/>
  <c r="J51" i="11"/>
  <c r="I51" i="11"/>
  <c r="E51" i="11"/>
  <c r="V50" i="11"/>
  <c r="U50" i="11"/>
  <c r="L50" i="11"/>
  <c r="J50" i="11"/>
  <c r="I50" i="11"/>
  <c r="E50" i="11"/>
  <c r="V49" i="11"/>
  <c r="U49" i="11"/>
  <c r="L49" i="11"/>
  <c r="J49" i="11"/>
  <c r="I49" i="11"/>
  <c r="E49" i="11"/>
  <c r="V48" i="11"/>
  <c r="U48" i="11"/>
  <c r="L48" i="11"/>
  <c r="J48" i="11"/>
  <c r="I48" i="11"/>
  <c r="E48" i="11"/>
  <c r="V47" i="11"/>
  <c r="U47" i="11"/>
  <c r="U46" i="11"/>
  <c r="L46" i="11"/>
  <c r="J46" i="11"/>
  <c r="I46" i="11"/>
  <c r="E46" i="11"/>
  <c r="U45" i="11"/>
  <c r="L45" i="11"/>
  <c r="J45" i="11"/>
  <c r="I45" i="11"/>
  <c r="E45" i="11"/>
  <c r="U44" i="11"/>
  <c r="L44" i="11"/>
  <c r="J44" i="11"/>
  <c r="I44" i="11"/>
  <c r="E44" i="11"/>
  <c r="U42" i="11"/>
  <c r="L42" i="11"/>
  <c r="J42" i="11"/>
  <c r="I42" i="11"/>
  <c r="U41" i="11"/>
  <c r="L41" i="11"/>
  <c r="J41" i="11"/>
  <c r="I41" i="11"/>
  <c r="U40" i="11"/>
  <c r="L40" i="11"/>
  <c r="J40" i="11"/>
  <c r="I40" i="11"/>
  <c r="U39" i="11"/>
  <c r="L39" i="11"/>
  <c r="J39" i="11"/>
  <c r="I39" i="11"/>
  <c r="U38" i="11"/>
  <c r="L38" i="11"/>
  <c r="J38" i="11"/>
  <c r="I38" i="11"/>
  <c r="U37" i="11"/>
  <c r="L37" i="11"/>
  <c r="J37" i="11"/>
  <c r="I37" i="11"/>
  <c r="U36" i="11"/>
  <c r="L36" i="11"/>
  <c r="J36" i="11"/>
  <c r="I36" i="11"/>
  <c r="U35" i="11"/>
  <c r="L35" i="11"/>
  <c r="J35" i="11"/>
  <c r="I35" i="11"/>
  <c r="U34" i="11"/>
  <c r="L34" i="11"/>
  <c r="J34" i="11"/>
  <c r="I34" i="11"/>
  <c r="U33" i="11"/>
  <c r="L33" i="11"/>
  <c r="J33" i="11"/>
  <c r="I33" i="11"/>
  <c r="U32" i="11"/>
  <c r="L32" i="11"/>
  <c r="J32" i="11"/>
  <c r="I32" i="11"/>
  <c r="L30" i="11"/>
  <c r="J30" i="11"/>
  <c r="I30" i="11"/>
  <c r="L29" i="11"/>
  <c r="J29" i="11"/>
  <c r="I29" i="11"/>
  <c r="L28" i="11"/>
  <c r="J28" i="11"/>
  <c r="I28" i="11"/>
  <c r="L27" i="11"/>
  <c r="J27" i="11"/>
  <c r="I27" i="11"/>
  <c r="L26" i="11"/>
  <c r="J26" i="11"/>
  <c r="I26" i="11"/>
  <c r="L25" i="11"/>
  <c r="J25" i="11"/>
  <c r="I25" i="11"/>
  <c r="L24" i="11"/>
  <c r="J24" i="11"/>
  <c r="I24" i="11"/>
  <c r="L23" i="11"/>
  <c r="J23" i="11"/>
  <c r="I23" i="11"/>
  <c r="L22" i="11"/>
  <c r="J22" i="11"/>
  <c r="I22" i="11"/>
  <c r="L21" i="11"/>
  <c r="J21" i="11"/>
  <c r="I21" i="11"/>
  <c r="L20" i="11"/>
  <c r="J20" i="11"/>
  <c r="I20" i="11"/>
  <c r="L18" i="11"/>
  <c r="J18" i="11"/>
  <c r="I18" i="11"/>
  <c r="G18" i="11"/>
  <c r="L17" i="11"/>
  <c r="J17" i="11"/>
  <c r="I17" i="11"/>
  <c r="G17" i="11"/>
  <c r="L16" i="11"/>
  <c r="J16" i="11"/>
  <c r="I16" i="11"/>
  <c r="G16" i="11"/>
  <c r="L15" i="11"/>
  <c r="J15" i="11"/>
  <c r="I15" i="11"/>
  <c r="G15" i="11"/>
  <c r="L14" i="11"/>
  <c r="J14" i="11"/>
  <c r="I14" i="11"/>
  <c r="G14" i="11"/>
  <c r="L13" i="11"/>
  <c r="J13" i="11"/>
  <c r="I13" i="11"/>
  <c r="G13" i="11"/>
  <c r="L12" i="11"/>
  <c r="J12" i="11"/>
  <c r="I12" i="11"/>
  <c r="G12" i="11"/>
  <c r="L11" i="11"/>
  <c r="J11" i="11"/>
  <c r="I11" i="11"/>
  <c r="G11" i="11"/>
  <c r="L10" i="11"/>
  <c r="J10" i="11"/>
  <c r="I10" i="11"/>
  <c r="G10" i="11"/>
  <c r="L9" i="11"/>
  <c r="J9" i="11"/>
  <c r="I9" i="11"/>
  <c r="G9" i="11"/>
  <c r="L8" i="11"/>
  <c r="J8" i="11"/>
  <c r="I8" i="11"/>
  <c r="G8" i="11"/>
  <c r="L7" i="11"/>
  <c r="J7" i="11"/>
  <c r="I7" i="11"/>
  <c r="G7" i="11"/>
  <c r="L6" i="11"/>
  <c r="J6" i="11"/>
  <c r="I6" i="11"/>
  <c r="L5" i="11"/>
  <c r="J5" i="11"/>
  <c r="I5" i="11"/>
  <c r="L4" i="11"/>
  <c r="J4" i="11"/>
  <c r="I4" i="11"/>
  <c r="L3" i="11"/>
  <c r="J3" i="11"/>
  <c r="I3" i="11"/>
  <c r="D3" i="11"/>
  <c r="L2" i="11"/>
  <c r="J2" i="11"/>
  <c r="I2" i="11"/>
  <c r="G2" i="11"/>
  <c r="D2" i="11"/>
  <c r="E2" i="11" s="1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O69" i="5"/>
  <c r="O72" i="5"/>
  <c r="C20" i="5"/>
  <c r="O71" i="5"/>
  <c r="O70" i="5"/>
  <c r="C22" i="5"/>
  <c r="C56" i="5"/>
  <c r="C61" i="5"/>
  <c r="O68" i="5"/>
  <c r="O73" i="5"/>
  <c r="O67" i="5"/>
  <c r="C15" i="5"/>
  <c r="C25" i="5"/>
  <c r="O76" i="5"/>
  <c r="C24" i="5"/>
  <c r="O66" i="5"/>
  <c r="O75" i="5"/>
  <c r="C21" i="5"/>
  <c r="C18" i="5"/>
  <c r="C19" i="5"/>
  <c r="C59" i="5"/>
  <c r="C23" i="5"/>
  <c r="C17" i="5"/>
  <c r="C58" i="5"/>
  <c r="O74" i="5"/>
  <c r="C16" i="5"/>
  <c r="C60" i="5"/>
  <c r="C62" i="5"/>
  <c r="C63" i="5"/>
  <c r="C26" i="5"/>
  <c r="C55" i="5"/>
  <c r="C57" i="5"/>
  <c r="D178" i="11"/>
  <c r="M110" i="11" a="1"/>
  <c r="M123" i="11" a="1"/>
  <c r="M115" i="11" a="1"/>
  <c r="M144" i="11" a="1"/>
  <c r="M50" i="11" a="1"/>
  <c r="M113" i="11" a="1"/>
  <c r="M38" i="11" a="1"/>
  <c r="M82" i="11" a="1"/>
  <c r="O207" i="11" a="1"/>
  <c r="M210" i="11" a="1"/>
  <c r="M5" i="11" a="1"/>
  <c r="M81" i="11" a="1"/>
  <c r="M53" i="11" a="1"/>
  <c r="M67" i="11" a="1"/>
  <c r="M15" i="11" a="1"/>
  <c r="D44" i="5" a="1"/>
  <c r="D43" i="5" a="1"/>
  <c r="D128" i="5" a="1"/>
  <c r="O120" i="5" a="1"/>
  <c r="D50" i="5" a="1"/>
  <c r="M16" i="11" a="1"/>
  <c r="O53" i="11" a="1"/>
  <c r="M36" i="11" a="1"/>
  <c r="M22" i="11" a="1"/>
  <c r="L116" i="5" a="1"/>
  <c r="D45" i="5" a="1"/>
  <c r="M2" i="11" a="1"/>
  <c r="M157" i="11" a="1"/>
  <c r="M34" i="11" a="1"/>
  <c r="M136" i="11" a="1"/>
  <c r="M46" i="11" a="1"/>
  <c r="M23" i="11" a="1"/>
  <c r="M40" i="11" a="1"/>
  <c r="M86" i="11" a="1"/>
  <c r="M49" i="11" a="1"/>
  <c r="M141" i="11" a="1"/>
  <c r="M24" i="11" a="1"/>
  <c r="M44" i="11" a="1"/>
  <c r="D127" i="5" a="1"/>
  <c r="D97" i="5" a="1"/>
  <c r="D3" i="12" a="1"/>
  <c r="M28" i="11" a="1"/>
  <c r="M103" i="11" a="1"/>
  <c r="M37" i="11" a="1"/>
  <c r="M143" i="11" a="1"/>
  <c r="O50" i="11" a="1"/>
  <c r="O51" i="11" a="1"/>
  <c r="M204" i="11" a="1"/>
  <c r="M140" i="11" a="1"/>
  <c r="M134" i="11" a="1"/>
  <c r="M121" i="11" a="1"/>
  <c r="M120" i="11" a="1"/>
  <c r="M79" i="11" a="1"/>
  <c r="M127" i="11" a="1"/>
  <c r="O49" i="11" a="1"/>
  <c r="M105" i="11" a="1"/>
  <c r="D96" i="5" a="1"/>
  <c r="D99" i="5" a="1"/>
  <c r="D46" i="5" a="1"/>
  <c r="D62" i="5" a="1"/>
  <c r="M27" i="11" a="1"/>
  <c r="O203" i="11" a="1"/>
  <c r="D3" i="5" a="1"/>
  <c r="D47" i="5" a="1"/>
  <c r="M135" i="11" a="1"/>
  <c r="M207" i="11" a="1"/>
  <c r="D12" i="5" a="1"/>
  <c r="M112" i="11" a="1"/>
  <c r="O116" i="5" a="1"/>
  <c r="M160" i="11" a="1"/>
  <c r="M9" i="11" a="1"/>
  <c r="M51" i="11" a="1"/>
  <c r="M80" i="11" a="1"/>
  <c r="M42" i="11" a="1"/>
  <c r="M7" i="11" a="1"/>
  <c r="M39" i="11" a="1"/>
  <c r="M21" i="11" a="1"/>
  <c r="M126" i="11" a="1"/>
  <c r="M118" i="11" a="1"/>
  <c r="M111" i="11" a="1"/>
  <c r="O134" i="11" a="1"/>
  <c r="M6" i="11" a="1"/>
  <c r="M158" i="11" a="1"/>
  <c r="D48" i="5" a="1"/>
  <c r="D6" i="5" a="1"/>
  <c r="M154" i="11" a="1"/>
  <c r="M45" i="11" a="1"/>
  <c r="D4" i="5" a="1"/>
  <c r="D122" i="5" a="1"/>
  <c r="M161" i="11" a="1"/>
  <c r="L119" i="5" a="1"/>
  <c r="M78" i="11" a="1"/>
  <c r="M10" i="11" a="1"/>
  <c r="M100" i="11" a="1"/>
  <c r="M107" i="11" a="1"/>
  <c r="M164" i="11" a="1"/>
  <c r="M85" i="11" a="1"/>
  <c r="M11" i="11" a="1"/>
  <c r="M114" i="11" a="1"/>
  <c r="M155" i="11" a="1"/>
  <c r="O204" i="11" a="1"/>
  <c r="M106" i="11" a="1"/>
  <c r="M25" i="11" a="1"/>
  <c r="M125" i="11" a="1"/>
  <c r="M17" i="11" a="1"/>
  <c r="M13" i="11" a="1"/>
  <c r="D11" i="5" a="1"/>
  <c r="L117" i="5" a="1"/>
  <c r="D2" i="5" a="1"/>
  <c r="D51" i="5" a="1"/>
  <c r="D52" i="5" a="1"/>
  <c r="O67" i="11" a="1"/>
  <c r="O119" i="5" a="1"/>
  <c r="D7" i="5" a="1"/>
  <c r="D49" i="5" a="1"/>
  <c r="L120" i="5" a="1"/>
  <c r="M18" i="11" a="1"/>
  <c r="M165" i="11" a="1"/>
  <c r="M12" i="11" a="1"/>
  <c r="M35" i="11" a="1"/>
  <c r="M8" i="11" a="1"/>
  <c r="O48" i="11" a="1"/>
  <c r="M119" i="11" a="1"/>
  <c r="M69" i="11" a="1"/>
  <c r="M14" i="11" a="1"/>
  <c r="O117" i="5" a="1"/>
  <c r="M33" i="11" a="1"/>
  <c r="M52" i="11" a="1"/>
  <c r="M77" i="11" a="1"/>
  <c r="M162" i="11" a="1"/>
  <c r="M109" i="11" a="1"/>
  <c r="M108" i="11" a="1"/>
  <c r="M122" i="11" a="1"/>
  <c r="M159" i="11" a="1"/>
  <c r="O52" i="11" a="1"/>
  <c r="M48" i="11" a="1"/>
  <c r="M163" i="11" a="1"/>
  <c r="M30" i="11" a="1"/>
  <c r="M117" i="11" a="1"/>
  <c r="M156" i="11" a="1"/>
  <c r="M32" i="11" a="1"/>
  <c r="M116" i="11" a="1"/>
  <c r="D9" i="5" a="1"/>
  <c r="D123" i="5" a="1"/>
  <c r="D10" i="5" a="1"/>
  <c r="D100" i="5" a="1"/>
  <c r="D5" i="5" a="1"/>
  <c r="M41" i="11" a="1"/>
  <c r="M102" i="11" a="1"/>
  <c r="M101" i="11" a="1"/>
  <c r="M139" i="11" a="1"/>
  <c r="M203" i="11" a="1"/>
  <c r="M29" i="11" a="1"/>
  <c r="D54" i="5" a="1"/>
  <c r="M142" i="11" a="1"/>
  <c r="M20" i="11" a="1"/>
  <c r="M26" i="11" a="1"/>
  <c r="E3" i="11" a="1"/>
  <c r="M4" i="11" a="1"/>
  <c r="M104" i="11" a="1"/>
  <c r="M70" i="11" a="1"/>
  <c r="E41" i="13"/>
  <c r="E40" i="13"/>
  <c r="E37" i="13"/>
  <c r="N18" i="9" a="1"/>
  <c r="Q14" i="9" a="1"/>
  <c r="Q30" i="9" a="1"/>
  <c r="Q19" i="9" a="1"/>
  <c r="Q61" i="9" a="1"/>
  <c r="Q39" i="9" a="1"/>
  <c r="Q70" i="9" a="1"/>
  <c r="N4" i="9" a="1"/>
  <c r="Q31" i="9" a="1"/>
  <c r="N67" i="9" a="1"/>
  <c r="Q47" i="9" a="1"/>
  <c r="N40" i="9" a="1"/>
  <c r="Q16" i="9" a="1"/>
  <c r="N63" i="9" a="1"/>
  <c r="Q62" i="9" a="1"/>
  <c r="Q22" i="9" a="1"/>
  <c r="N59" i="9" a="1"/>
  <c r="N10" i="9" a="1"/>
  <c r="Q33" i="9" a="1"/>
  <c r="N31" i="9" a="1"/>
  <c r="N5" i="9" a="1"/>
  <c r="N51" i="9" a="1"/>
  <c r="N64" i="9" a="1"/>
  <c r="N62" i="9" a="1"/>
  <c r="Q44" i="9" a="1"/>
  <c r="Q51" i="9" a="1"/>
  <c r="Q46" i="9" a="1"/>
  <c r="N14" i="9" a="1"/>
  <c r="Q12" i="9" a="1"/>
  <c r="N65" i="9" a="1"/>
  <c r="Q25" i="9" a="1"/>
  <c r="N24" i="9" a="1"/>
  <c r="N23" i="9" a="1"/>
  <c r="N72" i="9" a="1"/>
  <c r="N41" i="9" a="1"/>
  <c r="Q66" i="9" a="1"/>
  <c r="Q24" i="9" a="1"/>
  <c r="Q72" i="9" a="1"/>
  <c r="N7" i="9" a="1"/>
  <c r="N46" i="9" a="1"/>
  <c r="N55" i="9" a="1"/>
  <c r="N32" i="9" a="1"/>
  <c r="Q11" i="9" a="1"/>
  <c r="N2" i="9" a="1"/>
  <c r="N9" i="9" a="1"/>
  <c r="N15" i="9" a="1"/>
  <c r="Q37" i="9" a="1"/>
  <c r="N30" i="9" a="1"/>
  <c r="N19" i="9" a="1"/>
  <c r="N57" i="9" a="1"/>
  <c r="N12" i="9" a="1"/>
  <c r="N36" i="9" a="1"/>
  <c r="Q63" i="9" a="1"/>
  <c r="N22" i="9" a="1"/>
  <c r="Q55" i="9" a="1"/>
  <c r="Q34" i="9" a="1"/>
  <c r="Q17" i="9" a="1"/>
  <c r="N6" i="9" a="1"/>
  <c r="N13" i="9" a="1"/>
  <c r="N61" i="9" a="1"/>
  <c r="N43" i="9" a="1"/>
  <c r="N42" i="9" a="1"/>
  <c r="Q9" i="9" a="1"/>
  <c r="Q15" i="9" a="1"/>
  <c r="Q67" i="9" a="1"/>
  <c r="N73" i="9" a="1"/>
  <c r="Q13" i="9" a="1"/>
  <c r="N54" i="9" a="1"/>
  <c r="Q69" i="9" a="1"/>
  <c r="Q60" i="9" a="1"/>
  <c r="N70" i="9" a="1"/>
  <c r="N25" i="9" a="1"/>
  <c r="N68" i="9" a="1"/>
  <c r="N37" i="9" a="1"/>
  <c r="Q73" i="9" a="1"/>
  <c r="N16" i="9" a="1"/>
  <c r="N71" i="9" a="1"/>
  <c r="N33" i="9" a="1"/>
  <c r="Q68" i="9" a="1"/>
  <c r="Q42" i="9" a="1"/>
  <c r="Q35" i="9" a="1"/>
  <c r="N44" i="9" a="1"/>
  <c r="N58" i="9" a="1"/>
  <c r="Q38" i="9" a="1"/>
  <c r="N34" i="9" a="1"/>
  <c r="Q54" i="9" a="1"/>
  <c r="Q41" i="9" a="1"/>
  <c r="N66" i="9" a="1"/>
  <c r="N45" i="9" a="1"/>
  <c r="Q23" i="9" a="1"/>
  <c r="N56" i="9" a="1"/>
  <c r="N35" i="9" a="1"/>
  <c r="Q56" i="9" a="1"/>
  <c r="Q40" i="9" a="1"/>
  <c r="N47" i="9" a="1"/>
  <c r="Q10" i="9" a="1"/>
  <c r="Q59" i="9" a="1"/>
  <c r="Q36" i="9" a="1"/>
  <c r="Q45" i="9" a="1"/>
  <c r="Q8" i="9" a="1"/>
  <c r="N60" i="9" a="1"/>
  <c r="Q64" i="9" a="1"/>
  <c r="N39" i="9" a="1"/>
  <c r="N11" i="9" a="1"/>
  <c r="Q32" i="9" a="1"/>
  <c r="Q65" i="9" a="1"/>
  <c r="Q18" i="9" a="1"/>
  <c r="Q58" i="9" a="1"/>
  <c r="N17" i="9" a="1"/>
  <c r="Q71" i="9" a="1"/>
  <c r="N8" i="9" a="1"/>
  <c r="Q43" i="9" a="1"/>
  <c r="N38" i="9" a="1"/>
  <c r="N21" i="9" a="1"/>
  <c r="N69" i="9" a="1"/>
  <c r="Q57" i="9" a="1"/>
  <c r="E3" i="9" a="1"/>
  <c r="B3" i="7"/>
  <c r="D127" i="5" l="1"/>
  <c r="D128" i="5"/>
  <c r="E127" i="5"/>
  <c r="E128" i="5" s="1"/>
  <c r="D123" i="5"/>
  <c r="D122" i="5"/>
  <c r="C32" i="13"/>
  <c r="E19" i="5"/>
  <c r="Q1" i="13"/>
  <c r="E15" i="5"/>
  <c r="E18" i="5"/>
  <c r="E17" i="5"/>
  <c r="E30" i="5"/>
  <c r="E16" i="5"/>
  <c r="N7" i="9"/>
  <c r="N21" i="9"/>
  <c r="N5" i="9"/>
  <c r="Q68" i="9"/>
  <c r="Q23" i="9"/>
  <c r="N32" i="9"/>
  <c r="Q22" i="9"/>
  <c r="Q25" i="9"/>
  <c r="N42" i="9"/>
  <c r="N2" i="9"/>
  <c r="Q24" i="9"/>
  <c r="Q35" i="9"/>
  <c r="N41" i="9"/>
  <c r="E3" i="9"/>
  <c r="N8" i="9"/>
  <c r="Q11" i="9"/>
  <c r="N12" i="9"/>
  <c r="Q15" i="9"/>
  <c r="N16" i="9"/>
  <c r="Q19" i="9"/>
  <c r="N23" i="9"/>
  <c r="Q39" i="9"/>
  <c r="Q10" i="9"/>
  <c r="N11" i="9"/>
  <c r="Q14" i="9"/>
  <c r="N15" i="9"/>
  <c r="Q18" i="9"/>
  <c r="N19" i="9"/>
  <c r="N25" i="9"/>
  <c r="N30" i="9"/>
  <c r="N31" i="9"/>
  <c r="Q54" i="9"/>
  <c r="N55" i="9"/>
  <c r="N4" i="9"/>
  <c r="N22" i="9"/>
  <c r="N43" i="9"/>
  <c r="N47" i="9"/>
  <c r="Q9" i="9"/>
  <c r="N10" i="9"/>
  <c r="Q13" i="9"/>
  <c r="N14" i="9"/>
  <c r="Q17" i="9"/>
  <c r="N18" i="9"/>
  <c r="N45" i="9"/>
  <c r="N6" i="9"/>
  <c r="N36" i="9"/>
  <c r="Q8" i="9"/>
  <c r="N9" i="9"/>
  <c r="Q12" i="9"/>
  <c r="N13" i="9"/>
  <c r="Q16" i="9"/>
  <c r="N17" i="9"/>
  <c r="Q30" i="9"/>
  <c r="Q31" i="9"/>
  <c r="N24" i="9"/>
  <c r="N39" i="9"/>
  <c r="Q41" i="9"/>
  <c r="Q43" i="9"/>
  <c r="Q47" i="9"/>
  <c r="Q34" i="9"/>
  <c r="N35" i="9"/>
  <c r="Q38" i="9"/>
  <c r="Q44" i="9"/>
  <c r="Q55" i="9"/>
  <c r="Q58" i="9"/>
  <c r="Q33" i="9"/>
  <c r="N34" i="9"/>
  <c r="Q37" i="9"/>
  <c r="N38" i="9"/>
  <c r="Q40" i="9"/>
  <c r="Q45" i="9"/>
  <c r="Q64" i="9"/>
  <c r="N65" i="9"/>
  <c r="N44" i="9"/>
  <c r="N56" i="9"/>
  <c r="N61" i="9"/>
  <c r="Q65" i="9"/>
  <c r="N66" i="9"/>
  <c r="Q32" i="9"/>
  <c r="N33" i="9"/>
  <c r="Q36" i="9"/>
  <c r="N37" i="9"/>
  <c r="N40" i="9"/>
  <c r="Q42" i="9"/>
  <c r="Q46" i="9"/>
  <c r="N62" i="9"/>
  <c r="Q56" i="9"/>
  <c r="N63" i="9"/>
  <c r="Q66" i="9"/>
  <c r="N71" i="9"/>
  <c r="Q57" i="9"/>
  <c r="N64" i="9"/>
  <c r="Q67" i="9"/>
  <c r="N73" i="9"/>
  <c r="Q51" i="9"/>
  <c r="N54" i="9"/>
  <c r="N57" i="9"/>
  <c r="Q59" i="9"/>
  <c r="N67" i="9"/>
  <c r="Q69" i="9"/>
  <c r="N46" i="9"/>
  <c r="N58" i="9"/>
  <c r="Q60" i="9"/>
  <c r="N68" i="9"/>
  <c r="N51" i="9"/>
  <c r="N59" i="9"/>
  <c r="Q61" i="9"/>
  <c r="Q62" i="9"/>
  <c r="N69" i="9"/>
  <c r="Q71" i="9"/>
  <c r="N72" i="9"/>
  <c r="Q73" i="9"/>
  <c r="N60" i="9"/>
  <c r="Q63" i="9"/>
  <c r="Q70" i="9"/>
  <c r="N70" i="9"/>
  <c r="Q72" i="9"/>
  <c r="D7" i="5"/>
  <c r="D2" i="5"/>
  <c r="D11" i="5"/>
  <c r="D3" i="5"/>
  <c r="D12" i="5"/>
  <c r="C29" i="5"/>
  <c r="AC16" i="5"/>
  <c r="D6" i="5"/>
  <c r="C30" i="5"/>
  <c r="AC17" i="5"/>
  <c r="AC21" i="5"/>
  <c r="C34" i="5"/>
  <c r="D5" i="5"/>
  <c r="D10" i="5"/>
  <c r="D4" i="5"/>
  <c r="D9" i="5"/>
  <c r="C28" i="5"/>
  <c r="AC15" i="5"/>
  <c r="C32" i="5"/>
  <c r="AC19" i="5"/>
  <c r="D54" i="5"/>
  <c r="D62" i="5"/>
  <c r="AC23" i="5"/>
  <c r="C36" i="5"/>
  <c r="C38" i="5"/>
  <c r="AC25" i="5"/>
  <c r="D46" i="5"/>
  <c r="D47" i="5"/>
  <c r="C31" i="5"/>
  <c r="AC18" i="5"/>
  <c r="AC20" i="5"/>
  <c r="C33" i="5"/>
  <c r="AC22" i="5"/>
  <c r="C35" i="5"/>
  <c r="C37" i="5"/>
  <c r="AC24" i="5"/>
  <c r="C39" i="5"/>
  <c r="AC26" i="5"/>
  <c r="Y82" i="5"/>
  <c r="C89" i="5"/>
  <c r="D48" i="5"/>
  <c r="L116" i="5"/>
  <c r="D49" i="5"/>
  <c r="C87" i="5"/>
  <c r="Y80" i="5"/>
  <c r="D50" i="5"/>
  <c r="D43" i="5"/>
  <c r="D51" i="5"/>
  <c r="D44" i="5"/>
  <c r="D52" i="5"/>
  <c r="C88" i="5"/>
  <c r="Y81" i="5"/>
  <c r="D45" i="5"/>
  <c r="D97" i="5"/>
  <c r="O120" i="5"/>
  <c r="D99" i="5"/>
  <c r="O119" i="5"/>
  <c r="C90" i="5"/>
  <c r="Y83" i="5"/>
  <c r="O117" i="5"/>
  <c r="L120" i="5"/>
  <c r="O116" i="5"/>
  <c r="L119" i="5"/>
  <c r="D96" i="5"/>
  <c r="D100" i="5"/>
  <c r="L117" i="5"/>
  <c r="E26" i="5"/>
  <c r="E24" i="5"/>
  <c r="E20" i="5"/>
  <c r="E37" i="5"/>
  <c r="E39" i="5"/>
  <c r="E29" i="5"/>
  <c r="E36" i="5"/>
  <c r="E28" i="5"/>
  <c r="E25" i="5"/>
  <c r="E23" i="5"/>
  <c r="E35" i="5"/>
  <c r="E21" i="5"/>
  <c r="E34" i="5"/>
  <c r="E33" i="5"/>
  <c r="E38" i="5"/>
  <c r="E31" i="5"/>
  <c r="E32" i="5"/>
  <c r="D3" i="12"/>
  <c r="B5" i="12"/>
  <c r="G5" i="12"/>
  <c r="M20" i="11"/>
  <c r="M42" i="11"/>
  <c r="M5" i="11"/>
  <c r="M18" i="11"/>
  <c r="M22" i="11"/>
  <c r="M9" i="11"/>
  <c r="M10" i="11"/>
  <c r="M16" i="11"/>
  <c r="M24" i="11"/>
  <c r="M4" i="11"/>
  <c r="M14" i="11"/>
  <c r="M34" i="11"/>
  <c r="M38" i="11"/>
  <c r="M78" i="11"/>
  <c r="M30" i="11"/>
  <c r="M28" i="11"/>
  <c r="E3" i="11"/>
  <c r="M8" i="11"/>
  <c r="M21" i="11"/>
  <c r="M48" i="11"/>
  <c r="M86" i="11"/>
  <c r="M12" i="11"/>
  <c r="M2" i="11"/>
  <c r="M6" i="11"/>
  <c r="M7" i="11"/>
  <c r="M26" i="11"/>
  <c r="M45" i="11"/>
  <c r="M15" i="11"/>
  <c r="M35" i="11"/>
  <c r="M46" i="11"/>
  <c r="M23" i="11"/>
  <c r="M27" i="11"/>
  <c r="M32" i="11"/>
  <c r="M40" i="11"/>
  <c r="M44" i="11"/>
  <c r="O48" i="11"/>
  <c r="M69" i="11"/>
  <c r="M80" i="11"/>
  <c r="M13" i="11"/>
  <c r="M37" i="11"/>
  <c r="M50" i="11"/>
  <c r="M82" i="11"/>
  <c r="M11" i="11"/>
  <c r="M39" i="11"/>
  <c r="O50" i="11"/>
  <c r="M25" i="11"/>
  <c r="M29" i="11"/>
  <c r="M36" i="11"/>
  <c r="M52" i="11"/>
  <c r="M17" i="11"/>
  <c r="M33" i="11"/>
  <c r="M41" i="11"/>
  <c r="O51" i="11"/>
  <c r="M70" i="11"/>
  <c r="M100" i="11"/>
  <c r="M107" i="11"/>
  <c r="M116" i="11"/>
  <c r="M127" i="11"/>
  <c r="M79" i="11"/>
  <c r="M85" i="11"/>
  <c r="M103" i="11"/>
  <c r="M122" i="11"/>
  <c r="M49" i="11"/>
  <c r="O53" i="11"/>
  <c r="O67" i="11"/>
  <c r="M117" i="11"/>
  <c r="M101" i="11"/>
  <c r="M108" i="11"/>
  <c r="M51" i="11"/>
  <c r="M104" i="11"/>
  <c r="M106" i="11"/>
  <c r="M114" i="11"/>
  <c r="M125" i="11"/>
  <c r="M136" i="11"/>
  <c r="O52" i="11"/>
  <c r="M77" i="11"/>
  <c r="M81" i="11"/>
  <c r="M109" i="11"/>
  <c r="O49" i="11"/>
  <c r="M53" i="11"/>
  <c r="M67" i="11"/>
  <c r="M102" i="11"/>
  <c r="O134" i="11"/>
  <c r="M164" i="11"/>
  <c r="M157" i="11"/>
  <c r="M161" i="11"/>
  <c r="M163" i="11"/>
  <c r="M112" i="11"/>
  <c r="M120" i="11"/>
  <c r="M126" i="11"/>
  <c r="M134" i="11"/>
  <c r="M162" i="11"/>
  <c r="O204" i="11"/>
  <c r="M115" i="11"/>
  <c r="M123" i="11"/>
  <c r="M139" i="11"/>
  <c r="M141" i="11"/>
  <c r="M143" i="11"/>
  <c r="M156" i="11"/>
  <c r="M160" i="11"/>
  <c r="M110" i="11"/>
  <c r="M118" i="11"/>
  <c r="M135" i="11"/>
  <c r="M105" i="11"/>
  <c r="M113" i="11"/>
  <c r="M121" i="11"/>
  <c r="M155" i="11"/>
  <c r="M159" i="11"/>
  <c r="M111" i="11"/>
  <c r="M119" i="11"/>
  <c r="M140" i="11"/>
  <c r="M142" i="11"/>
  <c r="M144" i="11"/>
  <c r="M154" i="11"/>
  <c r="M158" i="11"/>
  <c r="O203" i="11"/>
  <c r="M210" i="11"/>
  <c r="O207" i="11"/>
  <c r="M203" i="11"/>
  <c r="M165" i="11"/>
  <c r="M204" i="11"/>
  <c r="E178" i="11"/>
  <c r="M207" i="11"/>
  <c r="J211" i="11"/>
  <c r="B212" i="11"/>
  <c r="L211" i="11"/>
  <c r="C25" i="7" a="1"/>
  <c r="M179" i="11" a="1"/>
  <c r="M181" i="11" a="1"/>
  <c r="O45" i="5" a="1"/>
  <c r="L43" i="5" a="1"/>
  <c r="D89" i="5" a="1"/>
  <c r="L122" i="5"/>
  <c r="O52" i="5" a="1"/>
  <c r="D16" i="5" a="1"/>
  <c r="O99" i="5" a="1"/>
  <c r="O50" i="5" a="1"/>
  <c r="D81" i="5" a="1"/>
  <c r="D80" i="5" a="1"/>
  <c r="M189" i="11" a="1"/>
  <c r="L45" i="5" a="1"/>
  <c r="D35" i="5" a="1"/>
  <c r="D83" i="5" a="1"/>
  <c r="D25" i="5" a="1"/>
  <c r="D33" i="5" a="1"/>
  <c r="D55" i="5" a="1"/>
  <c r="D22" i="5" a="1"/>
  <c r="D56" i="5" a="1"/>
  <c r="D17" i="5" a="1"/>
  <c r="M178" i="11" a="1"/>
  <c r="D82" i="5" a="1"/>
  <c r="D29" i="5" a="1"/>
  <c r="D87" i="5" a="1"/>
  <c r="D28" i="5" a="1"/>
  <c r="M184" i="11" a="1"/>
  <c r="D15" i="5" a="1"/>
  <c r="L9" i="5" a="1"/>
  <c r="D61" i="5" a="1"/>
  <c r="M211" i="11" a="1"/>
  <c r="M87" i="11" a="1"/>
  <c r="L51" i="5" a="1"/>
  <c r="O43" i="5" a="1"/>
  <c r="O44" i="5" a="1"/>
  <c r="D63" i="5" a="1"/>
  <c r="D23" i="5" a="1"/>
  <c r="L7" i="5" a="1"/>
  <c r="R126" i="5"/>
  <c r="L62" i="5" a="1"/>
  <c r="D39" i="5" a="1"/>
  <c r="M89" i="11" a="1"/>
  <c r="L123" i="5"/>
  <c r="O54" i="5" a="1"/>
  <c r="D58" i="5" a="1"/>
  <c r="O51" i="5" a="1"/>
  <c r="O46" i="5" a="1"/>
  <c r="D90" i="5" a="1"/>
  <c r="L49" i="5" a="1"/>
  <c r="L10" i="5" a="1"/>
  <c r="M182" i="11" a="1"/>
  <c r="L5" i="5" a="1"/>
  <c r="D24" i="5" a="1"/>
  <c r="M90" i="11" a="1"/>
  <c r="L3" i="5" a="1"/>
  <c r="O62" i="5" a="1"/>
  <c r="D26" i="5" a="1"/>
  <c r="D60" i="5" a="1"/>
  <c r="L48" i="5" a="1"/>
  <c r="D37" i="5" a="1"/>
  <c r="M186" i="11" a="1"/>
  <c r="O48" i="5" a="1"/>
  <c r="D59" i="5" a="1"/>
  <c r="L3" i="12" a="1"/>
  <c r="M187" i="11" a="1"/>
  <c r="M3" i="11" a="1"/>
  <c r="L47" i="5" a="1"/>
  <c r="D31" i="5" a="1"/>
  <c r="L52" i="5" a="1"/>
  <c r="L11" i="5" a="1"/>
  <c r="L50" i="5" a="1"/>
  <c r="D34" i="5" a="1"/>
  <c r="D32" i="5" a="1"/>
  <c r="L44" i="5" a="1"/>
  <c r="D36" i="5" a="1"/>
  <c r="M183" i="11" a="1"/>
  <c r="M88" i="11" a="1"/>
  <c r="L12" i="5" a="1"/>
  <c r="D21" i="5" a="1"/>
  <c r="D18" i="5" a="1"/>
  <c r="D38" i="5" a="1"/>
  <c r="D88" i="5" a="1"/>
  <c r="L99" i="5" a="1"/>
  <c r="O49" i="5" a="1"/>
  <c r="L54" i="5" a="1"/>
  <c r="D19" i="5" a="1"/>
  <c r="L46" i="5" a="1"/>
  <c r="D20" i="5" a="1"/>
  <c r="D57" i="5" a="1"/>
  <c r="D30" i="5" a="1"/>
  <c r="O47" i="5" a="1"/>
  <c r="E36" i="13"/>
  <c r="E38" i="13"/>
  <c r="E39" i="13"/>
  <c r="N3" i="9" a="1"/>
  <c r="M88" i="11" l="1"/>
  <c r="D22" i="5"/>
  <c r="D17" i="5"/>
  <c r="D26" i="5"/>
  <c r="D19" i="5"/>
  <c r="E122" i="5"/>
  <c r="D82" i="5"/>
  <c r="D24" i="5"/>
  <c r="D80" i="5"/>
  <c r="D21" i="5"/>
  <c r="D16" i="5"/>
  <c r="D20" i="5"/>
  <c r="D83" i="5"/>
  <c r="D25" i="5"/>
  <c r="D15" i="5"/>
  <c r="D23" i="5"/>
  <c r="D18" i="5"/>
  <c r="M87" i="11"/>
  <c r="D81" i="5"/>
  <c r="D59" i="5"/>
  <c r="D57" i="5"/>
  <c r="D60" i="5"/>
  <c r="D61" i="5"/>
  <c r="D63" i="5"/>
  <c r="M90" i="11"/>
  <c r="D55" i="5"/>
  <c r="D56" i="5"/>
  <c r="D58" i="5"/>
  <c r="E9" i="5"/>
  <c r="I111" i="5"/>
  <c r="I105" i="5"/>
  <c r="I6" i="5"/>
  <c r="C18" i="13"/>
  <c r="I112" i="5"/>
  <c r="N3" i="9"/>
  <c r="D87" i="5"/>
  <c r="L48" i="5"/>
  <c r="O48" i="5"/>
  <c r="L9" i="5"/>
  <c r="D89" i="5"/>
  <c r="L54" i="5"/>
  <c r="O54" i="5"/>
  <c r="L3" i="5"/>
  <c r="D35" i="5"/>
  <c r="D88" i="5"/>
  <c r="L46" i="5"/>
  <c r="O46" i="5"/>
  <c r="D32" i="5"/>
  <c r="L10" i="5"/>
  <c r="D31" i="5"/>
  <c r="D29" i="5"/>
  <c r="L62" i="5"/>
  <c r="O62" i="5"/>
  <c r="L12" i="5"/>
  <c r="O51" i="5"/>
  <c r="L51" i="5"/>
  <c r="L49" i="5"/>
  <c r="O49" i="5"/>
  <c r="L47" i="5"/>
  <c r="O47" i="5"/>
  <c r="O43" i="5"/>
  <c r="L43" i="5"/>
  <c r="O50" i="5"/>
  <c r="L50" i="5"/>
  <c r="D33" i="5"/>
  <c r="L5" i="5"/>
  <c r="L7" i="5"/>
  <c r="L11" i="5"/>
  <c r="L52" i="5"/>
  <c r="O52" i="5"/>
  <c r="D38" i="5"/>
  <c r="D28" i="5"/>
  <c r="D34" i="5"/>
  <c r="D39" i="5"/>
  <c r="D90" i="5"/>
  <c r="D30" i="5"/>
  <c r="L45" i="5"/>
  <c r="O45" i="5"/>
  <c r="D37" i="5"/>
  <c r="O99" i="5"/>
  <c r="L99" i="5"/>
  <c r="L44" i="5"/>
  <c r="O44" i="5"/>
  <c r="D36" i="5"/>
  <c r="Y87" i="5"/>
  <c r="Y89" i="5"/>
  <c r="Y88" i="5"/>
  <c r="N40" i="5"/>
  <c r="Y90" i="5"/>
  <c r="L3" i="12"/>
  <c r="G6" i="12"/>
  <c r="B6" i="12"/>
  <c r="C4" i="12"/>
  <c r="M184" i="11"/>
  <c r="M187" i="11"/>
  <c r="M182" i="11"/>
  <c r="M179" i="11"/>
  <c r="M211" i="11"/>
  <c r="M89" i="11"/>
  <c r="M186" i="11"/>
  <c r="M183" i="11"/>
  <c r="M178" i="11"/>
  <c r="M189" i="11"/>
  <c r="M3" i="11"/>
  <c r="M181" i="11"/>
  <c r="L212" i="11"/>
  <c r="J212" i="11"/>
  <c r="C25" i="7"/>
  <c r="O88" i="5" a="1"/>
  <c r="O56" i="5" a="1"/>
  <c r="L90" i="5" a="1"/>
  <c r="O34" i="5" a="1"/>
  <c r="L88" i="5" a="1"/>
  <c r="L33" i="5" a="1"/>
  <c r="O17" i="5" a="1"/>
  <c r="O16" i="5" a="1"/>
  <c r="O26" i="5" a="1"/>
  <c r="O15" i="5" a="1"/>
  <c r="O24" i="5" a="1"/>
  <c r="O35" i="5" a="1"/>
  <c r="D4" i="12" a="1"/>
  <c r="L22" i="5" a="1"/>
  <c r="M212" i="11" a="1"/>
  <c r="O57" i="5" a="1"/>
  <c r="O63" i="5" a="1"/>
  <c r="O38" i="5" a="1"/>
  <c r="L83" i="5" a="1"/>
  <c r="L87" i="5" a="1"/>
  <c r="L18" i="5" a="1"/>
  <c r="O23" i="5" a="1"/>
  <c r="O122" i="5" a="1"/>
  <c r="L17" i="5" a="1"/>
  <c r="L34" i="5" a="1"/>
  <c r="O81" i="5" a="1"/>
  <c r="O19" i="5" a="1"/>
  <c r="L25" i="5" a="1"/>
  <c r="L35" i="5" a="1"/>
  <c r="L37" i="5" a="1"/>
  <c r="L20" i="5" a="1"/>
  <c r="L30" i="5" a="1"/>
  <c r="O111" i="5" a="1"/>
  <c r="O39" i="5" a="1"/>
  <c r="O87" i="5" a="1"/>
  <c r="L23" i="5" a="1"/>
  <c r="O18" i="5" a="1"/>
  <c r="O20" i="5" a="1"/>
  <c r="O83" i="5" a="1"/>
  <c r="O9" i="5" a="1"/>
  <c r="L55" i="5" a="1"/>
  <c r="L58" i="5" a="1"/>
  <c r="L59" i="5" a="1"/>
  <c r="L16" i="5" a="1"/>
  <c r="L39" i="5" a="1"/>
  <c r="L82" i="5" a="1"/>
  <c r="O112" i="5" a="1"/>
  <c r="L24" i="5" a="1"/>
  <c r="O59" i="5" a="1"/>
  <c r="O82" i="5" a="1"/>
  <c r="L36" i="5" a="1"/>
  <c r="L28" i="5" a="1"/>
  <c r="O60" i="5" a="1"/>
  <c r="L80" i="5" a="1"/>
  <c r="O21" i="5" a="1"/>
  <c r="L15" i="5" a="1"/>
  <c r="L56" i="5" a="1"/>
  <c r="O36" i="5" a="1"/>
  <c r="L32" i="5" a="1"/>
  <c r="L111" i="5" a="1"/>
  <c r="O33" i="5" a="1"/>
  <c r="L81" i="5" a="1"/>
  <c r="L63" i="5" a="1"/>
  <c r="L112" i="5" a="1"/>
  <c r="L105" i="5" a="1"/>
  <c r="O28" i="5" a="1"/>
  <c r="O80" i="5" a="1"/>
  <c r="O31" i="5" a="1"/>
  <c r="L31" i="5" a="1"/>
  <c r="O89" i="5" a="1"/>
  <c r="O29" i="5" a="1"/>
  <c r="L57" i="5" a="1"/>
  <c r="O58" i="5" a="1"/>
  <c r="L26" i="5" a="1"/>
  <c r="O22" i="5" a="1"/>
  <c r="O32" i="5" a="1"/>
  <c r="O90" i="5" a="1"/>
  <c r="O61" i="5" a="1"/>
  <c r="L19" i="5" a="1"/>
  <c r="L61" i="5" a="1"/>
  <c r="O55" i="5" a="1"/>
  <c r="O105" i="5" a="1"/>
  <c r="O37" i="5" a="1"/>
  <c r="O30" i="5" a="1"/>
  <c r="L60" i="5" a="1"/>
  <c r="L6" i="5" a="1"/>
  <c r="O25" i="5" a="1"/>
  <c r="L21" i="5" a="1"/>
  <c r="L38" i="5" a="1"/>
  <c r="L29" i="5" a="1"/>
  <c r="L89" i="5" a="1"/>
  <c r="C45" i="13"/>
  <c r="D70" i="13"/>
  <c r="D75" i="13"/>
  <c r="D74" i="13"/>
  <c r="D73" i="13"/>
  <c r="D72" i="13"/>
  <c r="D71" i="13"/>
  <c r="O22" i="5" l="1"/>
  <c r="L22" i="5"/>
  <c r="L17" i="5"/>
  <c r="O17" i="5"/>
  <c r="O26" i="5"/>
  <c r="L26" i="5"/>
  <c r="I97" i="5"/>
  <c r="C16" i="13"/>
  <c r="O122" i="5"/>
  <c r="O19" i="5"/>
  <c r="L19" i="5"/>
  <c r="I127" i="5"/>
  <c r="I106" i="5"/>
  <c r="I128" i="5"/>
  <c r="E123" i="5"/>
  <c r="I100" i="5"/>
  <c r="I113" i="5"/>
  <c r="I109" i="5"/>
  <c r="I104" i="5"/>
  <c r="O80" i="5"/>
  <c r="L80" i="5"/>
  <c r="L24" i="5"/>
  <c r="O24" i="5"/>
  <c r="L16" i="5"/>
  <c r="O16" i="5"/>
  <c r="L82" i="5"/>
  <c r="O82" i="5"/>
  <c r="L21" i="5"/>
  <c r="O21" i="5"/>
  <c r="I110" i="5"/>
  <c r="I107" i="5"/>
  <c r="I96" i="5"/>
  <c r="I4" i="5"/>
  <c r="I2" i="5"/>
  <c r="I108" i="5"/>
  <c r="L23" i="5"/>
  <c r="O23" i="5"/>
  <c r="O18" i="5"/>
  <c r="L18" i="5"/>
  <c r="L25" i="5"/>
  <c r="O25" i="5"/>
  <c r="L81" i="5"/>
  <c r="O81" i="5"/>
  <c r="L83" i="5"/>
  <c r="O83" i="5"/>
  <c r="O15" i="5"/>
  <c r="L15" i="5"/>
  <c r="O20" i="5"/>
  <c r="L20" i="5"/>
  <c r="L55" i="5"/>
  <c r="O55" i="5"/>
  <c r="L56" i="5"/>
  <c r="O56" i="5"/>
  <c r="L63" i="5"/>
  <c r="O63" i="5"/>
  <c r="O61" i="5"/>
  <c r="L61" i="5"/>
  <c r="O60" i="5"/>
  <c r="L60" i="5"/>
  <c r="O57" i="5"/>
  <c r="L57" i="5"/>
  <c r="O58" i="5"/>
  <c r="L58" i="5"/>
  <c r="O59" i="5"/>
  <c r="L59" i="5"/>
  <c r="O9" i="5"/>
  <c r="L6" i="5"/>
  <c r="O105" i="5"/>
  <c r="L105" i="5"/>
  <c r="L111" i="5"/>
  <c r="O111" i="5"/>
  <c r="L112" i="5"/>
  <c r="O112" i="5"/>
  <c r="E10" i="5"/>
  <c r="E12" i="5"/>
  <c r="L32" i="5"/>
  <c r="O32" i="5"/>
  <c r="L87" i="5"/>
  <c r="O87" i="5"/>
  <c r="L29" i="5"/>
  <c r="O29" i="5"/>
  <c r="O35" i="5"/>
  <c r="L35" i="5"/>
  <c r="O89" i="5"/>
  <c r="L89" i="5"/>
  <c r="L90" i="5"/>
  <c r="O90" i="5"/>
  <c r="O34" i="5"/>
  <c r="L34" i="5"/>
  <c r="L31" i="5"/>
  <c r="O31" i="5"/>
  <c r="L88" i="5"/>
  <c r="O88" i="5"/>
  <c r="L39" i="5"/>
  <c r="O39" i="5"/>
  <c r="O36" i="5"/>
  <c r="L36" i="5"/>
  <c r="L30" i="5"/>
  <c r="O30" i="5"/>
  <c r="O28" i="5"/>
  <c r="L28" i="5"/>
  <c r="O37" i="5"/>
  <c r="L37" i="5"/>
  <c r="L38" i="5"/>
  <c r="O38" i="5"/>
  <c r="L33" i="5"/>
  <c r="O33" i="5"/>
  <c r="D4" i="12"/>
  <c r="B7" i="12"/>
  <c r="G7" i="12"/>
  <c r="M212" i="11"/>
  <c r="M35" i="7"/>
  <c r="M27" i="7"/>
  <c r="M26" i="7"/>
  <c r="M34" i="7"/>
  <c r="M36" i="7"/>
  <c r="M28" i="7"/>
  <c r="M41" i="7"/>
  <c r="M29" i="7"/>
  <c r="M39" i="7"/>
  <c r="M31" i="7"/>
  <c r="M37" i="7"/>
  <c r="M30" i="7"/>
  <c r="M40" i="7"/>
  <c r="M33" i="7"/>
  <c r="M38" i="7"/>
  <c r="M32" i="7"/>
  <c r="P28" i="7"/>
  <c r="P35" i="7"/>
  <c r="P27" i="7"/>
  <c r="P40" i="7"/>
  <c r="P32" i="7"/>
  <c r="P39" i="7"/>
  <c r="P31" i="7"/>
  <c r="P41" i="7"/>
  <c r="P33" i="7"/>
  <c r="P37" i="7"/>
  <c r="P30" i="7"/>
  <c r="P29" i="7"/>
  <c r="P38" i="7"/>
  <c r="P34" i="7"/>
  <c r="P36" i="7"/>
  <c r="P26" i="7"/>
  <c r="N34" i="7"/>
  <c r="N26" i="7"/>
  <c r="N41" i="7"/>
  <c r="N33" i="7"/>
  <c r="N35" i="7"/>
  <c r="N27" i="7"/>
  <c r="N38" i="7"/>
  <c r="N39" i="7"/>
  <c r="N29" i="7"/>
  <c r="N32" i="7"/>
  <c r="N37" i="7"/>
  <c r="N31" i="7"/>
  <c r="N40" i="7"/>
  <c r="N28" i="7"/>
  <c r="N36" i="7"/>
  <c r="N30" i="7"/>
  <c r="C35" i="7"/>
  <c r="C36" i="7"/>
  <c r="C28" i="7"/>
  <c r="C40" i="7"/>
  <c r="C32" i="7"/>
  <c r="C38" i="7"/>
  <c r="C39" i="7"/>
  <c r="C34" i="7"/>
  <c r="C27" i="7"/>
  <c r="C37" i="7"/>
  <c r="C26" i="7"/>
  <c r="C30" i="7"/>
  <c r="C31" i="7"/>
  <c r="C33" i="7"/>
  <c r="C41" i="7"/>
  <c r="C29" i="7"/>
  <c r="H39" i="7"/>
  <c r="H32" i="7"/>
  <c r="H28" i="7"/>
  <c r="H40" i="7"/>
  <c r="H35" i="7"/>
  <c r="H27" i="7"/>
  <c r="H31" i="7"/>
  <c r="H41" i="7"/>
  <c r="H33" i="7"/>
  <c r="H29" i="7"/>
  <c r="H26" i="7"/>
  <c r="H34" i="7"/>
  <c r="H36" i="7"/>
  <c r="H38" i="7"/>
  <c r="H30" i="7"/>
  <c r="H37" i="7"/>
  <c r="F33" i="7"/>
  <c r="F41" i="7"/>
  <c r="F26" i="7"/>
  <c r="F36" i="7"/>
  <c r="F34" i="7"/>
  <c r="F35" i="7"/>
  <c r="F27" i="7"/>
  <c r="F30" i="7"/>
  <c r="F29" i="7"/>
  <c r="F37" i="7"/>
  <c r="F31" i="7"/>
  <c r="F28" i="7"/>
  <c r="F40" i="7"/>
  <c r="F38" i="7"/>
  <c r="F32" i="7"/>
  <c r="F39" i="7"/>
  <c r="G41" i="7"/>
  <c r="G40" i="7"/>
  <c r="G32" i="7"/>
  <c r="G36" i="7"/>
  <c r="G28" i="7"/>
  <c r="G33" i="7"/>
  <c r="G35" i="7"/>
  <c r="G34" i="7"/>
  <c r="G26" i="7"/>
  <c r="G30" i="7"/>
  <c r="G38" i="7"/>
  <c r="G37" i="7"/>
  <c r="G39" i="7"/>
  <c r="G31" i="7"/>
  <c r="G27" i="7"/>
  <c r="G29" i="7"/>
  <c r="K35" i="7"/>
  <c r="K28" i="7"/>
  <c r="K40" i="7"/>
  <c r="K32" i="7"/>
  <c r="K36" i="7"/>
  <c r="K34" i="7"/>
  <c r="K38" i="7"/>
  <c r="K39" i="7"/>
  <c r="K27" i="7"/>
  <c r="K31" i="7"/>
  <c r="K26" i="7"/>
  <c r="K29" i="7"/>
  <c r="K33" i="7"/>
  <c r="K41" i="7"/>
  <c r="K37" i="7"/>
  <c r="K30" i="7"/>
  <c r="I39" i="7"/>
  <c r="I31" i="7"/>
  <c r="I30" i="7"/>
  <c r="I27" i="7"/>
  <c r="I38" i="7"/>
  <c r="I40" i="7"/>
  <c r="I32" i="7"/>
  <c r="I26" i="7"/>
  <c r="I34" i="7"/>
  <c r="I35" i="7"/>
  <c r="I41" i="7"/>
  <c r="I29" i="7"/>
  <c r="I37" i="7"/>
  <c r="I36" i="7"/>
  <c r="I28" i="7"/>
  <c r="I33" i="7"/>
  <c r="O33" i="7"/>
  <c r="O36" i="7"/>
  <c r="O28" i="7"/>
  <c r="O40" i="7"/>
  <c r="O35" i="7"/>
  <c r="O41" i="7"/>
  <c r="O32" i="7"/>
  <c r="O34" i="7"/>
  <c r="O26" i="7"/>
  <c r="O29" i="7"/>
  <c r="O38" i="7"/>
  <c r="O31" i="7"/>
  <c r="O39" i="7"/>
  <c r="O27" i="7"/>
  <c r="O37" i="7"/>
  <c r="O30" i="7"/>
  <c r="Q39" i="7"/>
  <c r="Q27" i="7"/>
  <c r="Q31" i="7"/>
  <c r="Q38" i="7"/>
  <c r="Q30" i="7"/>
  <c r="Q40" i="7"/>
  <c r="Q32" i="7"/>
  <c r="Q37" i="7"/>
  <c r="Q33" i="7"/>
  <c r="Q29" i="7"/>
  <c r="Q26" i="7"/>
  <c r="Q35" i="7"/>
  <c r="Q41" i="7"/>
  <c r="Q36" i="7"/>
  <c r="Q34" i="7"/>
  <c r="Q28" i="7"/>
  <c r="D27" i="7"/>
  <c r="D32" i="7"/>
  <c r="D36" i="7"/>
  <c r="D28" i="7"/>
  <c r="D35" i="7"/>
  <c r="D29" i="7"/>
  <c r="D39" i="7"/>
  <c r="D33" i="7"/>
  <c r="D30" i="7"/>
  <c r="D26" i="7"/>
  <c r="D34" i="7"/>
  <c r="D40" i="7"/>
  <c r="D37" i="7"/>
  <c r="D38" i="7"/>
  <c r="D31" i="7"/>
  <c r="D41" i="7"/>
  <c r="J29" i="7"/>
  <c r="J38" i="7"/>
  <c r="J33" i="7"/>
  <c r="J30" i="7"/>
  <c r="J40" i="7"/>
  <c r="J41" i="7"/>
  <c r="J36" i="7"/>
  <c r="J31" i="7"/>
  <c r="J37" i="7"/>
  <c r="J27" i="7"/>
  <c r="J35" i="7"/>
  <c r="J32" i="7"/>
  <c r="J26" i="7"/>
  <c r="J28" i="7"/>
  <c r="J39" i="7"/>
  <c r="J34" i="7"/>
  <c r="L28" i="7"/>
  <c r="L32" i="7"/>
  <c r="L27" i="7"/>
  <c r="L36" i="7"/>
  <c r="L35" i="7"/>
  <c r="L41" i="7"/>
  <c r="L34" i="7"/>
  <c r="L30" i="7"/>
  <c r="L26" i="7"/>
  <c r="L29" i="7"/>
  <c r="L39" i="7"/>
  <c r="L33" i="7"/>
  <c r="L40" i="7"/>
  <c r="L37" i="7"/>
  <c r="L38" i="7"/>
  <c r="L31" i="7"/>
  <c r="R38" i="7"/>
  <c r="R34" i="7"/>
  <c r="R41" i="7"/>
  <c r="R33" i="7"/>
  <c r="R29" i="7"/>
  <c r="R35" i="7"/>
  <c r="R31" i="7"/>
  <c r="R37" i="7"/>
  <c r="R27" i="7"/>
  <c r="R39" i="7"/>
  <c r="R40" i="7"/>
  <c r="R28" i="7"/>
  <c r="R30" i="7"/>
  <c r="R32" i="7"/>
  <c r="R26" i="7"/>
  <c r="R36" i="7"/>
  <c r="E27" i="7"/>
  <c r="E34" i="7"/>
  <c r="E26" i="7"/>
  <c r="E35" i="7"/>
  <c r="E36" i="7"/>
  <c r="E28" i="7"/>
  <c r="E33" i="7"/>
  <c r="E39" i="7"/>
  <c r="E37" i="7"/>
  <c r="E30" i="7"/>
  <c r="E40" i="7"/>
  <c r="E38" i="7"/>
  <c r="E32" i="7"/>
  <c r="E29" i="7"/>
  <c r="E41" i="7"/>
  <c r="E31" i="7"/>
  <c r="L97" i="5" a="1"/>
  <c r="O12" i="5" a="1"/>
  <c r="L96" i="5" a="1"/>
  <c r="O96" i="5" a="1"/>
  <c r="L108" i="5" a="1"/>
  <c r="L109" i="5" a="1"/>
  <c r="O108" i="5" a="1"/>
  <c r="O100" i="5" a="1"/>
  <c r="O123" i="5" a="1"/>
  <c r="L2" i="5" a="1"/>
  <c r="L107" i="5" a="1"/>
  <c r="L104" i="5" a="1"/>
  <c r="O10" i="5" a="1"/>
  <c r="O113" i="5" a="1"/>
  <c r="L127" i="5"/>
  <c r="O107" i="5" a="1"/>
  <c r="L128" i="5"/>
  <c r="O109" i="5" a="1"/>
  <c r="O110" i="5" a="1"/>
  <c r="L106" i="5" a="1"/>
  <c r="L100" i="5" a="1"/>
  <c r="O128" i="5" a="1"/>
  <c r="O106" i="5" a="1"/>
  <c r="L4" i="5" a="1"/>
  <c r="O104" i="5" a="1"/>
  <c r="O127" i="5" a="1"/>
  <c r="O97" i="5" a="1"/>
  <c r="L110" i="5" a="1"/>
  <c r="L113" i="5" a="1"/>
  <c r="O128" i="5" l="1"/>
  <c r="O127" i="5"/>
  <c r="L97" i="5"/>
  <c r="O97" i="5"/>
  <c r="O123" i="5"/>
  <c r="L106" i="5"/>
  <c r="O106" i="5"/>
  <c r="O104" i="5"/>
  <c r="L104" i="5"/>
  <c r="O109" i="5"/>
  <c r="L109" i="5"/>
  <c r="O113" i="5"/>
  <c r="L113" i="5"/>
  <c r="L100" i="5"/>
  <c r="O100" i="5"/>
  <c r="O108" i="5"/>
  <c r="L108" i="5"/>
  <c r="L2" i="5"/>
  <c r="L4" i="5"/>
  <c r="O96" i="5"/>
  <c r="L96" i="5"/>
  <c r="L107" i="5"/>
  <c r="O107" i="5"/>
  <c r="O110" i="5"/>
  <c r="L110" i="5"/>
  <c r="O12" i="5"/>
  <c r="O10" i="5"/>
  <c r="E11" i="5"/>
  <c r="G8" i="12"/>
  <c r="B8" i="12"/>
  <c r="C5" i="12"/>
  <c r="O11" i="5" a="1"/>
  <c r="D5" i="12" a="1"/>
  <c r="O11" i="5" l="1"/>
  <c r="D5" i="12"/>
  <c r="B9" i="12"/>
  <c r="G9" i="12"/>
  <c r="G10" i="12" l="1"/>
  <c r="B10" i="12"/>
  <c r="C6" i="12"/>
  <c r="D6" i="12" a="1"/>
  <c r="D6" i="12" l="1"/>
  <c r="B11" i="12"/>
  <c r="G11" i="12"/>
  <c r="G12" i="12" l="1"/>
  <c r="B12" i="12"/>
  <c r="C7" i="12"/>
  <c r="D7" i="12" a="1"/>
  <c r="D7" i="12" l="1"/>
  <c r="B13" i="12"/>
  <c r="G13" i="12"/>
  <c r="G14" i="12" l="1"/>
  <c r="B14" i="12"/>
  <c r="C8" i="12"/>
  <c r="D8" i="12" a="1"/>
  <c r="D8" i="12" l="1"/>
  <c r="B15" i="12"/>
  <c r="G15" i="12"/>
  <c r="G16" i="12" l="1"/>
  <c r="B16" i="12"/>
  <c r="C9" i="12"/>
  <c r="D9" i="12" a="1"/>
  <c r="D9" i="12" l="1"/>
  <c r="B17" i="12"/>
  <c r="G17" i="12"/>
  <c r="C10" i="12" l="1"/>
  <c r="D10" i="12" a="1"/>
  <c r="D10" i="12" l="1"/>
  <c r="C11" i="12" l="1"/>
  <c r="D11" i="12" a="1"/>
  <c r="D11" i="12" l="1"/>
  <c r="C12" i="12" l="1"/>
  <c r="D12" i="12" a="1"/>
  <c r="D12" i="12" l="1"/>
  <c r="C13" i="12" l="1"/>
  <c r="D13" i="12" a="1"/>
  <c r="D13" i="12" l="1"/>
  <c r="C14" i="12" l="1"/>
  <c r="D14" i="12" a="1"/>
  <c r="D14" i="12" l="1"/>
  <c r="C15" i="12" l="1"/>
  <c r="D15" i="12" a="1"/>
  <c r="D15" i="12" l="1"/>
  <c r="C16" i="12" l="1"/>
  <c r="D16" i="12" a="1"/>
  <c r="D16" i="12" l="1"/>
  <c r="C17" i="12" l="1"/>
  <c r="D17" i="12" a="1"/>
  <c r="D17" i="12" l="1"/>
  <c r="L2" i="12" a="1"/>
  <c r="L2" i="12" l="1"/>
  <c r="L8" i="12" a="1"/>
  <c r="M180" i="11" a="1"/>
  <c r="L11" i="12" a="1"/>
  <c r="L10" i="12" a="1"/>
  <c r="M185" i="11" a="1"/>
  <c r="L7" i="12" a="1"/>
  <c r="L17" i="12" a="1"/>
  <c r="L15" i="12" a="1"/>
  <c r="L13" i="12" a="1"/>
  <c r="L6" i="12" a="1"/>
  <c r="L12" i="12" a="1"/>
  <c r="M188" i="11" a="1"/>
  <c r="L4" i="12" a="1"/>
  <c r="L9" i="12" a="1"/>
  <c r="L14" i="12" a="1"/>
  <c r="L5" i="12" a="1"/>
  <c r="L16" i="12" a="1"/>
  <c r="B4" i="7"/>
  <c r="L9" i="12" l="1"/>
  <c r="L4" i="12"/>
  <c r="M188" i="11"/>
  <c r="L10" i="12"/>
  <c r="L15" i="12"/>
  <c r="L7" i="12"/>
  <c r="L14" i="12"/>
  <c r="L13" i="12"/>
  <c r="L17" i="12"/>
  <c r="L5" i="12"/>
  <c r="L6" i="12"/>
  <c r="M185" i="11"/>
  <c r="L11" i="12"/>
  <c r="L12" i="12"/>
  <c r="L16" i="12"/>
  <c r="M180" i="11"/>
  <c r="L8" i="12"/>
  <c r="Q21" i="9" a="1"/>
  <c r="B5" i="7"/>
  <c r="Q21" i="9" l="1"/>
  <c r="M145" i="1" l="1"/>
  <c r="B6" i="1"/>
  <c r="L2" i="1" a="1"/>
  <c r="L126" i="5"/>
  <c r="E136" i="5" l="1"/>
  <c r="N3" i="1"/>
  <c r="M3" i="1"/>
  <c r="L14" i="1"/>
  <c r="L9" i="1"/>
  <c r="L6" i="1"/>
  <c r="N8" i="1"/>
  <c r="M6" i="1"/>
  <c r="N6" i="1"/>
  <c r="N14" i="1"/>
  <c r="M4" i="1"/>
  <c r="L2" i="1"/>
  <c r="L10" i="1"/>
  <c r="N12" i="1"/>
  <c r="M15" i="1"/>
  <c r="M11" i="1"/>
  <c r="M14" i="1"/>
  <c r="L4" i="1"/>
  <c r="L12" i="1"/>
  <c r="L7" i="1"/>
  <c r="M12" i="1"/>
  <c r="M7" i="1"/>
  <c r="L5" i="1"/>
  <c r="M10" i="1"/>
  <c r="N11" i="1"/>
  <c r="M9" i="1"/>
  <c r="N9" i="1"/>
  <c r="L15" i="1"/>
  <c r="N4" i="1"/>
  <c r="M2" i="1"/>
  <c r="N7" i="1"/>
  <c r="L13" i="1"/>
  <c r="N15" i="1"/>
  <c r="N2" i="1"/>
  <c r="M5" i="1"/>
  <c r="L8" i="1"/>
  <c r="N10" i="1"/>
  <c r="M13" i="1"/>
  <c r="L3" i="1"/>
  <c r="N5" i="1"/>
  <c r="M8" i="1"/>
  <c r="L11" i="1"/>
  <c r="N13" i="1"/>
  <c r="O136" i="5" a="1"/>
  <c r="B7" i="1"/>
  <c r="Q3" i="1" a="1"/>
  <c r="Y31" i="9" a="1"/>
  <c r="S69" i="9" a="1"/>
  <c r="O58" i="9" a="1"/>
  <c r="V59" i="9" a="1"/>
  <c r="Y37" i="9" a="1"/>
  <c r="V73" i="9" a="1"/>
  <c r="V35" i="9" a="1"/>
  <c r="R47" i="9" a="1"/>
  <c r="O13" i="9" a="1"/>
  <c r="O47" i="9" a="1"/>
  <c r="O2" i="9" a="1"/>
  <c r="S12" i="9" a="1"/>
  <c r="V36" i="9" a="1"/>
  <c r="V67" i="9" a="1"/>
  <c r="Y40" i="9" a="1"/>
  <c r="O4" i="9" a="1"/>
  <c r="Y47" i="9" a="1"/>
  <c r="Y30" i="9" a="1"/>
  <c r="V54" i="9" a="1"/>
  <c r="S37" i="9" a="1"/>
  <c r="Y45" i="9" a="1"/>
  <c r="S64" i="9" a="1"/>
  <c r="V19" i="9" a="1"/>
  <c r="Y43" i="9" a="1"/>
  <c r="S13" i="9" a="1"/>
  <c r="O11" i="9" a="1"/>
  <c r="V30" i="9" a="1"/>
  <c r="R30" i="9" a="1"/>
  <c r="Y25" i="9" a="1"/>
  <c r="Y19" i="9" a="1"/>
  <c r="R45" i="9" a="1"/>
  <c r="O14" i="9" a="1"/>
  <c r="R51" i="9" a="1"/>
  <c r="V8" i="9" a="1"/>
  <c r="R35" i="9" a="1"/>
  <c r="V60" i="9" a="1"/>
  <c r="Y14" i="9" a="1"/>
  <c r="V69" i="9" a="1"/>
  <c r="R65" i="9" a="1"/>
  <c r="P13" i="9" a="1"/>
  <c r="O19" i="9" a="1"/>
  <c r="O34" i="9" a="1"/>
  <c r="V22" i="9" a="1"/>
  <c r="S62" i="9" a="1"/>
  <c r="S19" i="9" a="1"/>
  <c r="V70" i="9" a="1"/>
  <c r="V37" i="9" a="1"/>
  <c r="R71" i="9" a="1"/>
  <c r="O73" i="9" a="1"/>
  <c r="V65" i="9" a="1"/>
  <c r="R10" i="9" a="1"/>
  <c r="O12" i="9" a="1"/>
  <c r="S36" i="9" a="1"/>
  <c r="P65" i="9"/>
  <c r="P30" i="9" a="1"/>
  <c r="R9" i="9" a="1"/>
  <c r="O38" i="9" a="1"/>
  <c r="V38" i="9" a="1"/>
  <c r="O37" i="9" a="1"/>
  <c r="S31" i="9" a="1"/>
  <c r="R43" i="9" a="1"/>
  <c r="R41" i="9" a="1"/>
  <c r="Y21" i="9" a="1"/>
  <c r="P43" i="9" a="1"/>
  <c r="S70" i="9" a="1"/>
  <c r="R38" i="9" a="1"/>
  <c r="R36" i="9" a="1"/>
  <c r="Y54" i="9" a="1"/>
  <c r="V57" i="9" a="1"/>
  <c r="S25" i="9" a="1"/>
  <c r="V41" i="9" a="1"/>
  <c r="O36" i="9" a="1"/>
  <c r="P41" i="9" a="1"/>
  <c r="O40" i="9" a="1"/>
  <c r="R32" i="9" a="1"/>
  <c r="P51" i="9" a="1"/>
  <c r="P73" i="9" a="1"/>
  <c r="O6" i="9" a="1"/>
  <c r="Y9" i="9" a="1"/>
  <c r="S14" i="9" a="1"/>
  <c r="P22" i="9" a="1"/>
  <c r="P67" i="9" a="1"/>
  <c r="P61" i="9" a="1"/>
  <c r="O63" i="9" a="1"/>
  <c r="P54" i="9" a="1"/>
  <c r="S33" i="9" a="1"/>
  <c r="O35" i="9" a="1"/>
  <c r="O72" i="9" a="1"/>
  <c r="O45" i="9" a="1"/>
  <c r="V43" i="9" a="1"/>
  <c r="R37" i="9" a="1"/>
  <c r="V45" i="9" a="1"/>
  <c r="O30" i="9" a="1"/>
  <c r="V32" i="9" a="1"/>
  <c r="S65" i="9" a="1"/>
  <c r="S46" i="9" a="1"/>
  <c r="V62" i="9" a="1"/>
  <c r="S16" i="9" a="1"/>
  <c r="O57" i="9" a="1"/>
  <c r="O43" i="9" a="1"/>
  <c r="V16" i="9" a="1"/>
  <c r="V55" i="9" a="1"/>
  <c r="V34" i="9" a="1"/>
  <c r="V17" i="9" a="1"/>
  <c r="P18" i="9" a="1"/>
  <c r="V11" i="9" a="1"/>
  <c r="R31" i="9" a="1"/>
  <c r="Y16" i="9" a="1"/>
  <c r="S60" i="9" a="1"/>
  <c r="V64" i="9" a="1"/>
  <c r="O15" i="9" a="1"/>
  <c r="Y22" i="9" a="1"/>
  <c r="P69" i="9" a="1"/>
  <c r="S51" i="9" a="1"/>
  <c r="S22" i="9" a="1"/>
  <c r="S73" i="9" a="1"/>
  <c r="P45" i="9" a="1"/>
  <c r="O67" i="9" a="1"/>
  <c r="Y32" i="9" a="1"/>
  <c r="R66" i="9" a="1"/>
  <c r="O39" i="9" a="1"/>
  <c r="R19" i="9" a="1"/>
  <c r="V56" i="9" a="1"/>
  <c r="P16" i="9" a="1"/>
  <c r="S57" i="9" a="1"/>
  <c r="P15" i="9" a="1"/>
  <c r="S15" i="9" a="1"/>
  <c r="P32" i="9" a="1"/>
  <c r="Y13" i="9" a="1"/>
  <c r="S38" i="9" a="1"/>
  <c r="S54" i="9" a="1"/>
  <c r="R73" i="9" a="1"/>
  <c r="P33" i="9" a="1"/>
  <c r="O56" i="9" a="1"/>
  <c r="P24" i="9" a="1"/>
  <c r="P57" i="9" a="1"/>
  <c r="R22" i="9" a="1"/>
  <c r="O69" i="9" a="1"/>
  <c r="P31" i="9" a="1"/>
  <c r="P44" i="9" a="1"/>
  <c r="S66" i="9" a="1"/>
  <c r="S32" i="9" a="1"/>
  <c r="V9" i="9" a="1"/>
  <c r="P34" i="9" a="1"/>
  <c r="O18" i="9" a="1"/>
  <c r="S18" i="9" a="1"/>
  <c r="V71" i="9" a="1"/>
  <c r="O65" i="9" a="1"/>
  <c r="R44" i="9" a="1"/>
  <c r="S59" i="9" a="1"/>
  <c r="Y36" i="9" a="1"/>
  <c r="Y24" i="9" a="1"/>
  <c r="R16" i="9" a="1"/>
  <c r="P56" i="9" a="1"/>
  <c r="O46" i="9" a="1"/>
  <c r="V18" i="9" a="1"/>
  <c r="V66" i="9" a="1"/>
  <c r="S30" i="9" a="1"/>
  <c r="S67" i="9" a="1"/>
  <c r="R67" i="9" a="1"/>
  <c r="Y35" i="9" a="1"/>
  <c r="O10" i="9" a="1"/>
  <c r="S47" i="9" a="1"/>
  <c r="V68" i="9" a="1"/>
  <c r="S23" i="9" a="1"/>
  <c r="Y39" i="9" a="1"/>
  <c r="R59" i="9" a="1"/>
  <c r="O16" i="9" a="1"/>
  <c r="P64" i="9" a="1"/>
  <c r="P46" i="9" a="1"/>
  <c r="Y11" i="9" a="1"/>
  <c r="S34" i="9" a="1"/>
  <c r="Y18" i="9" a="1"/>
  <c r="V10" i="9" a="1"/>
  <c r="R54" i="9" a="1"/>
  <c r="S24" i="9" a="1"/>
  <c r="R55" i="9" a="1"/>
  <c r="P14" i="9" a="1"/>
  <c r="Y8" i="9" a="1"/>
  <c r="S45" i="9" a="1"/>
  <c r="S55" i="9" a="1"/>
  <c r="R46" i="9" a="1"/>
  <c r="P72" i="9" a="1"/>
  <c r="O62" i="9" a="1"/>
  <c r="R63" i="9" a="1"/>
  <c r="P21" i="9" a="1"/>
  <c r="R57" i="9" a="1"/>
  <c r="O42" i="9" a="1"/>
  <c r="P68" i="9" a="1"/>
  <c r="O7" i="9" a="1"/>
  <c r="P11" i="9" a="1"/>
  <c r="O23" i="9" a="1"/>
  <c r="V58" i="9" a="1"/>
  <c r="R64" i="9" a="1"/>
  <c r="S40" i="9" a="1"/>
  <c r="R72" i="9" a="1"/>
  <c r="P12" i="9" a="1"/>
  <c r="Y33" i="9" a="1"/>
  <c r="V15" i="9" a="1"/>
  <c r="P59" i="9" a="1"/>
  <c r="P9" i="9" a="1"/>
  <c r="O70" i="9" a="1"/>
  <c r="V13" i="9" a="1"/>
  <c r="S43" i="9" a="1"/>
  <c r="S42" i="9" a="1"/>
  <c r="S10" i="9" a="1"/>
  <c r="R42" i="9" a="1"/>
  <c r="Y15" i="9" a="1"/>
  <c r="V44" i="9" a="1"/>
  <c r="P42" i="9" a="1"/>
  <c r="O17" i="9" a="1"/>
  <c r="R68" i="9" a="1"/>
  <c r="S68" i="9" a="1"/>
  <c r="R17" i="9" a="1"/>
  <c r="V23" i="9" a="1"/>
  <c r="R11" i="9" a="1"/>
  <c r="P23" i="9" a="1"/>
  <c r="P71" i="9" a="1"/>
  <c r="S35" i="9" a="1"/>
  <c r="Y41" i="9" a="1"/>
  <c r="Y46" i="9" a="1"/>
  <c r="S39" i="9" a="1"/>
  <c r="O31" i="9" a="1"/>
  <c r="P63" i="9" a="1"/>
  <c r="O22" i="9" a="1"/>
  <c r="Y12" i="9" a="1"/>
  <c r="V63" i="9" a="1"/>
  <c r="S11" i="9" a="1"/>
  <c r="R70" i="9" a="1"/>
  <c r="R34" i="9" a="1"/>
  <c r="P25" i="9" a="1"/>
  <c r="V31" i="9" a="1"/>
  <c r="S63" i="9" a="1"/>
  <c r="O59" i="9" a="1"/>
  <c r="P70" i="9" a="1"/>
  <c r="R62" i="9" a="1"/>
  <c r="O5" i="9" a="1"/>
  <c r="R13" i="9" a="1"/>
  <c r="O8" i="9" a="1"/>
  <c r="R60" i="9" a="1"/>
  <c r="S71" i="9" a="1"/>
  <c r="O44" i="9" a="1"/>
  <c r="V46" i="9" a="1"/>
  <c r="Y10" i="9" a="1"/>
  <c r="Y38" i="9" a="1"/>
  <c r="O51" i="9" a="1"/>
  <c r="P55" i="9" a="1"/>
  <c r="R24" i="9" a="1"/>
  <c r="O66" i="9" a="1"/>
  <c r="S58" i="9" a="1"/>
  <c r="S9" i="9" a="1"/>
  <c r="R69" i="9" a="1"/>
  <c r="S56" i="9" a="1"/>
  <c r="S21" i="9" a="1"/>
  <c r="R12" i="9" a="1"/>
  <c r="R18" i="9" a="1"/>
  <c r="Y51" i="9" a="1"/>
  <c r="S8" i="9" a="1"/>
  <c r="V24" i="9" a="1"/>
  <c r="Y23" i="9" a="1"/>
  <c r="O9" i="9" a="1"/>
  <c r="Y17" i="9" a="1"/>
  <c r="P39" i="9" a="1"/>
  <c r="P8" i="9" a="1"/>
  <c r="R8" i="9" a="1"/>
  <c r="V51" i="9" a="1"/>
  <c r="R56" i="9" a="1"/>
  <c r="O41" i="9" a="1"/>
  <c r="V40" i="9" a="1"/>
  <c r="S44" i="9" a="1"/>
  <c r="V42" i="9" a="1"/>
  <c r="R23" i="9" a="1"/>
  <c r="V72" i="9" a="1"/>
  <c r="O33" i="9" a="1"/>
  <c r="O68" i="9" a="1"/>
  <c r="P36" i="9" a="1"/>
  <c r="V61" i="9" a="1"/>
  <c r="R15" i="9" a="1"/>
  <c r="O55" i="9" a="1"/>
  <c r="R61" i="9" a="1"/>
  <c r="O71" i="9" a="1"/>
  <c r="Y34" i="9" a="1"/>
  <c r="Y42" i="9" a="1"/>
  <c r="Y44" i="9" a="1"/>
  <c r="P62" i="9" a="1"/>
  <c r="P17" i="9" a="1"/>
  <c r="R21" i="9" a="1"/>
  <c r="P40" i="9" a="1"/>
  <c r="O60" i="9" a="1"/>
  <c r="P60" i="9" a="1"/>
  <c r="O64" i="9" a="1"/>
  <c r="S17" i="9" a="1"/>
  <c r="O3" i="9" a="1"/>
  <c r="R58" i="9" a="1"/>
  <c r="O24" i="9" a="1"/>
  <c r="S61" i="9" a="1"/>
  <c r="R39" i="9" a="1"/>
  <c r="R40" i="9" a="1"/>
  <c r="V47" i="9" a="1"/>
  <c r="P66" i="9" a="1"/>
  <c r="O25" i="9" a="1"/>
  <c r="V33" i="9" a="1"/>
  <c r="O54" i="9" a="1"/>
  <c r="P10" i="9" a="1"/>
  <c r="R14" i="9" a="1"/>
  <c r="O21" i="9" a="1"/>
  <c r="V25" i="9" a="1"/>
  <c r="P38" i="9" a="1"/>
  <c r="P19" i="9" a="1"/>
  <c r="V12" i="9" a="1"/>
  <c r="P47" i="9" a="1"/>
  <c r="S41" i="9" a="1"/>
  <c r="P58" i="9" a="1"/>
  <c r="R33" i="9" a="1"/>
  <c r="V39" i="9" a="1"/>
  <c r="P35" i="9" a="1"/>
  <c r="V14" i="9" a="1"/>
  <c r="O61" i="9" a="1"/>
  <c r="R25" i="9" a="1"/>
  <c r="S72" i="9" a="1"/>
  <c r="P37" i="9" a="1"/>
  <c r="O32" i="9" a="1"/>
  <c r="V21" i="9" a="1"/>
  <c r="Q61" i="5" a="1"/>
  <c r="N9" i="11" a="1"/>
  <c r="W22" i="5" a="1"/>
  <c r="M32" i="5" a="1"/>
  <c r="M112" i="5" a="1"/>
  <c r="N100" i="11" a="1"/>
  <c r="W23" i="5" a="1"/>
  <c r="N81" i="5" a="1"/>
  <c r="M60" i="5" a="1"/>
  <c r="Q28" i="5" a="1"/>
  <c r="T17" i="5" a="1"/>
  <c r="P11" i="5" a="1"/>
  <c r="T87" i="5" a="1"/>
  <c r="T127" i="5" a="1"/>
  <c r="P54" i="5" a="1"/>
  <c r="T81" i="5" a="1"/>
  <c r="P207" i="11" a="1"/>
  <c r="N193" i="11" a="1"/>
  <c r="P52" i="11" a="1"/>
  <c r="P100" i="5" a="1"/>
  <c r="N17" i="5" a="1"/>
  <c r="P52" i="5" a="1"/>
  <c r="P33" i="5" a="1"/>
  <c r="W33" i="5" a="1"/>
  <c r="T88" i="5" a="1"/>
  <c r="M49" i="5" a="1"/>
  <c r="T20" i="5" a="1"/>
  <c r="T109" i="5" a="1"/>
  <c r="Q123" i="5" a="1"/>
  <c r="P122" i="5" a="1"/>
  <c r="P63" i="5" a="1"/>
  <c r="Q20" i="5" a="1"/>
  <c r="W37" i="5" a="1"/>
  <c r="T37" i="5" a="1"/>
  <c r="N61" i="5" a="1"/>
  <c r="Q52" i="5" a="1"/>
  <c r="N28" i="11" a="1"/>
  <c r="N42" i="11" a="1"/>
  <c r="P107" i="5" a="1"/>
  <c r="W30" i="5" a="1"/>
  <c r="M50" i="5" a="1"/>
  <c r="T104" i="5" a="1"/>
  <c r="M141" i="5" a="1"/>
  <c r="N113" i="5" a="1"/>
  <c r="P44" i="5" a="1"/>
  <c r="M62" i="5" a="1"/>
  <c r="N102" i="11" a="1"/>
  <c r="N166" i="11" a="1"/>
  <c r="M10" i="12" a="1"/>
  <c r="M9" i="5" a="1"/>
  <c r="T25" i="5" a="1"/>
  <c r="P50" i="11" a="1"/>
  <c r="M107" i="5" a="1"/>
  <c r="Q89" i="5" a="1"/>
  <c r="P60" i="5" a="1"/>
  <c r="T46" i="5" a="1"/>
  <c r="N29" i="5" a="1"/>
  <c r="T80" i="5" a="1"/>
  <c r="N127" i="5" a="1"/>
  <c r="T39" i="5" a="1"/>
  <c r="N164" i="11" a="1"/>
  <c r="N167" i="11" a="1"/>
  <c r="N116" i="11" a="1"/>
  <c r="M14" i="12" a="1"/>
  <c r="N100" i="5" a="1"/>
  <c r="T50" i="5" a="1"/>
  <c r="N179" i="11" a="1"/>
  <c r="Q24" i="5" a="1"/>
  <c r="N158" i="11" a="1"/>
  <c r="Q127" i="5" a="1"/>
  <c r="P34" i="5" a="1"/>
  <c r="P32" i="5" a="1"/>
  <c r="W9" i="5" a="1"/>
  <c r="N54" i="5" a="1"/>
  <c r="P112" i="5" a="1"/>
  <c r="M6" i="5" a="1"/>
  <c r="M81" i="5" a="1"/>
  <c r="Q49" i="5" a="1"/>
  <c r="M24" i="5" a="1"/>
  <c r="N88" i="5" a="1"/>
  <c r="T60" i="5" a="1"/>
  <c r="P67" i="11" a="1"/>
  <c r="N106" i="11" a="1"/>
  <c r="Q117" i="5" a="1"/>
  <c r="N159" i="11" a="1"/>
  <c r="M2" i="5" a="1"/>
  <c r="T47" i="5" a="1"/>
  <c r="M17" i="5" a="1"/>
  <c r="T90" i="5" a="1"/>
  <c r="Q122" i="5" a="1"/>
  <c r="M45" i="5" a="1"/>
  <c r="M23" i="5" a="1"/>
  <c r="Q29" i="5" a="1"/>
  <c r="N107" i="5" a="1"/>
  <c r="M57" i="5" a="1"/>
  <c r="N29" i="11" a="1"/>
  <c r="N204" i="11" a="1"/>
  <c r="N45" i="11" a="1"/>
  <c r="P30" i="5" a="1"/>
  <c r="W24" i="5" a="1"/>
  <c r="P51" i="5" a="1"/>
  <c r="Q33" i="5" a="1"/>
  <c r="W19" i="5" a="1"/>
  <c r="W16" i="5" a="1"/>
  <c r="T31" i="5" a="1"/>
  <c r="W11" i="5" a="1"/>
  <c r="M104" i="5" a="1"/>
  <c r="N116" i="5" a="1"/>
  <c r="Q43" i="5" a="1"/>
  <c r="P58" i="5" a="1"/>
  <c r="N105" i="5" a="1"/>
  <c r="M122" i="5"/>
  <c r="Q110" i="5" a="1"/>
  <c r="W25" i="5" a="1"/>
  <c r="W38" i="5" a="1"/>
  <c r="Q10" i="5" a="1"/>
  <c r="Q100" i="5" a="1"/>
  <c r="N56" i="5" a="1"/>
  <c r="N33" i="5" a="1"/>
  <c r="N15" i="5" a="1"/>
  <c r="N25" i="5" a="1"/>
  <c r="P24" i="5" a="1"/>
  <c r="P49" i="5" a="1"/>
  <c r="M51" i="5" a="1"/>
  <c r="P50" i="5" a="1"/>
  <c r="N111" i="5" a="1"/>
  <c r="N22" i="5" a="1"/>
  <c r="T63" i="5" a="1"/>
  <c r="P127" i="5" a="1"/>
  <c r="T32" i="5" a="1"/>
  <c r="T113" i="5" a="1"/>
  <c r="M117" i="5" a="1"/>
  <c r="Q9" i="5" a="1"/>
  <c r="N39" i="5" a="1"/>
  <c r="W32" i="5" a="1"/>
  <c r="N99" i="5" a="1"/>
  <c r="Q44" i="5" a="1"/>
  <c r="Q116" i="5" a="1"/>
  <c r="P47" i="5" a="1"/>
  <c r="P38" i="5" a="1"/>
  <c r="N168" i="11" a="1"/>
  <c r="N70" i="11" a="1"/>
  <c r="N8" i="11" a="1"/>
  <c r="N165" i="11" a="1"/>
  <c r="P51" i="11" a="1"/>
  <c r="N154" i="11" a="1"/>
  <c r="N186" i="11" a="1"/>
  <c r="N141" i="11" a="1"/>
  <c r="N170" i="11" a="1"/>
  <c r="N18" i="11" a="1"/>
  <c r="N14" i="11" a="1"/>
  <c r="S67" i="11" a="1"/>
  <c r="N143" i="11" a="1"/>
  <c r="Q48" i="11" a="1"/>
  <c r="N171" i="11" a="1"/>
  <c r="Q50" i="11" a="1"/>
  <c r="N112" i="11" a="1"/>
  <c r="N5" i="11" a="1"/>
  <c r="N192" i="11" a="1"/>
  <c r="N39" i="11" a="1"/>
  <c r="N20" i="11" a="1"/>
  <c r="N198" i="11" a="1"/>
  <c r="N87" i="11" a="1"/>
  <c r="M17" i="12" a="1"/>
  <c r="M15" i="12" a="1"/>
  <c r="T29" i="5" a="1"/>
  <c r="T97" i="5" a="1"/>
  <c r="M111" i="5" a="1"/>
  <c r="Q112" i="5" a="1"/>
  <c r="Q21" i="5" a="1"/>
  <c r="T18" i="5" a="1"/>
  <c r="P23" i="5" a="1"/>
  <c r="M44" i="5" a="1"/>
  <c r="M35" i="5" a="1"/>
  <c r="N97" i="5" a="1"/>
  <c r="N118" i="11" a="1"/>
  <c r="Q51" i="11" a="1"/>
  <c r="N183" i="11" a="1"/>
  <c r="N38" i="11" a="1"/>
  <c r="N191" i="11" a="1"/>
  <c r="P49" i="11" a="1"/>
  <c r="M3" i="12" a="1"/>
  <c r="N16" i="5" a="1"/>
  <c r="M16" i="5" a="1"/>
  <c r="P43" i="5" a="1"/>
  <c r="Q88" i="5" a="1"/>
  <c r="Q56" i="5" a="1"/>
  <c r="Q55" i="5" a="1"/>
  <c r="T106" i="5" a="1"/>
  <c r="M56" i="5" a="1"/>
  <c r="W39" i="5" a="1"/>
  <c r="M4" i="5" a="1"/>
  <c r="Q45" i="5" a="1"/>
  <c r="Q58" i="5" a="1"/>
  <c r="M142" i="5" a="1"/>
  <c r="Q18" i="5" a="1"/>
  <c r="M29" i="5" a="1"/>
  <c r="P120" i="5" a="1"/>
  <c r="T49" i="5" a="1"/>
  <c r="T16" i="5" a="1"/>
  <c r="T96" i="5" a="1"/>
  <c r="P37" i="5" a="1"/>
  <c r="M3" i="5" a="1"/>
  <c r="Q16" i="5" a="1"/>
  <c r="M33" i="5" a="1"/>
  <c r="P104" i="5" a="1"/>
  <c r="M47" i="5" a="1"/>
  <c r="P15" i="5" a="1"/>
  <c r="Q15" i="5" a="1"/>
  <c r="T117" i="5" a="1"/>
  <c r="P19" i="5" a="1"/>
  <c r="N18" i="5" a="1"/>
  <c r="N20" i="5" a="1"/>
  <c r="Q60" i="5" a="1"/>
  <c r="N58" i="5" a="1"/>
  <c r="T82" i="5" a="1"/>
  <c r="Q47" i="5" a="1"/>
  <c r="T34" i="5" a="1"/>
  <c r="N30" i="5" a="1"/>
  <c r="M31" i="5" a="1"/>
  <c r="T36" i="5" a="1"/>
  <c r="P12" i="5" a="1"/>
  <c r="M12" i="5" a="1"/>
  <c r="N31" i="5" a="1"/>
  <c r="M20" i="5" a="1"/>
  <c r="M48" i="5" a="1"/>
  <c r="N196" i="11" a="1"/>
  <c r="S52" i="11" a="1"/>
  <c r="Q207" i="11" a="1"/>
  <c r="Q67" i="11" a="1"/>
  <c r="N32" i="11" a="1"/>
  <c r="N195" i="11" a="1"/>
  <c r="N101" i="11" a="1"/>
  <c r="N212" i="11" a="1"/>
  <c r="N67" i="11" a="1"/>
  <c r="N51" i="11" a="1"/>
  <c r="N161" i="11" a="1"/>
  <c r="N12" i="11" a="1"/>
  <c r="N105" i="11" a="1"/>
  <c r="N21" i="11" a="1"/>
  <c r="N108" i="11" a="1"/>
  <c r="N69" i="11" a="1"/>
  <c r="N176" i="11" a="1"/>
  <c r="N172" i="11" a="1"/>
  <c r="N127" i="11" a="1"/>
  <c r="Q53" i="11" a="1"/>
  <c r="P134" i="11" a="1"/>
  <c r="N46" i="11" a="1"/>
  <c r="M6" i="12" a="1"/>
  <c r="M8" i="12" a="1"/>
  <c r="Q204" i="11" a="1"/>
  <c r="N79" i="11" a="1"/>
  <c r="N114" i="11" a="1"/>
  <c r="N88" i="11" a="1"/>
  <c r="N81" i="11" a="1"/>
  <c r="S48" i="11" a="1"/>
  <c r="N120" i="11" a="1"/>
  <c r="N50" i="11" a="1"/>
  <c r="P36" i="5" a="1"/>
  <c r="M116" i="5" a="1"/>
  <c r="N12" i="5" a="1"/>
  <c r="T61" i="5" a="1"/>
  <c r="P59" i="5" a="1"/>
  <c r="M120" i="5" a="1"/>
  <c r="P123" i="5" a="1"/>
  <c r="P119" i="5" a="1"/>
  <c r="Q90" i="5" a="1"/>
  <c r="N110" i="5" a="1"/>
  <c r="Q38" i="5" a="1"/>
  <c r="W15" i="5" a="1"/>
  <c r="Q82" i="5" a="1"/>
  <c r="M127" i="5"/>
  <c r="P16" i="5" a="1"/>
  <c r="P62" i="5" a="1"/>
  <c r="Q50" i="5" a="1"/>
  <c r="M37" i="5" a="1"/>
  <c r="P45" i="5" a="1"/>
  <c r="T59" i="5" a="1"/>
  <c r="P90" i="5" a="1"/>
  <c r="N119" i="5" a="1"/>
  <c r="W34" i="5" a="1"/>
  <c r="N136" i="5" a="1"/>
  <c r="N43" i="5" a="1"/>
  <c r="N11" i="5" a="1"/>
  <c r="M15" i="5" a="1"/>
  <c r="T108" i="5" a="1"/>
  <c r="T19" i="5" a="1"/>
  <c r="Q12" i="5" a="1"/>
  <c r="Q81" i="5" a="1"/>
  <c r="Q22" i="5" a="1"/>
  <c r="P39" i="5" a="1"/>
  <c r="N55" i="5" a="1"/>
  <c r="M55" i="5" a="1"/>
  <c r="M28" i="5" a="1"/>
  <c r="T12" i="5" a="1"/>
  <c r="P20" i="5" a="1"/>
  <c r="N96" i="5" a="1"/>
  <c r="M34" i="5" a="1"/>
  <c r="M30" i="5" a="1"/>
  <c r="W21" i="5" a="1"/>
  <c r="Q23" i="5" a="1"/>
  <c r="T11" i="5" a="1"/>
  <c r="N201" i="11" a="1"/>
  <c r="N134" i="11" a="1"/>
  <c r="S134" i="11" a="1"/>
  <c r="N26" i="11" a="1"/>
  <c r="N36" i="11" a="1"/>
  <c r="P53" i="11" a="1"/>
  <c r="N37" i="11" a="1"/>
  <c r="N189" i="11" a="1"/>
  <c r="N177" i="11" a="1"/>
  <c r="N156" i="11" a="1"/>
  <c r="N173" i="11" a="1"/>
  <c r="N41" i="11" a="1"/>
  <c r="N49" i="11" a="1"/>
  <c r="N3" i="11" a="1"/>
  <c r="N86" i="11" a="1"/>
  <c r="N178" i="11" a="1"/>
  <c r="P203" i="11" a="1"/>
  <c r="N80" i="11" a="1"/>
  <c r="N13" i="11" a="1"/>
  <c r="N85" i="11" a="1"/>
  <c r="N24" i="11" a="1"/>
  <c r="N115" i="11" a="1"/>
  <c r="N144" i="11" a="1"/>
  <c r="N162" i="11" a="1"/>
  <c r="N109" i="11" a="1"/>
  <c r="M13" i="12" a="1"/>
  <c r="M16" i="12" a="1"/>
  <c r="P21" i="5" a="1"/>
  <c r="P116" i="5" a="1"/>
  <c r="T28" i="5" a="1"/>
  <c r="W12" i="5" a="1"/>
  <c r="M5" i="5" a="1"/>
  <c r="N19" i="5" a="1"/>
  <c r="N87" i="5" a="1"/>
  <c r="N60" i="5" a="1"/>
  <c r="Q48" i="5" a="1"/>
  <c r="M7" i="5" a="1"/>
  <c r="N36" i="5" a="1"/>
  <c r="M19" i="5" a="1"/>
  <c r="N63" i="5" a="1"/>
  <c r="N128" i="5" a="1"/>
  <c r="T24" i="5" a="1"/>
  <c r="T54" i="5" a="1"/>
  <c r="N125" i="11" a="1"/>
  <c r="N160" i="11" a="1"/>
  <c r="N200" i="11" a="1"/>
  <c r="N7" i="11" a="1"/>
  <c r="N126" i="11" a="1"/>
  <c r="P48" i="11" a="1"/>
  <c r="S49" i="11" a="1"/>
  <c r="N211" i="11" a="1"/>
  <c r="M2" i="12" a="1"/>
  <c r="P55" i="5" a="1"/>
  <c r="T107" i="5" a="1"/>
  <c r="Q11" i="5" a="1"/>
  <c r="M43" i="5" a="1"/>
  <c r="P99" i="5" a="1"/>
  <c r="M82" i="5" a="1"/>
  <c r="M38" i="5" a="1"/>
  <c r="N44" i="5" a="1"/>
  <c r="T105" i="5" a="1"/>
  <c r="P46" i="5" a="1"/>
  <c r="M10" i="5" a="1"/>
  <c r="T21" i="5" a="1"/>
  <c r="Q34" i="5" a="1"/>
  <c r="Q119" i="5" a="1"/>
  <c r="T33" i="5" a="1"/>
  <c r="M108" i="5" a="1"/>
  <c r="P111" i="5" a="1"/>
  <c r="P10" i="5" a="1"/>
  <c r="Q83" i="5" a="1"/>
  <c r="T30" i="5" a="1"/>
  <c r="M140" i="5" a="1"/>
  <c r="T111" i="5" a="1"/>
  <c r="N120" i="5" a="1"/>
  <c r="T51" i="5" a="1"/>
  <c r="T89" i="5" a="1"/>
  <c r="T112" i="5" a="1"/>
  <c r="N26" i="5" a="1"/>
  <c r="N10" i="5" a="1"/>
  <c r="T116" i="5" a="1"/>
  <c r="N117" i="5" a="1"/>
  <c r="N24" i="5" a="1"/>
  <c r="T35" i="5" a="1"/>
  <c r="M106" i="5" a="1"/>
  <c r="T48" i="5" a="1"/>
  <c r="T10" i="5" a="1"/>
  <c r="M61" i="5" a="1"/>
  <c r="Q120" i="5" a="1"/>
  <c r="N50" i="5" a="1"/>
  <c r="N28" i="5" a="1"/>
  <c r="Q35" i="5" a="1"/>
  <c r="T58" i="5" a="1"/>
  <c r="M26" i="5" a="1"/>
  <c r="N23" i="5" a="1"/>
  <c r="Q113" i="5" a="1"/>
  <c r="M128" i="5"/>
  <c r="P82" i="5" a="1"/>
  <c r="Q57" i="5" a="1"/>
  <c r="Q63" i="5" a="1"/>
  <c r="Q105" i="5" a="1"/>
  <c r="Q106" i="5" a="1"/>
  <c r="N35" i="5" a="1"/>
  <c r="M83" i="5" a="1"/>
  <c r="T43" i="5" a="1"/>
  <c r="Q32" i="5" a="1"/>
  <c r="N38" i="5" a="1"/>
  <c r="M39" i="5" a="1"/>
  <c r="P48" i="5" a="1"/>
  <c r="Q111" i="5" a="1"/>
  <c r="N122" i="5" a="1"/>
  <c r="P9" i="5" a="1"/>
  <c r="P18" i="5" a="1"/>
  <c r="N109" i="5" a="1"/>
  <c r="M58" i="5" a="1"/>
  <c r="P35" i="5" a="1"/>
  <c r="T55" i="5" a="1"/>
  <c r="Q31" i="5" a="1"/>
  <c r="M99" i="5" a="1"/>
  <c r="N21" i="5" a="1"/>
  <c r="T15" i="5" a="1"/>
  <c r="W36" i="5" a="1"/>
  <c r="N48" i="5" a="1"/>
  <c r="M105" i="5" a="1"/>
  <c r="N82" i="5" a="1"/>
  <c r="N89" i="5" a="1"/>
  <c r="N62" i="5" a="1"/>
  <c r="N9" i="5" a="1"/>
  <c r="P89" i="5" a="1"/>
  <c r="W17" i="5" a="1"/>
  <c r="W20" i="5" a="1"/>
  <c r="P28" i="5" a="1"/>
  <c r="P88" i="5" a="1"/>
  <c r="Q80" i="5" a="1"/>
  <c r="M22" i="5" a="1"/>
  <c r="M18" i="5" a="1"/>
  <c r="Q96" i="5" a="1"/>
  <c r="P81" i="5" a="1"/>
  <c r="P83" i="5" a="1"/>
  <c r="Q52" i="11" a="1"/>
  <c r="N117" i="11" a="1"/>
  <c r="N110" i="11" a="1"/>
  <c r="N174" i="11" a="1"/>
  <c r="N182" i="11" a="1"/>
  <c r="N4" i="11" a="1"/>
  <c r="N33" i="11" a="1"/>
  <c r="S51" i="11" a="1"/>
  <c r="N103" i="11" a="1"/>
  <c r="N184" i="11" a="1"/>
  <c r="N17" i="11" a="1"/>
  <c r="N89" i="11" a="1"/>
  <c r="N23" i="11" a="1"/>
  <c r="N181" i="11" a="1"/>
  <c r="N35" i="11" a="1"/>
  <c r="N187" i="11" a="1"/>
  <c r="N104" i="11" a="1"/>
  <c r="N90" i="11" a="1"/>
  <c r="N44" i="11" a="1"/>
  <c r="N210" i="11" a="1"/>
  <c r="N203" i="11" a="1"/>
  <c r="N40" i="11" a="1"/>
  <c r="N22" i="11" a="1"/>
  <c r="N25" i="11" a="1"/>
  <c r="N140" i="11" a="1"/>
  <c r="M7" i="12" a="1"/>
  <c r="M12" i="12" a="1"/>
  <c r="Q104" i="5" a="1"/>
  <c r="M136" i="5" a="1"/>
  <c r="W26" i="5" a="1"/>
  <c r="Q87" i="5" a="1"/>
  <c r="P117" i="5" a="1"/>
  <c r="P26" i="5" a="1"/>
  <c r="Q54" i="5" a="1"/>
  <c r="N46" i="5" a="1"/>
  <c r="W31" i="5" a="1"/>
  <c r="M137" i="5" a="1"/>
  <c r="N34" i="5" a="1"/>
  <c r="M100" i="5" a="1"/>
  <c r="N47" i="5" a="1"/>
  <c r="N106" i="5" a="1"/>
  <c r="Q99" i="5" a="1"/>
  <c r="M97" i="5" a="1"/>
  <c r="W29" i="5" a="1"/>
  <c r="M96" i="5" a="1"/>
  <c r="Q37" i="5" a="1"/>
  <c r="M110" i="5" a="1"/>
  <c r="S50" i="11" a="1"/>
  <c r="S203" i="11" a="1"/>
  <c r="N119" i="11" a="1"/>
  <c r="N82" i="11" a="1"/>
  <c r="N30" i="11" a="1"/>
  <c r="N122" i="11" a="1"/>
  <c r="N52" i="11" a="1"/>
  <c r="N53" i="11" a="1"/>
  <c r="Q134" i="11" a="1"/>
  <c r="Q203" i="11" a="1"/>
  <c r="N155" i="11" a="1"/>
  <c r="N157" i="11" a="1"/>
  <c r="N194" i="11" a="1"/>
  <c r="N175" i="11" a="1"/>
  <c r="P204" i="11" a="1"/>
  <c r="N188" i="11" a="1"/>
  <c r="N107" i="11" a="1"/>
  <c r="N169" i="11" a="1"/>
  <c r="N48" i="11" a="1"/>
  <c r="N16" i="11" a="1"/>
  <c r="N27" i="11" a="1"/>
  <c r="N15" i="11" a="1"/>
  <c r="N2" i="11" a="1"/>
  <c r="N180" i="11" a="1"/>
  <c r="M4" i="12" a="1"/>
  <c r="M9" i="12" a="1"/>
  <c r="T52" i="5" a="1"/>
  <c r="M109" i="5" a="1"/>
  <c r="T22" i="5" a="1"/>
  <c r="P108" i="5" a="1"/>
  <c r="T128" i="5" a="1"/>
  <c r="T110" i="5" a="1"/>
  <c r="T56" i="5" a="1"/>
  <c r="M113" i="5" a="1"/>
  <c r="Q19" i="5" a="1"/>
  <c r="N90" i="5" a="1"/>
  <c r="T23" i="5" a="1"/>
  <c r="Q30" i="5" a="1"/>
  <c r="N80" i="5" a="1"/>
  <c r="N123" i="5" a="1"/>
  <c r="P113" i="5" a="1"/>
  <c r="Q108" i="5" a="1"/>
  <c r="P25" i="5" a="1"/>
  <c r="Q26" i="5" a="1"/>
  <c r="P106" i="5" a="1"/>
  <c r="M25" i="5" a="1"/>
  <c r="M59" i="5" a="1"/>
  <c r="T44" i="5" a="1"/>
  <c r="T62" i="5" a="1"/>
  <c r="Q46" i="5" a="1"/>
  <c r="M119" i="5" a="1"/>
  <c r="P29" i="5" a="1"/>
  <c r="M88" i="5" a="1"/>
  <c r="T123" i="5" a="1"/>
  <c r="M21" i="5" a="1"/>
  <c r="T45" i="5" a="1"/>
  <c r="M90" i="5" a="1"/>
  <c r="P22" i="5" a="1"/>
  <c r="T26" i="5" a="1"/>
  <c r="Q36" i="5" a="1"/>
  <c r="Q109" i="5" a="1"/>
  <c r="Q51" i="5" a="1"/>
  <c r="M36" i="5" a="1"/>
  <c r="M80" i="5" a="1"/>
  <c r="W28" i="5" a="1"/>
  <c r="P105" i="5" a="1"/>
  <c r="N45" i="5" a="1"/>
  <c r="M54" i="5" a="1"/>
  <c r="P61" i="5" a="1"/>
  <c r="T119" i="5" a="1"/>
  <c r="M52" i="5" a="1"/>
  <c r="T120" i="5" a="1"/>
  <c r="N49" i="5" a="1"/>
  <c r="T99" i="5" a="1"/>
  <c r="P80" i="5" a="1"/>
  <c r="T122" i="5" a="1"/>
  <c r="T83" i="5" a="1"/>
  <c r="W10" i="5" a="1"/>
  <c r="P97" i="5" a="1"/>
  <c r="P109" i="5" a="1"/>
  <c r="T38" i="5" a="1"/>
  <c r="N59" i="5" a="1"/>
  <c r="Q17" i="5" a="1"/>
  <c r="P96" i="5" a="1"/>
  <c r="N83" i="5" a="1"/>
  <c r="T9" i="5" a="1"/>
  <c r="W18" i="5" a="1"/>
  <c r="P56" i="5" a="1"/>
  <c r="M11" i="5" a="1"/>
  <c r="M123" i="5"/>
  <c r="P128" i="5" a="1"/>
  <c r="Q128" i="5" a="1"/>
  <c r="N37" i="5" a="1"/>
  <c r="M87" i="5" a="1"/>
  <c r="W35" i="5" a="1"/>
  <c r="T57" i="5" a="1"/>
  <c r="N52" i="5" a="1"/>
  <c r="M89" i="5" a="1"/>
  <c r="M63" i="5" a="1"/>
  <c r="N112" i="5" a="1"/>
  <c r="N32" i="5" a="1"/>
  <c r="Q25" i="5" a="1"/>
  <c r="P31" i="5" a="1"/>
  <c r="Q39" i="5" a="1"/>
  <c r="Q107" i="5" a="1"/>
  <c r="M46" i="5" a="1"/>
  <c r="Q59" i="5" a="1"/>
  <c r="Q97" i="5" a="1"/>
  <c r="T100" i="5" a="1"/>
  <c r="N57" i="5" a="1"/>
  <c r="M138" i="5" a="1"/>
  <c r="N51" i="5" a="1"/>
  <c r="P57" i="5" a="1"/>
  <c r="P17" i="5" a="1"/>
  <c r="N108" i="5" a="1"/>
  <c r="P110" i="5" a="1"/>
  <c r="P87" i="5" a="1"/>
  <c r="N104" i="5" a="1"/>
  <c r="Q62" i="5" a="1"/>
  <c r="N121" i="11" a="1"/>
  <c r="Q49" i="11" a="1"/>
  <c r="N142" i="11" a="1"/>
  <c r="N185" i="11" a="1"/>
  <c r="N34" i="11" a="1"/>
  <c r="N197" i="11" a="1"/>
  <c r="N111" i="11" a="1"/>
  <c r="N11" i="11" a="1"/>
  <c r="N190" i="11" a="1"/>
  <c r="N135" i="11" a="1"/>
  <c r="N136" i="11" a="1"/>
  <c r="S53" i="11" a="1"/>
  <c r="N10" i="11" a="1"/>
  <c r="S204" i="11" a="1"/>
  <c r="N6" i="11" a="1"/>
  <c r="N77" i="11" a="1"/>
  <c r="N207" i="11" a="1"/>
  <c r="N199" i="11" a="1"/>
  <c r="N123" i="11" a="1"/>
  <c r="S207" i="11" a="1"/>
  <c r="N139" i="11" a="1"/>
  <c r="N163" i="11" a="1"/>
  <c r="N78" i="11" a="1"/>
  <c r="N113" i="11" a="1"/>
  <c r="M5" i="12" a="1"/>
  <c r="M11" i="12" a="1"/>
  <c r="M153" i="5" a="1"/>
  <c r="M151" i="5" a="1"/>
  <c r="M154" i="5" a="1"/>
  <c r="M150" i="5" a="1"/>
  <c r="M149" i="5" a="1"/>
  <c r="M155" i="5" a="1"/>
  <c r="O84" i="9" a="1"/>
  <c r="V84" i="9" a="1"/>
  <c r="R84" i="9" a="1"/>
  <c r="S84" i="9" a="1"/>
  <c r="Y84" i="9" a="1"/>
  <c r="Y81" i="9" a="1"/>
  <c r="S81" i="9" a="1"/>
  <c r="R81" i="9" a="1"/>
  <c r="V81" i="9" a="1"/>
  <c r="O83" i="9" a="1"/>
  <c r="Y83" i="9" a="1"/>
  <c r="V83" i="9" a="1"/>
  <c r="R83" i="9" a="1"/>
  <c r="S83" i="9" a="1"/>
  <c r="O81" i="9" a="1"/>
  <c r="R80" i="9" a="1"/>
  <c r="V80" i="9" a="1"/>
  <c r="S80" i="9" a="1"/>
  <c r="Y80" i="9" a="1"/>
  <c r="O80" i="9" a="1"/>
  <c r="R82" i="9" a="1"/>
  <c r="S82" i="9" a="1"/>
  <c r="Y82" i="9" a="1"/>
  <c r="V82" i="9" a="1"/>
  <c r="O82" i="9" a="1"/>
  <c r="P81" i="9" a="1"/>
  <c r="Y79" i="9" a="1"/>
  <c r="S79" i="9" a="1"/>
  <c r="R79" i="9" a="1"/>
  <c r="V79" i="9" a="1"/>
  <c r="P83" i="9" a="1"/>
  <c r="P84" i="9" a="1"/>
  <c r="P82" i="9" a="1"/>
  <c r="P80" i="9" a="1"/>
  <c r="O79" i="9"/>
  <c r="P79" i="9" a="1"/>
  <c r="P79" i="9" l="1"/>
  <c r="P80" i="9"/>
  <c r="P82" i="9"/>
  <c r="P84" i="9"/>
  <c r="P83" i="9"/>
  <c r="V79" i="9"/>
  <c r="W79" i="9" s="1" a="1"/>
  <c r="W79" i="9" s="1"/>
  <c r="X79" i="9" s="1"/>
  <c r="R79" i="9"/>
  <c r="S79" i="9"/>
  <c r="T79" i="9" s="1" a="1"/>
  <c r="T79" i="9" s="1"/>
  <c r="U79" i="9" s="1"/>
  <c r="Y79" i="9"/>
  <c r="Z79" i="9" s="1" a="1"/>
  <c r="Z79" i="9" s="1"/>
  <c r="AA79" i="9" s="1"/>
  <c r="P81" i="9"/>
  <c r="O82" i="9"/>
  <c r="V82" i="9"/>
  <c r="W82" i="9" s="1" a="1"/>
  <c r="W82" i="9" s="1"/>
  <c r="X82" i="9" s="1"/>
  <c r="Y82" i="9"/>
  <c r="Z82" i="9" s="1" a="1"/>
  <c r="Z82" i="9" s="1"/>
  <c r="AA82" i="9" s="1"/>
  <c r="S82" i="9"/>
  <c r="T82" i="9" s="1" a="1"/>
  <c r="T82" i="9" s="1"/>
  <c r="U82" i="9" s="1"/>
  <c r="R82" i="9"/>
  <c r="O80" i="9"/>
  <c r="Y80" i="9"/>
  <c r="Z80" i="9" s="1" a="1"/>
  <c r="Z80" i="9" s="1"/>
  <c r="AA80" i="9" s="1"/>
  <c r="S80" i="9"/>
  <c r="T80" i="9" s="1" a="1"/>
  <c r="T80" i="9" s="1"/>
  <c r="U80" i="9" s="1"/>
  <c r="V80" i="9"/>
  <c r="W80" i="9" s="1" a="1"/>
  <c r="W80" i="9" s="1"/>
  <c r="X80" i="9" s="1"/>
  <c r="R80" i="9"/>
  <c r="O81" i="9"/>
  <c r="S83" i="9"/>
  <c r="T83" i="9" s="1" a="1"/>
  <c r="T83" i="9" s="1"/>
  <c r="U83" i="9" s="1"/>
  <c r="R83" i="9"/>
  <c r="V83" i="9"/>
  <c r="W83" i="9" s="1" a="1"/>
  <c r="W83" i="9" s="1"/>
  <c r="X83" i="9" s="1"/>
  <c r="Y83" i="9"/>
  <c r="Z83" i="9" s="1" a="1"/>
  <c r="Z83" i="9" s="1"/>
  <c r="AA83" i="9" s="1"/>
  <c r="O83" i="9"/>
  <c r="V81" i="9"/>
  <c r="W81" i="9" s="1" a="1"/>
  <c r="W81" i="9" s="1"/>
  <c r="X81" i="9" s="1"/>
  <c r="R81" i="9"/>
  <c r="S81" i="9"/>
  <c r="T81" i="9" s="1" a="1"/>
  <c r="T81" i="9" s="1"/>
  <c r="U81" i="9" s="1"/>
  <c r="Y81" i="9"/>
  <c r="Z81" i="9" s="1" a="1"/>
  <c r="Z81" i="9" s="1"/>
  <c r="AA81" i="9" s="1"/>
  <c r="Y84" i="9"/>
  <c r="Z84" i="9" s="1" a="1"/>
  <c r="Z84" i="9" s="1"/>
  <c r="AA84" i="9" s="1"/>
  <c r="S84" i="9"/>
  <c r="T84" i="9" s="1" a="1"/>
  <c r="T84" i="9" s="1"/>
  <c r="U84" i="9" s="1"/>
  <c r="R84" i="9"/>
  <c r="V84" i="9"/>
  <c r="W84" i="9" s="1" a="1"/>
  <c r="W84" i="9" s="1"/>
  <c r="X84" i="9" s="1"/>
  <c r="O84" i="9"/>
  <c r="M155" i="5"/>
  <c r="M149" i="5"/>
  <c r="M150" i="5"/>
  <c r="M154" i="5"/>
  <c r="M151" i="5"/>
  <c r="M153" i="5"/>
  <c r="M11" i="12"/>
  <c r="M5" i="12"/>
  <c r="N113" i="11"/>
  <c r="F113" i="11" s="1"/>
  <c r="N78" i="11"/>
  <c r="F78" i="11" s="1"/>
  <c r="N163" i="11"/>
  <c r="N139" i="11"/>
  <c r="F139" i="11" s="1"/>
  <c r="S207" i="11"/>
  <c r="N123" i="11"/>
  <c r="F123" i="11" s="1"/>
  <c r="N199" i="11"/>
  <c r="N207" i="11"/>
  <c r="N77" i="11"/>
  <c r="F77" i="11" s="1"/>
  <c r="N6" i="11"/>
  <c r="F6" i="11" s="1"/>
  <c r="S204" i="11"/>
  <c r="N10" i="11"/>
  <c r="F10" i="11" s="1"/>
  <c r="S53" i="11"/>
  <c r="N136" i="11"/>
  <c r="N135" i="11"/>
  <c r="N190" i="11"/>
  <c r="N11" i="11"/>
  <c r="F11" i="11" s="1"/>
  <c r="N111" i="11"/>
  <c r="F111" i="11" s="1"/>
  <c r="N197" i="11"/>
  <c r="N34" i="11"/>
  <c r="F34" i="11" s="1"/>
  <c r="N185" i="11"/>
  <c r="N142" i="11"/>
  <c r="F142" i="11" s="1"/>
  <c r="Q49" i="11"/>
  <c r="R49" i="11" s="1" a="1"/>
  <c r="R49" i="11" s="1"/>
  <c r="N121" i="11"/>
  <c r="F121" i="11" s="1"/>
  <c r="Q62" i="5"/>
  <c r="R62" i="5" s="1" a="1"/>
  <c r="R62" i="5" s="1"/>
  <c r="S62" i="5" s="1"/>
  <c r="N104" i="5"/>
  <c r="P87" i="5"/>
  <c r="P110" i="5"/>
  <c r="N108" i="5"/>
  <c r="P17" i="5"/>
  <c r="P57" i="5"/>
  <c r="N51" i="5"/>
  <c r="M138" i="5"/>
  <c r="N57" i="5"/>
  <c r="T100" i="5"/>
  <c r="U100" i="5" s="1" a="1"/>
  <c r="U100" i="5" s="1"/>
  <c r="V100" i="5" s="1"/>
  <c r="Q97" i="5"/>
  <c r="R97" i="5" s="1" a="1"/>
  <c r="R97" i="5" s="1"/>
  <c r="S97" i="5" s="1"/>
  <c r="Q59" i="5"/>
  <c r="R59" i="5" s="1" a="1"/>
  <c r="R59" i="5" s="1"/>
  <c r="S59" i="5" s="1"/>
  <c r="M46" i="5"/>
  <c r="Q107" i="5"/>
  <c r="R107" i="5" s="1" a="1"/>
  <c r="R107" i="5" s="1"/>
  <c r="S107" i="5" s="1"/>
  <c r="Q39" i="5"/>
  <c r="R39" i="5" s="1" a="1"/>
  <c r="R39" i="5" s="1"/>
  <c r="S39" i="5" s="1"/>
  <c r="P31" i="5"/>
  <c r="Q25" i="5"/>
  <c r="R25" i="5" s="1" a="1"/>
  <c r="R25" i="5" s="1"/>
  <c r="S25" i="5" s="1"/>
  <c r="N32" i="5"/>
  <c r="N112" i="5"/>
  <c r="M63" i="5"/>
  <c r="M89" i="5"/>
  <c r="N52" i="5"/>
  <c r="T57" i="5"/>
  <c r="U57" i="5" s="1" a="1"/>
  <c r="U57" i="5" s="1"/>
  <c r="V57" i="5" s="1"/>
  <c r="W35" i="5"/>
  <c r="X35" i="5" s="1" a="1"/>
  <c r="X35" i="5" s="1"/>
  <c r="Y35" i="5" s="1"/>
  <c r="M87" i="5"/>
  <c r="N37" i="5"/>
  <c r="Q128" i="5"/>
  <c r="R128" i="5" s="1" a="1"/>
  <c r="R128" i="5" s="1"/>
  <c r="S128" i="5" s="1"/>
  <c r="P128" i="5"/>
  <c r="M11" i="5"/>
  <c r="P56" i="5"/>
  <c r="W18" i="5"/>
  <c r="X18" i="5" s="1" a="1"/>
  <c r="X18" i="5" s="1"/>
  <c r="Y18" i="5" s="1"/>
  <c r="T9" i="5"/>
  <c r="U9" i="5" s="1" a="1"/>
  <c r="U9" i="5" s="1"/>
  <c r="V9" i="5" s="1"/>
  <c r="N83" i="5"/>
  <c r="P96" i="5"/>
  <c r="Q17" i="5"/>
  <c r="R17" i="5" s="1" a="1"/>
  <c r="R17" i="5" s="1"/>
  <c r="S17" i="5" s="1"/>
  <c r="N59" i="5"/>
  <c r="T38" i="5"/>
  <c r="U38" i="5" s="1" a="1"/>
  <c r="U38" i="5" s="1"/>
  <c r="V38" i="5" s="1"/>
  <c r="P109" i="5"/>
  <c r="P97" i="5"/>
  <c r="W10" i="5"/>
  <c r="X10" i="5" s="1" a="1"/>
  <c r="X10" i="5" s="1"/>
  <c r="Y10" i="5" s="1"/>
  <c r="T83" i="5"/>
  <c r="U83" i="5" s="1" a="1"/>
  <c r="U83" i="5" s="1"/>
  <c r="V83" i="5" s="1"/>
  <c r="T122" i="5"/>
  <c r="U122" i="5" s="1" a="1"/>
  <c r="U122" i="5" s="1"/>
  <c r="V122" i="5" s="1"/>
  <c r="P80" i="5"/>
  <c r="T99" i="5"/>
  <c r="U99" i="5" s="1" a="1"/>
  <c r="U99" i="5" s="1"/>
  <c r="V99" i="5" s="1"/>
  <c r="N49" i="5"/>
  <c r="T120" i="5"/>
  <c r="U120" i="5" s="1" a="1"/>
  <c r="U120" i="5" s="1"/>
  <c r="V120" i="5" s="1"/>
  <c r="M52" i="5"/>
  <c r="T119" i="5"/>
  <c r="U119" i="5" s="1" a="1"/>
  <c r="U119" i="5" s="1"/>
  <c r="V119" i="5" s="1"/>
  <c r="P61" i="5"/>
  <c r="M54" i="5"/>
  <c r="N45" i="5"/>
  <c r="P105" i="5"/>
  <c r="W28" i="5"/>
  <c r="X28" i="5" s="1" a="1"/>
  <c r="X28" i="5" s="1"/>
  <c r="Y28" i="5" s="1"/>
  <c r="M80" i="5"/>
  <c r="M36" i="5"/>
  <c r="Q51" i="5"/>
  <c r="R51" i="5" s="1" a="1"/>
  <c r="R51" i="5" s="1"/>
  <c r="S51" i="5" s="1"/>
  <c r="Q109" i="5"/>
  <c r="R109" i="5" s="1" a="1"/>
  <c r="R109" i="5" s="1"/>
  <c r="S109" i="5" s="1"/>
  <c r="Q36" i="5"/>
  <c r="R36" i="5" s="1" a="1"/>
  <c r="R36" i="5" s="1"/>
  <c r="S36" i="5" s="1"/>
  <c r="T26" i="5"/>
  <c r="U26" i="5" s="1" a="1"/>
  <c r="U26" i="5" s="1"/>
  <c r="V26" i="5" s="1"/>
  <c r="P22" i="5"/>
  <c r="M90" i="5"/>
  <c r="T45" i="5"/>
  <c r="U45" i="5" s="1" a="1"/>
  <c r="U45" i="5" s="1"/>
  <c r="V45" i="5" s="1"/>
  <c r="M21" i="5"/>
  <c r="AD21" i="5" s="1"/>
  <c r="T123" i="5"/>
  <c r="U123" i="5" s="1" a="1"/>
  <c r="U123" i="5" s="1"/>
  <c r="V123" i="5" s="1"/>
  <c r="M88" i="5"/>
  <c r="P29" i="5"/>
  <c r="M119" i="5"/>
  <c r="Q46" i="5"/>
  <c r="R46" i="5" s="1" a="1"/>
  <c r="R46" i="5" s="1"/>
  <c r="S46" i="5" s="1"/>
  <c r="T62" i="5"/>
  <c r="U62" i="5" s="1" a="1"/>
  <c r="U62" i="5" s="1"/>
  <c r="V62" i="5" s="1"/>
  <c r="T44" i="5"/>
  <c r="U44" i="5" s="1" a="1"/>
  <c r="U44" i="5" s="1"/>
  <c r="V44" i="5" s="1"/>
  <c r="M59" i="5"/>
  <c r="M25" i="5"/>
  <c r="AD25" i="5" s="1"/>
  <c r="P106" i="5"/>
  <c r="Q26" i="5"/>
  <c r="R26" i="5" s="1" a="1"/>
  <c r="R26" i="5" s="1"/>
  <c r="S26" i="5" s="1"/>
  <c r="P25" i="5"/>
  <c r="Q108" i="5"/>
  <c r="R108" i="5" s="1" a="1"/>
  <c r="R108" i="5" s="1"/>
  <c r="S108" i="5" s="1"/>
  <c r="P113" i="5"/>
  <c r="N123" i="5"/>
  <c r="N80" i="5"/>
  <c r="Q30" i="5"/>
  <c r="R30" i="5" s="1" a="1"/>
  <c r="R30" i="5" s="1"/>
  <c r="S30" i="5" s="1"/>
  <c r="T23" i="5"/>
  <c r="U23" i="5" s="1" a="1"/>
  <c r="U23" i="5" s="1"/>
  <c r="V23" i="5" s="1"/>
  <c r="N90" i="5"/>
  <c r="Q19" i="5"/>
  <c r="R19" i="5" s="1" a="1"/>
  <c r="R19" i="5" s="1"/>
  <c r="S19" i="5" s="1"/>
  <c r="M113" i="5"/>
  <c r="T56" i="5"/>
  <c r="U56" i="5" s="1" a="1"/>
  <c r="U56" i="5" s="1"/>
  <c r="V56" i="5" s="1"/>
  <c r="T110" i="5"/>
  <c r="U110" i="5" s="1" a="1"/>
  <c r="U110" i="5" s="1"/>
  <c r="V110" i="5" s="1"/>
  <c r="T128" i="5"/>
  <c r="U128" i="5" s="1" a="1"/>
  <c r="U128" i="5" s="1"/>
  <c r="V128" i="5" s="1"/>
  <c r="P108" i="5"/>
  <c r="T22" i="5"/>
  <c r="U22" i="5" s="1" a="1"/>
  <c r="U22" i="5" s="1"/>
  <c r="V22" i="5" s="1"/>
  <c r="M109" i="5"/>
  <c r="T52" i="5"/>
  <c r="U52" i="5" s="1" a="1"/>
  <c r="U52" i="5" s="1"/>
  <c r="V52" i="5" s="1"/>
  <c r="M9" i="12"/>
  <c r="M4" i="12"/>
  <c r="N180" i="11"/>
  <c r="N2" i="11"/>
  <c r="F2" i="11" s="1"/>
  <c r="N15" i="11"/>
  <c r="F15" i="11" s="1"/>
  <c r="N27" i="11"/>
  <c r="F27" i="11" s="1"/>
  <c r="N16" i="11"/>
  <c r="F16" i="11" s="1"/>
  <c r="N48" i="11"/>
  <c r="N169" i="11"/>
  <c r="N107" i="11"/>
  <c r="F107" i="11" s="1"/>
  <c r="N188" i="11"/>
  <c r="P204" i="11"/>
  <c r="N175" i="11"/>
  <c r="N194" i="11"/>
  <c r="N157" i="11"/>
  <c r="N155" i="11"/>
  <c r="Q203" i="11"/>
  <c r="R203" i="11" s="1" a="1"/>
  <c r="R203" i="11" s="1"/>
  <c r="Q134" i="11"/>
  <c r="R134" i="11" s="1" a="1"/>
  <c r="R134" i="11" s="1"/>
  <c r="N53" i="11"/>
  <c r="N52" i="11"/>
  <c r="N122" i="11"/>
  <c r="F122" i="11" s="1"/>
  <c r="N30" i="11"/>
  <c r="F30" i="11" s="1"/>
  <c r="N82" i="11"/>
  <c r="F82" i="11" s="1"/>
  <c r="N119" i="11"/>
  <c r="F119" i="11" s="1"/>
  <c r="S203" i="11"/>
  <c r="S50" i="11"/>
  <c r="M110" i="5"/>
  <c r="Q37" i="5"/>
  <c r="R37" i="5" s="1" a="1"/>
  <c r="R37" i="5" s="1"/>
  <c r="S37" i="5" s="1"/>
  <c r="M96" i="5"/>
  <c r="W29" i="5"/>
  <c r="X29" i="5" s="1" a="1"/>
  <c r="X29" i="5" s="1"/>
  <c r="Y29" i="5" s="1"/>
  <c r="M97" i="5"/>
  <c r="Q99" i="5"/>
  <c r="R99" i="5" s="1" a="1"/>
  <c r="R99" i="5" s="1"/>
  <c r="S99" i="5" s="1"/>
  <c r="N106" i="5"/>
  <c r="N47" i="5"/>
  <c r="M100" i="5"/>
  <c r="N34" i="5"/>
  <c r="M137" i="5"/>
  <c r="W31" i="5"/>
  <c r="X31" i="5" s="1" a="1"/>
  <c r="X31" i="5" s="1"/>
  <c r="Y31" i="5" s="1"/>
  <c r="N46" i="5"/>
  <c r="Q54" i="5"/>
  <c r="R54" i="5" s="1" a="1"/>
  <c r="R54" i="5" s="1"/>
  <c r="S54" i="5" s="1"/>
  <c r="P26" i="5"/>
  <c r="Z26" i="5" s="1"/>
  <c r="P117" i="5"/>
  <c r="Q87" i="5"/>
  <c r="R87" i="5" s="1" a="1"/>
  <c r="R87" i="5" s="1"/>
  <c r="S87" i="5" s="1"/>
  <c r="W26" i="5"/>
  <c r="X26" i="5" s="1" a="1"/>
  <c r="X26" i="5" s="1"/>
  <c r="Y26" i="5" s="1"/>
  <c r="M136" i="5"/>
  <c r="Q104" i="5"/>
  <c r="R104" i="5" s="1" a="1"/>
  <c r="R104" i="5" s="1"/>
  <c r="S104" i="5" s="1"/>
  <c r="M12" i="12"/>
  <c r="M7" i="12"/>
  <c r="N140" i="11"/>
  <c r="F140" i="11" s="1"/>
  <c r="N25" i="11"/>
  <c r="F25" i="11" s="1"/>
  <c r="N22" i="11"/>
  <c r="F22" i="11" s="1"/>
  <c r="N40" i="11"/>
  <c r="F40" i="11" s="1"/>
  <c r="N203" i="11"/>
  <c r="N210" i="11"/>
  <c r="F210" i="11" s="1"/>
  <c r="N44" i="11"/>
  <c r="F44" i="11" s="1"/>
  <c r="N90" i="11"/>
  <c r="F90" i="11" s="1"/>
  <c r="N104" i="11"/>
  <c r="F104" i="11" s="1"/>
  <c r="N187" i="11"/>
  <c r="N35" i="11"/>
  <c r="F35" i="11" s="1"/>
  <c r="N181" i="11"/>
  <c r="N23" i="11"/>
  <c r="F23" i="11" s="1"/>
  <c r="N89" i="11"/>
  <c r="F89" i="11" s="1"/>
  <c r="N17" i="11"/>
  <c r="F17" i="11" s="1"/>
  <c r="N184" i="11"/>
  <c r="N103" i="11"/>
  <c r="F103" i="11" s="1"/>
  <c r="S51" i="11"/>
  <c r="N33" i="11"/>
  <c r="F33" i="11" s="1"/>
  <c r="N4" i="11"/>
  <c r="F4" i="11" s="1"/>
  <c r="N182" i="11"/>
  <c r="N174" i="11"/>
  <c r="N110" i="11"/>
  <c r="F110" i="11" s="1"/>
  <c r="N117" i="11"/>
  <c r="F117" i="11" s="1"/>
  <c r="Q52" i="11"/>
  <c r="R52" i="11" s="1" a="1"/>
  <c r="R52" i="11" s="1"/>
  <c r="P83" i="5"/>
  <c r="P81" i="5"/>
  <c r="Q96" i="5"/>
  <c r="R96" i="5" s="1" a="1"/>
  <c r="R96" i="5" s="1"/>
  <c r="S96" i="5" s="1"/>
  <c r="M18" i="5"/>
  <c r="AD18" i="5" s="1"/>
  <c r="M22" i="5"/>
  <c r="AD22" i="5" s="1"/>
  <c r="Q80" i="5"/>
  <c r="R80" i="5" s="1" a="1"/>
  <c r="R80" i="5" s="1"/>
  <c r="S80" i="5" s="1"/>
  <c r="P88" i="5"/>
  <c r="P28" i="5"/>
  <c r="W20" i="5"/>
  <c r="X20" i="5" s="1" a="1"/>
  <c r="X20" i="5" s="1"/>
  <c r="Y20" i="5" s="1"/>
  <c r="W17" i="5"/>
  <c r="X17" i="5" s="1" a="1"/>
  <c r="X17" i="5" s="1"/>
  <c r="Y17" i="5" s="1"/>
  <c r="P89" i="5"/>
  <c r="N9" i="5"/>
  <c r="N62" i="5"/>
  <c r="N89" i="5"/>
  <c r="N82" i="5"/>
  <c r="M105" i="5"/>
  <c r="N48" i="5"/>
  <c r="W36" i="5"/>
  <c r="X36" i="5" s="1" a="1"/>
  <c r="X36" i="5" s="1"/>
  <c r="Y36" i="5" s="1"/>
  <c r="T15" i="5"/>
  <c r="U15" i="5" s="1" a="1"/>
  <c r="U15" i="5" s="1"/>
  <c r="V15" i="5" s="1"/>
  <c r="N21" i="5"/>
  <c r="AE21" i="5" s="1"/>
  <c r="M99" i="5"/>
  <c r="Q31" i="5"/>
  <c r="R31" i="5" s="1" a="1"/>
  <c r="R31" i="5" s="1"/>
  <c r="S31" i="5" s="1"/>
  <c r="T55" i="5"/>
  <c r="U55" i="5" s="1" a="1"/>
  <c r="U55" i="5" s="1"/>
  <c r="V55" i="5" s="1"/>
  <c r="P35" i="5"/>
  <c r="M58" i="5"/>
  <c r="N109" i="5"/>
  <c r="P18" i="5"/>
  <c r="P9" i="5"/>
  <c r="N122" i="5"/>
  <c r="Q111" i="5"/>
  <c r="R111" i="5" s="1" a="1"/>
  <c r="R111" i="5" s="1"/>
  <c r="S111" i="5" s="1"/>
  <c r="P48" i="5"/>
  <c r="M39" i="5"/>
  <c r="N38" i="5"/>
  <c r="Q32" i="5"/>
  <c r="R32" i="5" s="1" a="1"/>
  <c r="R32" i="5" s="1"/>
  <c r="S32" i="5" s="1"/>
  <c r="T43" i="5"/>
  <c r="U43" i="5" s="1" a="1"/>
  <c r="U43" i="5" s="1"/>
  <c r="V43" i="5" s="1"/>
  <c r="M83" i="5"/>
  <c r="N35" i="5"/>
  <c r="Q106" i="5"/>
  <c r="R106" i="5" s="1" a="1"/>
  <c r="R106" i="5" s="1"/>
  <c r="S106" i="5" s="1"/>
  <c r="Q105" i="5"/>
  <c r="R105" i="5" s="1" a="1"/>
  <c r="R105" i="5" s="1"/>
  <c r="S105" i="5" s="1"/>
  <c r="Q63" i="5"/>
  <c r="R63" i="5" s="1" a="1"/>
  <c r="R63" i="5" s="1"/>
  <c r="S63" i="5" s="1"/>
  <c r="Q57" i="5"/>
  <c r="R57" i="5" s="1" a="1"/>
  <c r="R57" i="5" s="1"/>
  <c r="S57" i="5" s="1"/>
  <c r="P82" i="5"/>
  <c r="Q113" i="5"/>
  <c r="R113" i="5" s="1" a="1"/>
  <c r="R113" i="5" s="1"/>
  <c r="S113" i="5" s="1"/>
  <c r="N23" i="5"/>
  <c r="AE23" i="5" s="1"/>
  <c r="M26" i="5"/>
  <c r="AD26" i="5" s="1"/>
  <c r="T58" i="5"/>
  <c r="U58" i="5" s="1" a="1"/>
  <c r="U58" i="5" s="1"/>
  <c r="V58" i="5" s="1"/>
  <c r="Q35" i="5"/>
  <c r="R35" i="5" s="1" a="1"/>
  <c r="R35" i="5" s="1"/>
  <c r="S35" i="5" s="1"/>
  <c r="N28" i="5"/>
  <c r="N41" i="5" s="1"/>
  <c r="N50" i="5"/>
  <c r="Q120" i="5"/>
  <c r="R120" i="5" s="1" a="1"/>
  <c r="R120" i="5" s="1"/>
  <c r="S120" i="5" s="1"/>
  <c r="M61" i="5"/>
  <c r="T10" i="5"/>
  <c r="U10" i="5" s="1" a="1"/>
  <c r="U10" i="5" s="1"/>
  <c r="V10" i="5" s="1"/>
  <c r="T48" i="5"/>
  <c r="U48" i="5" s="1" a="1"/>
  <c r="U48" i="5" s="1"/>
  <c r="V48" i="5" s="1"/>
  <c r="M106" i="5"/>
  <c r="T35" i="5"/>
  <c r="U35" i="5" s="1" a="1"/>
  <c r="U35" i="5" s="1"/>
  <c r="V35" i="5" s="1"/>
  <c r="N24" i="5"/>
  <c r="AE24" i="5" s="1"/>
  <c r="N117" i="5"/>
  <c r="T116" i="5"/>
  <c r="U116" i="5" s="1" a="1"/>
  <c r="U116" i="5" s="1"/>
  <c r="V116" i="5" s="1"/>
  <c r="N10" i="5"/>
  <c r="N26" i="5"/>
  <c r="AE26" i="5" s="1"/>
  <c r="T112" i="5"/>
  <c r="U112" i="5" s="1" a="1"/>
  <c r="U112" i="5" s="1"/>
  <c r="V112" i="5" s="1"/>
  <c r="T89" i="5"/>
  <c r="U89" i="5" s="1" a="1"/>
  <c r="U89" i="5" s="1"/>
  <c r="V89" i="5" s="1"/>
  <c r="T51" i="5"/>
  <c r="U51" i="5" s="1" a="1"/>
  <c r="U51" i="5" s="1"/>
  <c r="V51" i="5" s="1"/>
  <c r="N120" i="5"/>
  <c r="T111" i="5"/>
  <c r="U111" i="5" s="1" a="1"/>
  <c r="U111" i="5" s="1"/>
  <c r="V111" i="5" s="1"/>
  <c r="M140" i="5"/>
  <c r="T30" i="5"/>
  <c r="U30" i="5" s="1" a="1"/>
  <c r="U30" i="5" s="1"/>
  <c r="V30" i="5" s="1"/>
  <c r="Q83" i="5"/>
  <c r="R83" i="5" s="1" a="1"/>
  <c r="R83" i="5" s="1"/>
  <c r="S83" i="5" s="1"/>
  <c r="P10" i="5"/>
  <c r="P111" i="5"/>
  <c r="M108" i="5"/>
  <c r="T33" i="5"/>
  <c r="U33" i="5" s="1" a="1"/>
  <c r="U33" i="5" s="1"/>
  <c r="V33" i="5" s="1"/>
  <c r="Q119" i="5"/>
  <c r="R119" i="5" s="1" a="1"/>
  <c r="R119" i="5" s="1"/>
  <c r="S119" i="5" s="1"/>
  <c r="Q34" i="5"/>
  <c r="R34" i="5" s="1" a="1"/>
  <c r="R34" i="5" s="1"/>
  <c r="S34" i="5" s="1"/>
  <c r="T21" i="5"/>
  <c r="U21" i="5" s="1" a="1"/>
  <c r="U21" i="5" s="1"/>
  <c r="V21" i="5" s="1"/>
  <c r="M10" i="5"/>
  <c r="P46" i="5"/>
  <c r="T105" i="5"/>
  <c r="U105" i="5" s="1" a="1"/>
  <c r="U105" i="5" s="1"/>
  <c r="V105" i="5" s="1"/>
  <c r="N44" i="5"/>
  <c r="M38" i="5"/>
  <c r="M82" i="5"/>
  <c r="P99" i="5"/>
  <c r="M43" i="5"/>
  <c r="Q11" i="5"/>
  <c r="R11" i="5" s="1" a="1"/>
  <c r="R11" i="5" s="1"/>
  <c r="S11" i="5" s="1"/>
  <c r="T107" i="5"/>
  <c r="U107" i="5" s="1" a="1"/>
  <c r="U107" i="5" s="1"/>
  <c r="V107" i="5" s="1"/>
  <c r="P55" i="5"/>
  <c r="M2" i="12"/>
  <c r="E2" i="12" s="1"/>
  <c r="N211" i="11"/>
  <c r="F211" i="11" s="1"/>
  <c r="S49" i="11"/>
  <c r="P48" i="11"/>
  <c r="N126" i="11"/>
  <c r="F126" i="11" s="1"/>
  <c r="N7" i="11"/>
  <c r="F7" i="11" s="1"/>
  <c r="N200" i="11"/>
  <c r="N160" i="11"/>
  <c r="N125" i="11"/>
  <c r="F125" i="11" s="1"/>
  <c r="T54" i="5"/>
  <c r="U54" i="5" s="1" a="1"/>
  <c r="U54" i="5" s="1"/>
  <c r="V54" i="5" s="1"/>
  <c r="T24" i="5"/>
  <c r="U24" i="5" s="1" a="1"/>
  <c r="U24" i="5" s="1"/>
  <c r="V24" i="5" s="1"/>
  <c r="N128" i="5"/>
  <c r="N63" i="5"/>
  <c r="M19" i="5"/>
  <c r="AD19" i="5" s="1"/>
  <c r="N36" i="5"/>
  <c r="M7" i="5"/>
  <c r="E7" i="5" s="1"/>
  <c r="Q48" i="5"/>
  <c r="R48" i="5" s="1" a="1"/>
  <c r="R48" i="5" s="1"/>
  <c r="S48" i="5" s="1"/>
  <c r="N60" i="5"/>
  <c r="N87" i="5"/>
  <c r="N19" i="5"/>
  <c r="AE19" i="5" s="1"/>
  <c r="M5" i="5"/>
  <c r="E5" i="5" s="1"/>
  <c r="W12" i="5"/>
  <c r="X12" i="5" s="1" a="1"/>
  <c r="X12" i="5" s="1"/>
  <c r="Y12" i="5" s="1"/>
  <c r="T28" i="5"/>
  <c r="U28" i="5" s="1" a="1"/>
  <c r="U28" i="5" s="1"/>
  <c r="V28" i="5" s="1"/>
  <c r="P116" i="5"/>
  <c r="P21" i="5"/>
  <c r="M16" i="12"/>
  <c r="M13" i="12"/>
  <c r="N109" i="11"/>
  <c r="F109" i="11" s="1"/>
  <c r="N162" i="11"/>
  <c r="N144" i="11"/>
  <c r="F144" i="11" s="1"/>
  <c r="N115" i="11"/>
  <c r="F115" i="11" s="1"/>
  <c r="N24" i="11"/>
  <c r="F24" i="11" s="1"/>
  <c r="N85" i="11"/>
  <c r="F85" i="11" s="1"/>
  <c r="N13" i="11"/>
  <c r="F13" i="11" s="1"/>
  <c r="N80" i="11"/>
  <c r="F80" i="11" s="1"/>
  <c r="P203" i="11"/>
  <c r="N178" i="11"/>
  <c r="N86" i="11"/>
  <c r="F86" i="11" s="1"/>
  <c r="N3" i="11"/>
  <c r="F3" i="11" s="1"/>
  <c r="N49" i="11"/>
  <c r="N41" i="11"/>
  <c r="F41" i="11" s="1"/>
  <c r="N173" i="11"/>
  <c r="N156" i="11"/>
  <c r="N177" i="11"/>
  <c r="N189" i="11"/>
  <c r="N37" i="11"/>
  <c r="F37" i="11" s="1"/>
  <c r="P53" i="11"/>
  <c r="N36" i="11"/>
  <c r="F36" i="11" s="1"/>
  <c r="N26" i="11"/>
  <c r="F26" i="11" s="1"/>
  <c r="S134" i="11"/>
  <c r="N134" i="11"/>
  <c r="N201" i="11"/>
  <c r="T11" i="5"/>
  <c r="U11" i="5" s="1" a="1"/>
  <c r="U11" i="5" s="1"/>
  <c r="V11" i="5" s="1"/>
  <c r="Q23" i="5"/>
  <c r="R23" i="5" s="1" a="1"/>
  <c r="R23" i="5" s="1"/>
  <c r="S23" i="5" s="1"/>
  <c r="W21" i="5"/>
  <c r="X21" i="5" s="1" a="1"/>
  <c r="X21" i="5" s="1"/>
  <c r="Y21" i="5" s="1"/>
  <c r="M30" i="5"/>
  <c r="M34" i="5"/>
  <c r="N96" i="5"/>
  <c r="P20" i="5"/>
  <c r="T12" i="5"/>
  <c r="U12" i="5" s="1" a="1"/>
  <c r="U12" i="5" s="1"/>
  <c r="V12" i="5" s="1"/>
  <c r="M28" i="5"/>
  <c r="S41" i="5" s="1"/>
  <c r="M55" i="5"/>
  <c r="N55" i="5"/>
  <c r="P39" i="5"/>
  <c r="Q22" i="5"/>
  <c r="R22" i="5" s="1" a="1"/>
  <c r="R22" i="5" s="1"/>
  <c r="S22" i="5" s="1"/>
  <c r="Q81" i="5"/>
  <c r="R81" i="5" s="1" a="1"/>
  <c r="R81" i="5" s="1"/>
  <c r="S81" i="5" s="1"/>
  <c r="Q12" i="5"/>
  <c r="R12" i="5" s="1" a="1"/>
  <c r="R12" i="5" s="1"/>
  <c r="S12" i="5" s="1"/>
  <c r="T19" i="5"/>
  <c r="U19" i="5" s="1" a="1"/>
  <c r="U19" i="5" s="1"/>
  <c r="V19" i="5" s="1"/>
  <c r="T108" i="5"/>
  <c r="U108" i="5" s="1" a="1"/>
  <c r="U108" i="5" s="1"/>
  <c r="V108" i="5" s="1"/>
  <c r="M15" i="5"/>
  <c r="AD15" i="5" s="1"/>
  <c r="N11" i="5"/>
  <c r="N43" i="5"/>
  <c r="N136" i="5"/>
  <c r="W34" i="5"/>
  <c r="X34" i="5" s="1" a="1"/>
  <c r="X34" i="5" s="1"/>
  <c r="Y34" i="5" s="1"/>
  <c r="N119" i="5"/>
  <c r="P90" i="5"/>
  <c r="T59" i="5"/>
  <c r="U59" i="5" s="1" a="1"/>
  <c r="U59" i="5" s="1"/>
  <c r="V59" i="5" s="1"/>
  <c r="P45" i="5"/>
  <c r="M37" i="5"/>
  <c r="Q50" i="5"/>
  <c r="R50" i="5" s="1" a="1"/>
  <c r="R50" i="5" s="1"/>
  <c r="S50" i="5" s="1"/>
  <c r="P62" i="5"/>
  <c r="P16" i="5"/>
  <c r="Q82" i="5"/>
  <c r="R82" i="5" s="1" a="1"/>
  <c r="R82" i="5" s="1"/>
  <c r="S82" i="5" s="1"/>
  <c r="W15" i="5"/>
  <c r="X15" i="5" s="1" a="1"/>
  <c r="X15" i="5" s="1"/>
  <c r="Y15" i="5" s="1"/>
  <c r="Q38" i="5"/>
  <c r="R38" i="5" s="1" a="1"/>
  <c r="R38" i="5" s="1"/>
  <c r="S38" i="5" s="1"/>
  <c r="N110" i="5"/>
  <c r="Q90" i="5"/>
  <c r="R90" i="5" s="1" a="1"/>
  <c r="R90" i="5" s="1"/>
  <c r="S90" i="5" s="1"/>
  <c r="P119" i="5"/>
  <c r="P123" i="5"/>
  <c r="M120" i="5"/>
  <c r="P59" i="5"/>
  <c r="T61" i="5"/>
  <c r="U61" i="5" s="1" a="1"/>
  <c r="U61" i="5" s="1"/>
  <c r="V61" i="5" s="1"/>
  <c r="N12" i="5"/>
  <c r="M116" i="5"/>
  <c r="P36" i="5"/>
  <c r="N50" i="11"/>
  <c r="N120" i="11"/>
  <c r="F120" i="11" s="1"/>
  <c r="S48" i="11"/>
  <c r="N81" i="11"/>
  <c r="F81" i="11" s="1"/>
  <c r="N88" i="11"/>
  <c r="F88" i="11" s="1"/>
  <c r="N114" i="11"/>
  <c r="F114" i="11" s="1"/>
  <c r="N79" i="11"/>
  <c r="F79" i="11" s="1"/>
  <c r="Q204" i="11"/>
  <c r="R204" i="11" s="1" a="1"/>
  <c r="R204" i="11" s="1"/>
  <c r="M8" i="12"/>
  <c r="M6" i="12"/>
  <c r="N46" i="11"/>
  <c r="F46" i="11" s="1"/>
  <c r="P134" i="11"/>
  <c r="Q53" i="11"/>
  <c r="R53" i="11" s="1" a="1"/>
  <c r="R53" i="11" s="1"/>
  <c r="N127" i="11"/>
  <c r="F127" i="11" s="1"/>
  <c r="N172" i="11"/>
  <c r="N176" i="11"/>
  <c r="N69" i="11"/>
  <c r="N108" i="11"/>
  <c r="F108" i="11" s="1"/>
  <c r="N21" i="11"/>
  <c r="F21" i="11" s="1"/>
  <c r="N105" i="11"/>
  <c r="F105" i="11" s="1"/>
  <c r="N12" i="11"/>
  <c r="F12" i="11" s="1"/>
  <c r="N161" i="11"/>
  <c r="N51" i="11"/>
  <c r="N67" i="11"/>
  <c r="N212" i="11"/>
  <c r="F212" i="11" s="1"/>
  <c r="N101" i="11"/>
  <c r="F101" i="11" s="1"/>
  <c r="N195" i="11"/>
  <c r="N32" i="11"/>
  <c r="F32" i="11" s="1"/>
  <c r="Q67" i="11"/>
  <c r="R67" i="11" s="1" a="1"/>
  <c r="R67" i="11" s="1"/>
  <c r="Q207" i="11"/>
  <c r="R207" i="11" s="1" a="1"/>
  <c r="R207" i="11" s="1"/>
  <c r="S52" i="11"/>
  <c r="N196" i="11"/>
  <c r="M48" i="5"/>
  <c r="M20" i="5"/>
  <c r="AD20" i="5" s="1"/>
  <c r="N31" i="5"/>
  <c r="M12" i="5"/>
  <c r="P12" i="5"/>
  <c r="T36" i="5"/>
  <c r="U36" i="5" s="1" a="1"/>
  <c r="U36" i="5" s="1"/>
  <c r="V36" i="5" s="1"/>
  <c r="M31" i="5"/>
  <c r="N30" i="5"/>
  <c r="T34" i="5"/>
  <c r="U34" i="5" s="1" a="1"/>
  <c r="U34" i="5" s="1"/>
  <c r="V34" i="5" s="1"/>
  <c r="Q47" i="5"/>
  <c r="R47" i="5" s="1" a="1"/>
  <c r="R47" i="5" s="1"/>
  <c r="S47" i="5" s="1"/>
  <c r="T82" i="5"/>
  <c r="U82" i="5" s="1" a="1"/>
  <c r="U82" i="5" s="1"/>
  <c r="V82" i="5" s="1"/>
  <c r="N58" i="5"/>
  <c r="Q60" i="5"/>
  <c r="R60" i="5" s="1" a="1"/>
  <c r="R60" i="5" s="1"/>
  <c r="S60" i="5" s="1"/>
  <c r="N20" i="5"/>
  <c r="AE20" i="5" s="1"/>
  <c r="N18" i="5"/>
  <c r="AE18" i="5" s="1"/>
  <c r="P19" i="5"/>
  <c r="T117" i="5"/>
  <c r="U117" i="5" s="1" a="1"/>
  <c r="U117" i="5" s="1"/>
  <c r="V117" i="5" s="1"/>
  <c r="Q15" i="5"/>
  <c r="R15" i="5" s="1" a="1"/>
  <c r="R15" i="5" s="1"/>
  <c r="P15" i="5"/>
  <c r="M47" i="5"/>
  <c r="P104" i="5"/>
  <c r="M33" i="5"/>
  <c r="Q16" i="5"/>
  <c r="R16" i="5" s="1" a="1"/>
  <c r="R16" i="5" s="1"/>
  <c r="S16" i="5" s="1"/>
  <c r="M3" i="5"/>
  <c r="E3" i="5" s="1"/>
  <c r="P37" i="5"/>
  <c r="T96" i="5"/>
  <c r="U96" i="5" s="1" a="1"/>
  <c r="U96" i="5" s="1"/>
  <c r="V96" i="5" s="1"/>
  <c r="T16" i="5"/>
  <c r="U16" i="5" s="1" a="1"/>
  <c r="U16" i="5" s="1"/>
  <c r="V16" i="5" s="1"/>
  <c r="T49" i="5"/>
  <c r="U49" i="5" s="1" a="1"/>
  <c r="U49" i="5" s="1"/>
  <c r="V49" i="5" s="1"/>
  <c r="P120" i="5"/>
  <c r="M29" i="5"/>
  <c r="Q18" i="5"/>
  <c r="R18" i="5" s="1" a="1"/>
  <c r="R18" i="5" s="1"/>
  <c r="S18" i="5" s="1"/>
  <c r="M142" i="5"/>
  <c r="Q58" i="5"/>
  <c r="R58" i="5" s="1" a="1"/>
  <c r="R58" i="5" s="1"/>
  <c r="S58" i="5" s="1"/>
  <c r="Q45" i="5"/>
  <c r="R45" i="5" s="1" a="1"/>
  <c r="R45" i="5" s="1"/>
  <c r="S45" i="5" s="1"/>
  <c r="M4" i="5"/>
  <c r="E4" i="5" s="1"/>
  <c r="W39" i="5"/>
  <c r="X39" i="5" s="1" a="1"/>
  <c r="X39" i="5" s="1"/>
  <c r="Y39" i="5" s="1"/>
  <c r="M56" i="5"/>
  <c r="T106" i="5"/>
  <c r="U106" i="5" s="1" a="1"/>
  <c r="U106" i="5" s="1"/>
  <c r="V106" i="5" s="1"/>
  <c r="Q55" i="5"/>
  <c r="R55" i="5" s="1" a="1"/>
  <c r="R55" i="5" s="1"/>
  <c r="S55" i="5" s="1"/>
  <c r="Q56" i="5"/>
  <c r="R56" i="5" s="1" a="1"/>
  <c r="R56" i="5" s="1"/>
  <c r="S56" i="5" s="1"/>
  <c r="Q88" i="5"/>
  <c r="R88" i="5" s="1" a="1"/>
  <c r="R88" i="5" s="1"/>
  <c r="S88" i="5" s="1"/>
  <c r="P43" i="5"/>
  <c r="M16" i="5"/>
  <c r="AD16" i="5" s="1"/>
  <c r="N16" i="5"/>
  <c r="AE16" i="5" s="1"/>
  <c r="M3" i="12"/>
  <c r="P49" i="11"/>
  <c r="N191" i="11"/>
  <c r="N38" i="11"/>
  <c r="F38" i="11" s="1"/>
  <c r="N183" i="11"/>
  <c r="Q51" i="11"/>
  <c r="R51" i="11" s="1" a="1"/>
  <c r="R51" i="11" s="1"/>
  <c r="N118" i="11"/>
  <c r="F118" i="11" s="1"/>
  <c r="N97" i="5"/>
  <c r="M35" i="5"/>
  <c r="M44" i="5"/>
  <c r="P23" i="5"/>
  <c r="Z23" i="5" s="1"/>
  <c r="T18" i="5"/>
  <c r="U18" i="5" s="1" a="1"/>
  <c r="U18" i="5" s="1"/>
  <c r="V18" i="5" s="1"/>
  <c r="Q21" i="5"/>
  <c r="R21" i="5" s="1" a="1"/>
  <c r="R21" i="5" s="1"/>
  <c r="S21" i="5" s="1"/>
  <c r="Q112" i="5"/>
  <c r="R112" i="5" s="1" a="1"/>
  <c r="R112" i="5" s="1"/>
  <c r="S112" i="5" s="1"/>
  <c r="M111" i="5"/>
  <c r="T97" i="5"/>
  <c r="U97" i="5" s="1" a="1"/>
  <c r="U97" i="5" s="1"/>
  <c r="V97" i="5" s="1"/>
  <c r="T29" i="5"/>
  <c r="U29" i="5" s="1" a="1"/>
  <c r="U29" i="5" s="1"/>
  <c r="V29" i="5" s="1"/>
  <c r="M15" i="12"/>
  <c r="M17" i="12"/>
  <c r="N87" i="11"/>
  <c r="F87" i="11" s="1"/>
  <c r="N198" i="11"/>
  <c r="N20" i="11"/>
  <c r="F20" i="11" s="1"/>
  <c r="N39" i="11"/>
  <c r="F39" i="11" s="1"/>
  <c r="N192" i="11"/>
  <c r="N5" i="11"/>
  <c r="F5" i="11" s="1"/>
  <c r="N112" i="11"/>
  <c r="F112" i="11" s="1"/>
  <c r="Q50" i="11"/>
  <c r="R50" i="11" s="1" a="1"/>
  <c r="R50" i="11" s="1"/>
  <c r="N171" i="11"/>
  <c r="Q48" i="11"/>
  <c r="R48" i="11" s="1" a="1"/>
  <c r="R48" i="11" s="1"/>
  <c r="N143" i="11"/>
  <c r="F143" i="11" s="1"/>
  <c r="S67" i="11"/>
  <c r="N14" i="11"/>
  <c r="F14" i="11" s="1"/>
  <c r="N18" i="11"/>
  <c r="F18" i="11" s="1"/>
  <c r="N170" i="11"/>
  <c r="N141" i="11"/>
  <c r="F141" i="11" s="1"/>
  <c r="N186" i="11"/>
  <c r="N154" i="11"/>
  <c r="P51" i="11"/>
  <c r="N165" i="11"/>
  <c r="N8" i="11"/>
  <c r="F8" i="11" s="1"/>
  <c r="N70" i="11"/>
  <c r="N168" i="11"/>
  <c r="P38" i="5"/>
  <c r="Z38" i="5" s="1"/>
  <c r="P47" i="5"/>
  <c r="Q116" i="5"/>
  <c r="R116" i="5" s="1" a="1"/>
  <c r="R116" i="5" s="1"/>
  <c r="S116" i="5" s="1"/>
  <c r="Q44" i="5"/>
  <c r="R44" i="5" s="1" a="1"/>
  <c r="R44" i="5" s="1"/>
  <c r="S44" i="5" s="1"/>
  <c r="N99" i="5"/>
  <c r="W32" i="5"/>
  <c r="X32" i="5" s="1" a="1"/>
  <c r="X32" i="5" s="1"/>
  <c r="Y32" i="5" s="1"/>
  <c r="N39" i="5"/>
  <c r="Q9" i="5"/>
  <c r="R9" i="5" s="1" a="1"/>
  <c r="R9" i="5" s="1"/>
  <c r="S9" i="5" s="1"/>
  <c r="M117" i="5"/>
  <c r="T113" i="5"/>
  <c r="U113" i="5" s="1" a="1"/>
  <c r="U113" i="5" s="1"/>
  <c r="V113" i="5" s="1"/>
  <c r="T32" i="5"/>
  <c r="U32" i="5" s="1" a="1"/>
  <c r="U32" i="5" s="1"/>
  <c r="V32" i="5" s="1"/>
  <c r="P127" i="5"/>
  <c r="P130" i="5" s="1"/>
  <c r="R130" i="5" s="1"/>
  <c r="T63" i="5"/>
  <c r="U63" i="5" s="1" a="1"/>
  <c r="U63" i="5" s="1"/>
  <c r="V63" i="5" s="1"/>
  <c r="N22" i="5"/>
  <c r="AE22" i="5" s="1"/>
  <c r="N111" i="5"/>
  <c r="P50" i="5"/>
  <c r="M51" i="5"/>
  <c r="P49" i="5"/>
  <c r="P24" i="5"/>
  <c r="Z24" i="5" s="1"/>
  <c r="N25" i="5"/>
  <c r="AE25" i="5" s="1"/>
  <c r="N15" i="5"/>
  <c r="AE15" i="5" s="1"/>
  <c r="N33" i="5"/>
  <c r="N56" i="5"/>
  <c r="Q100" i="5"/>
  <c r="R100" i="5" s="1" a="1"/>
  <c r="R100" i="5" s="1"/>
  <c r="S100" i="5" s="1"/>
  <c r="Q10" i="5"/>
  <c r="R10" i="5" s="1" a="1"/>
  <c r="R10" i="5" s="1"/>
  <c r="S10" i="5" s="1"/>
  <c r="W38" i="5"/>
  <c r="X38" i="5" s="1" a="1"/>
  <c r="X38" i="5" s="1"/>
  <c r="Y38" i="5" s="1"/>
  <c r="W25" i="5"/>
  <c r="X25" i="5" s="1" a="1"/>
  <c r="X25" i="5" s="1"/>
  <c r="Y25" i="5" s="1"/>
  <c r="Q110" i="5"/>
  <c r="R110" i="5" s="1" a="1"/>
  <c r="R110" i="5" s="1"/>
  <c r="S110" i="5" s="1"/>
  <c r="N105" i="5"/>
  <c r="P58" i="5"/>
  <c r="Q43" i="5"/>
  <c r="R43" i="5" s="1" a="1"/>
  <c r="R43" i="5" s="1"/>
  <c r="S43" i="5" s="1"/>
  <c r="N116" i="5"/>
  <c r="M104" i="5"/>
  <c r="W11" i="5"/>
  <c r="X11" i="5" s="1" a="1"/>
  <c r="X11" i="5" s="1"/>
  <c r="Y11" i="5" s="1"/>
  <c r="T31" i="5"/>
  <c r="U31" i="5" s="1" a="1"/>
  <c r="U31" i="5" s="1"/>
  <c r="V31" i="5" s="1"/>
  <c r="W16" i="5"/>
  <c r="X16" i="5" s="1" a="1"/>
  <c r="X16" i="5" s="1"/>
  <c r="Y16" i="5" s="1"/>
  <c r="W19" i="5"/>
  <c r="X19" i="5" s="1" a="1"/>
  <c r="X19" i="5" s="1"/>
  <c r="Y19" i="5" s="1"/>
  <c r="Q33" i="5"/>
  <c r="R33" i="5" s="1" a="1"/>
  <c r="R33" i="5" s="1"/>
  <c r="S33" i="5" s="1"/>
  <c r="P51" i="5"/>
  <c r="W24" i="5"/>
  <c r="X24" i="5" s="1" a="1"/>
  <c r="X24" i="5" s="1"/>
  <c r="Y24" i="5" s="1"/>
  <c r="P30" i="5"/>
  <c r="Z30" i="5" s="1"/>
  <c r="N45" i="11"/>
  <c r="F45" i="11" s="1"/>
  <c r="N204" i="11"/>
  <c r="N29" i="11"/>
  <c r="F29" i="11" s="1"/>
  <c r="M57" i="5"/>
  <c r="N107" i="5"/>
  <c r="Q29" i="5"/>
  <c r="R29" i="5" s="1" a="1"/>
  <c r="R29" i="5" s="1"/>
  <c r="S29" i="5" s="1"/>
  <c r="M23" i="5"/>
  <c r="AD23" i="5" s="1"/>
  <c r="M45" i="5"/>
  <c r="Q122" i="5"/>
  <c r="R122" i="5" s="1" a="1"/>
  <c r="R122" i="5" s="1"/>
  <c r="S122" i="5" s="1"/>
  <c r="T90" i="5"/>
  <c r="U90" i="5" s="1" a="1"/>
  <c r="U90" i="5" s="1"/>
  <c r="V90" i="5" s="1"/>
  <c r="M17" i="5"/>
  <c r="AD17" i="5" s="1"/>
  <c r="T47" i="5"/>
  <c r="U47" i="5" s="1" a="1"/>
  <c r="U47" i="5" s="1"/>
  <c r="V47" i="5" s="1"/>
  <c r="M2" i="5"/>
  <c r="E2" i="5" s="1"/>
  <c r="N159" i="11"/>
  <c r="Q117" i="5"/>
  <c r="R117" i="5" s="1" a="1"/>
  <c r="R117" i="5" s="1"/>
  <c r="S117" i="5" s="1"/>
  <c r="N106" i="11"/>
  <c r="F106" i="11" s="1"/>
  <c r="P67" i="11"/>
  <c r="T60" i="5"/>
  <c r="U60" i="5" s="1" a="1"/>
  <c r="U60" i="5" s="1"/>
  <c r="V60" i="5" s="1"/>
  <c r="N88" i="5"/>
  <c r="M24" i="5"/>
  <c r="AD24" i="5" s="1"/>
  <c r="Q49" i="5"/>
  <c r="R49" i="5" s="1" a="1"/>
  <c r="R49" i="5" s="1"/>
  <c r="S49" i="5" s="1"/>
  <c r="M81" i="5"/>
  <c r="M6" i="5"/>
  <c r="E6" i="5" s="1"/>
  <c r="P112" i="5"/>
  <c r="N54" i="5"/>
  <c r="W9" i="5"/>
  <c r="X9" i="5" s="1" a="1"/>
  <c r="X9" i="5" s="1"/>
  <c r="Y9" i="5" s="1"/>
  <c r="P32" i="5"/>
  <c r="P34" i="5"/>
  <c r="Z34" i="5" s="1"/>
  <c r="Q127" i="5"/>
  <c r="R127" i="5" s="1" a="1"/>
  <c r="R127" i="5" s="1"/>
  <c r="S127" i="5" s="1"/>
  <c r="N158" i="11"/>
  <c r="Q24" i="5"/>
  <c r="R24" i="5" s="1" a="1"/>
  <c r="R24" i="5" s="1"/>
  <c r="S24" i="5" s="1"/>
  <c r="N179" i="11"/>
  <c r="T50" i="5"/>
  <c r="U50" i="5" s="1" a="1"/>
  <c r="U50" i="5" s="1"/>
  <c r="V50" i="5" s="1"/>
  <c r="N100" i="5"/>
  <c r="M14" i="12"/>
  <c r="N116" i="11"/>
  <c r="F116" i="11" s="1"/>
  <c r="N167" i="11"/>
  <c r="N164" i="11"/>
  <c r="T39" i="5"/>
  <c r="U39" i="5" s="1" a="1"/>
  <c r="U39" i="5" s="1"/>
  <c r="V39" i="5" s="1"/>
  <c r="N127" i="5"/>
  <c r="T80" i="5"/>
  <c r="U80" i="5" s="1" a="1"/>
  <c r="U80" i="5" s="1"/>
  <c r="V80" i="5" s="1"/>
  <c r="N29" i="5"/>
  <c r="T46" i="5"/>
  <c r="U46" i="5" s="1" a="1"/>
  <c r="U46" i="5" s="1"/>
  <c r="V46" i="5" s="1"/>
  <c r="P60" i="5"/>
  <c r="Q89" i="5"/>
  <c r="R89" i="5" s="1" a="1"/>
  <c r="R89" i="5" s="1"/>
  <c r="S89" i="5" s="1"/>
  <c r="M107" i="5"/>
  <c r="P50" i="11"/>
  <c r="T25" i="5"/>
  <c r="U25" i="5" s="1" a="1"/>
  <c r="U25" i="5" s="1"/>
  <c r="V25" i="5" s="1"/>
  <c r="M9" i="5"/>
  <c r="M10" i="12"/>
  <c r="N166" i="11"/>
  <c r="N102" i="11"/>
  <c r="F102" i="11" s="1"/>
  <c r="M62" i="5"/>
  <c r="P44" i="5"/>
  <c r="N113" i="5"/>
  <c r="M141" i="5"/>
  <c r="T104" i="5"/>
  <c r="U104" i="5" s="1" a="1"/>
  <c r="U104" i="5" s="1"/>
  <c r="V104" i="5" s="1"/>
  <c r="M50" i="5"/>
  <c r="W30" i="5"/>
  <c r="X30" i="5" s="1" a="1"/>
  <c r="X30" i="5" s="1"/>
  <c r="Y30" i="5" s="1"/>
  <c r="P107" i="5"/>
  <c r="N42" i="11"/>
  <c r="F42" i="11" s="1"/>
  <c r="N28" i="11"/>
  <c r="F28" i="11" s="1"/>
  <c r="Q52" i="5"/>
  <c r="R52" i="5" s="1" a="1"/>
  <c r="R52" i="5" s="1"/>
  <c r="S52" i="5" s="1"/>
  <c r="N61" i="5"/>
  <c r="T37" i="5"/>
  <c r="U37" i="5" s="1" a="1"/>
  <c r="U37" i="5" s="1"/>
  <c r="V37" i="5" s="1"/>
  <c r="W37" i="5"/>
  <c r="X37" i="5" s="1" a="1"/>
  <c r="X37" i="5" s="1"/>
  <c r="Y37" i="5" s="1"/>
  <c r="Q20" i="5"/>
  <c r="R20" i="5" s="1" a="1"/>
  <c r="R20" i="5" s="1"/>
  <c r="S20" i="5" s="1"/>
  <c r="P63" i="5"/>
  <c r="P122" i="5"/>
  <c r="P125" i="5" s="1"/>
  <c r="R125" i="5" s="1"/>
  <c r="S125" i="5" s="1"/>
  <c r="Q123" i="5"/>
  <c r="R123" i="5" s="1" a="1"/>
  <c r="R123" i="5" s="1"/>
  <c r="S123" i="5" s="1"/>
  <c r="T109" i="5"/>
  <c r="U109" i="5" s="1" a="1"/>
  <c r="U109" i="5" s="1"/>
  <c r="V109" i="5" s="1"/>
  <c r="T20" i="5"/>
  <c r="U20" i="5" s="1" a="1"/>
  <c r="U20" i="5" s="1"/>
  <c r="V20" i="5" s="1"/>
  <c r="M49" i="5"/>
  <c r="T88" i="5"/>
  <c r="U88" i="5" s="1" a="1"/>
  <c r="U88" i="5" s="1"/>
  <c r="V88" i="5" s="1"/>
  <c r="W33" i="5"/>
  <c r="X33" i="5" s="1" a="1"/>
  <c r="X33" i="5" s="1"/>
  <c r="Y33" i="5" s="1"/>
  <c r="P33" i="5"/>
  <c r="Z33" i="5" s="1"/>
  <c r="P52" i="5"/>
  <c r="N17" i="5"/>
  <c r="AE17" i="5" s="1"/>
  <c r="P100" i="5"/>
  <c r="P52" i="11"/>
  <c r="N193" i="11"/>
  <c r="P207" i="11"/>
  <c r="T81" i="5"/>
  <c r="U81" i="5" s="1" a="1"/>
  <c r="U81" i="5" s="1"/>
  <c r="V81" i="5" s="1"/>
  <c r="P54" i="5"/>
  <c r="T127" i="5"/>
  <c r="U127" i="5" s="1" a="1"/>
  <c r="U127" i="5" s="1"/>
  <c r="V127" i="5" s="1"/>
  <c r="T87" i="5"/>
  <c r="U87" i="5" s="1" a="1"/>
  <c r="U87" i="5" s="1"/>
  <c r="V87" i="5" s="1"/>
  <c r="P11" i="5"/>
  <c r="T17" i="5"/>
  <c r="U17" i="5" s="1" a="1"/>
  <c r="U17" i="5" s="1"/>
  <c r="V17" i="5" s="1"/>
  <c r="Q28" i="5"/>
  <c r="R28" i="5" s="1" a="1"/>
  <c r="R28" i="5" s="1"/>
  <c r="M60" i="5"/>
  <c r="N81" i="5"/>
  <c r="W23" i="5"/>
  <c r="X23" i="5" s="1" a="1"/>
  <c r="X23" i="5" s="1"/>
  <c r="Y23" i="5" s="1"/>
  <c r="N100" i="11"/>
  <c r="F100" i="11" s="1"/>
  <c r="M112" i="5"/>
  <c r="M32" i="5"/>
  <c r="W22" i="5"/>
  <c r="X22" i="5" s="1" a="1"/>
  <c r="X22" i="5" s="1"/>
  <c r="Y22" i="5" s="1"/>
  <c r="N9" i="11"/>
  <c r="F9" i="11" s="1"/>
  <c r="Q61" i="5"/>
  <c r="R61" i="5" s="1" a="1"/>
  <c r="R61" i="5" s="1"/>
  <c r="S61" i="5" s="1"/>
  <c r="V21" i="9"/>
  <c r="W21" i="9" s="1" a="1"/>
  <c r="W21" i="9" s="1"/>
  <c r="X21" i="9" s="1"/>
  <c r="O32" i="9"/>
  <c r="P37" i="9"/>
  <c r="S72" i="9"/>
  <c r="T72" i="9" s="1" a="1"/>
  <c r="T72" i="9" s="1"/>
  <c r="U72" i="9" s="1"/>
  <c r="R25" i="9"/>
  <c r="AD25" i="9" s="1"/>
  <c r="O61" i="9"/>
  <c r="V14" i="9"/>
  <c r="W14" i="9" s="1" a="1"/>
  <c r="W14" i="9" s="1"/>
  <c r="X14" i="9" s="1"/>
  <c r="P35" i="9"/>
  <c r="V39" i="9"/>
  <c r="W39" i="9" s="1" a="1"/>
  <c r="W39" i="9" s="1"/>
  <c r="X39" i="9" s="1"/>
  <c r="R33" i="9"/>
  <c r="P58" i="9"/>
  <c r="S41" i="9"/>
  <c r="T41" i="9" s="1" a="1"/>
  <c r="T41" i="9" s="1"/>
  <c r="U41" i="9" s="1"/>
  <c r="P47" i="9"/>
  <c r="V12" i="9"/>
  <c r="W12" i="9" s="1" a="1"/>
  <c r="W12" i="9" s="1"/>
  <c r="X12" i="9" s="1"/>
  <c r="P19" i="9"/>
  <c r="P38" i="9"/>
  <c r="V25" i="9"/>
  <c r="W25" i="9" s="1" a="1"/>
  <c r="W25" i="9" s="1"/>
  <c r="X25" i="9" s="1"/>
  <c r="O21" i="9"/>
  <c r="R14" i="9"/>
  <c r="P10" i="9"/>
  <c r="O54" i="9"/>
  <c r="V33" i="9"/>
  <c r="W33" i="9" s="1" a="1"/>
  <c r="W33" i="9" s="1"/>
  <c r="X33" i="9" s="1"/>
  <c r="O25" i="9"/>
  <c r="P66" i="9"/>
  <c r="V47" i="9"/>
  <c r="W47" i="9" s="1" a="1"/>
  <c r="W47" i="9" s="1"/>
  <c r="X47" i="9" s="1"/>
  <c r="R40" i="9"/>
  <c r="R39" i="9"/>
  <c r="S61" i="9"/>
  <c r="T61" i="9" s="1" a="1"/>
  <c r="T61" i="9" s="1"/>
  <c r="U61" i="9" s="1"/>
  <c r="O24" i="9"/>
  <c r="R58" i="9"/>
  <c r="O3" i="9"/>
  <c r="F3" i="9" s="1"/>
  <c r="S17" i="9"/>
  <c r="T17" i="9" s="1" a="1"/>
  <c r="T17" i="9" s="1"/>
  <c r="U17" i="9" s="1"/>
  <c r="O64" i="9"/>
  <c r="P60" i="9"/>
  <c r="O60" i="9"/>
  <c r="P40" i="9"/>
  <c r="R21" i="9"/>
  <c r="P17" i="9"/>
  <c r="P62" i="9"/>
  <c r="Y44" i="9"/>
  <c r="Z44" i="9" s="1" a="1"/>
  <c r="Z44" i="9" s="1"/>
  <c r="AA44" i="9" s="1"/>
  <c r="Y42" i="9"/>
  <c r="Z42" i="9" s="1" a="1"/>
  <c r="Z42" i="9" s="1"/>
  <c r="AA42" i="9" s="1"/>
  <c r="Y34" i="9"/>
  <c r="Z34" i="9" s="1" a="1"/>
  <c r="Z34" i="9" s="1"/>
  <c r="AA34" i="9" s="1"/>
  <c r="O71" i="9"/>
  <c r="R61" i="9"/>
  <c r="O55" i="9"/>
  <c r="R15" i="9"/>
  <c r="V61" i="9"/>
  <c r="W61" i="9" s="1" a="1"/>
  <c r="W61" i="9" s="1"/>
  <c r="X61" i="9" s="1"/>
  <c r="P36" i="9"/>
  <c r="O68" i="9"/>
  <c r="O33" i="9"/>
  <c r="V72" i="9"/>
  <c r="W72" i="9" s="1" a="1"/>
  <c r="W72" i="9" s="1"/>
  <c r="X72" i="9" s="1"/>
  <c r="R23" i="9"/>
  <c r="AD23" i="9" s="1"/>
  <c r="V42" i="9"/>
  <c r="W42" i="9" s="1" a="1"/>
  <c r="W42" i="9" s="1"/>
  <c r="X42" i="9" s="1"/>
  <c r="S44" i="9"/>
  <c r="T44" i="9" s="1" a="1"/>
  <c r="T44" i="9" s="1"/>
  <c r="U44" i="9" s="1"/>
  <c r="V40" i="9"/>
  <c r="W40" i="9" s="1" a="1"/>
  <c r="W40" i="9" s="1"/>
  <c r="X40" i="9" s="1"/>
  <c r="O41" i="9"/>
  <c r="R56" i="9"/>
  <c r="V51" i="9"/>
  <c r="W51" i="9" s="1" a="1"/>
  <c r="W51" i="9" s="1"/>
  <c r="X51" i="9" s="1"/>
  <c r="R8" i="9"/>
  <c r="P8" i="9"/>
  <c r="P39" i="9"/>
  <c r="Y17" i="9"/>
  <c r="Z17" i="9" s="1" a="1"/>
  <c r="Z17" i="9" s="1"/>
  <c r="AA17" i="9" s="1"/>
  <c r="O9" i="9"/>
  <c r="Y23" i="9"/>
  <c r="Z23" i="9" s="1" a="1"/>
  <c r="Z23" i="9" s="1"/>
  <c r="AA23" i="9" s="1"/>
  <c r="V24" i="9"/>
  <c r="W24" i="9" s="1" a="1"/>
  <c r="W24" i="9" s="1"/>
  <c r="X24" i="9" s="1"/>
  <c r="S8" i="9"/>
  <c r="T8" i="9" s="1" a="1"/>
  <c r="T8" i="9" s="1"/>
  <c r="U8" i="9" s="1"/>
  <c r="Y51" i="9"/>
  <c r="Z51" i="9" s="1" a="1"/>
  <c r="Z51" i="9" s="1"/>
  <c r="AA51" i="9" s="1"/>
  <c r="R18" i="9"/>
  <c r="R12" i="9"/>
  <c r="S21" i="9"/>
  <c r="T21" i="9" s="1" a="1"/>
  <c r="T21" i="9" s="1"/>
  <c r="U21" i="9" s="1"/>
  <c r="S56" i="9"/>
  <c r="T56" i="9" s="1" a="1"/>
  <c r="T56" i="9" s="1"/>
  <c r="U56" i="9" s="1"/>
  <c r="R69" i="9"/>
  <c r="S9" i="9"/>
  <c r="T9" i="9" s="1" a="1"/>
  <c r="T9" i="9" s="1"/>
  <c r="U9" i="9" s="1"/>
  <c r="S58" i="9"/>
  <c r="T58" i="9" s="1" a="1"/>
  <c r="T58" i="9" s="1"/>
  <c r="U58" i="9" s="1"/>
  <c r="O66" i="9"/>
  <c r="R24" i="9"/>
  <c r="AD24" i="9" s="1"/>
  <c r="P55" i="9"/>
  <c r="O51" i="9"/>
  <c r="Y38" i="9"/>
  <c r="Z38" i="9" s="1" a="1"/>
  <c r="Z38" i="9" s="1"/>
  <c r="AA38" i="9" s="1"/>
  <c r="Y10" i="9"/>
  <c r="Z10" i="9" s="1" a="1"/>
  <c r="Z10" i="9" s="1"/>
  <c r="AA10" i="9" s="1"/>
  <c r="V46" i="9"/>
  <c r="W46" i="9" s="1" a="1"/>
  <c r="W46" i="9" s="1"/>
  <c r="X46" i="9" s="1"/>
  <c r="O44" i="9"/>
  <c r="S71" i="9"/>
  <c r="T71" i="9" s="1" a="1"/>
  <c r="T71" i="9" s="1"/>
  <c r="U71" i="9" s="1"/>
  <c r="R60" i="9"/>
  <c r="O8" i="9"/>
  <c r="R13" i="9"/>
  <c r="O5" i="9"/>
  <c r="F5" i="9" s="1"/>
  <c r="R62" i="9"/>
  <c r="P70" i="9"/>
  <c r="O59" i="9"/>
  <c r="S63" i="9"/>
  <c r="T63" i="9" s="1" a="1"/>
  <c r="T63" i="9" s="1"/>
  <c r="U63" i="9" s="1"/>
  <c r="V31" i="9"/>
  <c r="W31" i="9" s="1" a="1"/>
  <c r="W31" i="9" s="1"/>
  <c r="X31" i="9" s="1"/>
  <c r="P25" i="9"/>
  <c r="R34" i="9"/>
  <c r="R70" i="9"/>
  <c r="S11" i="9"/>
  <c r="T11" i="9" s="1" a="1"/>
  <c r="T11" i="9" s="1"/>
  <c r="U11" i="9" s="1"/>
  <c r="V63" i="9"/>
  <c r="W63" i="9" s="1" a="1"/>
  <c r="W63" i="9" s="1"/>
  <c r="X63" i="9" s="1"/>
  <c r="Y12" i="9"/>
  <c r="Z12" i="9" s="1" a="1"/>
  <c r="Z12" i="9" s="1"/>
  <c r="AA12" i="9" s="1"/>
  <c r="O22" i="9"/>
  <c r="O20" i="9" s="1"/>
  <c r="P63" i="9"/>
  <c r="O31" i="9"/>
  <c r="S39" i="9"/>
  <c r="T39" i="9" s="1" a="1"/>
  <c r="T39" i="9" s="1"/>
  <c r="U39" i="9" s="1"/>
  <c r="Y46" i="9"/>
  <c r="Z46" i="9" s="1" a="1"/>
  <c r="Z46" i="9" s="1"/>
  <c r="AA46" i="9" s="1"/>
  <c r="Y41" i="9"/>
  <c r="Z41" i="9" s="1" a="1"/>
  <c r="Z41" i="9" s="1"/>
  <c r="AA41" i="9" s="1"/>
  <c r="S35" i="9"/>
  <c r="T35" i="9" s="1" a="1"/>
  <c r="T35" i="9" s="1"/>
  <c r="U35" i="9" s="1"/>
  <c r="P71" i="9"/>
  <c r="P23" i="9"/>
  <c r="R11" i="9"/>
  <c r="V23" i="9"/>
  <c r="W23" i="9" s="1" a="1"/>
  <c r="W23" i="9" s="1"/>
  <c r="X23" i="9" s="1"/>
  <c r="R17" i="9"/>
  <c r="S68" i="9"/>
  <c r="T68" i="9" s="1" a="1"/>
  <c r="T68" i="9" s="1"/>
  <c r="U68" i="9" s="1"/>
  <c r="R68" i="9"/>
  <c r="O17" i="9"/>
  <c r="P42" i="9"/>
  <c r="V44" i="9"/>
  <c r="W44" i="9" s="1" a="1"/>
  <c r="W44" i="9" s="1"/>
  <c r="X44" i="9" s="1"/>
  <c r="Y15" i="9"/>
  <c r="Z15" i="9" s="1" a="1"/>
  <c r="Z15" i="9" s="1"/>
  <c r="AA15" i="9" s="1"/>
  <c r="R42" i="9"/>
  <c r="S10" i="9"/>
  <c r="T10" i="9" s="1" a="1"/>
  <c r="T10" i="9" s="1"/>
  <c r="U10" i="9" s="1"/>
  <c r="S42" i="9"/>
  <c r="T42" i="9" s="1" a="1"/>
  <c r="T42" i="9" s="1"/>
  <c r="U42" i="9" s="1"/>
  <c r="S43" i="9"/>
  <c r="T43" i="9" s="1" a="1"/>
  <c r="T43" i="9" s="1"/>
  <c r="U43" i="9" s="1"/>
  <c r="V13" i="9"/>
  <c r="W13" i="9" s="1" a="1"/>
  <c r="W13" i="9" s="1"/>
  <c r="X13" i="9" s="1"/>
  <c r="O70" i="9"/>
  <c r="P9" i="9"/>
  <c r="P59" i="9"/>
  <c r="V15" i="9"/>
  <c r="W15" i="9" s="1" a="1"/>
  <c r="W15" i="9" s="1"/>
  <c r="X15" i="9" s="1"/>
  <c r="Y33" i="9"/>
  <c r="Z33" i="9" s="1" a="1"/>
  <c r="Z33" i="9" s="1"/>
  <c r="AA33" i="9" s="1"/>
  <c r="P12" i="9"/>
  <c r="R72" i="9"/>
  <c r="S40" i="9"/>
  <c r="T40" i="9" s="1" a="1"/>
  <c r="T40" i="9" s="1"/>
  <c r="U40" i="9" s="1"/>
  <c r="R64" i="9"/>
  <c r="V58" i="9"/>
  <c r="W58" i="9" s="1" a="1"/>
  <c r="W58" i="9" s="1"/>
  <c r="X58" i="9" s="1"/>
  <c r="O23" i="9"/>
  <c r="P11" i="9"/>
  <c r="O7" i="9"/>
  <c r="F7" i="9" s="1"/>
  <c r="P68" i="9"/>
  <c r="O42" i="9"/>
  <c r="R57" i="9"/>
  <c r="P21" i="9"/>
  <c r="R63" i="9"/>
  <c r="O62" i="9"/>
  <c r="P72" i="9"/>
  <c r="R46" i="9"/>
  <c r="S55" i="9"/>
  <c r="T55" i="9" s="1" a="1"/>
  <c r="T55" i="9" s="1"/>
  <c r="U55" i="9" s="1"/>
  <c r="S45" i="9"/>
  <c r="T45" i="9" s="1" a="1"/>
  <c r="T45" i="9" s="1"/>
  <c r="U45" i="9" s="1"/>
  <c r="Y8" i="9"/>
  <c r="Z8" i="9" s="1" a="1"/>
  <c r="Z8" i="9" s="1"/>
  <c r="AA8" i="9" s="1"/>
  <c r="P14" i="9"/>
  <c r="R55" i="9"/>
  <c r="S24" i="9"/>
  <c r="T24" i="9" s="1" a="1"/>
  <c r="T24" i="9" s="1"/>
  <c r="U24" i="9" s="1"/>
  <c r="R54" i="9"/>
  <c r="V10" i="9"/>
  <c r="W10" i="9" s="1" a="1"/>
  <c r="W10" i="9" s="1"/>
  <c r="X10" i="9" s="1"/>
  <c r="Y18" i="9"/>
  <c r="Z18" i="9" s="1" a="1"/>
  <c r="Z18" i="9" s="1"/>
  <c r="AA18" i="9" s="1"/>
  <c r="S34" i="9"/>
  <c r="T34" i="9" s="1" a="1"/>
  <c r="T34" i="9" s="1"/>
  <c r="U34" i="9" s="1"/>
  <c r="Y11" i="9"/>
  <c r="Z11" i="9" s="1" a="1"/>
  <c r="Z11" i="9" s="1"/>
  <c r="AA11" i="9" s="1"/>
  <c r="P46" i="9"/>
  <c r="P64" i="9"/>
  <c r="O16" i="9"/>
  <c r="R59" i="9"/>
  <c r="Y39" i="9"/>
  <c r="Z39" i="9" s="1" a="1"/>
  <c r="Z39" i="9" s="1"/>
  <c r="AA39" i="9" s="1"/>
  <c r="S23" i="9"/>
  <c r="T23" i="9" s="1" a="1"/>
  <c r="T23" i="9" s="1"/>
  <c r="U23" i="9" s="1"/>
  <c r="V68" i="9"/>
  <c r="W68" i="9" s="1" a="1"/>
  <c r="W68" i="9" s="1"/>
  <c r="X68" i="9" s="1"/>
  <c r="S47" i="9"/>
  <c r="T47" i="9" s="1" a="1"/>
  <c r="T47" i="9" s="1"/>
  <c r="U47" i="9" s="1"/>
  <c r="O10" i="9"/>
  <c r="Y35" i="9"/>
  <c r="Z35" i="9" s="1" a="1"/>
  <c r="Z35" i="9" s="1"/>
  <c r="AA35" i="9" s="1"/>
  <c r="R67" i="9"/>
  <c r="S67" i="9"/>
  <c r="T67" i="9" s="1" a="1"/>
  <c r="T67" i="9" s="1"/>
  <c r="U67" i="9" s="1"/>
  <c r="S30" i="9"/>
  <c r="T30" i="9" s="1" a="1"/>
  <c r="T30" i="9" s="1"/>
  <c r="U30" i="9" s="1"/>
  <c r="V66" i="9"/>
  <c r="W66" i="9" s="1" a="1"/>
  <c r="W66" i="9" s="1"/>
  <c r="X66" i="9" s="1"/>
  <c r="V18" i="9"/>
  <c r="W18" i="9" s="1" a="1"/>
  <c r="W18" i="9" s="1"/>
  <c r="X18" i="9" s="1"/>
  <c r="O46" i="9"/>
  <c r="P56" i="9"/>
  <c r="R16" i="9"/>
  <c r="Y24" i="9"/>
  <c r="Z24" i="9" s="1" a="1"/>
  <c r="Z24" i="9" s="1"/>
  <c r="AA24" i="9" s="1"/>
  <c r="Y36" i="9"/>
  <c r="Z36" i="9" s="1" a="1"/>
  <c r="Z36" i="9" s="1"/>
  <c r="AA36" i="9" s="1"/>
  <c r="S59" i="9"/>
  <c r="T59" i="9" s="1" a="1"/>
  <c r="T59" i="9" s="1"/>
  <c r="U59" i="9" s="1"/>
  <c r="R44" i="9"/>
  <c r="O65" i="9"/>
  <c r="V71" i="9"/>
  <c r="W71" i="9" s="1" a="1"/>
  <c r="W71" i="9" s="1"/>
  <c r="X71" i="9" s="1"/>
  <c r="S18" i="9"/>
  <c r="T18" i="9" s="1" a="1"/>
  <c r="T18" i="9" s="1"/>
  <c r="U18" i="9" s="1"/>
  <c r="O18" i="9"/>
  <c r="P34" i="9"/>
  <c r="V9" i="9"/>
  <c r="W9" i="9" s="1" a="1"/>
  <c r="W9" i="9" s="1"/>
  <c r="X9" i="9" s="1"/>
  <c r="S32" i="9"/>
  <c r="T32" i="9" s="1" a="1"/>
  <c r="T32" i="9" s="1"/>
  <c r="U32" i="9" s="1"/>
  <c r="S66" i="9"/>
  <c r="T66" i="9" s="1" a="1"/>
  <c r="T66" i="9" s="1"/>
  <c r="U66" i="9" s="1"/>
  <c r="P44" i="9"/>
  <c r="P31" i="9"/>
  <c r="O69" i="9"/>
  <c r="R22" i="9"/>
  <c r="P57" i="9"/>
  <c r="P24" i="9"/>
  <c r="O56" i="9"/>
  <c r="P33" i="9"/>
  <c r="R73" i="9"/>
  <c r="S54" i="9"/>
  <c r="T54" i="9" s="1" a="1"/>
  <c r="T54" i="9" s="1"/>
  <c r="U54" i="9" s="1"/>
  <c r="S38" i="9"/>
  <c r="T38" i="9" s="1" a="1"/>
  <c r="T38" i="9" s="1"/>
  <c r="U38" i="9" s="1"/>
  <c r="Y13" i="9"/>
  <c r="Z13" i="9" s="1" a="1"/>
  <c r="Z13" i="9" s="1"/>
  <c r="AA13" i="9" s="1"/>
  <c r="P32" i="9"/>
  <c r="S15" i="9"/>
  <c r="T15" i="9" s="1" a="1"/>
  <c r="T15" i="9" s="1"/>
  <c r="U15" i="9" s="1"/>
  <c r="P15" i="9"/>
  <c r="S57" i="9"/>
  <c r="T57" i="9" s="1" a="1"/>
  <c r="T57" i="9" s="1"/>
  <c r="U57" i="9" s="1"/>
  <c r="P16" i="9"/>
  <c r="V56" i="9"/>
  <c r="W56" i="9" s="1" a="1"/>
  <c r="W56" i="9" s="1"/>
  <c r="X56" i="9" s="1"/>
  <c r="R19" i="9"/>
  <c r="O39" i="9"/>
  <c r="R66" i="9"/>
  <c r="Y32" i="9"/>
  <c r="Z32" i="9" s="1" a="1"/>
  <c r="Z32" i="9" s="1"/>
  <c r="AA32" i="9" s="1"/>
  <c r="O67" i="9"/>
  <c r="P45" i="9"/>
  <c r="S73" i="9"/>
  <c r="T73" i="9" s="1" a="1"/>
  <c r="T73" i="9" s="1"/>
  <c r="U73" i="9" s="1"/>
  <c r="S22" i="9"/>
  <c r="T22" i="9" s="1" a="1"/>
  <c r="T22" i="9" s="1"/>
  <c r="U22" i="9" s="1"/>
  <c r="S51" i="9"/>
  <c r="T51" i="9" s="1" a="1"/>
  <c r="T51" i="9" s="1"/>
  <c r="U51" i="9" s="1"/>
  <c r="P69" i="9"/>
  <c r="Y22" i="9"/>
  <c r="Z22" i="9" s="1" a="1"/>
  <c r="Z22" i="9" s="1"/>
  <c r="AA22" i="9" s="1"/>
  <c r="O15" i="9"/>
  <c r="V64" i="9"/>
  <c r="W64" i="9" s="1" a="1"/>
  <c r="W64" i="9" s="1"/>
  <c r="X64" i="9" s="1"/>
  <c r="S60" i="9"/>
  <c r="T60" i="9" s="1" a="1"/>
  <c r="T60" i="9" s="1"/>
  <c r="U60" i="9" s="1"/>
  <c r="Y16" i="9"/>
  <c r="Z16" i="9" s="1" a="1"/>
  <c r="Z16" i="9" s="1"/>
  <c r="AA16" i="9" s="1"/>
  <c r="R31" i="9"/>
  <c r="V11" i="9"/>
  <c r="W11" i="9" s="1" a="1"/>
  <c r="W11" i="9" s="1"/>
  <c r="X11" i="9" s="1"/>
  <c r="P18" i="9"/>
  <c r="V17" i="9"/>
  <c r="W17" i="9" s="1" a="1"/>
  <c r="W17" i="9" s="1"/>
  <c r="X17" i="9" s="1"/>
  <c r="V34" i="9"/>
  <c r="W34" i="9" s="1" a="1"/>
  <c r="W34" i="9" s="1"/>
  <c r="X34" i="9" s="1"/>
  <c r="V55" i="9"/>
  <c r="W55" i="9" s="1" a="1"/>
  <c r="W55" i="9" s="1"/>
  <c r="X55" i="9" s="1"/>
  <c r="V16" i="9"/>
  <c r="W16" i="9" s="1" a="1"/>
  <c r="W16" i="9" s="1"/>
  <c r="X16" i="9" s="1"/>
  <c r="O43" i="9"/>
  <c r="O57" i="9"/>
  <c r="S16" i="9"/>
  <c r="T16" i="9" s="1" a="1"/>
  <c r="T16" i="9" s="1"/>
  <c r="U16" i="9" s="1"/>
  <c r="V62" i="9"/>
  <c r="W62" i="9" s="1" a="1"/>
  <c r="W62" i="9" s="1"/>
  <c r="X62" i="9" s="1"/>
  <c r="S46" i="9"/>
  <c r="T46" i="9" s="1" a="1"/>
  <c r="T46" i="9" s="1"/>
  <c r="U46" i="9" s="1"/>
  <c r="S65" i="9"/>
  <c r="T65" i="9" s="1" a="1"/>
  <c r="T65" i="9" s="1"/>
  <c r="U65" i="9" s="1"/>
  <c r="V32" i="9"/>
  <c r="W32" i="9" s="1" a="1"/>
  <c r="W32" i="9" s="1"/>
  <c r="X32" i="9" s="1"/>
  <c r="O30" i="9"/>
  <c r="V45" i="9"/>
  <c r="W45" i="9" s="1" a="1"/>
  <c r="W45" i="9" s="1"/>
  <c r="X45" i="9" s="1"/>
  <c r="R37" i="9"/>
  <c r="V43" i="9"/>
  <c r="W43" i="9" s="1" a="1"/>
  <c r="W43" i="9" s="1"/>
  <c r="X43" i="9" s="1"/>
  <c r="O45" i="9"/>
  <c r="O72" i="9"/>
  <c r="O35" i="9"/>
  <c r="S33" i="9"/>
  <c r="T33" i="9" s="1" a="1"/>
  <c r="T33" i="9" s="1"/>
  <c r="U33" i="9" s="1"/>
  <c r="P54" i="9"/>
  <c r="O63" i="9"/>
  <c r="P61" i="9"/>
  <c r="P67" i="9"/>
  <c r="P22" i="9"/>
  <c r="S14" i="9"/>
  <c r="T14" i="9" s="1" a="1"/>
  <c r="T14" i="9" s="1"/>
  <c r="U14" i="9" s="1"/>
  <c r="Y9" i="9"/>
  <c r="Z9" i="9" s="1" a="1"/>
  <c r="Z9" i="9" s="1"/>
  <c r="AA9" i="9" s="1"/>
  <c r="O6" i="9"/>
  <c r="F6" i="9" s="1"/>
  <c r="P73" i="9"/>
  <c r="P51" i="9"/>
  <c r="R32" i="9"/>
  <c r="O40" i="9"/>
  <c r="P41" i="9"/>
  <c r="O36" i="9"/>
  <c r="V41" i="9"/>
  <c r="W41" i="9" s="1" a="1"/>
  <c r="W41" i="9" s="1"/>
  <c r="X41" i="9" s="1"/>
  <c r="S25" i="9"/>
  <c r="T25" i="9" s="1" a="1"/>
  <c r="T25" i="9" s="1"/>
  <c r="U25" i="9" s="1"/>
  <c r="V57" i="9"/>
  <c r="W57" i="9" s="1" a="1"/>
  <c r="W57" i="9" s="1"/>
  <c r="X57" i="9" s="1"/>
  <c r="Y54" i="9"/>
  <c r="Z54" i="9" s="1" a="1"/>
  <c r="Z54" i="9" s="1"/>
  <c r="AA54" i="9" s="1"/>
  <c r="R36" i="9"/>
  <c r="R38" i="9"/>
  <c r="S70" i="9"/>
  <c r="T70" i="9" s="1" a="1"/>
  <c r="T70" i="9" s="1"/>
  <c r="U70" i="9" s="1"/>
  <c r="P43" i="9"/>
  <c r="Y21" i="9"/>
  <c r="Z21" i="9" s="1" a="1"/>
  <c r="Z21" i="9" s="1"/>
  <c r="AA21" i="9" s="1"/>
  <c r="R41" i="9"/>
  <c r="R43" i="9"/>
  <c r="S31" i="9"/>
  <c r="T31" i="9" s="1" a="1"/>
  <c r="T31" i="9" s="1"/>
  <c r="U31" i="9" s="1"/>
  <c r="O37" i="9"/>
  <c r="V38" i="9"/>
  <c r="W38" i="9" s="1" a="1"/>
  <c r="W38" i="9" s="1"/>
  <c r="X38" i="9" s="1"/>
  <c r="O38" i="9"/>
  <c r="R9" i="9"/>
  <c r="P30" i="9"/>
  <c r="S36" i="9"/>
  <c r="T36" i="9" s="1" a="1"/>
  <c r="T36" i="9" s="1"/>
  <c r="U36" i="9" s="1"/>
  <c r="O12" i="9"/>
  <c r="R10" i="9"/>
  <c r="V65" i="9"/>
  <c r="W65" i="9" s="1" a="1"/>
  <c r="W65" i="9" s="1"/>
  <c r="X65" i="9" s="1"/>
  <c r="O73" i="9"/>
  <c r="R71" i="9"/>
  <c r="V37" i="9"/>
  <c r="W37" i="9" s="1" a="1"/>
  <c r="W37" i="9" s="1"/>
  <c r="X37" i="9" s="1"/>
  <c r="V70" i="9"/>
  <c r="W70" i="9" s="1" a="1"/>
  <c r="W70" i="9" s="1"/>
  <c r="X70" i="9" s="1"/>
  <c r="S19" i="9"/>
  <c r="T19" i="9" s="1" a="1"/>
  <c r="T19" i="9" s="1"/>
  <c r="U19" i="9" s="1"/>
  <c r="S62" i="9"/>
  <c r="T62" i="9" s="1" a="1"/>
  <c r="T62" i="9" s="1"/>
  <c r="U62" i="9" s="1"/>
  <c r="V22" i="9"/>
  <c r="W22" i="9" s="1" a="1"/>
  <c r="W22" i="9" s="1"/>
  <c r="X22" i="9" s="1"/>
  <c r="O34" i="9"/>
  <c r="O19" i="9"/>
  <c r="P13" i="9"/>
  <c r="R65" i="9"/>
  <c r="V69" i="9"/>
  <c r="W69" i="9" s="1" a="1"/>
  <c r="W69" i="9" s="1"/>
  <c r="X69" i="9" s="1"/>
  <c r="Y14" i="9"/>
  <c r="Z14" i="9" s="1" a="1"/>
  <c r="Z14" i="9" s="1"/>
  <c r="AA14" i="9" s="1"/>
  <c r="V60" i="9"/>
  <c r="W60" i="9" s="1" a="1"/>
  <c r="W60" i="9" s="1"/>
  <c r="X60" i="9" s="1"/>
  <c r="R35" i="9"/>
  <c r="V8" i="9"/>
  <c r="W8" i="9" s="1" a="1"/>
  <c r="W8" i="9" s="1"/>
  <c r="X8" i="9" s="1"/>
  <c r="R51" i="9"/>
  <c r="O14" i="9"/>
  <c r="R45" i="9"/>
  <c r="Y19" i="9"/>
  <c r="Z19" i="9" s="1" a="1"/>
  <c r="Z19" i="9" s="1"/>
  <c r="AA19" i="9" s="1"/>
  <c r="Y25" i="9"/>
  <c r="Z25" i="9" s="1" a="1"/>
  <c r="Z25" i="9" s="1"/>
  <c r="AA25" i="9" s="1"/>
  <c r="R30" i="9"/>
  <c r="V30" i="9"/>
  <c r="W30" i="9" s="1" a="1"/>
  <c r="W30" i="9" s="1"/>
  <c r="X30" i="9" s="1"/>
  <c r="O11" i="9"/>
  <c r="S13" i="9"/>
  <c r="T13" i="9" s="1" a="1"/>
  <c r="T13" i="9" s="1"/>
  <c r="U13" i="9" s="1"/>
  <c r="Y43" i="9"/>
  <c r="Z43" i="9" s="1" a="1"/>
  <c r="Z43" i="9" s="1"/>
  <c r="AA43" i="9" s="1"/>
  <c r="V19" i="9"/>
  <c r="W19" i="9" s="1" a="1"/>
  <c r="W19" i="9" s="1"/>
  <c r="X19" i="9" s="1"/>
  <c r="S64" i="9"/>
  <c r="T64" i="9" s="1" a="1"/>
  <c r="T64" i="9" s="1"/>
  <c r="U64" i="9" s="1"/>
  <c r="Y45" i="9"/>
  <c r="Z45" i="9" s="1" a="1"/>
  <c r="Z45" i="9" s="1"/>
  <c r="AA45" i="9" s="1"/>
  <c r="S37" i="9"/>
  <c r="T37" i="9" s="1" a="1"/>
  <c r="T37" i="9" s="1"/>
  <c r="U37" i="9" s="1"/>
  <c r="V54" i="9"/>
  <c r="W54" i="9" s="1" a="1"/>
  <c r="W54" i="9" s="1"/>
  <c r="X54" i="9" s="1"/>
  <c r="Y30" i="9"/>
  <c r="Z30" i="9" s="1" a="1"/>
  <c r="Z30" i="9" s="1"/>
  <c r="AA30" i="9" s="1"/>
  <c r="Y47" i="9"/>
  <c r="Z47" i="9" s="1" a="1"/>
  <c r="Z47" i="9" s="1"/>
  <c r="AA47" i="9" s="1"/>
  <c r="O4" i="9"/>
  <c r="F4" i="9" s="1"/>
  <c r="Y40" i="9"/>
  <c r="Z40" i="9" s="1" a="1"/>
  <c r="Z40" i="9" s="1"/>
  <c r="AA40" i="9" s="1"/>
  <c r="V67" i="9"/>
  <c r="W67" i="9" s="1" a="1"/>
  <c r="W67" i="9" s="1"/>
  <c r="X67" i="9" s="1"/>
  <c r="V36" i="9"/>
  <c r="W36" i="9" s="1" a="1"/>
  <c r="W36" i="9" s="1"/>
  <c r="X36" i="9" s="1"/>
  <c r="S12" i="9"/>
  <c r="T12" i="9" s="1" a="1"/>
  <c r="T12" i="9" s="1"/>
  <c r="U12" i="9" s="1"/>
  <c r="O2" i="9"/>
  <c r="F2" i="9" s="1"/>
  <c r="O47" i="9"/>
  <c r="O13" i="9"/>
  <c r="R47" i="9"/>
  <c r="V35" i="9"/>
  <c r="W35" i="9" s="1" a="1"/>
  <c r="W35" i="9" s="1"/>
  <c r="X35" i="9" s="1"/>
  <c r="V73" i="9"/>
  <c r="W73" i="9" s="1" a="1"/>
  <c r="W73" i="9" s="1"/>
  <c r="X73" i="9" s="1"/>
  <c r="Y37" i="9"/>
  <c r="Z37" i="9" s="1" a="1"/>
  <c r="Z37" i="9" s="1"/>
  <c r="AA37" i="9" s="1"/>
  <c r="V59" i="9"/>
  <c r="W59" i="9" s="1" a="1"/>
  <c r="W59" i="9" s="1"/>
  <c r="X59" i="9" s="1"/>
  <c r="O58" i="9"/>
  <c r="S69" i="9"/>
  <c r="T69" i="9" s="1" a="1"/>
  <c r="T69" i="9" s="1"/>
  <c r="U69" i="9" s="1"/>
  <c r="Y31" i="9"/>
  <c r="Z31" i="9" s="1" a="1"/>
  <c r="Z31" i="9" s="1"/>
  <c r="AA31" i="9" s="1"/>
  <c r="B1" i="13"/>
  <c r="B1" i="8"/>
  <c r="O136" i="5"/>
  <c r="E149" i="5"/>
  <c r="E137" i="5"/>
  <c r="E140" i="5"/>
  <c r="Q7" i="1"/>
  <c r="Q5" i="1"/>
  <c r="Q6" i="1"/>
  <c r="Q8" i="1"/>
  <c r="Q9" i="1"/>
  <c r="Q10" i="1"/>
  <c r="Q3" i="1"/>
  <c r="Q11" i="1"/>
  <c r="Q4" i="1"/>
  <c r="Q12" i="1"/>
  <c r="O6" i="11" a="1"/>
  <c r="O111" i="11" a="1"/>
  <c r="O27" i="11" a="1"/>
  <c r="O122" i="11" a="1"/>
  <c r="O23" i="11" a="1"/>
  <c r="O7" i="11" a="1"/>
  <c r="N5" i="5" a="1"/>
  <c r="O5" i="5" a="1"/>
  <c r="O114" i="11" a="1"/>
  <c r="O105" i="11" a="1"/>
  <c r="O32" i="11" a="1"/>
  <c r="O118" i="11" a="1"/>
  <c r="O39" i="11" a="1"/>
  <c r="O143" i="11" a="1"/>
  <c r="O29" i="11" a="1"/>
  <c r="P6" i="9" a="1"/>
  <c r="Q6" i="9" a="1"/>
  <c r="O139" i="11" a="1"/>
  <c r="O16" i="11" a="1"/>
  <c r="O30" i="11" a="1"/>
  <c r="O210" i="11" a="1"/>
  <c r="O89" i="11" a="1"/>
  <c r="O144" i="11" a="1"/>
  <c r="O86" i="11" a="1"/>
  <c r="O37" i="11" a="1"/>
  <c r="O79" i="11" a="1"/>
  <c r="O127" i="11" a="1"/>
  <c r="O12" i="11" a="1"/>
  <c r="O9" i="11" a="1"/>
  <c r="P2" i="9" a="1"/>
  <c r="Q2" i="9" a="1"/>
  <c r="O10" i="11" a="1"/>
  <c r="O34" i="11" a="1"/>
  <c r="O82" i="11" a="1"/>
  <c r="O44" i="11" a="1"/>
  <c r="O17" i="11" a="1"/>
  <c r="O110" i="11" a="1"/>
  <c r="O115" i="11" a="1"/>
  <c r="O3" i="11" a="1"/>
  <c r="O5" i="11" a="1"/>
  <c r="O14" i="11" a="1"/>
  <c r="O8" i="11" a="1"/>
  <c r="N2" i="5" a="1"/>
  <c r="O2" i="5" a="1"/>
  <c r="O116" i="11" a="1"/>
  <c r="O123" i="11" a="1"/>
  <c r="O119" i="11" a="1"/>
  <c r="O90" i="11" a="1"/>
  <c r="O117" i="11" a="1"/>
  <c r="N2" i="12" a="1"/>
  <c r="N7" i="5" a="1"/>
  <c r="O7" i="5" a="1"/>
  <c r="O24" i="11" a="1"/>
  <c r="O36" i="11" a="1"/>
  <c r="O112" i="11" a="1"/>
  <c r="O18" i="11" a="1"/>
  <c r="O102" i="11" a="1"/>
  <c r="T136" i="5" a="1"/>
  <c r="P136" i="5" a="1"/>
  <c r="Q136" i="5" a="1"/>
  <c r="O142" i="11" a="1"/>
  <c r="O107" i="11" a="1"/>
  <c r="O140" i="11" a="1"/>
  <c r="O104" i="11" a="1"/>
  <c r="O103" i="11" a="1"/>
  <c r="O211" i="11" a="1"/>
  <c r="O125" i="11" a="1"/>
  <c r="O85" i="11" a="1"/>
  <c r="O41" i="11" a="1"/>
  <c r="O26" i="11" a="1"/>
  <c r="O120" i="11" a="1"/>
  <c r="N3" i="5" a="1"/>
  <c r="O3" i="5" a="1"/>
  <c r="O38" i="11" a="1"/>
  <c r="O42" i="11" a="1"/>
  <c r="P7" i="9" a="1"/>
  <c r="Q7" i="9" a="1"/>
  <c r="P4" i="9" a="1"/>
  <c r="Q4" i="9" a="1"/>
  <c r="N149" i="5" a="1"/>
  <c r="O149" i="5" a="1"/>
  <c r="N137" i="5" a="1"/>
  <c r="O137" i="5" a="1"/>
  <c r="O25" i="11" a="1"/>
  <c r="O13" i="11" a="1"/>
  <c r="O46" i="11" a="1"/>
  <c r="O212" i="11" a="1"/>
  <c r="O87" i="11" a="1"/>
  <c r="O141" i="11" a="1"/>
  <c r="O106" i="11" a="1"/>
  <c r="N6" i="5" a="1"/>
  <c r="O6" i="5" a="1"/>
  <c r="O28" i="11" a="1"/>
  <c r="O100" i="11" a="1"/>
  <c r="O113" i="11" a="1"/>
  <c r="O121" i="11" a="1"/>
  <c r="O2" i="11" a="1"/>
  <c r="O22" i="11" a="1"/>
  <c r="O35" i="11" a="1"/>
  <c r="O33" i="11" a="1"/>
  <c r="O80" i="11" a="1"/>
  <c r="O81" i="11" a="1"/>
  <c r="O108" i="11" a="1"/>
  <c r="O101" i="11" a="1"/>
  <c r="O45" i="11" a="1"/>
  <c r="P5" i="9" a="1"/>
  <c r="Q5" i="9" a="1"/>
  <c r="N140" i="5" a="1"/>
  <c r="O140" i="5" a="1"/>
  <c r="O78" i="11" a="1"/>
  <c r="O77" i="11" a="1"/>
  <c r="O11" i="11" a="1"/>
  <c r="O15" i="11" a="1"/>
  <c r="O40" i="11" a="1"/>
  <c r="O4" i="11" a="1"/>
  <c r="O126" i="11" a="1"/>
  <c r="O109" i="11" a="1"/>
  <c r="O88" i="11" a="1"/>
  <c r="O21" i="11" a="1"/>
  <c r="N4" i="5" a="1"/>
  <c r="O4" i="5" a="1"/>
  <c r="O20" i="11" a="1"/>
  <c r="P3" i="9" a="1"/>
  <c r="Q3" i="9" a="1"/>
  <c r="R3" i="1" a="1"/>
  <c r="R29" i="9" l="1"/>
  <c r="Q29" i="9" s="1"/>
  <c r="O78" i="9"/>
  <c r="P78" i="9" s="1"/>
  <c r="O28" i="9"/>
  <c r="Q3" i="9"/>
  <c r="P3" i="9"/>
  <c r="O20" i="11"/>
  <c r="O4" i="5"/>
  <c r="N4" i="5"/>
  <c r="O21" i="11"/>
  <c r="O88" i="11"/>
  <c r="O109" i="11"/>
  <c r="O126" i="11"/>
  <c r="O4" i="11"/>
  <c r="O40" i="11"/>
  <c r="O15" i="11"/>
  <c r="O11" i="11"/>
  <c r="O77" i="11"/>
  <c r="O78" i="11"/>
  <c r="O140" i="5"/>
  <c r="N140" i="5"/>
  <c r="Q5" i="9"/>
  <c r="P5" i="9"/>
  <c r="O45" i="11"/>
  <c r="O101" i="11"/>
  <c r="O108" i="11"/>
  <c r="O81" i="11"/>
  <c r="O80" i="11"/>
  <c r="O33" i="11"/>
  <c r="O35" i="11"/>
  <c r="O22" i="11"/>
  <c r="O2" i="11"/>
  <c r="O121" i="11"/>
  <c r="O113" i="11"/>
  <c r="O100" i="11"/>
  <c r="O28" i="11"/>
  <c r="O6" i="5"/>
  <c r="N6" i="5"/>
  <c r="O106" i="11"/>
  <c r="O141" i="11"/>
  <c r="O87" i="11"/>
  <c r="O212" i="11"/>
  <c r="O46" i="11"/>
  <c r="O13" i="11"/>
  <c r="O25" i="11"/>
  <c r="O137" i="5"/>
  <c r="N137" i="5"/>
  <c r="O149" i="5"/>
  <c r="N149" i="5"/>
  <c r="Q4" i="9"/>
  <c r="P4" i="9"/>
  <c r="Q7" i="9"/>
  <c r="P7" i="9"/>
  <c r="O42" i="11"/>
  <c r="O38" i="11"/>
  <c r="O3" i="5"/>
  <c r="N3" i="5"/>
  <c r="O120" i="11"/>
  <c r="O26" i="11"/>
  <c r="O41" i="11"/>
  <c r="O85" i="11"/>
  <c r="O125" i="11"/>
  <c r="O211" i="11"/>
  <c r="O103" i="11"/>
  <c r="O104" i="11"/>
  <c r="O140" i="11"/>
  <c r="O107" i="11"/>
  <c r="O142" i="11"/>
  <c r="Q136" i="5"/>
  <c r="R136" i="5" s="1" a="1"/>
  <c r="R136" i="5" s="1"/>
  <c r="S136" i="5" s="1"/>
  <c r="P136" i="5"/>
  <c r="T136" i="5"/>
  <c r="U136" i="5" s="1" a="1"/>
  <c r="U136" i="5" s="1"/>
  <c r="V136" i="5" s="1"/>
  <c r="O102" i="11"/>
  <c r="O18" i="11"/>
  <c r="O112" i="11"/>
  <c r="O36" i="11"/>
  <c r="O24" i="11"/>
  <c r="O7" i="5"/>
  <c r="N7" i="5"/>
  <c r="N2" i="12"/>
  <c r="O117" i="11"/>
  <c r="O90" i="11"/>
  <c r="O119" i="11"/>
  <c r="O123" i="11"/>
  <c r="O116" i="11"/>
  <c r="O2" i="5"/>
  <c r="N2" i="5"/>
  <c r="O8" i="11"/>
  <c r="O14" i="11"/>
  <c r="O5" i="11"/>
  <c r="O3" i="11"/>
  <c r="O115" i="11"/>
  <c r="O110" i="11"/>
  <c r="O17" i="11"/>
  <c r="O44" i="11"/>
  <c r="O82" i="11"/>
  <c r="O34" i="11"/>
  <c r="O10" i="11"/>
  <c r="Q2" i="9"/>
  <c r="P2" i="9"/>
  <c r="O9" i="11"/>
  <c r="O12" i="11"/>
  <c r="O127" i="11"/>
  <c r="O79" i="11"/>
  <c r="O37" i="11"/>
  <c r="O86" i="11"/>
  <c r="O144" i="11"/>
  <c r="O89" i="11"/>
  <c r="O210" i="11"/>
  <c r="O30" i="11"/>
  <c r="O16" i="11"/>
  <c r="O139" i="11"/>
  <c r="Q6" i="9"/>
  <c r="P6" i="9"/>
  <c r="O29" i="11"/>
  <c r="O143" i="11"/>
  <c r="O39" i="11"/>
  <c r="O118" i="11"/>
  <c r="O32" i="11"/>
  <c r="O105" i="11"/>
  <c r="O114" i="11"/>
  <c r="O5" i="5"/>
  <c r="N5" i="5"/>
  <c r="O7" i="11"/>
  <c r="O23" i="11"/>
  <c r="O122" i="11"/>
  <c r="O27" i="11"/>
  <c r="O111" i="11"/>
  <c r="O6" i="11"/>
  <c r="R53" i="9"/>
  <c r="F154" i="11"/>
  <c r="W154" i="11"/>
  <c r="W32" i="11"/>
  <c r="AI16" i="5"/>
  <c r="Z15" i="5"/>
  <c r="AI17" i="5"/>
  <c r="AI15" i="5"/>
  <c r="F195" i="11"/>
  <c r="V171" i="11"/>
  <c r="W33" i="11"/>
  <c r="V88" i="11"/>
  <c r="V177" i="11"/>
  <c r="F201" i="11"/>
  <c r="F177" i="11"/>
  <c r="W177" i="11"/>
  <c r="V129" i="11"/>
  <c r="Z18" i="5"/>
  <c r="V157" i="11"/>
  <c r="F181" i="11"/>
  <c r="V40" i="11"/>
  <c r="W77" i="11"/>
  <c r="W52" i="11"/>
  <c r="F175" i="11"/>
  <c r="W175" i="11"/>
  <c r="Z31" i="5"/>
  <c r="V77" i="11"/>
  <c r="V78" i="11"/>
  <c r="E153" i="5"/>
  <c r="E141" i="5"/>
  <c r="F179" i="11"/>
  <c r="V155" i="11"/>
  <c r="V45" i="11"/>
  <c r="W82" i="11"/>
  <c r="W69" i="11"/>
  <c r="V162" i="11"/>
  <c r="F186" i="11"/>
  <c r="F198" i="11"/>
  <c r="V174" i="11"/>
  <c r="P42" i="5"/>
  <c r="S15" i="5"/>
  <c r="AK20" i="5"/>
  <c r="AK21" i="5" s="1"/>
  <c r="AH36" i="5"/>
  <c r="AI36" i="5" s="1"/>
  <c r="V128" i="11"/>
  <c r="V81" i="11"/>
  <c r="Z20" i="5"/>
  <c r="F156" i="11"/>
  <c r="W156" i="11"/>
  <c r="V80" i="11"/>
  <c r="V33" i="11"/>
  <c r="W45" i="11"/>
  <c r="V35" i="11"/>
  <c r="W47" i="11"/>
  <c r="W34" i="11"/>
  <c r="X129" i="11"/>
  <c r="V166" i="11"/>
  <c r="F190" i="11"/>
  <c r="W40" i="11"/>
  <c r="E141" i="11"/>
  <c r="F171" i="11"/>
  <c r="W171" i="11"/>
  <c r="V87" i="11"/>
  <c r="V159" i="11"/>
  <c r="F183" i="11"/>
  <c r="Z37" i="5"/>
  <c r="F69" i="11"/>
  <c r="V46" i="11"/>
  <c r="W70" i="11"/>
  <c r="Z16" i="5"/>
  <c r="F173" i="11"/>
  <c r="W173" i="11"/>
  <c r="F187" i="11"/>
  <c r="V163" i="11"/>
  <c r="W37" i="11"/>
  <c r="F188" i="11"/>
  <c r="V164" i="11"/>
  <c r="V156" i="11"/>
  <c r="F180" i="11"/>
  <c r="F135" i="11"/>
  <c r="F136" i="11" s="1"/>
  <c r="E150" i="5"/>
  <c r="E138" i="5"/>
  <c r="W79" i="11"/>
  <c r="V42" i="11"/>
  <c r="F164" i="11"/>
  <c r="W164" i="11"/>
  <c r="W158" i="11"/>
  <c r="F158" i="11"/>
  <c r="F168" i="11"/>
  <c r="W168" i="11"/>
  <c r="W170" i="11"/>
  <c r="F170" i="11"/>
  <c r="W50" i="11"/>
  <c r="V38" i="11"/>
  <c r="Z19" i="5"/>
  <c r="V172" i="11"/>
  <c r="F196" i="11"/>
  <c r="X128" i="11"/>
  <c r="W38" i="11"/>
  <c r="V41" i="11"/>
  <c r="W53" i="11"/>
  <c r="W78" i="11"/>
  <c r="V85" i="11"/>
  <c r="Z21" i="5"/>
  <c r="P41" i="5"/>
  <c r="R41" i="5" s="1"/>
  <c r="Z35" i="5"/>
  <c r="AJ17" i="5"/>
  <c r="AJ15" i="5"/>
  <c r="AJ16" i="5"/>
  <c r="Z28" i="5"/>
  <c r="U129" i="11"/>
  <c r="U130" i="11"/>
  <c r="E140" i="11"/>
  <c r="Z17" i="5"/>
  <c r="E142" i="11"/>
  <c r="F199" i="11"/>
  <c r="V175" i="11"/>
  <c r="U128" i="11"/>
  <c r="W167" i="11"/>
  <c r="F167" i="11"/>
  <c r="F159" i="11"/>
  <c r="W159" i="11"/>
  <c r="F70" i="11"/>
  <c r="F191" i="11"/>
  <c r="V167" i="11"/>
  <c r="F176" i="11"/>
  <c r="W176" i="11"/>
  <c r="Z39" i="5"/>
  <c r="V36" i="11"/>
  <c r="W48" i="11"/>
  <c r="W36" i="11"/>
  <c r="F160" i="11"/>
  <c r="W160" i="11"/>
  <c r="E3" i="12"/>
  <c r="W131" i="11"/>
  <c r="F184" i="11"/>
  <c r="V160" i="11"/>
  <c r="V90" i="11"/>
  <c r="F169" i="11"/>
  <c r="W169" i="11"/>
  <c r="Z22" i="5"/>
  <c r="V161" i="11"/>
  <c r="F185" i="11"/>
  <c r="X131" i="11"/>
  <c r="W166" i="11"/>
  <c r="F166" i="11"/>
  <c r="W130" i="11"/>
  <c r="W161" i="11"/>
  <c r="F161" i="11"/>
  <c r="W172" i="11"/>
  <c r="F172" i="11"/>
  <c r="Z36" i="5"/>
  <c r="W129" i="11"/>
  <c r="V130" i="11"/>
  <c r="V44" i="11"/>
  <c r="W81" i="11"/>
  <c r="V82" i="11"/>
  <c r="F155" i="11"/>
  <c r="W155" i="11"/>
  <c r="Z25" i="5"/>
  <c r="P79" i="5"/>
  <c r="V34" i="11"/>
  <c r="W46" i="11"/>
  <c r="AH37" i="5"/>
  <c r="AI37" i="5" s="1"/>
  <c r="S28" i="5"/>
  <c r="F193" i="11"/>
  <c r="V169" i="11"/>
  <c r="Z32" i="5"/>
  <c r="F165" i="11"/>
  <c r="W165" i="11"/>
  <c r="V168" i="11"/>
  <c r="F192" i="11"/>
  <c r="V79" i="11"/>
  <c r="W87" i="11" s="1"/>
  <c r="W49" i="11"/>
  <c r="V37" i="11"/>
  <c r="V86" i="11"/>
  <c r="E144" i="11"/>
  <c r="F200" i="11"/>
  <c r="V176" i="11"/>
  <c r="F174" i="11"/>
  <c r="W174" i="11"/>
  <c r="V89" i="11"/>
  <c r="W42" i="11"/>
  <c r="W157" i="11"/>
  <c r="F157" i="11"/>
  <c r="Z29" i="5"/>
  <c r="P95" i="5"/>
  <c r="F197" i="11"/>
  <c r="V173" i="11"/>
  <c r="E139" i="11"/>
  <c r="W41" i="11"/>
  <c r="E143" i="11"/>
  <c r="V39" i="11"/>
  <c r="W51" i="11"/>
  <c r="W44" i="11"/>
  <c r="V32" i="11"/>
  <c r="U131" i="11"/>
  <c r="W128" i="11"/>
  <c r="V165" i="11"/>
  <c r="F189" i="11"/>
  <c r="V154" i="11"/>
  <c r="F178" i="11"/>
  <c r="W162" i="11"/>
  <c r="F162" i="11"/>
  <c r="V158" i="11"/>
  <c r="F182" i="11"/>
  <c r="W35" i="11"/>
  <c r="X130" i="11"/>
  <c r="F194" i="11"/>
  <c r="V170" i="11"/>
  <c r="W39" i="11"/>
  <c r="V131" i="11"/>
  <c r="F163" i="11"/>
  <c r="W163" i="11"/>
  <c r="R3" i="1"/>
  <c r="S3" i="9" a="1"/>
  <c r="Y3" i="9" a="1"/>
  <c r="R3" i="9" a="1"/>
  <c r="V3" i="9" a="1"/>
  <c r="P109" i="11" a="1"/>
  <c r="Q109" i="11" a="1"/>
  <c r="S109" i="11" a="1"/>
  <c r="Q140" i="5" a="1"/>
  <c r="T140" i="5" a="1"/>
  <c r="P140" i="5" a="1"/>
  <c r="P101" i="11" a="1"/>
  <c r="S101" i="11" a="1"/>
  <c r="Q101" i="11" a="1"/>
  <c r="P121" i="11" a="1"/>
  <c r="Q121" i="11" a="1"/>
  <c r="S121" i="11" a="1"/>
  <c r="Q87" i="11" a="1"/>
  <c r="S87" i="11" a="1"/>
  <c r="P87" i="11" a="1"/>
  <c r="Q149" i="5" a="1"/>
  <c r="T149" i="5" a="1"/>
  <c r="P149" i="5" a="1"/>
  <c r="T3" i="5" a="1"/>
  <c r="W3" i="5" a="1"/>
  <c r="P3" i="5" a="1"/>
  <c r="Q3" i="5" a="1"/>
  <c r="S211" i="11" a="1"/>
  <c r="P211" i="11" a="1"/>
  <c r="Q211" i="11" a="1"/>
  <c r="Q115" i="11" a="1"/>
  <c r="P115" i="11" a="1"/>
  <c r="S115" i="11" a="1"/>
  <c r="V2" i="9" a="1"/>
  <c r="R2" i="9" a="1"/>
  <c r="S2" i="9" a="1"/>
  <c r="Y2" i="9" a="1"/>
  <c r="Q86" i="11" a="1"/>
  <c r="P86" i="11" a="1"/>
  <c r="S86" i="11" a="1"/>
  <c r="Q114" i="11" a="1"/>
  <c r="S114" i="11" a="1"/>
  <c r="P114" i="11" a="1"/>
  <c r="S6" i="11" a="1"/>
  <c r="P6" i="11" a="1"/>
  <c r="Q6" i="11" a="1"/>
  <c r="O201" i="11" a="1"/>
  <c r="O170" i="11" a="1"/>
  <c r="O70" i="11" a="1"/>
  <c r="O155" i="11" a="1"/>
  <c r="O193" i="11" a="1"/>
  <c r="O194" i="11" a="1"/>
  <c r="S38" i="11" a="1"/>
  <c r="P38" i="11" a="1"/>
  <c r="Q38" i="11" a="1"/>
  <c r="O156" i="11" a="1"/>
  <c r="O189" i="11" a="1"/>
  <c r="S126" i="11" a="1"/>
  <c r="P126" i="11" a="1"/>
  <c r="Q126" i="11" a="1"/>
  <c r="S108" i="11" a="1"/>
  <c r="P108" i="11" a="1"/>
  <c r="Q108" i="11" a="1"/>
  <c r="P113" i="11" a="1"/>
  <c r="Q113" i="11" a="1"/>
  <c r="S113" i="11" a="1"/>
  <c r="P212" i="11" a="1"/>
  <c r="Q212" i="11" a="1"/>
  <c r="S212" i="11" a="1"/>
  <c r="S103" i="11" a="1"/>
  <c r="Q103" i="11" a="1"/>
  <c r="P103" i="11" a="1"/>
  <c r="P2" i="12" a="1"/>
  <c r="O2" i="12" a="1"/>
  <c r="S116" i="11" a="1"/>
  <c r="Q116" i="11" a="1"/>
  <c r="P116" i="11" a="1"/>
  <c r="Q144" i="11" a="1"/>
  <c r="S144" i="11" a="1"/>
  <c r="P144" i="11" a="1"/>
  <c r="P29" i="11" a="1"/>
  <c r="S29" i="11" a="1"/>
  <c r="Q29" i="11" a="1"/>
  <c r="Q5" i="5" a="1"/>
  <c r="T5" i="5" a="1"/>
  <c r="P5" i="5" a="1"/>
  <c r="W5" i="5" a="1"/>
  <c r="O177" i="11" a="1"/>
  <c r="O164" i="11" a="1"/>
  <c r="O174" i="11" a="1"/>
  <c r="O178" i="11" a="1"/>
  <c r="S88" i="11" a="1"/>
  <c r="P88" i="11" a="1"/>
  <c r="Q88" i="11" a="1"/>
  <c r="S37" i="11" a="1"/>
  <c r="Q37" i="11" a="1"/>
  <c r="P37" i="11" a="1"/>
  <c r="O192" i="11" a="1"/>
  <c r="S20" i="11" a="1"/>
  <c r="Q20" i="11" a="1"/>
  <c r="P20" i="11" a="1"/>
  <c r="Q4" i="11" a="1"/>
  <c r="P4" i="11" a="1"/>
  <c r="S4" i="11" a="1"/>
  <c r="V5" i="9" a="1"/>
  <c r="S5" i="9" a="1"/>
  <c r="R5" i="9" a="1"/>
  <c r="Y5" i="9" a="1"/>
  <c r="P81" i="11" a="1"/>
  <c r="Q81" i="11" a="1"/>
  <c r="S81" i="11" a="1"/>
  <c r="P100" i="11" a="1"/>
  <c r="S100" i="11" a="1"/>
  <c r="Q100" i="11" a="1"/>
  <c r="Q46" i="11" a="1"/>
  <c r="S46" i="11" a="1"/>
  <c r="P46" i="11" a="1"/>
  <c r="Y4" i="9" a="1"/>
  <c r="S4" i="9" a="1"/>
  <c r="R4" i="9" a="1"/>
  <c r="V4" i="9" a="1"/>
  <c r="S104" i="11" a="1"/>
  <c r="P104" i="11" a="1"/>
  <c r="Q104" i="11" a="1"/>
  <c r="P102" i="11" a="1"/>
  <c r="Q102" i="11" a="1"/>
  <c r="S102" i="11" a="1"/>
  <c r="S117" i="11" a="1"/>
  <c r="Q117" i="11" a="1"/>
  <c r="P117" i="11" a="1"/>
  <c r="T2" i="5" a="1"/>
  <c r="Q2" i="5" a="1"/>
  <c r="W2" i="5" a="1"/>
  <c r="P2" i="5" a="1"/>
  <c r="S110" i="11" a="1"/>
  <c r="P110" i="11" a="1"/>
  <c r="Q110" i="11" a="1"/>
  <c r="Q9" i="11" a="1"/>
  <c r="S9" i="11" a="1"/>
  <c r="P9" i="11" a="1"/>
  <c r="P89" i="11" a="1"/>
  <c r="Q89" i="11" a="1"/>
  <c r="S89" i="11" a="1"/>
  <c r="Q143" i="11" a="1"/>
  <c r="S143" i="11" a="1"/>
  <c r="P143" i="11" a="1"/>
  <c r="O154" i="11" a="1"/>
  <c r="O195" i="11" a="1"/>
  <c r="O175" i="11" a="1"/>
  <c r="N153" i="5" a="1"/>
  <c r="O153" i="5" a="1"/>
  <c r="O190" i="11" a="1"/>
  <c r="O183" i="11" a="1"/>
  <c r="O173" i="11" a="1"/>
  <c r="O180" i="11" a="1"/>
  <c r="O136" i="11" a="1"/>
  <c r="O191" i="11" a="1"/>
  <c r="O160" i="11" a="1"/>
  <c r="O169" i="11" a="1"/>
  <c r="O166" i="11" a="1"/>
  <c r="O197" i="11" a="1"/>
  <c r="P3" i="11" a="1"/>
  <c r="S3" i="11" a="1"/>
  <c r="Q3" i="11" a="1"/>
  <c r="P40" i="11" a="1"/>
  <c r="S40" i="11" a="1"/>
  <c r="Q40" i="11" a="1"/>
  <c r="P80" i="11" a="1"/>
  <c r="S80" i="11" a="1"/>
  <c r="Q80" i="11" a="1"/>
  <c r="P28" i="11" a="1"/>
  <c r="S28" i="11" a="1"/>
  <c r="Q28" i="11" a="1"/>
  <c r="S13" i="11" a="1"/>
  <c r="P13" i="11" a="1"/>
  <c r="Q13" i="11" a="1"/>
  <c r="Q120" i="11" a="1"/>
  <c r="P120" i="11" a="1"/>
  <c r="S120" i="11" a="1"/>
  <c r="P140" i="11" a="1"/>
  <c r="S140" i="11" a="1"/>
  <c r="Q140" i="11" a="1"/>
  <c r="Q18" i="11" a="1"/>
  <c r="P18" i="11" a="1"/>
  <c r="S18" i="11" a="1"/>
  <c r="Q90" i="11" a="1"/>
  <c r="P90" i="11" a="1"/>
  <c r="S90" i="11" a="1"/>
  <c r="S17" i="11" a="1"/>
  <c r="P17" i="11" a="1"/>
  <c r="Q17" i="11" a="1"/>
  <c r="P210" i="11" a="1"/>
  <c r="Q210" i="11" a="1"/>
  <c r="S210" i="11" a="1"/>
  <c r="Q39" i="11" a="1"/>
  <c r="S39" i="11" a="1"/>
  <c r="P39" i="11" a="1"/>
  <c r="P7" i="11" a="1"/>
  <c r="S7" i="11" a="1"/>
  <c r="Q7" i="11" a="1"/>
  <c r="N141" i="5" a="1"/>
  <c r="O141" i="5" a="1"/>
  <c r="O186" i="11" a="1"/>
  <c r="O135" i="11" a="1"/>
  <c r="O199" i="11" a="1"/>
  <c r="O162" i="11" a="1"/>
  <c r="O163" i="11" a="1"/>
  <c r="S6" i="9" a="1"/>
  <c r="V6" i="9" a="1"/>
  <c r="Y6" i="9" a="1"/>
  <c r="R6" i="9" a="1"/>
  <c r="O188" i="11" a="1"/>
  <c r="O157" i="11" a="1"/>
  <c r="W4" i="5" a="1"/>
  <c r="Q4" i="5" a="1"/>
  <c r="P4" i="5" a="1"/>
  <c r="T4" i="5" a="1"/>
  <c r="Q15" i="11" a="1"/>
  <c r="P15" i="11" a="1"/>
  <c r="S15" i="11" a="1"/>
  <c r="P33" i="11" a="1"/>
  <c r="S33" i="11" a="1"/>
  <c r="Q33" i="11" a="1"/>
  <c r="Q6" i="5" a="1"/>
  <c r="T6" i="5" a="1"/>
  <c r="P6" i="5" a="1"/>
  <c r="W6" i="5" a="1"/>
  <c r="Q25" i="11" a="1"/>
  <c r="P25" i="11" a="1"/>
  <c r="S25" i="11" a="1"/>
  <c r="R7" i="9" a="1"/>
  <c r="S7" i="9" a="1"/>
  <c r="Y7" i="9" a="1"/>
  <c r="V7" i="9" a="1"/>
  <c r="S26" i="11" a="1"/>
  <c r="Q26" i="11" a="1"/>
  <c r="P26" i="11" a="1"/>
  <c r="S107" i="11" a="1"/>
  <c r="P107" i="11" a="1"/>
  <c r="Q107" i="11" a="1"/>
  <c r="S112" i="11" a="1"/>
  <c r="Q112" i="11" a="1"/>
  <c r="P112" i="11" a="1"/>
  <c r="P119" i="11" a="1"/>
  <c r="Q119" i="11" a="1"/>
  <c r="S119" i="11" a="1"/>
  <c r="Q8" i="11" a="1"/>
  <c r="P8" i="11" a="1"/>
  <c r="S8" i="11" a="1"/>
  <c r="Q44" i="11" a="1"/>
  <c r="S44" i="11" a="1"/>
  <c r="P44" i="11" a="1"/>
  <c r="S12" i="11" a="1"/>
  <c r="Q12" i="11" a="1"/>
  <c r="P12" i="11" a="1"/>
  <c r="P30" i="11" a="1"/>
  <c r="S30" i="11" a="1"/>
  <c r="Q30" i="11" a="1"/>
  <c r="P118" i="11" a="1"/>
  <c r="S118" i="11" a="1"/>
  <c r="Q118" i="11" a="1"/>
  <c r="S23" i="11" a="1"/>
  <c r="Q23" i="11" a="1"/>
  <c r="P23" i="11" a="1"/>
  <c r="O187" i="11" a="1"/>
  <c r="O158" i="11" a="1"/>
  <c r="O176" i="11" a="1"/>
  <c r="N3" i="12" a="1"/>
  <c r="O165" i="11" a="1"/>
  <c r="S141" i="11" a="1"/>
  <c r="P141" i="11" a="1"/>
  <c r="Q141" i="11" a="1"/>
  <c r="S125" i="11" a="1"/>
  <c r="Q125" i="11" a="1"/>
  <c r="P125" i="11" a="1"/>
  <c r="Q11" i="11" a="1"/>
  <c r="P11" i="11" a="1"/>
  <c r="S11" i="11" a="1"/>
  <c r="S35" i="11" a="1"/>
  <c r="P35" i="11" a="1"/>
  <c r="Q35" i="11" a="1"/>
  <c r="Q41" i="11" a="1"/>
  <c r="P41" i="11" a="1"/>
  <c r="S41" i="11" a="1"/>
  <c r="Q142" i="11" a="1"/>
  <c r="S142" i="11" a="1"/>
  <c r="P142" i="11" a="1"/>
  <c r="P36" i="11" a="1"/>
  <c r="S36" i="11" a="1"/>
  <c r="Q36" i="11" a="1"/>
  <c r="P14" i="11" a="1"/>
  <c r="Q14" i="11" a="1"/>
  <c r="S14" i="11" a="1"/>
  <c r="S82" i="11" a="1"/>
  <c r="P82" i="11" a="1"/>
  <c r="Q82" i="11" a="1"/>
  <c r="P127" i="11" a="1"/>
  <c r="Q127" i="11" a="1"/>
  <c r="S127" i="11" a="1"/>
  <c r="P16" i="11" a="1"/>
  <c r="S16" i="11" a="1"/>
  <c r="Q16" i="11" a="1"/>
  <c r="P32" i="11" a="1"/>
  <c r="Q32" i="11" a="1"/>
  <c r="S32" i="11" a="1"/>
  <c r="P122" i="11" a="1"/>
  <c r="Q122" i="11" a="1"/>
  <c r="S122" i="11" a="1"/>
  <c r="O179" i="11" a="1"/>
  <c r="O198" i="11" a="1"/>
  <c r="O171" i="11" a="1"/>
  <c r="O69" i="11" a="1"/>
  <c r="N150" i="5" a="1"/>
  <c r="O150" i="5" a="1"/>
  <c r="O168" i="11" a="1"/>
  <c r="O196" i="11" a="1"/>
  <c r="O167" i="11" a="1"/>
  <c r="O161" i="11" a="1"/>
  <c r="O182" i="11" a="1"/>
  <c r="S78" i="11" a="1"/>
  <c r="Q78" i="11" a="1"/>
  <c r="P78" i="11" a="1"/>
  <c r="S111" i="11" a="1"/>
  <c r="P111" i="11" a="1"/>
  <c r="Q111" i="11" a="1"/>
  <c r="O200" i="11" a="1"/>
  <c r="Q21" i="11" a="1"/>
  <c r="P21" i="11" a="1"/>
  <c r="S21" i="11" a="1"/>
  <c r="Q77" i="11" a="1"/>
  <c r="P77" i="11" a="1"/>
  <c r="S77" i="11" a="1"/>
  <c r="P45" i="11" a="1"/>
  <c r="Q45" i="11" a="1"/>
  <c r="S45" i="11" a="1"/>
  <c r="Q22" i="11" a="1"/>
  <c r="P22" i="11" a="1"/>
  <c r="S22" i="11" a="1"/>
  <c r="Q106" i="11" a="1"/>
  <c r="P106" i="11" a="1"/>
  <c r="S106" i="11" a="1"/>
  <c r="T137" i="5" a="1"/>
  <c r="P137" i="5" a="1"/>
  <c r="Q137" i="5" a="1"/>
  <c r="Q42" i="11" a="1"/>
  <c r="P42" i="11" a="1"/>
  <c r="S42" i="11" a="1"/>
  <c r="P85" i="11" a="1"/>
  <c r="S85" i="11" a="1"/>
  <c r="Q85" i="11" a="1"/>
  <c r="S24" i="11" a="1"/>
  <c r="Q24" i="11" a="1"/>
  <c r="P24" i="11" a="1"/>
  <c r="P123" i="11" a="1"/>
  <c r="S123" i="11" a="1"/>
  <c r="Q123" i="11" a="1"/>
  <c r="P5" i="11" a="1"/>
  <c r="S5" i="11" a="1"/>
  <c r="Q5" i="11" a="1"/>
  <c r="P34" i="11" a="1"/>
  <c r="S34" i="11" a="1"/>
  <c r="Q34" i="11" a="1"/>
  <c r="S79" i="11" a="1"/>
  <c r="Q79" i="11" a="1"/>
  <c r="P79" i="11" a="1"/>
  <c r="P139" i="11" a="1"/>
  <c r="Q139" i="11" a="1"/>
  <c r="S139" i="11" a="1"/>
  <c r="Q105" i="11" a="1"/>
  <c r="S105" i="11" a="1"/>
  <c r="P105" i="11" a="1"/>
  <c r="P27" i="11" a="1"/>
  <c r="Q27" i="11" a="1"/>
  <c r="S27" i="11" a="1"/>
  <c r="O181" i="11" a="1"/>
  <c r="N138" i="5" a="1"/>
  <c r="O138" i="5" a="1"/>
  <c r="O159" i="11" a="1"/>
  <c r="O184" i="11" a="1"/>
  <c r="O185" i="11" a="1"/>
  <c r="S2" i="11" a="1"/>
  <c r="P2" i="11" a="1"/>
  <c r="Q2" i="11" a="1"/>
  <c r="Q7" i="5" a="1"/>
  <c r="P7" i="5" a="1"/>
  <c r="T7" i="5" a="1"/>
  <c r="W7" i="5" a="1"/>
  <c r="S10" i="11" a="1"/>
  <c r="Q10" i="11" a="1"/>
  <c r="P10" i="11" a="1"/>
  <c r="O172" i="11" a="1"/>
  <c r="R7" i="1" a="1"/>
  <c r="W88" i="11" l="1"/>
  <c r="W85" i="11"/>
  <c r="W90" i="11"/>
  <c r="O172" i="11"/>
  <c r="P10" i="11"/>
  <c r="Q10" i="11"/>
  <c r="R10" i="11" s="1" a="1"/>
  <c r="R10" i="11" s="1"/>
  <c r="S10" i="11"/>
  <c r="W7" i="5"/>
  <c r="X7" i="5" s="1" a="1"/>
  <c r="X7" i="5" s="1"/>
  <c r="Y7" i="5" s="1"/>
  <c r="T7" i="5"/>
  <c r="U7" i="5" s="1" a="1"/>
  <c r="U7" i="5" s="1"/>
  <c r="V7" i="5" s="1"/>
  <c r="P7" i="5"/>
  <c r="Q7" i="5"/>
  <c r="R7" i="5" s="1" a="1"/>
  <c r="R7" i="5" s="1"/>
  <c r="S7" i="5" s="1"/>
  <c r="Q2" i="11"/>
  <c r="R2" i="11" s="1" a="1"/>
  <c r="R2" i="11" s="1"/>
  <c r="P2" i="11"/>
  <c r="S2" i="11"/>
  <c r="O185" i="11"/>
  <c r="O184" i="11"/>
  <c r="O159" i="11"/>
  <c r="O138" i="5"/>
  <c r="N138" i="5"/>
  <c r="O181" i="11"/>
  <c r="S27" i="11"/>
  <c r="Q27" i="11"/>
  <c r="R27" i="11" s="1" a="1"/>
  <c r="R27" i="11" s="1"/>
  <c r="P27" i="11"/>
  <c r="P105" i="11"/>
  <c r="S105" i="11"/>
  <c r="Q105" i="11"/>
  <c r="R105" i="11" s="1" a="1"/>
  <c r="R105" i="11" s="1"/>
  <c r="S139" i="11"/>
  <c r="Q139" i="11"/>
  <c r="R139" i="11" s="1" a="1"/>
  <c r="R139" i="11" s="1"/>
  <c r="P139" i="11"/>
  <c r="P79" i="11"/>
  <c r="Q79" i="11"/>
  <c r="R79" i="11" s="1" a="1"/>
  <c r="R79" i="11" s="1"/>
  <c r="S79" i="11"/>
  <c r="Q34" i="11"/>
  <c r="R34" i="11" s="1" a="1"/>
  <c r="R34" i="11" s="1"/>
  <c r="S34" i="11"/>
  <c r="P34" i="11"/>
  <c r="Q5" i="11"/>
  <c r="R5" i="11" s="1" a="1"/>
  <c r="R5" i="11" s="1"/>
  <c r="S5" i="11"/>
  <c r="P5" i="11"/>
  <c r="Q123" i="11"/>
  <c r="R123" i="11" s="1" a="1"/>
  <c r="R123" i="11" s="1"/>
  <c r="S123" i="11"/>
  <c r="P123" i="11"/>
  <c r="P24" i="11"/>
  <c r="Q24" i="11"/>
  <c r="R24" i="11" s="1" a="1"/>
  <c r="R24" i="11" s="1"/>
  <c r="S24" i="11"/>
  <c r="Q85" i="11"/>
  <c r="R85" i="11" s="1" a="1"/>
  <c r="R85" i="11" s="1"/>
  <c r="S85" i="11"/>
  <c r="P85" i="11"/>
  <c r="S42" i="11"/>
  <c r="P42" i="11"/>
  <c r="Q42" i="11"/>
  <c r="R42" i="11" s="1" a="1"/>
  <c r="R42" i="11" s="1"/>
  <c r="Q137" i="5"/>
  <c r="R137" i="5" s="1" a="1"/>
  <c r="R137" i="5" s="1"/>
  <c r="S137" i="5" s="1"/>
  <c r="P137" i="5"/>
  <c r="T137" i="5"/>
  <c r="U137" i="5" s="1" a="1"/>
  <c r="U137" i="5" s="1"/>
  <c r="V137" i="5" s="1"/>
  <c r="S106" i="11"/>
  <c r="P106" i="11"/>
  <c r="Q106" i="11"/>
  <c r="R106" i="11" s="1" a="1"/>
  <c r="R106" i="11" s="1"/>
  <c r="S22" i="11"/>
  <c r="P22" i="11"/>
  <c r="Q22" i="11"/>
  <c r="R22" i="11" s="1" a="1"/>
  <c r="R22" i="11" s="1"/>
  <c r="S45" i="11"/>
  <c r="Q45" i="11"/>
  <c r="R45" i="11" s="1" a="1"/>
  <c r="R45" i="11" s="1"/>
  <c r="P45" i="11"/>
  <c r="S77" i="11"/>
  <c r="P77" i="11"/>
  <c r="Q77" i="11"/>
  <c r="R77" i="11" s="1" a="1"/>
  <c r="R77" i="11" s="1"/>
  <c r="S21" i="11"/>
  <c r="P21" i="11"/>
  <c r="Q21" i="11"/>
  <c r="R21" i="11" s="1" a="1"/>
  <c r="R21" i="11" s="1"/>
  <c r="O200" i="11"/>
  <c r="Q111" i="11"/>
  <c r="R111" i="11" s="1" a="1"/>
  <c r="R111" i="11" s="1"/>
  <c r="P111" i="11"/>
  <c r="S111" i="11"/>
  <c r="P78" i="11"/>
  <c r="Q78" i="11"/>
  <c r="R78" i="11" s="1" a="1"/>
  <c r="R78" i="11" s="1"/>
  <c r="S78" i="11"/>
  <c r="O182" i="11"/>
  <c r="O161" i="11"/>
  <c r="O167" i="11"/>
  <c r="O196" i="11"/>
  <c r="O168" i="11"/>
  <c r="O150" i="5"/>
  <c r="N150" i="5"/>
  <c r="O69" i="11"/>
  <c r="O171" i="11"/>
  <c r="O198" i="11"/>
  <c r="O179" i="11"/>
  <c r="S122" i="11"/>
  <c r="Q122" i="11"/>
  <c r="R122" i="11" s="1" a="1"/>
  <c r="R122" i="11" s="1"/>
  <c r="P122" i="11"/>
  <c r="S32" i="11"/>
  <c r="Q32" i="11"/>
  <c r="R32" i="11" s="1" a="1"/>
  <c r="R32" i="11" s="1"/>
  <c r="P32" i="11"/>
  <c r="Q16" i="11"/>
  <c r="R16" i="11" s="1" a="1"/>
  <c r="R16" i="11" s="1"/>
  <c r="S16" i="11"/>
  <c r="P16" i="11"/>
  <c r="S127" i="11"/>
  <c r="Q127" i="11"/>
  <c r="R127" i="11" s="1" a="1"/>
  <c r="R127" i="11" s="1"/>
  <c r="P127" i="11"/>
  <c r="Q82" i="11"/>
  <c r="R82" i="11" s="1" a="1"/>
  <c r="R82" i="11" s="1"/>
  <c r="P82" i="11"/>
  <c r="S82" i="11"/>
  <c r="S14" i="11"/>
  <c r="Q14" i="11"/>
  <c r="R14" i="11" s="1" a="1"/>
  <c r="R14" i="11" s="1"/>
  <c r="P14" i="11"/>
  <c r="Q36" i="11"/>
  <c r="R36" i="11" s="1" a="1"/>
  <c r="R36" i="11" s="1"/>
  <c r="S36" i="11"/>
  <c r="P36" i="11"/>
  <c r="P142" i="11"/>
  <c r="S142" i="11"/>
  <c r="Q142" i="11"/>
  <c r="R142" i="11" s="1" a="1"/>
  <c r="R142" i="11" s="1"/>
  <c r="S41" i="11"/>
  <c r="P41" i="11"/>
  <c r="Q41" i="11"/>
  <c r="R41" i="11" s="1" a="1"/>
  <c r="R41" i="11" s="1"/>
  <c r="Q35" i="11"/>
  <c r="R35" i="11" s="1" a="1"/>
  <c r="R35" i="11" s="1"/>
  <c r="P35" i="11"/>
  <c r="S35" i="11"/>
  <c r="S11" i="11"/>
  <c r="P11" i="11"/>
  <c r="Q11" i="11"/>
  <c r="R11" i="11" s="1" a="1"/>
  <c r="R11" i="11" s="1"/>
  <c r="P125" i="11"/>
  <c r="Q125" i="11"/>
  <c r="R125" i="11" s="1" a="1"/>
  <c r="R125" i="11" s="1"/>
  <c r="S125" i="11"/>
  <c r="Q141" i="11"/>
  <c r="R141" i="11" s="1" a="1"/>
  <c r="R141" i="11" s="1"/>
  <c r="P141" i="11"/>
  <c r="S141" i="11"/>
  <c r="O165" i="11"/>
  <c r="N3" i="12"/>
  <c r="O176" i="11"/>
  <c r="O158" i="11"/>
  <c r="O187" i="11"/>
  <c r="P23" i="11"/>
  <c r="Q23" i="11"/>
  <c r="R23" i="11" s="1" a="1"/>
  <c r="R23" i="11" s="1"/>
  <c r="S23" i="11"/>
  <c r="Q118" i="11"/>
  <c r="R118" i="11" s="1" a="1"/>
  <c r="R118" i="11" s="1"/>
  <c r="S118" i="11"/>
  <c r="P118" i="11"/>
  <c r="Q30" i="11"/>
  <c r="R30" i="11" s="1" a="1"/>
  <c r="R30" i="11" s="1"/>
  <c r="S30" i="11"/>
  <c r="P30" i="11"/>
  <c r="P12" i="11"/>
  <c r="Q12" i="11"/>
  <c r="R12" i="11" s="1" a="1"/>
  <c r="R12" i="11" s="1"/>
  <c r="S12" i="11"/>
  <c r="P44" i="11"/>
  <c r="S44" i="11"/>
  <c r="Q44" i="11"/>
  <c r="R44" i="11" s="1" a="1"/>
  <c r="R44" i="11" s="1"/>
  <c r="S8" i="11"/>
  <c r="P8" i="11"/>
  <c r="Q8" i="11"/>
  <c r="R8" i="11" s="1" a="1"/>
  <c r="R8" i="11" s="1"/>
  <c r="S119" i="11"/>
  <c r="Q119" i="11"/>
  <c r="R119" i="11" s="1" a="1"/>
  <c r="R119" i="11" s="1"/>
  <c r="P119" i="11"/>
  <c r="P112" i="11"/>
  <c r="Q112" i="11"/>
  <c r="R112" i="11" s="1" a="1"/>
  <c r="R112" i="11" s="1"/>
  <c r="S112" i="11"/>
  <c r="Q107" i="11"/>
  <c r="R107" i="11" s="1" a="1"/>
  <c r="R107" i="11" s="1"/>
  <c r="P107" i="11"/>
  <c r="S107" i="11"/>
  <c r="P26" i="11"/>
  <c r="Q26" i="11"/>
  <c r="R26" i="11" s="1" a="1"/>
  <c r="R26" i="11" s="1"/>
  <c r="S26" i="11"/>
  <c r="V7" i="9"/>
  <c r="W7" i="9" s="1" a="1"/>
  <c r="W7" i="9" s="1"/>
  <c r="X7" i="9" s="1"/>
  <c r="Y7" i="9"/>
  <c r="Z7" i="9" s="1" a="1"/>
  <c r="Z7" i="9" s="1"/>
  <c r="AA7" i="9" s="1"/>
  <c r="S7" i="9"/>
  <c r="T7" i="9" s="1" a="1"/>
  <c r="T7" i="9" s="1"/>
  <c r="U7" i="9" s="1"/>
  <c r="R7" i="9"/>
  <c r="S25" i="11"/>
  <c r="P25" i="11"/>
  <c r="Q25" i="11"/>
  <c r="R25" i="11" s="1" a="1"/>
  <c r="R25" i="11" s="1"/>
  <c r="W6" i="5"/>
  <c r="X6" i="5" s="1" a="1"/>
  <c r="X6" i="5" s="1"/>
  <c r="Y6" i="5" s="1"/>
  <c r="P6" i="5"/>
  <c r="T6" i="5"/>
  <c r="U6" i="5" s="1" a="1"/>
  <c r="U6" i="5" s="1"/>
  <c r="V6" i="5" s="1"/>
  <c r="Q6" i="5"/>
  <c r="R6" i="5" s="1" a="1"/>
  <c r="R6" i="5" s="1"/>
  <c r="S6" i="5" s="1"/>
  <c r="Q33" i="11"/>
  <c r="R33" i="11" s="1" a="1"/>
  <c r="R33" i="11" s="1"/>
  <c r="S33" i="11"/>
  <c r="P33" i="11"/>
  <c r="S15" i="11"/>
  <c r="P15" i="11"/>
  <c r="Q15" i="11"/>
  <c r="R15" i="11" s="1" a="1"/>
  <c r="R15" i="11" s="1"/>
  <c r="T4" i="5"/>
  <c r="U4" i="5" s="1" a="1"/>
  <c r="U4" i="5" s="1"/>
  <c r="V4" i="5" s="1"/>
  <c r="P4" i="5"/>
  <c r="Q4" i="5"/>
  <c r="R4" i="5" s="1" a="1"/>
  <c r="R4" i="5" s="1"/>
  <c r="S4" i="5" s="1"/>
  <c r="W4" i="5"/>
  <c r="X4" i="5" s="1" a="1"/>
  <c r="X4" i="5" s="1"/>
  <c r="Y4" i="5" s="1"/>
  <c r="O157" i="11"/>
  <c r="O188" i="11"/>
  <c r="R6" i="9"/>
  <c r="Y6" i="9"/>
  <c r="Z6" i="9" s="1" a="1"/>
  <c r="Z6" i="9" s="1"/>
  <c r="AA6" i="9" s="1"/>
  <c r="V6" i="9"/>
  <c r="W6" i="9" s="1" a="1"/>
  <c r="W6" i="9" s="1"/>
  <c r="X6" i="9" s="1"/>
  <c r="S6" i="9"/>
  <c r="T6" i="9" s="1" a="1"/>
  <c r="T6" i="9" s="1"/>
  <c r="U6" i="9" s="1"/>
  <c r="O163" i="11"/>
  <c r="O162" i="11"/>
  <c r="O199" i="11"/>
  <c r="O135" i="11"/>
  <c r="O186" i="11"/>
  <c r="O141" i="5"/>
  <c r="N141" i="5"/>
  <c r="Q7" i="11"/>
  <c r="R7" i="11" s="1" a="1"/>
  <c r="R7" i="11" s="1"/>
  <c r="S7" i="11"/>
  <c r="P7" i="11"/>
  <c r="P39" i="11"/>
  <c r="S39" i="11"/>
  <c r="Q39" i="11"/>
  <c r="R39" i="11" s="1" a="1"/>
  <c r="R39" i="11" s="1"/>
  <c r="S210" i="11"/>
  <c r="Q210" i="11"/>
  <c r="R210" i="11" s="1" a="1"/>
  <c r="R210" i="11" s="1"/>
  <c r="P210" i="11"/>
  <c r="Q17" i="11"/>
  <c r="R17" i="11" s="1" a="1"/>
  <c r="R17" i="11" s="1"/>
  <c r="P17" i="11"/>
  <c r="S17" i="11"/>
  <c r="S90" i="11"/>
  <c r="P90" i="11"/>
  <c r="Q90" i="11"/>
  <c r="R90" i="11" s="1" a="1"/>
  <c r="R90" i="11" s="1"/>
  <c r="S18" i="11"/>
  <c r="P18" i="11"/>
  <c r="Q18" i="11"/>
  <c r="R18" i="11" s="1" a="1"/>
  <c r="R18" i="11" s="1"/>
  <c r="Q140" i="11"/>
  <c r="R140" i="11" s="1" a="1"/>
  <c r="R140" i="11" s="1"/>
  <c r="S140" i="11"/>
  <c r="P140" i="11"/>
  <c r="S120" i="11"/>
  <c r="P120" i="11"/>
  <c r="Q120" i="11"/>
  <c r="R120" i="11" s="1" a="1"/>
  <c r="R120" i="11" s="1"/>
  <c r="Q13" i="11"/>
  <c r="R13" i="11" s="1" a="1"/>
  <c r="R13" i="11" s="1"/>
  <c r="P13" i="11"/>
  <c r="S13" i="11"/>
  <c r="Q28" i="11"/>
  <c r="R28" i="11" s="1" a="1"/>
  <c r="R28" i="11" s="1"/>
  <c r="S28" i="11"/>
  <c r="P28" i="11"/>
  <c r="Q80" i="11"/>
  <c r="R80" i="11" s="1" a="1"/>
  <c r="R80" i="11" s="1"/>
  <c r="S80" i="11"/>
  <c r="P80" i="11"/>
  <c r="Q40" i="11"/>
  <c r="R40" i="11" s="1" a="1"/>
  <c r="R40" i="11" s="1"/>
  <c r="S40" i="11"/>
  <c r="P40" i="11"/>
  <c r="Q3" i="11"/>
  <c r="R3" i="11" s="1" a="1"/>
  <c r="R3" i="11" s="1"/>
  <c r="S3" i="11"/>
  <c r="P3" i="11"/>
  <c r="O197" i="11"/>
  <c r="O166" i="11"/>
  <c r="O169" i="11"/>
  <c r="O160" i="11"/>
  <c r="O191" i="11"/>
  <c r="O136" i="11"/>
  <c r="O180" i="11"/>
  <c r="O173" i="11"/>
  <c r="O183" i="11"/>
  <c r="O190" i="11"/>
  <c r="O153" i="5"/>
  <c r="N153" i="5"/>
  <c r="O175" i="11"/>
  <c r="O195" i="11"/>
  <c r="O154" i="11"/>
  <c r="P143" i="11"/>
  <c r="S143" i="11"/>
  <c r="Q143" i="11"/>
  <c r="R143" i="11" s="1" a="1"/>
  <c r="R143" i="11" s="1"/>
  <c r="S89" i="11"/>
  <c r="Q89" i="11"/>
  <c r="R89" i="11" s="1" a="1"/>
  <c r="R89" i="11" s="1"/>
  <c r="P89" i="11"/>
  <c r="P9" i="11"/>
  <c r="S9" i="11"/>
  <c r="Q9" i="11"/>
  <c r="R9" i="11" s="1" a="1"/>
  <c r="R9" i="11" s="1"/>
  <c r="Q110" i="11"/>
  <c r="R110" i="11" s="1" a="1"/>
  <c r="R110" i="11" s="1"/>
  <c r="P110" i="11"/>
  <c r="S110" i="11"/>
  <c r="P2" i="5"/>
  <c r="W2" i="5"/>
  <c r="X2" i="5" s="1" a="1"/>
  <c r="X2" i="5" s="1"/>
  <c r="Y2" i="5" s="1"/>
  <c r="Q2" i="5"/>
  <c r="R2" i="5" s="1" a="1"/>
  <c r="R2" i="5" s="1"/>
  <c r="S2" i="5" s="1"/>
  <c r="T2" i="5"/>
  <c r="U2" i="5" s="1" a="1"/>
  <c r="U2" i="5" s="1"/>
  <c r="V2" i="5" s="1"/>
  <c r="P117" i="11"/>
  <c r="Q117" i="11"/>
  <c r="R117" i="11" s="1" a="1"/>
  <c r="R117" i="11" s="1"/>
  <c r="S117" i="11"/>
  <c r="S102" i="11"/>
  <c r="Q102" i="11"/>
  <c r="R102" i="11" s="1" a="1"/>
  <c r="R102" i="11" s="1"/>
  <c r="P102" i="11"/>
  <c r="Q104" i="11"/>
  <c r="R104" i="11" s="1" a="1"/>
  <c r="R104" i="11" s="1"/>
  <c r="P104" i="11"/>
  <c r="S104" i="11"/>
  <c r="V4" i="9"/>
  <c r="W4" i="9" s="1" a="1"/>
  <c r="W4" i="9" s="1"/>
  <c r="X4" i="9" s="1"/>
  <c r="R4" i="9"/>
  <c r="S4" i="9"/>
  <c r="T4" i="9" s="1" a="1"/>
  <c r="T4" i="9" s="1"/>
  <c r="U4" i="9" s="1"/>
  <c r="Y4" i="9"/>
  <c r="Z4" i="9" s="1" a="1"/>
  <c r="Z4" i="9" s="1"/>
  <c r="AA4" i="9" s="1"/>
  <c r="P46" i="11"/>
  <c r="S46" i="11"/>
  <c r="Q46" i="11"/>
  <c r="R46" i="11" s="1" a="1"/>
  <c r="R46" i="11" s="1"/>
  <c r="Q100" i="11"/>
  <c r="R100" i="11" s="1" a="1"/>
  <c r="R100" i="11" s="1"/>
  <c r="S100" i="11"/>
  <c r="P100" i="11"/>
  <c r="S81" i="11"/>
  <c r="Q81" i="11"/>
  <c r="R81" i="11" s="1" a="1"/>
  <c r="R81" i="11" s="1"/>
  <c r="P81" i="11"/>
  <c r="Y5" i="9"/>
  <c r="Z5" i="9" s="1" a="1"/>
  <c r="Z5" i="9" s="1"/>
  <c r="AA5" i="9" s="1"/>
  <c r="R5" i="9"/>
  <c r="S5" i="9"/>
  <c r="T5" i="9" s="1" a="1"/>
  <c r="T5" i="9" s="1"/>
  <c r="U5" i="9" s="1"/>
  <c r="V5" i="9"/>
  <c r="W5" i="9" s="1" a="1"/>
  <c r="W5" i="9" s="1"/>
  <c r="X5" i="9" s="1"/>
  <c r="S4" i="11"/>
  <c r="P4" i="11"/>
  <c r="Q4" i="11"/>
  <c r="R4" i="11" s="1" a="1"/>
  <c r="R4" i="11" s="1"/>
  <c r="P20" i="11"/>
  <c r="Q20" i="11"/>
  <c r="R20" i="11" s="1" a="1"/>
  <c r="R20" i="11" s="1"/>
  <c r="S20" i="11"/>
  <c r="O192" i="11"/>
  <c r="P37" i="11"/>
  <c r="Q37" i="11"/>
  <c r="R37" i="11" s="1" a="1"/>
  <c r="R37" i="11" s="1"/>
  <c r="S37" i="11"/>
  <c r="Q88" i="11"/>
  <c r="R88" i="11" s="1" a="1"/>
  <c r="R88" i="11" s="1"/>
  <c r="P88" i="11"/>
  <c r="S88" i="11"/>
  <c r="O178" i="11"/>
  <c r="O174" i="11"/>
  <c r="O164" i="11"/>
  <c r="O177" i="11"/>
  <c r="W5" i="5"/>
  <c r="X5" i="5" s="1" a="1"/>
  <c r="X5" i="5" s="1"/>
  <c r="Y5" i="5" s="1"/>
  <c r="P5" i="5"/>
  <c r="T5" i="5"/>
  <c r="U5" i="5" s="1" a="1"/>
  <c r="U5" i="5" s="1"/>
  <c r="V5" i="5" s="1"/>
  <c r="Q5" i="5"/>
  <c r="R5" i="5" s="1" a="1"/>
  <c r="R5" i="5" s="1"/>
  <c r="S5" i="5" s="1"/>
  <c r="Q29" i="11"/>
  <c r="R29" i="11" s="1" a="1"/>
  <c r="R29" i="11" s="1"/>
  <c r="S29" i="11"/>
  <c r="P29" i="11"/>
  <c r="P144" i="11"/>
  <c r="S144" i="11"/>
  <c r="Q144" i="11"/>
  <c r="R144" i="11" s="1" a="1"/>
  <c r="R144" i="11" s="1"/>
  <c r="P116" i="11"/>
  <c r="Q116" i="11"/>
  <c r="R116" i="11" s="1" a="1"/>
  <c r="R116" i="11" s="1"/>
  <c r="S116" i="11"/>
  <c r="O2" i="12"/>
  <c r="P2" i="12"/>
  <c r="Q2" i="12" s="1" a="1"/>
  <c r="Q2" i="12" s="1"/>
  <c r="P103" i="11"/>
  <c r="Q103" i="11"/>
  <c r="R103" i="11" s="1" a="1"/>
  <c r="R103" i="11" s="1"/>
  <c r="S103" i="11"/>
  <c r="S212" i="11"/>
  <c r="Q212" i="11"/>
  <c r="R212" i="11" s="1" a="1"/>
  <c r="R212" i="11" s="1"/>
  <c r="P212" i="11"/>
  <c r="S113" i="11"/>
  <c r="Q113" i="11"/>
  <c r="R113" i="11" s="1" a="1"/>
  <c r="R113" i="11" s="1"/>
  <c r="P113" i="11"/>
  <c r="Q108" i="11"/>
  <c r="R108" i="11" s="1" a="1"/>
  <c r="R108" i="11" s="1"/>
  <c r="P108" i="11"/>
  <c r="S108" i="11"/>
  <c r="Q126" i="11"/>
  <c r="R126" i="11" s="1" a="1"/>
  <c r="R126" i="11" s="1"/>
  <c r="P126" i="11"/>
  <c r="S126" i="11"/>
  <c r="O189" i="11"/>
  <c r="O156" i="11"/>
  <c r="Q38" i="11"/>
  <c r="R38" i="11" s="1" a="1"/>
  <c r="R38" i="11" s="1"/>
  <c r="P38" i="11"/>
  <c r="S38" i="11"/>
  <c r="O194" i="11"/>
  <c r="O193" i="11"/>
  <c r="O155" i="11"/>
  <c r="O70" i="11"/>
  <c r="O170" i="11"/>
  <c r="O201" i="11"/>
  <c r="Q6" i="11"/>
  <c r="R6" i="11" s="1" a="1"/>
  <c r="R6" i="11" s="1"/>
  <c r="P6" i="11"/>
  <c r="S6" i="11"/>
  <c r="P114" i="11"/>
  <c r="S114" i="11"/>
  <c r="Q114" i="11"/>
  <c r="R114" i="11" s="1" a="1"/>
  <c r="R114" i="11" s="1"/>
  <c r="S86" i="11"/>
  <c r="P86" i="11"/>
  <c r="Q86" i="11"/>
  <c r="R86" i="11" s="1" a="1"/>
  <c r="R86" i="11" s="1"/>
  <c r="Y2" i="9"/>
  <c r="Z2" i="9" s="1" a="1"/>
  <c r="Z2" i="9" s="1"/>
  <c r="AA2" i="9" s="1"/>
  <c r="S2" i="9"/>
  <c r="T2" i="9" s="1" a="1"/>
  <c r="T2" i="9" s="1"/>
  <c r="U2" i="9" s="1"/>
  <c r="R2" i="9"/>
  <c r="V2" i="9"/>
  <c r="W2" i="9" s="1" a="1"/>
  <c r="W2" i="9" s="1"/>
  <c r="X2" i="9" s="1"/>
  <c r="S115" i="11"/>
  <c r="P115" i="11"/>
  <c r="Q115" i="11"/>
  <c r="R115" i="11" s="1" a="1"/>
  <c r="R115" i="11" s="1"/>
  <c r="Q211" i="11"/>
  <c r="R211" i="11" s="1" a="1"/>
  <c r="R211" i="11" s="1"/>
  <c r="P211" i="11"/>
  <c r="S211" i="11"/>
  <c r="Q3" i="5"/>
  <c r="R3" i="5" s="1" a="1"/>
  <c r="R3" i="5" s="1"/>
  <c r="S3" i="5" s="1"/>
  <c r="P3" i="5"/>
  <c r="W3" i="5"/>
  <c r="X3" i="5" s="1" a="1"/>
  <c r="X3" i="5" s="1"/>
  <c r="Y3" i="5" s="1"/>
  <c r="T3" i="5"/>
  <c r="U3" i="5" s="1" a="1"/>
  <c r="U3" i="5" s="1"/>
  <c r="V3" i="5" s="1"/>
  <c r="P149" i="5"/>
  <c r="X149" i="5" s="1"/>
  <c r="T149" i="5"/>
  <c r="U149" i="5" s="1" a="1"/>
  <c r="U149" i="5" s="1"/>
  <c r="V149" i="5" s="1"/>
  <c r="Q149" i="5"/>
  <c r="R149" i="5" s="1" a="1"/>
  <c r="R149" i="5" s="1"/>
  <c r="S149" i="5" s="1"/>
  <c r="P87" i="11"/>
  <c r="S87" i="11"/>
  <c r="Q87" i="11"/>
  <c r="R87" i="11" s="1" a="1"/>
  <c r="R87" i="11" s="1"/>
  <c r="S121" i="11"/>
  <c r="Q121" i="11"/>
  <c r="R121" i="11" s="1" a="1"/>
  <c r="R121" i="11" s="1"/>
  <c r="P121" i="11"/>
  <c r="Q101" i="11"/>
  <c r="R101" i="11" s="1" a="1"/>
  <c r="R101" i="11" s="1"/>
  <c r="S101" i="11"/>
  <c r="P101" i="11"/>
  <c r="P140" i="5"/>
  <c r="T140" i="5"/>
  <c r="U140" i="5" s="1" a="1"/>
  <c r="U140" i="5" s="1"/>
  <c r="V140" i="5" s="1"/>
  <c r="Q140" i="5"/>
  <c r="R140" i="5" s="1" a="1"/>
  <c r="R140" i="5" s="1"/>
  <c r="S140" i="5" s="1"/>
  <c r="S109" i="11"/>
  <c r="Q109" i="11"/>
  <c r="R109" i="11" s="1" a="1"/>
  <c r="R109" i="11" s="1"/>
  <c r="P109" i="11"/>
  <c r="V3" i="9"/>
  <c r="W3" i="9" s="1" a="1"/>
  <c r="W3" i="9" s="1"/>
  <c r="X3" i="9" s="1"/>
  <c r="R3" i="9"/>
  <c r="Y3" i="9"/>
  <c r="Z3" i="9" s="1" a="1"/>
  <c r="Z3" i="9" s="1"/>
  <c r="AA3" i="9" s="1"/>
  <c r="S3" i="9"/>
  <c r="T3" i="9" s="1" a="1"/>
  <c r="T3" i="9" s="1"/>
  <c r="U3" i="9" s="1"/>
  <c r="E172" i="11"/>
  <c r="E159" i="11"/>
  <c r="E151" i="5"/>
  <c r="AL16" i="5"/>
  <c r="AM16" i="5" s="1"/>
  <c r="E161" i="11"/>
  <c r="E167" i="11"/>
  <c r="E168" i="11"/>
  <c r="V69" i="11"/>
  <c r="E171" i="11"/>
  <c r="E165" i="11"/>
  <c r="E4" i="12"/>
  <c r="E176" i="11"/>
  <c r="E158" i="11"/>
  <c r="W89" i="11"/>
  <c r="E157" i="11"/>
  <c r="E163" i="11"/>
  <c r="E162" i="11"/>
  <c r="E154" i="5"/>
  <c r="E142" i="5"/>
  <c r="E166" i="11"/>
  <c r="E169" i="11"/>
  <c r="E160" i="11"/>
  <c r="E173" i="11"/>
  <c r="E175" i="11"/>
  <c r="E154" i="11"/>
  <c r="E174" i="11"/>
  <c r="E164" i="11"/>
  <c r="E177" i="11"/>
  <c r="AL15" i="5"/>
  <c r="AM15" i="5" s="1"/>
  <c r="E156" i="11"/>
  <c r="E155" i="11"/>
  <c r="V70" i="11"/>
  <c r="E170" i="11"/>
  <c r="W86" i="11"/>
  <c r="AL17" i="5"/>
  <c r="AM17" i="5" s="1"/>
  <c r="X136" i="5"/>
  <c r="M145" i="5" s="1"/>
  <c r="R7" i="1"/>
  <c r="Q172" i="11" a="1"/>
  <c r="P172" i="11" a="1"/>
  <c r="S172" i="11" a="1"/>
  <c r="S159" i="11" a="1"/>
  <c r="Q159" i="11" a="1"/>
  <c r="P159" i="11" a="1"/>
  <c r="P69" i="11" a="1"/>
  <c r="S69" i="11" a="1"/>
  <c r="Q69" i="11" a="1"/>
  <c r="Q187" i="11" a="1"/>
  <c r="P187" i="11" a="1"/>
  <c r="S187" i="11" a="1"/>
  <c r="S188" i="11" a="1"/>
  <c r="Q188" i="11" a="1"/>
  <c r="P188" i="11" a="1"/>
  <c r="S163" i="11" a="1"/>
  <c r="Q163" i="11" a="1"/>
  <c r="P163" i="11" a="1"/>
  <c r="P191" i="11" a="1"/>
  <c r="Q191" i="11" a="1"/>
  <c r="S191" i="11" a="1"/>
  <c r="S175" i="11" a="1"/>
  <c r="P175" i="11" a="1"/>
  <c r="Q175" i="11" a="1"/>
  <c r="S177" i="11" a="1"/>
  <c r="Q177" i="11" a="1"/>
  <c r="P177" i="11" a="1"/>
  <c r="Q193" i="11" a="1"/>
  <c r="P193" i="11" a="1"/>
  <c r="S193" i="11" a="1"/>
  <c r="N4" i="12" a="1"/>
  <c r="Q201" i="11" a="1"/>
  <c r="P201" i="11" a="1"/>
  <c r="S201" i="11" a="1"/>
  <c r="P194" i="11" a="1"/>
  <c r="Q194" i="11" a="1"/>
  <c r="S194" i="11" a="1"/>
  <c r="T138" i="5" a="1"/>
  <c r="Q138" i="5" a="1"/>
  <c r="P138" i="5" a="1"/>
  <c r="S182" i="11" a="1"/>
  <c r="Q182" i="11" a="1"/>
  <c r="P182" i="11" a="1"/>
  <c r="P171" i="11" a="1"/>
  <c r="S171" i="11" a="1"/>
  <c r="Q171" i="11" a="1"/>
  <c r="P162" i="11" a="1"/>
  <c r="Q162" i="11" a="1"/>
  <c r="S162" i="11" a="1"/>
  <c r="S136" i="11" a="1"/>
  <c r="Q136" i="11" a="1"/>
  <c r="P136" i="11" a="1"/>
  <c r="S195" i="11" a="1"/>
  <c r="P195" i="11" a="1"/>
  <c r="Q195" i="11" a="1"/>
  <c r="S155" i="11" a="1"/>
  <c r="Q155" i="11" a="1"/>
  <c r="P155" i="11" a="1"/>
  <c r="P189" i="11" a="1"/>
  <c r="S189" i="11" a="1"/>
  <c r="Q189" i="11" a="1"/>
  <c r="P70" i="11" a="1"/>
  <c r="Q70" i="11" a="1"/>
  <c r="S70" i="11" a="1"/>
  <c r="N154" i="5" a="1"/>
  <c r="O154" i="5" a="1"/>
  <c r="P178" i="11" a="1"/>
  <c r="Q178" i="11" a="1"/>
  <c r="S178" i="11" a="1"/>
  <c r="P161" i="11" a="1"/>
  <c r="S161" i="11" a="1"/>
  <c r="Q161" i="11" a="1"/>
  <c r="Q198" i="11" a="1"/>
  <c r="P198" i="11" a="1"/>
  <c r="S198" i="11" a="1"/>
  <c r="Q199" i="11" a="1"/>
  <c r="S199" i="11" a="1"/>
  <c r="P199" i="11" a="1"/>
  <c r="S180" i="11" a="1"/>
  <c r="Q180" i="11" a="1"/>
  <c r="P180" i="11" a="1"/>
  <c r="S154" i="11" a="1"/>
  <c r="Q154" i="11" a="1"/>
  <c r="P154" i="11" a="1"/>
  <c r="N151" i="5" a="1"/>
  <c r="O151" i="5" a="1"/>
  <c r="N142" i="5" a="1"/>
  <c r="O142" i="5" a="1"/>
  <c r="P181" i="11" a="1"/>
  <c r="Q181" i="11" a="1"/>
  <c r="S181" i="11" a="1"/>
  <c r="S167" i="11" a="1"/>
  <c r="P167" i="11" a="1"/>
  <c r="Q167" i="11" a="1"/>
  <c r="S179" i="11" a="1"/>
  <c r="Q179" i="11" a="1"/>
  <c r="P179" i="11" a="1"/>
  <c r="P135" i="11" a="1"/>
  <c r="S135" i="11" a="1"/>
  <c r="Q135" i="11" a="1"/>
  <c r="Q173" i="11" a="1"/>
  <c r="S173" i="11" a="1"/>
  <c r="P173" i="11" a="1"/>
  <c r="Q156" i="11" a="1"/>
  <c r="P156" i="11" a="1"/>
  <c r="S156" i="11" a="1"/>
  <c r="S170" i="11" a="1"/>
  <c r="P170" i="11" a="1"/>
  <c r="Q170" i="11" a="1"/>
  <c r="P164" i="11" a="1"/>
  <c r="Q164" i="11" a="1"/>
  <c r="S164" i="11" a="1"/>
  <c r="Q196" i="11" a="1"/>
  <c r="P196" i="11" a="1"/>
  <c r="S196" i="11" a="1"/>
  <c r="P165" i="11" a="1"/>
  <c r="Q165" i="11" a="1"/>
  <c r="S165" i="11" a="1"/>
  <c r="Q186" i="11" a="1"/>
  <c r="P186" i="11" a="1"/>
  <c r="S186" i="11" a="1"/>
  <c r="P197" i="11" a="1"/>
  <c r="Q197" i="11" a="1"/>
  <c r="S197" i="11" a="1"/>
  <c r="S183" i="11" a="1"/>
  <c r="P183" i="11" a="1"/>
  <c r="Q183" i="11" a="1"/>
  <c r="S168" i="11" a="1"/>
  <c r="P168" i="11" a="1"/>
  <c r="Q168" i="11" a="1"/>
  <c r="P3" i="12" a="1"/>
  <c r="O3" i="12" a="1"/>
  <c r="T141" i="5" a="1"/>
  <c r="P141" i="5" a="1"/>
  <c r="Q141" i="5" a="1"/>
  <c r="P166" i="11" a="1"/>
  <c r="S166" i="11" a="1"/>
  <c r="Q166" i="11" a="1"/>
  <c r="P190" i="11" a="1"/>
  <c r="Q190" i="11" a="1"/>
  <c r="S190" i="11" a="1"/>
  <c r="Q185" i="11" a="1"/>
  <c r="P185" i="11" a="1"/>
  <c r="S185" i="11" a="1"/>
  <c r="P150" i="5" a="1"/>
  <c r="T150" i="5" a="1"/>
  <c r="Q150" i="5" a="1"/>
  <c r="S176" i="11" a="1"/>
  <c r="Q176" i="11" a="1"/>
  <c r="P176" i="11" a="1"/>
  <c r="P169" i="11" a="1"/>
  <c r="S169" i="11" a="1"/>
  <c r="Q169" i="11" a="1"/>
  <c r="Q153" i="5" a="1"/>
  <c r="P153" i="5" a="1"/>
  <c r="T153" i="5" a="1"/>
  <c r="P192" i="11" a="1"/>
  <c r="S192" i="11" a="1"/>
  <c r="Q192" i="11" a="1"/>
  <c r="Q174" i="11" a="1"/>
  <c r="S174" i="11" a="1"/>
  <c r="P174" i="11" a="1"/>
  <c r="S184" i="11" a="1"/>
  <c r="P184" i="11" a="1"/>
  <c r="Q184" i="11" a="1"/>
  <c r="P200" i="11" a="1"/>
  <c r="S200" i="11" a="1"/>
  <c r="Q200" i="11" a="1"/>
  <c r="S158" i="11" a="1"/>
  <c r="P158" i="11" a="1"/>
  <c r="Q158" i="11" a="1"/>
  <c r="P157" i="11" a="1"/>
  <c r="S157" i="11" a="1"/>
  <c r="Q157" i="11" a="1"/>
  <c r="S160" i="11" a="1"/>
  <c r="Q160" i="11" a="1"/>
  <c r="P160" i="11" a="1"/>
  <c r="R5" i="1" a="1"/>
  <c r="P160" i="11" l="1"/>
  <c r="Q160" i="11"/>
  <c r="R160" i="11" s="1" a="1"/>
  <c r="R160" i="11" s="1"/>
  <c r="S160" i="11"/>
  <c r="Q157" i="11"/>
  <c r="R157" i="11" s="1" a="1"/>
  <c r="R157" i="11" s="1"/>
  <c r="S157" i="11"/>
  <c r="P157" i="11"/>
  <c r="Q158" i="11"/>
  <c r="R158" i="11" s="1" a="1"/>
  <c r="R158" i="11" s="1"/>
  <c r="P158" i="11"/>
  <c r="S158" i="11"/>
  <c r="Q200" i="11"/>
  <c r="R200" i="11" s="1" a="1"/>
  <c r="R200" i="11" s="1"/>
  <c r="S200" i="11"/>
  <c r="P200" i="11"/>
  <c r="Q184" i="11"/>
  <c r="R184" i="11" s="1" a="1"/>
  <c r="R184" i="11" s="1"/>
  <c r="P184" i="11"/>
  <c r="S184" i="11"/>
  <c r="P174" i="11"/>
  <c r="S174" i="11"/>
  <c r="Q174" i="11"/>
  <c r="R174" i="11" s="1" a="1"/>
  <c r="R174" i="11" s="1"/>
  <c r="Q192" i="11"/>
  <c r="R192" i="11" s="1" a="1"/>
  <c r="R192" i="11" s="1"/>
  <c r="S192" i="11"/>
  <c r="P192" i="11"/>
  <c r="T153" i="5"/>
  <c r="U153" i="5" s="1" a="1"/>
  <c r="U153" i="5" s="1"/>
  <c r="V153" i="5" s="1"/>
  <c r="P153" i="5"/>
  <c r="X153" i="5" s="1"/>
  <c r="Q153" i="5"/>
  <c r="R153" i="5" s="1" a="1"/>
  <c r="R153" i="5" s="1"/>
  <c r="S153" i="5" s="1"/>
  <c r="Q169" i="11"/>
  <c r="R169" i="11" s="1" a="1"/>
  <c r="R169" i="11" s="1"/>
  <c r="S169" i="11"/>
  <c r="P169" i="11"/>
  <c r="P176" i="11"/>
  <c r="Q176" i="11"/>
  <c r="R176" i="11" s="1" a="1"/>
  <c r="R176" i="11" s="1"/>
  <c r="S176" i="11"/>
  <c r="Q150" i="5"/>
  <c r="R150" i="5" s="1" a="1"/>
  <c r="R150" i="5" s="1"/>
  <c r="S150" i="5" s="1"/>
  <c r="T150" i="5"/>
  <c r="U150" i="5" s="1" a="1"/>
  <c r="U150" i="5" s="1"/>
  <c r="V150" i="5" s="1"/>
  <c r="P150" i="5"/>
  <c r="X150" i="5" s="1"/>
  <c r="S185" i="11"/>
  <c r="P185" i="11"/>
  <c r="Q185" i="11"/>
  <c r="R185" i="11" s="1" a="1"/>
  <c r="R185" i="11" s="1"/>
  <c r="S190" i="11"/>
  <c r="Q190" i="11"/>
  <c r="R190" i="11" s="1" a="1"/>
  <c r="R190" i="11" s="1"/>
  <c r="P190" i="11"/>
  <c r="Q166" i="11"/>
  <c r="R166" i="11" s="1" a="1"/>
  <c r="R166" i="11" s="1"/>
  <c r="S166" i="11"/>
  <c r="P166" i="11"/>
  <c r="Q141" i="5"/>
  <c r="R141" i="5" s="1" a="1"/>
  <c r="R141" i="5" s="1"/>
  <c r="S141" i="5" s="1"/>
  <c r="P141" i="5"/>
  <c r="T141" i="5"/>
  <c r="U141" i="5" s="1" a="1"/>
  <c r="U141" i="5" s="1"/>
  <c r="V141" i="5" s="1"/>
  <c r="O3" i="12"/>
  <c r="P3" i="12"/>
  <c r="Q3" i="12" s="1" a="1"/>
  <c r="Q3" i="12" s="1"/>
  <c r="Q168" i="11"/>
  <c r="R168" i="11" s="1" a="1"/>
  <c r="R168" i="11" s="1"/>
  <c r="P168" i="11"/>
  <c r="S168" i="11"/>
  <c r="Q183" i="11"/>
  <c r="R183" i="11" s="1" a="1"/>
  <c r="R183" i="11" s="1"/>
  <c r="P183" i="11"/>
  <c r="S183" i="11"/>
  <c r="S197" i="11"/>
  <c r="Q197" i="11"/>
  <c r="R197" i="11" s="1" a="1"/>
  <c r="R197" i="11" s="1"/>
  <c r="P197" i="11"/>
  <c r="S186" i="11"/>
  <c r="P186" i="11"/>
  <c r="Q186" i="11"/>
  <c r="R186" i="11" s="1" a="1"/>
  <c r="R186" i="11" s="1"/>
  <c r="S165" i="11"/>
  <c r="Q165" i="11"/>
  <c r="R165" i="11" s="1" a="1"/>
  <c r="R165" i="11" s="1"/>
  <c r="P165" i="11"/>
  <c r="S196" i="11"/>
  <c r="P196" i="11"/>
  <c r="Q196" i="11"/>
  <c r="R196" i="11" s="1" a="1"/>
  <c r="R196" i="11" s="1"/>
  <c r="S164" i="11"/>
  <c r="Q164" i="11"/>
  <c r="R164" i="11" s="1" a="1"/>
  <c r="R164" i="11" s="1"/>
  <c r="P164" i="11"/>
  <c r="Q170" i="11"/>
  <c r="R170" i="11" s="1" a="1"/>
  <c r="R170" i="11" s="1"/>
  <c r="P170" i="11"/>
  <c r="S170" i="11"/>
  <c r="S156" i="11"/>
  <c r="P156" i="11"/>
  <c r="Q156" i="11"/>
  <c r="R156" i="11" s="1" a="1"/>
  <c r="R156" i="11" s="1"/>
  <c r="P173" i="11"/>
  <c r="S173" i="11"/>
  <c r="Q173" i="11"/>
  <c r="R173" i="11" s="1" a="1"/>
  <c r="R173" i="11" s="1"/>
  <c r="Q135" i="11"/>
  <c r="R135" i="11" s="1" a="1"/>
  <c r="R135" i="11" s="1"/>
  <c r="S135" i="11"/>
  <c r="P135" i="11"/>
  <c r="P179" i="11"/>
  <c r="Q179" i="11"/>
  <c r="R179" i="11" s="1" a="1"/>
  <c r="R179" i="11" s="1"/>
  <c r="S179" i="11"/>
  <c r="Q167" i="11"/>
  <c r="R167" i="11" s="1" a="1"/>
  <c r="R167" i="11" s="1"/>
  <c r="P167" i="11"/>
  <c r="S167" i="11"/>
  <c r="S181" i="11"/>
  <c r="Q181" i="11"/>
  <c r="R181" i="11" s="1" a="1"/>
  <c r="R181" i="11" s="1"/>
  <c r="P181" i="11"/>
  <c r="O142" i="5"/>
  <c r="N142" i="5"/>
  <c r="O151" i="5"/>
  <c r="N151" i="5"/>
  <c r="P154" i="11"/>
  <c r="Q154" i="11"/>
  <c r="R154" i="11" s="1" a="1"/>
  <c r="R154" i="11" s="1"/>
  <c r="S154" i="11"/>
  <c r="P180" i="11"/>
  <c r="Q180" i="11"/>
  <c r="R180" i="11" s="1" a="1"/>
  <c r="R180" i="11" s="1"/>
  <c r="S180" i="11"/>
  <c r="P199" i="11"/>
  <c r="S199" i="11"/>
  <c r="Q199" i="11"/>
  <c r="R199" i="11" s="1" a="1"/>
  <c r="R199" i="11" s="1"/>
  <c r="S198" i="11"/>
  <c r="P198" i="11"/>
  <c r="Q198" i="11"/>
  <c r="R198" i="11" s="1" a="1"/>
  <c r="R198" i="11" s="1"/>
  <c r="Q161" i="11"/>
  <c r="R161" i="11" s="1" a="1"/>
  <c r="R161" i="11" s="1"/>
  <c r="S161" i="11"/>
  <c r="P161" i="11"/>
  <c r="S178" i="11"/>
  <c r="Q178" i="11"/>
  <c r="R178" i="11" s="1" a="1"/>
  <c r="R178" i="11" s="1"/>
  <c r="P178" i="11"/>
  <c r="O154" i="5"/>
  <c r="N154" i="5"/>
  <c r="S70" i="11"/>
  <c r="Q70" i="11"/>
  <c r="R70" i="11" s="1" a="1"/>
  <c r="R70" i="11" s="1"/>
  <c r="P70" i="11"/>
  <c r="Q189" i="11"/>
  <c r="R189" i="11" s="1" a="1"/>
  <c r="R189" i="11" s="1"/>
  <c r="S189" i="11"/>
  <c r="P189" i="11"/>
  <c r="P155" i="11"/>
  <c r="Q155" i="11"/>
  <c r="R155" i="11" s="1" a="1"/>
  <c r="R155" i="11" s="1"/>
  <c r="S155" i="11"/>
  <c r="Q195" i="11"/>
  <c r="R195" i="11" s="1" a="1"/>
  <c r="R195" i="11" s="1"/>
  <c r="P195" i="11"/>
  <c r="S195" i="11"/>
  <c r="P136" i="11"/>
  <c r="Q136" i="11"/>
  <c r="R136" i="11" s="1" a="1"/>
  <c r="R136" i="11" s="1"/>
  <c r="S136" i="11"/>
  <c r="S162" i="11"/>
  <c r="Q162" i="11"/>
  <c r="R162" i="11" s="1" a="1"/>
  <c r="R162" i="11" s="1"/>
  <c r="P162" i="11"/>
  <c r="Q171" i="11"/>
  <c r="R171" i="11" s="1" a="1"/>
  <c r="R171" i="11" s="1"/>
  <c r="S171" i="11"/>
  <c r="P171" i="11"/>
  <c r="P182" i="11"/>
  <c r="Q182" i="11"/>
  <c r="R182" i="11" s="1" a="1"/>
  <c r="R182" i="11" s="1"/>
  <c r="S182" i="11"/>
  <c r="P138" i="5"/>
  <c r="Q138" i="5"/>
  <c r="R138" i="5" s="1" a="1"/>
  <c r="R138" i="5" s="1"/>
  <c r="S138" i="5" s="1"/>
  <c r="T138" i="5"/>
  <c r="U138" i="5" s="1" a="1"/>
  <c r="U138" i="5" s="1"/>
  <c r="V138" i="5" s="1"/>
  <c r="S194" i="11"/>
  <c r="Q194" i="11"/>
  <c r="R194" i="11" s="1" a="1"/>
  <c r="R194" i="11" s="1"/>
  <c r="P194" i="11"/>
  <c r="S201" i="11"/>
  <c r="P201" i="11"/>
  <c r="Q201" i="11"/>
  <c r="R201" i="11" s="1" a="1"/>
  <c r="R201" i="11" s="1"/>
  <c r="N4" i="12"/>
  <c r="S193" i="11"/>
  <c r="P193" i="11"/>
  <c r="Q193" i="11"/>
  <c r="R193" i="11" s="1" a="1"/>
  <c r="R193" i="11" s="1"/>
  <c r="P177" i="11"/>
  <c r="Q177" i="11"/>
  <c r="R177" i="11" s="1" a="1"/>
  <c r="R177" i="11" s="1"/>
  <c r="S177" i="11"/>
  <c r="Q175" i="11"/>
  <c r="R175" i="11" s="1" a="1"/>
  <c r="R175" i="11" s="1"/>
  <c r="P175" i="11"/>
  <c r="S175" i="11"/>
  <c r="S191" i="11"/>
  <c r="Q191" i="11"/>
  <c r="R191" i="11" s="1" a="1"/>
  <c r="R191" i="11" s="1"/>
  <c r="P191" i="11"/>
  <c r="P163" i="11"/>
  <c r="Q163" i="11"/>
  <c r="R163" i="11" s="1" a="1"/>
  <c r="R163" i="11" s="1"/>
  <c r="S163" i="11"/>
  <c r="P188" i="11"/>
  <c r="Q188" i="11"/>
  <c r="R188" i="11" s="1" a="1"/>
  <c r="R188" i="11" s="1"/>
  <c r="S188" i="11"/>
  <c r="S187" i="11"/>
  <c r="P187" i="11"/>
  <c r="Q187" i="11"/>
  <c r="R187" i="11" s="1" a="1"/>
  <c r="R187" i="11" s="1"/>
  <c r="Q69" i="11"/>
  <c r="R69" i="11" s="1" a="1"/>
  <c r="R69" i="11" s="1"/>
  <c r="S69" i="11"/>
  <c r="P69" i="11"/>
  <c r="P159" i="11"/>
  <c r="Q159" i="11"/>
  <c r="R159" i="11" s="1" a="1"/>
  <c r="R159" i="11" s="1"/>
  <c r="S159" i="11"/>
  <c r="S172" i="11"/>
  <c r="P172" i="11"/>
  <c r="Q172" i="11"/>
  <c r="R172" i="11" s="1" a="1"/>
  <c r="R172" i="11" s="1"/>
  <c r="X137" i="5"/>
  <c r="M146" i="5" s="1"/>
  <c r="M159" i="5"/>
  <c r="N158" i="5"/>
  <c r="X140" i="5"/>
  <c r="N145" i="5" s="1"/>
  <c r="E155" i="5"/>
  <c r="M158" i="5"/>
  <c r="E5" i="12"/>
  <c r="R5" i="1"/>
  <c r="O4" i="12" a="1"/>
  <c r="P4" i="12" a="1"/>
  <c r="T151" i="5" a="1"/>
  <c r="Q151" i="5" a="1"/>
  <c r="P151" i="5" a="1"/>
  <c r="N155" i="5" a="1"/>
  <c r="O155" i="5" a="1"/>
  <c r="N5" i="12" a="1"/>
  <c r="Q142" i="5" a="1"/>
  <c r="T142" i="5" a="1"/>
  <c r="P142" i="5" a="1"/>
  <c r="Q154" i="5" a="1"/>
  <c r="P154" i="5" a="1"/>
  <c r="T154" i="5" a="1"/>
  <c r="R8" i="1" a="1"/>
  <c r="T154" i="5" l="1"/>
  <c r="U154" i="5" s="1" a="1"/>
  <c r="U154" i="5" s="1"/>
  <c r="V154" i="5" s="1"/>
  <c r="P154" i="5"/>
  <c r="Q154" i="5"/>
  <c r="R154" i="5" s="1" a="1"/>
  <c r="R154" i="5" s="1"/>
  <c r="S154" i="5" s="1"/>
  <c r="P142" i="5"/>
  <c r="T142" i="5"/>
  <c r="U142" i="5" s="1" a="1"/>
  <c r="U142" i="5" s="1"/>
  <c r="V142" i="5" s="1"/>
  <c r="Q142" i="5"/>
  <c r="R142" i="5" s="1" a="1"/>
  <c r="R142" i="5" s="1"/>
  <c r="S142" i="5" s="1"/>
  <c r="N5" i="12"/>
  <c r="O155" i="5"/>
  <c r="N155" i="5"/>
  <c r="P151" i="5"/>
  <c r="X151" i="5" s="1"/>
  <c r="Q151" i="5"/>
  <c r="R151" i="5" s="1" a="1"/>
  <c r="R151" i="5" s="1"/>
  <c r="S151" i="5" s="1"/>
  <c r="T151" i="5"/>
  <c r="U151" i="5" s="1" a="1"/>
  <c r="U151" i="5" s="1"/>
  <c r="V151" i="5" s="1"/>
  <c r="P4" i="12"/>
  <c r="Q4" i="12" s="1" a="1"/>
  <c r="Q4" i="12" s="1"/>
  <c r="O4" i="12"/>
  <c r="X138" i="5"/>
  <c r="M147" i="5" s="1"/>
  <c r="M160" i="5"/>
  <c r="E6" i="12"/>
  <c r="X141" i="5"/>
  <c r="N146" i="5" s="1"/>
  <c r="N159" i="5"/>
  <c r="R8" i="1"/>
  <c r="N6" i="12" a="1"/>
  <c r="B3" i="6"/>
  <c r="P155" i="5" a="1"/>
  <c r="T155" i="5" a="1"/>
  <c r="Q155" i="5" a="1"/>
  <c r="P5" i="12" a="1"/>
  <c r="O5" i="12" a="1"/>
  <c r="R9" i="1" a="1"/>
  <c r="B17" i="6" a="1"/>
  <c r="L19" i="6" l="1"/>
  <c r="I25" i="6"/>
  <c r="I54" i="6"/>
  <c r="K60" i="6"/>
  <c r="K44" i="6"/>
  <c r="K45" i="6"/>
  <c r="L33" i="6"/>
  <c r="J27" i="6"/>
  <c r="K20" i="6"/>
  <c r="B31" i="6"/>
  <c r="J61" i="6"/>
  <c r="L62" i="6"/>
  <c r="B46" i="6"/>
  <c r="I47" i="6"/>
  <c r="M23" i="6"/>
  <c r="D59" i="6"/>
  <c r="H63" i="6"/>
  <c r="K26" i="6"/>
  <c r="J32" i="6"/>
  <c r="H61" i="6"/>
  <c r="B45" i="6"/>
  <c r="F37" i="6"/>
  <c r="M36" i="6"/>
  <c r="F27" i="6"/>
  <c r="B56" i="6"/>
  <c r="B53" i="6"/>
  <c r="D56" i="6"/>
  <c r="D63" i="6"/>
  <c r="M58" i="6"/>
  <c r="D49" i="6"/>
  <c r="M18" i="6"/>
  <c r="E44" i="6"/>
  <c r="J62" i="6"/>
  <c r="G27" i="6"/>
  <c r="G23" i="6"/>
  <c r="E41" i="6"/>
  <c r="J20" i="6"/>
  <c r="M35" i="6"/>
  <c r="L58" i="6"/>
  <c r="D53" i="6"/>
  <c r="B23" i="6"/>
  <c r="H30" i="6"/>
  <c r="I36" i="6"/>
  <c r="B58" i="6"/>
  <c r="J55" i="6"/>
  <c r="M44" i="6"/>
  <c r="K32" i="6"/>
  <c r="I33" i="6"/>
  <c r="D54" i="6"/>
  <c r="H43" i="6"/>
  <c r="H60" i="6"/>
  <c r="D62" i="6"/>
  <c r="F60" i="6"/>
  <c r="I27" i="6"/>
  <c r="C43" i="6"/>
  <c r="L46" i="6"/>
  <c r="E62" i="6"/>
  <c r="B20" i="6"/>
  <c r="C48" i="6"/>
  <c r="B40" i="6"/>
  <c r="G24" i="6"/>
  <c r="J30" i="6"/>
  <c r="D19" i="6"/>
  <c r="D42" i="6"/>
  <c r="M46" i="6"/>
  <c r="K36" i="6"/>
  <c r="G47" i="6"/>
  <c r="B36" i="6"/>
  <c r="E56" i="6"/>
  <c r="B63" i="6"/>
  <c r="H27" i="6"/>
  <c r="I59" i="6"/>
  <c r="G40" i="6"/>
  <c r="M30" i="6"/>
  <c r="G50" i="6"/>
  <c r="C57" i="6"/>
  <c r="B18" i="6"/>
  <c r="H20" i="6"/>
  <c r="M25" i="6"/>
  <c r="C61" i="6"/>
  <c r="B57" i="6"/>
  <c r="I61" i="6"/>
  <c r="J49" i="6"/>
  <c r="C56" i="6"/>
  <c r="M63" i="6"/>
  <c r="B21" i="6"/>
  <c r="L24" i="6"/>
  <c r="E39" i="6"/>
  <c r="G61" i="6"/>
  <c r="L28" i="6"/>
  <c r="I32" i="6"/>
  <c r="G46" i="6"/>
  <c r="E54" i="6"/>
  <c r="J31" i="6"/>
  <c r="F42" i="6"/>
  <c r="C20" i="6"/>
  <c r="I39" i="6"/>
  <c r="G20" i="6"/>
  <c r="F33" i="6"/>
  <c r="F30" i="6"/>
  <c r="L36" i="6"/>
  <c r="K18" i="6"/>
  <c r="I60" i="6"/>
  <c r="F58" i="6"/>
  <c r="H36" i="6"/>
  <c r="J48" i="6"/>
  <c r="B19" i="6"/>
  <c r="H29" i="6"/>
  <c r="M56" i="6"/>
  <c r="D18" i="6"/>
  <c r="L37" i="6"/>
  <c r="H46" i="6"/>
  <c r="C45" i="6"/>
  <c r="H17" i="6"/>
  <c r="I26" i="6"/>
  <c r="J37" i="6"/>
  <c r="E30" i="6"/>
  <c r="F59" i="6"/>
  <c r="I29" i="6"/>
  <c r="J25" i="6"/>
  <c r="D44" i="6"/>
  <c r="C41" i="6"/>
  <c r="I38" i="6"/>
  <c r="F61" i="6"/>
  <c r="M37" i="6"/>
  <c r="H33" i="6"/>
  <c r="H26" i="6"/>
  <c r="B59" i="6"/>
  <c r="I37" i="6"/>
  <c r="E46" i="6"/>
  <c r="G52" i="6"/>
  <c r="K59" i="6"/>
  <c r="H21" i="6"/>
  <c r="D22" i="6"/>
  <c r="C25" i="6"/>
  <c r="I18" i="6"/>
  <c r="C36" i="6"/>
  <c r="C55" i="6"/>
  <c r="D52" i="6"/>
  <c r="K22" i="6"/>
  <c r="I17" i="6"/>
  <c r="F44" i="6"/>
  <c r="H42" i="6"/>
  <c r="M28" i="6"/>
  <c r="G58" i="6"/>
  <c r="C23" i="6"/>
  <c r="L52" i="6"/>
  <c r="G18" i="6"/>
  <c r="K58" i="6"/>
  <c r="G53" i="6"/>
  <c r="E60" i="6"/>
  <c r="G33" i="6"/>
  <c r="G19" i="6"/>
  <c r="H18" i="6"/>
  <c r="K47" i="6"/>
  <c r="G31" i="6"/>
  <c r="E47" i="6"/>
  <c r="I52" i="6"/>
  <c r="M40" i="6"/>
  <c r="D26" i="6"/>
  <c r="F38" i="6"/>
  <c r="K21" i="6"/>
  <c r="B27" i="6"/>
  <c r="E25" i="6"/>
  <c r="E61" i="6"/>
  <c r="E40" i="6"/>
  <c r="H54" i="6"/>
  <c r="C52" i="6"/>
  <c r="E57" i="6"/>
  <c r="B26" i="6"/>
  <c r="G21" i="6"/>
  <c r="L57" i="6"/>
  <c r="D27" i="6"/>
  <c r="L20" i="6"/>
  <c r="J56" i="6"/>
  <c r="L61" i="6"/>
  <c r="F56" i="6"/>
  <c r="G57" i="6"/>
  <c r="H23" i="6"/>
  <c r="D21" i="6"/>
  <c r="L30" i="6"/>
  <c r="D20" i="6"/>
  <c r="I40" i="6"/>
  <c r="B51" i="6"/>
  <c r="L63" i="6"/>
  <c r="I41" i="6"/>
  <c r="E27" i="6"/>
  <c r="G41" i="6"/>
  <c r="L18" i="6"/>
  <c r="B28" i="6"/>
  <c r="C37" i="6"/>
  <c r="G49" i="6"/>
  <c r="M59" i="6"/>
  <c r="E23" i="6"/>
  <c r="E22" i="6"/>
  <c r="K42" i="6"/>
  <c r="F57" i="6"/>
  <c r="I24" i="6"/>
  <c r="B41" i="6"/>
  <c r="I48" i="6"/>
  <c r="D31" i="6"/>
  <c r="M29" i="6"/>
  <c r="D25" i="6"/>
  <c r="H45" i="6"/>
  <c r="L53" i="6"/>
  <c r="H41" i="6"/>
  <c r="L49" i="6"/>
  <c r="L41" i="6"/>
  <c r="C54" i="6"/>
  <c r="J63" i="6"/>
  <c r="L40" i="6"/>
  <c r="L48" i="6"/>
  <c r="I21" i="6"/>
  <c r="F45" i="6"/>
  <c r="M22" i="6"/>
  <c r="L54" i="6"/>
  <c r="M38" i="6"/>
  <c r="E18" i="6"/>
  <c r="K39" i="6"/>
  <c r="K53" i="6"/>
  <c r="G45" i="6"/>
  <c r="I53" i="6"/>
  <c r="M24" i="6"/>
  <c r="M34" i="6"/>
  <c r="M61" i="6"/>
  <c r="F53" i="6"/>
  <c r="L55" i="6"/>
  <c r="H59" i="6"/>
  <c r="H58" i="6"/>
  <c r="H38" i="6"/>
  <c r="F23" i="6"/>
  <c r="E33" i="6"/>
  <c r="J17" i="6"/>
  <c r="F63" i="6"/>
  <c r="G48" i="6"/>
  <c r="G38" i="6"/>
  <c r="J45" i="6"/>
  <c r="K30" i="6"/>
  <c r="J23" i="6"/>
  <c r="B29" i="6"/>
  <c r="F50" i="6"/>
  <c r="J42" i="6"/>
  <c r="J22" i="6"/>
  <c r="J38" i="6"/>
  <c r="J52" i="6"/>
  <c r="H37" i="6"/>
  <c r="E58" i="6"/>
  <c r="L29" i="6"/>
  <c r="C31" i="6"/>
  <c r="L23" i="6"/>
  <c r="C21" i="6"/>
  <c r="K62" i="6"/>
  <c r="H35" i="6"/>
  <c r="I57" i="6"/>
  <c r="E19" i="6"/>
  <c r="K25" i="6"/>
  <c r="J41" i="6"/>
  <c r="C38" i="6"/>
  <c r="H49" i="6"/>
  <c r="B47" i="6"/>
  <c r="D46" i="6"/>
  <c r="M17" i="6"/>
  <c r="J35" i="6"/>
  <c r="C35" i="6"/>
  <c r="E38" i="6"/>
  <c r="B38" i="6"/>
  <c r="K43" i="6"/>
  <c r="C19" i="6"/>
  <c r="F36" i="6"/>
  <c r="J40" i="6"/>
  <c r="D57" i="6"/>
  <c r="M33" i="6"/>
  <c r="E45" i="6"/>
  <c r="L59" i="6"/>
  <c r="G60" i="6"/>
  <c r="J59" i="6"/>
  <c r="I31" i="6"/>
  <c r="C33" i="6"/>
  <c r="D24" i="6"/>
  <c r="M32" i="6"/>
  <c r="D37" i="6"/>
  <c r="M27" i="6"/>
  <c r="I34" i="6"/>
  <c r="K51" i="6"/>
  <c r="I22" i="6"/>
  <c r="H55" i="6"/>
  <c r="F43" i="6"/>
  <c r="M49" i="6"/>
  <c r="M42" i="6"/>
  <c r="H19" i="6"/>
  <c r="G30" i="6"/>
  <c r="E29" i="6"/>
  <c r="F41" i="6"/>
  <c r="H50" i="6"/>
  <c r="D39" i="6"/>
  <c r="D28" i="6"/>
  <c r="D40" i="6"/>
  <c r="K55" i="6"/>
  <c r="M39" i="6"/>
  <c r="L39" i="6"/>
  <c r="B52" i="6"/>
  <c r="M57" i="6"/>
  <c r="L44" i="6"/>
  <c r="L27" i="6"/>
  <c r="D34" i="6"/>
  <c r="I51" i="6"/>
  <c r="M21" i="6"/>
  <c r="H34" i="6"/>
  <c r="J60" i="6"/>
  <c r="C32" i="6"/>
  <c r="D51" i="6"/>
  <c r="B62" i="6"/>
  <c r="B49" i="6"/>
  <c r="J53" i="6"/>
  <c r="J24" i="6"/>
  <c r="L22" i="6"/>
  <c r="D60" i="6"/>
  <c r="I56" i="6"/>
  <c r="K52" i="6"/>
  <c r="I28" i="6"/>
  <c r="D55" i="6"/>
  <c r="M52" i="6"/>
  <c r="E24" i="6"/>
  <c r="E63" i="6"/>
  <c r="I62" i="6"/>
  <c r="G34" i="6"/>
  <c r="H32" i="6"/>
  <c r="H28" i="6"/>
  <c r="E48" i="6"/>
  <c r="H53" i="6"/>
  <c r="B30" i="6"/>
  <c r="K57" i="6"/>
  <c r="G22" i="6"/>
  <c r="I46" i="6"/>
  <c r="J47" i="6"/>
  <c r="F19" i="6"/>
  <c r="H24" i="6"/>
  <c r="J19" i="6"/>
  <c r="I20" i="6"/>
  <c r="L25" i="6"/>
  <c r="D33" i="6"/>
  <c r="C18" i="6"/>
  <c r="M20" i="6"/>
  <c r="J54" i="6"/>
  <c r="E50" i="6"/>
  <c r="B37" i="6"/>
  <c r="J29" i="6"/>
  <c r="C53" i="6"/>
  <c r="G26" i="6"/>
  <c r="D48" i="6"/>
  <c r="D30" i="6"/>
  <c r="K41" i="6"/>
  <c r="L47" i="6"/>
  <c r="F39" i="6"/>
  <c r="K17" i="6"/>
  <c r="L43" i="6"/>
  <c r="E32" i="6"/>
  <c r="M62" i="6"/>
  <c r="B33" i="6"/>
  <c r="L42" i="6"/>
  <c r="E35" i="6"/>
  <c r="G36" i="6"/>
  <c r="E20" i="6"/>
  <c r="I55" i="6"/>
  <c r="M43" i="6"/>
  <c r="E43" i="6"/>
  <c r="C40" i="6"/>
  <c r="K34" i="6"/>
  <c r="B60" i="6"/>
  <c r="K38" i="6"/>
  <c r="J57" i="6"/>
  <c r="K48" i="6"/>
  <c r="M31" i="6"/>
  <c r="L26" i="6"/>
  <c r="G28" i="6"/>
  <c r="B43" i="6"/>
  <c r="I45" i="6"/>
  <c r="C49" i="6"/>
  <c r="L51" i="6"/>
  <c r="M47" i="6"/>
  <c r="C17" i="6"/>
  <c r="G56" i="6"/>
  <c r="G54" i="6"/>
  <c r="H31" i="6"/>
  <c r="M26" i="6"/>
  <c r="L21" i="6"/>
  <c r="I58" i="6"/>
  <c r="G39" i="6"/>
  <c r="J18" i="6"/>
  <c r="G63" i="6"/>
  <c r="C47" i="6"/>
  <c r="G32" i="6"/>
  <c r="F20" i="6"/>
  <c r="L17" i="6"/>
  <c r="F28" i="6"/>
  <c r="J51" i="6"/>
  <c r="G44" i="6"/>
  <c r="B42" i="6"/>
  <c r="K54" i="6"/>
  <c r="L45" i="6"/>
  <c r="B44" i="6"/>
  <c r="M54" i="6"/>
  <c r="H40" i="6"/>
  <c r="K61" i="6"/>
  <c r="K19" i="6"/>
  <c r="E53" i="6"/>
  <c r="L50" i="6"/>
  <c r="C51" i="6"/>
  <c r="E51" i="6"/>
  <c r="H44" i="6"/>
  <c r="C44" i="6"/>
  <c r="H62" i="6"/>
  <c r="M53" i="6"/>
  <c r="M55" i="6"/>
  <c r="M60" i="6"/>
  <c r="I44" i="6"/>
  <c r="G43" i="6"/>
  <c r="D58" i="6"/>
  <c r="L38" i="6"/>
  <c r="G29" i="6"/>
  <c r="D61" i="6"/>
  <c r="F48" i="6"/>
  <c r="J34" i="6"/>
  <c r="J33" i="6"/>
  <c r="E49" i="6"/>
  <c r="G35" i="6"/>
  <c r="K50" i="6"/>
  <c r="B34" i="6"/>
  <c r="D50" i="6"/>
  <c r="F32" i="6"/>
  <c r="D36" i="6"/>
  <c r="H47" i="6"/>
  <c r="D38" i="6"/>
  <c r="E36" i="6"/>
  <c r="M48" i="6"/>
  <c r="J44" i="6"/>
  <c r="C63" i="6"/>
  <c r="F21" i="6"/>
  <c r="H56" i="6"/>
  <c r="C59" i="6"/>
  <c r="J46" i="6"/>
  <c r="B48" i="6"/>
  <c r="E42" i="6"/>
  <c r="F24" i="6"/>
  <c r="J43" i="6"/>
  <c r="E37" i="6"/>
  <c r="F51" i="6"/>
  <c r="I63" i="6"/>
  <c r="D23" i="6"/>
  <c r="L60" i="6"/>
  <c r="K40" i="6"/>
  <c r="F34" i="6"/>
  <c r="E26" i="6"/>
  <c r="K33" i="6"/>
  <c r="D45" i="6"/>
  <c r="I23" i="6"/>
  <c r="D32" i="6"/>
  <c r="G55" i="6"/>
  <c r="D35" i="6"/>
  <c r="J28" i="6"/>
  <c r="L35" i="6"/>
  <c r="E59" i="6"/>
  <c r="C26" i="6"/>
  <c r="B50" i="6"/>
  <c r="F47" i="6"/>
  <c r="C60" i="6"/>
  <c r="I19" i="6"/>
  <c r="H51" i="6"/>
  <c r="K29" i="6"/>
  <c r="M41" i="6"/>
  <c r="G62" i="6"/>
  <c r="J21" i="6"/>
  <c r="F29" i="6"/>
  <c r="H52" i="6"/>
  <c r="L32" i="6"/>
  <c r="B61" i="6"/>
  <c r="F46" i="6"/>
  <c r="B55" i="6"/>
  <c r="H39" i="6"/>
  <c r="G42" i="6"/>
  <c r="C62" i="6"/>
  <c r="I42" i="6"/>
  <c r="H25" i="6"/>
  <c r="K23" i="6"/>
  <c r="K63" i="6"/>
  <c r="K49" i="6"/>
  <c r="C30" i="6"/>
  <c r="C58" i="6"/>
  <c r="F31" i="6"/>
  <c r="B25" i="6"/>
  <c r="H48" i="6"/>
  <c r="D41" i="6"/>
  <c r="E17" i="6"/>
  <c r="B22" i="6"/>
  <c r="M50" i="6"/>
  <c r="E28" i="6"/>
  <c r="G51" i="6"/>
  <c r="F25" i="6"/>
  <c r="C28" i="6"/>
  <c r="C24" i="6"/>
  <c r="I30" i="6"/>
  <c r="B32" i="6"/>
  <c r="G59" i="6"/>
  <c r="D43" i="6"/>
  <c r="K37" i="6"/>
  <c r="B35" i="6"/>
  <c r="C39" i="6"/>
  <c r="C29" i="6"/>
  <c r="C42" i="6"/>
  <c r="C22" i="6"/>
  <c r="K46" i="6"/>
  <c r="D29" i="6"/>
  <c r="B39" i="6"/>
  <c r="K24" i="6"/>
  <c r="G17" i="6"/>
  <c r="I35" i="6"/>
  <c r="G37" i="6"/>
  <c r="C50" i="6"/>
  <c r="E21" i="6"/>
  <c r="K28" i="6"/>
  <c r="L34" i="6"/>
  <c r="L56" i="6"/>
  <c r="F26" i="6"/>
  <c r="K31" i="6"/>
  <c r="K35" i="6"/>
  <c r="K56" i="6"/>
  <c r="H57" i="6"/>
  <c r="F17" i="6"/>
  <c r="I43" i="6"/>
  <c r="F52" i="6"/>
  <c r="I50" i="6"/>
  <c r="E52" i="6"/>
  <c r="J58" i="6"/>
  <c r="C34" i="6"/>
  <c r="C27" i="6"/>
  <c r="J26" i="6"/>
  <c r="C46" i="6"/>
  <c r="I49" i="6"/>
  <c r="F35" i="6"/>
  <c r="B24" i="6"/>
  <c r="J50" i="6"/>
  <c r="M19" i="6"/>
  <c r="L31" i="6"/>
  <c r="M51" i="6"/>
  <c r="J39" i="6"/>
  <c r="F62" i="6"/>
  <c r="F40" i="6"/>
  <c r="E31" i="6"/>
  <c r="D17" i="6"/>
  <c r="K27" i="6"/>
  <c r="H22" i="6"/>
  <c r="F49" i="6"/>
  <c r="F55" i="6"/>
  <c r="J36" i="6"/>
  <c r="F22" i="6"/>
  <c r="D47" i="6"/>
  <c r="F18" i="6"/>
  <c r="B54" i="6"/>
  <c r="E55" i="6"/>
  <c r="F54" i="6"/>
  <c r="E34" i="6"/>
  <c r="G25" i="6"/>
  <c r="B17" i="6"/>
  <c r="M45" i="6"/>
  <c r="O5" i="12"/>
  <c r="P5" i="12"/>
  <c r="Q5" i="12" s="1" a="1"/>
  <c r="Q5" i="12" s="1"/>
  <c r="Q155" i="5"/>
  <c r="R155" i="5" s="1" a="1"/>
  <c r="R155" i="5" s="1"/>
  <c r="S155" i="5" s="1"/>
  <c r="T155" i="5"/>
  <c r="U155" i="5" s="1" a="1"/>
  <c r="U155" i="5" s="1"/>
  <c r="V155" i="5" s="1"/>
  <c r="P155" i="5"/>
  <c r="X155" i="5" s="1"/>
  <c r="B2" i="13"/>
  <c r="B2" i="8"/>
  <c r="N6" i="12"/>
  <c r="X142" i="5"/>
  <c r="N147" i="5" s="1"/>
  <c r="X154" i="5"/>
  <c r="E7" i="12"/>
  <c r="R9" i="1"/>
  <c r="C8" i="8" a="1"/>
  <c r="C7" i="8" a="1"/>
  <c r="C6" i="8" a="1"/>
  <c r="C9" i="8" a="1"/>
  <c r="P6" i="12" a="1"/>
  <c r="O6" i="12" a="1"/>
  <c r="N7" i="12" a="1"/>
  <c r="H3" i="13"/>
  <c r="B48" i="13" a="1"/>
  <c r="I3" i="13"/>
  <c r="I2" i="13"/>
  <c r="R10" i="1" a="1"/>
  <c r="H2" i="13" l="1"/>
  <c r="O2" i="13" s="1"/>
  <c r="P2" i="13" s="1"/>
  <c r="B78" i="13"/>
  <c r="B62" i="13"/>
  <c r="B102" i="13"/>
  <c r="B53" i="13"/>
  <c r="B106" i="13"/>
  <c r="B70" i="13"/>
  <c r="B74" i="13"/>
  <c r="B64" i="13"/>
  <c r="B71" i="13"/>
  <c r="B92" i="13"/>
  <c r="B63" i="13"/>
  <c r="B49" i="13"/>
  <c r="B59" i="13"/>
  <c r="B79" i="13"/>
  <c r="B73" i="13"/>
  <c r="B98" i="13"/>
  <c r="B58" i="13"/>
  <c r="B89" i="13"/>
  <c r="B65" i="13"/>
  <c r="B54" i="13"/>
  <c r="B94" i="13"/>
  <c r="B77" i="13"/>
  <c r="B90" i="13"/>
  <c r="B97" i="13"/>
  <c r="B81" i="13"/>
  <c r="B66" i="13"/>
  <c r="B108" i="13"/>
  <c r="B82" i="13"/>
  <c r="B100" i="13"/>
  <c r="B99" i="13"/>
  <c r="B107" i="13"/>
  <c r="B56" i="13"/>
  <c r="B88" i="13"/>
  <c r="B95" i="13"/>
  <c r="B101" i="13"/>
  <c r="B96" i="13"/>
  <c r="B52" i="13"/>
  <c r="B85" i="13"/>
  <c r="B48" i="13"/>
  <c r="B103" i="13"/>
  <c r="B75" i="13"/>
  <c r="B55" i="13"/>
  <c r="B69" i="13"/>
  <c r="B50" i="13"/>
  <c r="B87" i="13"/>
  <c r="B83" i="13"/>
  <c r="B68" i="13"/>
  <c r="B93" i="13"/>
  <c r="B104" i="13"/>
  <c r="B76" i="13"/>
  <c r="B57" i="13"/>
  <c r="B105" i="13"/>
  <c r="B67" i="13"/>
  <c r="B80" i="13"/>
  <c r="B60" i="13"/>
  <c r="B84" i="13"/>
  <c r="B91" i="13"/>
  <c r="B51" i="13"/>
  <c r="B61" i="13"/>
  <c r="B86" i="13"/>
  <c r="B72" i="13"/>
  <c r="N7" i="12"/>
  <c r="O6" i="12"/>
  <c r="P6" i="12"/>
  <c r="Q6" i="12" s="1" a="1"/>
  <c r="Q6" i="12" s="1"/>
  <c r="C9" i="8"/>
  <c r="O28" i="8" s="1" a="1"/>
  <c r="C6" i="8"/>
  <c r="E2" i="8" s="1" a="1"/>
  <c r="C7" i="8"/>
  <c r="O2" i="8" s="1" a="1"/>
  <c r="C8" i="8"/>
  <c r="E28" i="8" s="1" a="1"/>
  <c r="E8" i="12"/>
  <c r="N160" i="5"/>
  <c r="R10" i="1"/>
  <c r="N8" i="12" a="1"/>
  <c r="P7" i="12" a="1"/>
  <c r="O7" i="12" a="1"/>
  <c r="D48" i="13"/>
  <c r="N22" i="13" s="1"/>
  <c r="R4" i="1" a="1"/>
  <c r="O7" i="12" l="1"/>
  <c r="P7" i="12"/>
  <c r="Q7" i="12" s="1" a="1"/>
  <c r="Q7" i="12" s="1"/>
  <c r="N8" i="12"/>
  <c r="P11" i="8"/>
  <c r="Q7" i="8"/>
  <c r="T4" i="8"/>
  <c r="P6" i="8"/>
  <c r="P9" i="8"/>
  <c r="U7" i="8"/>
  <c r="Q5" i="8"/>
  <c r="Q8" i="8"/>
  <c r="Q12" i="8"/>
  <c r="P2" i="8"/>
  <c r="O7" i="8"/>
  <c r="T10" i="8"/>
  <c r="O11" i="8"/>
  <c r="R9" i="8"/>
  <c r="O5" i="8"/>
  <c r="P5" i="8"/>
  <c r="R4" i="8"/>
  <c r="P4" i="8"/>
  <c r="S7" i="8"/>
  <c r="U12" i="8"/>
  <c r="S13" i="8"/>
  <c r="R2" i="8"/>
  <c r="P3" i="8"/>
  <c r="S6" i="8"/>
  <c r="P13" i="8"/>
  <c r="O8" i="8"/>
  <c r="T2" i="8"/>
  <c r="U11" i="8"/>
  <c r="R6" i="8"/>
  <c r="S5" i="8"/>
  <c r="S4" i="8"/>
  <c r="O13" i="8"/>
  <c r="R7" i="8"/>
  <c r="S2" i="8"/>
  <c r="P12" i="8"/>
  <c r="R13" i="8"/>
  <c r="R10" i="8"/>
  <c r="S11" i="8"/>
  <c r="Q10" i="8"/>
  <c r="P7" i="8"/>
  <c r="O10" i="8"/>
  <c r="S12" i="8"/>
  <c r="U2" i="8"/>
  <c r="R5" i="8"/>
  <c r="U3" i="8"/>
  <c r="O3" i="8"/>
  <c r="Q6" i="8"/>
  <c r="O12" i="8"/>
  <c r="R3" i="8"/>
  <c r="T12" i="8"/>
  <c r="Q13" i="8"/>
  <c r="O6" i="8"/>
  <c r="Q4" i="8"/>
  <c r="U8" i="8"/>
  <c r="S3" i="8"/>
  <c r="P8" i="8"/>
  <c r="T8" i="8"/>
  <c r="O4" i="8"/>
  <c r="S10" i="8"/>
  <c r="Q11" i="8"/>
  <c r="S8" i="8"/>
  <c r="Q3" i="8"/>
  <c r="R11" i="8"/>
  <c r="T9" i="8"/>
  <c r="O2" i="8"/>
  <c r="U9" i="8"/>
  <c r="T3" i="8"/>
  <c r="Q9" i="8"/>
  <c r="P10" i="8"/>
  <c r="U13" i="8"/>
  <c r="T7" i="8"/>
  <c r="T13" i="8"/>
  <c r="U6" i="8"/>
  <c r="U10" i="8"/>
  <c r="S9" i="8"/>
  <c r="R12" i="8"/>
  <c r="U4" i="8"/>
  <c r="R8" i="8"/>
  <c r="U5" i="8"/>
  <c r="T5" i="8"/>
  <c r="T11" i="8"/>
  <c r="Q2" i="8"/>
  <c r="O9" i="8"/>
  <c r="T6" i="8"/>
  <c r="E9" i="12"/>
  <c r="I35" i="8"/>
  <c r="E43" i="8"/>
  <c r="H46" i="8"/>
  <c r="K41" i="8"/>
  <c r="G47" i="8"/>
  <c r="H34" i="8"/>
  <c r="K31" i="8"/>
  <c r="H55" i="8"/>
  <c r="J49" i="8"/>
  <c r="F34" i="8"/>
  <c r="F29" i="8"/>
  <c r="I49" i="8"/>
  <c r="F54" i="8"/>
  <c r="E46" i="8"/>
  <c r="E44" i="8"/>
  <c r="F52" i="8"/>
  <c r="E31" i="8"/>
  <c r="F46" i="8"/>
  <c r="E50" i="8"/>
  <c r="E55" i="8"/>
  <c r="E53" i="8"/>
  <c r="I45" i="8"/>
  <c r="G43" i="8"/>
  <c r="H45" i="8"/>
  <c r="K42" i="8"/>
  <c r="K55" i="8"/>
  <c r="I38" i="8"/>
  <c r="H49" i="8"/>
  <c r="G46" i="8"/>
  <c r="I31" i="8"/>
  <c r="G34" i="8"/>
  <c r="F42" i="8"/>
  <c r="J30" i="8"/>
  <c r="G36" i="8"/>
  <c r="H47" i="8"/>
  <c r="G54" i="8"/>
  <c r="G56" i="8"/>
  <c r="G49" i="8"/>
  <c r="H31" i="8"/>
  <c r="H36" i="8"/>
  <c r="J50" i="8"/>
  <c r="J40" i="8"/>
  <c r="E41" i="8"/>
  <c r="G37" i="8"/>
  <c r="E47" i="8"/>
  <c r="I56" i="8"/>
  <c r="G32" i="8"/>
  <c r="I51" i="8"/>
  <c r="I47" i="8"/>
  <c r="I40" i="8"/>
  <c r="K34" i="8"/>
  <c r="I28" i="8"/>
  <c r="G40" i="8"/>
  <c r="I36" i="8"/>
  <c r="G48" i="8"/>
  <c r="K37" i="8"/>
  <c r="E52" i="8"/>
  <c r="I30" i="8"/>
  <c r="J36" i="8"/>
  <c r="E40" i="8"/>
  <c r="J51" i="8"/>
  <c r="K39" i="8"/>
  <c r="G30" i="8"/>
  <c r="J45" i="8"/>
  <c r="H37" i="8"/>
  <c r="K44" i="8"/>
  <c r="F35" i="8"/>
  <c r="I39" i="8"/>
  <c r="F36" i="8"/>
  <c r="K50" i="8"/>
  <c r="F41" i="8"/>
  <c r="J37" i="8"/>
  <c r="J54" i="8"/>
  <c r="H30" i="8"/>
  <c r="F28" i="8"/>
  <c r="I48" i="8"/>
  <c r="F48" i="8"/>
  <c r="E28" i="8"/>
  <c r="G44" i="8"/>
  <c r="E56" i="8"/>
  <c r="I42" i="8"/>
  <c r="F39" i="8"/>
  <c r="I41" i="8"/>
  <c r="I55" i="8"/>
  <c r="J29" i="8"/>
  <c r="K36" i="8"/>
  <c r="J46" i="8"/>
  <c r="G29" i="8"/>
  <c r="K38" i="8"/>
  <c r="J44" i="8"/>
  <c r="E30" i="8"/>
  <c r="F44" i="8"/>
  <c r="G31" i="8"/>
  <c r="F47" i="8"/>
  <c r="K53" i="8"/>
  <c r="H33" i="8"/>
  <c r="J31" i="8"/>
  <c r="H38" i="8"/>
  <c r="E33" i="8"/>
  <c r="H48" i="8"/>
  <c r="E42" i="8"/>
  <c r="H56" i="8"/>
  <c r="I50" i="8"/>
  <c r="I54" i="8"/>
  <c r="I44" i="8"/>
  <c r="K49" i="8"/>
  <c r="H29" i="8"/>
  <c r="E54" i="8"/>
  <c r="H54" i="8"/>
  <c r="F38" i="8"/>
  <c r="J56" i="8"/>
  <c r="E29" i="8"/>
  <c r="I46" i="8"/>
  <c r="G50" i="8"/>
  <c r="J53" i="8"/>
  <c r="I29" i="8"/>
  <c r="F40" i="8"/>
  <c r="J28" i="8"/>
  <c r="K47" i="8"/>
  <c r="I37" i="8"/>
  <c r="G38" i="8"/>
  <c r="G55" i="8"/>
  <c r="F43" i="8"/>
  <c r="G35" i="8"/>
  <c r="J41" i="8"/>
  <c r="H41" i="8"/>
  <c r="J32" i="8"/>
  <c r="F32" i="8"/>
  <c r="E51" i="8"/>
  <c r="J55" i="8"/>
  <c r="F56" i="8"/>
  <c r="H35" i="8"/>
  <c r="F37" i="8"/>
  <c r="J42" i="8"/>
  <c r="H42" i="8"/>
  <c r="K45" i="8"/>
  <c r="K48" i="8"/>
  <c r="K40" i="8"/>
  <c r="G52" i="8"/>
  <c r="K56" i="8"/>
  <c r="I33" i="8"/>
  <c r="K33" i="8"/>
  <c r="K28" i="8"/>
  <c r="E32" i="8"/>
  <c r="K43" i="8"/>
  <c r="H39" i="8"/>
  <c r="J34" i="8"/>
  <c r="E45" i="8"/>
  <c r="H44" i="8"/>
  <c r="E48" i="8"/>
  <c r="J33" i="8"/>
  <c r="F33" i="8"/>
  <c r="G53" i="8"/>
  <c r="J38" i="8"/>
  <c r="E37" i="8"/>
  <c r="H40" i="8"/>
  <c r="K32" i="8"/>
  <c r="E35" i="8"/>
  <c r="E38" i="8"/>
  <c r="H52" i="8"/>
  <c r="H51" i="8"/>
  <c r="H32" i="8"/>
  <c r="F53" i="8"/>
  <c r="K29" i="8"/>
  <c r="G51" i="8"/>
  <c r="I53" i="8"/>
  <c r="F31" i="8"/>
  <c r="F51" i="8"/>
  <c r="G41" i="8"/>
  <c r="H50" i="8"/>
  <c r="E34" i="8"/>
  <c r="J48" i="8"/>
  <c r="K52" i="8"/>
  <c r="J39" i="8"/>
  <c r="E49" i="8"/>
  <c r="F55" i="8"/>
  <c r="F49" i="8"/>
  <c r="H43" i="8"/>
  <c r="E39" i="8"/>
  <c r="H28" i="8"/>
  <c r="G42" i="8"/>
  <c r="K51" i="8"/>
  <c r="K30" i="8"/>
  <c r="G33" i="8"/>
  <c r="K46" i="8"/>
  <c r="F30" i="8"/>
  <c r="H53" i="8"/>
  <c r="E36" i="8"/>
  <c r="I43" i="8"/>
  <c r="G45" i="8"/>
  <c r="J47" i="8"/>
  <c r="G28" i="8"/>
  <c r="I52" i="8"/>
  <c r="I32" i="8"/>
  <c r="I34" i="8"/>
  <c r="G39" i="8"/>
  <c r="K54" i="8"/>
  <c r="J52" i="8"/>
  <c r="K35" i="8"/>
  <c r="J35" i="8"/>
  <c r="J43" i="8"/>
  <c r="F45" i="8"/>
  <c r="F50" i="8"/>
  <c r="K4" i="8"/>
  <c r="L17" i="8"/>
  <c r="E16" i="8"/>
  <c r="H17" i="8"/>
  <c r="J12" i="8"/>
  <c r="J2" i="8"/>
  <c r="H20" i="8"/>
  <c r="K13" i="8"/>
  <c r="L26" i="8"/>
  <c r="H14" i="8"/>
  <c r="E24" i="8"/>
  <c r="F15" i="8"/>
  <c r="L24" i="8"/>
  <c r="H2" i="8"/>
  <c r="F17" i="8"/>
  <c r="L18" i="8"/>
  <c r="I3" i="8"/>
  <c r="H3" i="8"/>
  <c r="F19" i="8"/>
  <c r="G12" i="8"/>
  <c r="F8" i="8"/>
  <c r="L12" i="8"/>
  <c r="K25" i="8"/>
  <c r="K24" i="8"/>
  <c r="L15" i="8"/>
  <c r="K15" i="8"/>
  <c r="L14" i="8"/>
  <c r="J21" i="8"/>
  <c r="J17" i="8"/>
  <c r="L23" i="8"/>
  <c r="M15" i="8"/>
  <c r="M22" i="8"/>
  <c r="L19" i="8"/>
  <c r="K11" i="8"/>
  <c r="I13" i="8"/>
  <c r="M2" i="8"/>
  <c r="H9" i="8"/>
  <c r="H25" i="8"/>
  <c r="J26" i="8"/>
  <c r="I24" i="8"/>
  <c r="H10" i="8"/>
  <c r="F16" i="8"/>
  <c r="F24" i="8"/>
  <c r="K26" i="8"/>
  <c r="E21" i="8"/>
  <c r="H4" i="8"/>
  <c r="M16" i="8"/>
  <c r="L5" i="8"/>
  <c r="F21" i="8"/>
  <c r="I11" i="8"/>
  <c r="M26" i="8"/>
  <c r="G22" i="8"/>
  <c r="K10" i="8"/>
  <c r="J3" i="8"/>
  <c r="I25" i="8"/>
  <c r="G3" i="8"/>
  <c r="I10" i="8"/>
  <c r="I21" i="8"/>
  <c r="M13" i="8"/>
  <c r="I5" i="8"/>
  <c r="F20" i="8"/>
  <c r="I20" i="8"/>
  <c r="F12" i="8"/>
  <c r="I17" i="8"/>
  <c r="G4" i="8"/>
  <c r="F4" i="8"/>
  <c r="I12" i="8"/>
  <c r="I14" i="8"/>
  <c r="H23" i="8"/>
  <c r="E11" i="8"/>
  <c r="G21" i="8"/>
  <c r="M25" i="8"/>
  <c r="L20" i="8"/>
  <c r="J19" i="8"/>
  <c r="G10" i="8"/>
  <c r="J18" i="8"/>
  <c r="G9" i="8"/>
  <c r="F6" i="8"/>
  <c r="G18" i="8"/>
  <c r="G5" i="8"/>
  <c r="J25" i="8"/>
  <c r="H16" i="8"/>
  <c r="G17" i="8"/>
  <c r="M6" i="8"/>
  <c r="J11" i="8"/>
  <c r="H8" i="8"/>
  <c r="I18" i="8"/>
  <c r="M23" i="8"/>
  <c r="L8" i="8"/>
  <c r="G25" i="8"/>
  <c r="K2" i="8"/>
  <c r="F3" i="8"/>
  <c r="F5" i="8"/>
  <c r="I6" i="8"/>
  <c r="E3" i="8"/>
  <c r="F11" i="8"/>
  <c r="K5" i="8"/>
  <c r="K20" i="8"/>
  <c r="J5" i="8"/>
  <c r="L22" i="8"/>
  <c r="M19" i="8"/>
  <c r="E9" i="8"/>
  <c r="I9" i="8"/>
  <c r="K17" i="8"/>
  <c r="H15" i="8"/>
  <c r="H11" i="8"/>
  <c r="E6" i="8"/>
  <c r="E22" i="8"/>
  <c r="M9" i="8"/>
  <c r="E5" i="8"/>
  <c r="G13" i="8"/>
  <c r="E19" i="8"/>
  <c r="J20" i="8"/>
  <c r="H18" i="8"/>
  <c r="G20" i="8"/>
  <c r="H6" i="8"/>
  <c r="K9" i="8"/>
  <c r="H7" i="8"/>
  <c r="L13" i="8"/>
  <c r="G19" i="8"/>
  <c r="I15" i="8"/>
  <c r="J23" i="8"/>
  <c r="E25" i="8"/>
  <c r="H19" i="8"/>
  <c r="K22" i="8"/>
  <c r="F2" i="8"/>
  <c r="H26" i="8"/>
  <c r="K3" i="8"/>
  <c r="E23" i="8"/>
  <c r="J6" i="8"/>
  <c r="M21" i="8"/>
  <c r="K14" i="8"/>
  <c r="G26" i="8"/>
  <c r="M20" i="8"/>
  <c r="G8" i="8"/>
  <c r="F7" i="8"/>
  <c r="G14" i="8"/>
  <c r="F14" i="8"/>
  <c r="G23" i="8"/>
  <c r="I16" i="8"/>
  <c r="F26" i="8"/>
  <c r="M11" i="8"/>
  <c r="J24" i="8"/>
  <c r="J22" i="8"/>
  <c r="E26" i="8"/>
  <c r="M12" i="8"/>
  <c r="F10" i="8"/>
  <c r="G16" i="8"/>
  <c r="J7" i="8"/>
  <c r="I26" i="8"/>
  <c r="M17" i="8"/>
  <c r="E18" i="8"/>
  <c r="F13" i="8"/>
  <c r="E14" i="8"/>
  <c r="L6" i="8"/>
  <c r="L11" i="8"/>
  <c r="G11" i="8"/>
  <c r="L7" i="8"/>
  <c r="M7" i="8"/>
  <c r="J10" i="8"/>
  <c r="E2" i="8"/>
  <c r="L21" i="8"/>
  <c r="J16" i="8"/>
  <c r="G2" i="8"/>
  <c r="F22" i="8"/>
  <c r="E20" i="8"/>
  <c r="I22" i="8"/>
  <c r="J13" i="8"/>
  <c r="I4" i="8"/>
  <c r="J15" i="8"/>
  <c r="I7" i="8"/>
  <c r="M24" i="8"/>
  <c r="K23" i="8"/>
  <c r="J4" i="8"/>
  <c r="I23" i="8"/>
  <c r="H24" i="8"/>
  <c r="G6" i="8"/>
  <c r="K16" i="8"/>
  <c r="I19" i="8"/>
  <c r="M18" i="8"/>
  <c r="G7" i="8"/>
  <c r="E12" i="8"/>
  <c r="E15" i="8"/>
  <c r="H5" i="8"/>
  <c r="E13" i="8"/>
  <c r="M3" i="8"/>
  <c r="G24" i="8"/>
  <c r="M8" i="8"/>
  <c r="I2" i="8"/>
  <c r="M4" i="8"/>
  <c r="E10" i="8"/>
  <c r="F23" i="8"/>
  <c r="H12" i="8"/>
  <c r="F25" i="8"/>
  <c r="E4" i="8"/>
  <c r="H21" i="8"/>
  <c r="M14" i="8"/>
  <c r="K8" i="8"/>
  <c r="L4" i="8"/>
  <c r="H22" i="8"/>
  <c r="L16" i="8"/>
  <c r="K6" i="8"/>
  <c r="M10" i="8"/>
  <c r="L10" i="8"/>
  <c r="J14" i="8"/>
  <c r="F18" i="8"/>
  <c r="K19" i="8"/>
  <c r="I8" i="8"/>
  <c r="J9" i="8"/>
  <c r="K21" i="8"/>
  <c r="H13" i="8"/>
  <c r="K18" i="8"/>
  <c r="L9" i="8"/>
  <c r="K12" i="8"/>
  <c r="E8" i="8"/>
  <c r="L3" i="8"/>
  <c r="E7" i="8"/>
  <c r="M5" i="8"/>
  <c r="L25" i="8"/>
  <c r="F9" i="8"/>
  <c r="G15" i="8"/>
  <c r="K7" i="8"/>
  <c r="J8" i="8"/>
  <c r="L2" i="8"/>
  <c r="E17" i="8"/>
  <c r="S39" i="8"/>
  <c r="U50" i="8"/>
  <c r="S43" i="8"/>
  <c r="R31" i="8"/>
  <c r="Q36" i="8"/>
  <c r="T51" i="8"/>
  <c r="T49" i="8"/>
  <c r="O31" i="8"/>
  <c r="T56" i="8"/>
  <c r="T45" i="8"/>
  <c r="O49" i="8"/>
  <c r="P53" i="8"/>
  <c r="T38" i="8"/>
  <c r="T33" i="8"/>
  <c r="S29" i="8"/>
  <c r="T39" i="8"/>
  <c r="T47" i="8"/>
  <c r="U29" i="8"/>
  <c r="O53" i="8"/>
  <c r="Q53" i="8"/>
  <c r="Q49" i="8"/>
  <c r="U36" i="8"/>
  <c r="T44" i="8"/>
  <c r="Q35" i="8"/>
  <c r="O39" i="8"/>
  <c r="Q29" i="8"/>
  <c r="U54" i="8"/>
  <c r="U28" i="8"/>
  <c r="R48" i="8"/>
  <c r="R42" i="8"/>
  <c r="S53" i="8"/>
  <c r="O32" i="8"/>
  <c r="P56" i="8"/>
  <c r="P43" i="8"/>
  <c r="Q39" i="8"/>
  <c r="T53" i="8"/>
  <c r="U55" i="8"/>
  <c r="S33" i="8"/>
  <c r="P37" i="8"/>
  <c r="S40" i="8"/>
  <c r="O30" i="8"/>
  <c r="O34" i="8"/>
  <c r="S36" i="8"/>
  <c r="O35" i="8"/>
  <c r="T34" i="8"/>
  <c r="S48" i="8"/>
  <c r="O37" i="8"/>
  <c r="O55" i="8"/>
  <c r="T50" i="8"/>
  <c r="U37" i="8"/>
  <c r="O51" i="8"/>
  <c r="O45" i="8"/>
  <c r="P48" i="8"/>
  <c r="S46" i="8"/>
  <c r="P42" i="8"/>
  <c r="P34" i="8"/>
  <c r="T28" i="8"/>
  <c r="U45" i="8"/>
  <c r="U44" i="8"/>
  <c r="S37" i="8"/>
  <c r="P46" i="8"/>
  <c r="R37" i="8"/>
  <c r="R45" i="8"/>
  <c r="S45" i="8"/>
  <c r="R50" i="8"/>
  <c r="U46" i="8"/>
  <c r="O38" i="8"/>
  <c r="P38" i="8"/>
  <c r="R34" i="8"/>
  <c r="O28" i="8"/>
  <c r="U31" i="8"/>
  <c r="P32" i="8"/>
  <c r="O50" i="8"/>
  <c r="T41" i="8"/>
  <c r="T42" i="8"/>
  <c r="S32" i="8"/>
  <c r="Q50" i="8"/>
  <c r="R40" i="8"/>
  <c r="Q40" i="8"/>
  <c r="T37" i="8"/>
  <c r="P49" i="8"/>
  <c r="O29" i="8"/>
  <c r="R32" i="8"/>
  <c r="O47" i="8"/>
  <c r="P54" i="8"/>
  <c r="T55" i="8"/>
  <c r="S52" i="8"/>
  <c r="O56" i="8"/>
  <c r="P28" i="8"/>
  <c r="P30" i="8"/>
  <c r="Q55" i="8"/>
  <c r="Q33" i="8"/>
  <c r="R39" i="8"/>
  <c r="O52" i="8"/>
  <c r="P44" i="8"/>
  <c r="O33" i="8"/>
  <c r="S30" i="8"/>
  <c r="S34" i="8"/>
  <c r="U42" i="8"/>
  <c r="T54" i="8"/>
  <c r="R41" i="8"/>
  <c r="P33" i="8"/>
  <c r="Q45" i="8"/>
  <c r="P35" i="8"/>
  <c r="R53" i="8"/>
  <c r="U39" i="8"/>
  <c r="T36" i="8"/>
  <c r="R55" i="8"/>
  <c r="O44" i="8"/>
  <c r="U40" i="8"/>
  <c r="T43" i="8"/>
  <c r="R56" i="8"/>
  <c r="R52" i="8"/>
  <c r="Q28" i="8"/>
  <c r="R33" i="8"/>
  <c r="U33" i="8"/>
  <c r="Q42" i="8"/>
  <c r="R28" i="8"/>
  <c r="P45" i="8"/>
  <c r="P29" i="8"/>
  <c r="P40" i="8"/>
  <c r="P36" i="8"/>
  <c r="S35" i="8"/>
  <c r="U52" i="8"/>
  <c r="U51" i="8"/>
  <c r="P39" i="8"/>
  <c r="Q32" i="8"/>
  <c r="P51" i="8"/>
  <c r="T29" i="8"/>
  <c r="Q31" i="8"/>
  <c r="S55" i="8"/>
  <c r="U53" i="8"/>
  <c r="R54" i="8"/>
  <c r="Q51" i="8"/>
  <c r="O41" i="8"/>
  <c r="T31" i="8"/>
  <c r="R44" i="8"/>
  <c r="U49" i="8"/>
  <c r="Q41" i="8"/>
  <c r="U30" i="8"/>
  <c r="T30" i="8"/>
  <c r="Q38" i="8"/>
  <c r="R49" i="8"/>
  <c r="S50" i="8"/>
  <c r="Q34" i="8"/>
  <c r="S42" i="8"/>
  <c r="O43" i="8"/>
  <c r="Q52" i="8"/>
  <c r="R29" i="8"/>
  <c r="Q30" i="8"/>
  <c r="S28" i="8"/>
  <c r="T35" i="8"/>
  <c r="R47" i="8"/>
  <c r="R51" i="8"/>
  <c r="P41" i="8"/>
  <c r="S51" i="8"/>
  <c r="R46" i="8"/>
  <c r="Q44" i="8"/>
  <c r="T52" i="8"/>
  <c r="O36" i="8"/>
  <c r="U38" i="8"/>
  <c r="T40" i="8"/>
  <c r="O42" i="8"/>
  <c r="R30" i="8"/>
  <c r="S41" i="8"/>
  <c r="O40" i="8"/>
  <c r="Q56" i="8"/>
  <c r="O46" i="8"/>
  <c r="U56" i="8"/>
  <c r="O54" i="8"/>
  <c r="U35" i="8"/>
  <c r="S49" i="8"/>
  <c r="S54" i="8"/>
  <c r="Q54" i="8"/>
  <c r="T48" i="8"/>
  <c r="Q48" i="8"/>
  <c r="U34" i="8"/>
  <c r="S47" i="8"/>
  <c r="P55" i="8"/>
  <c r="Q43" i="8"/>
  <c r="U43" i="8"/>
  <c r="S38" i="8"/>
  <c r="T32" i="8"/>
  <c r="R43" i="8"/>
  <c r="R35" i="8"/>
  <c r="U47" i="8"/>
  <c r="Q37" i="8"/>
  <c r="P50" i="8"/>
  <c r="U32" i="8"/>
  <c r="Q47" i="8"/>
  <c r="S31" i="8"/>
  <c r="S44" i="8"/>
  <c r="R36" i="8"/>
  <c r="P52" i="8"/>
  <c r="Q46" i="8"/>
  <c r="S56" i="8"/>
  <c r="U41" i="8"/>
  <c r="P31" i="8"/>
  <c r="P47" i="8"/>
  <c r="R38" i="8"/>
  <c r="U48" i="8"/>
  <c r="T46" i="8"/>
  <c r="O48" i="8"/>
  <c r="R4" i="1"/>
  <c r="P8" i="12" a="1"/>
  <c r="O8" i="12" a="1"/>
  <c r="D49" i="13"/>
  <c r="N23" i="13" s="1"/>
  <c r="N9" i="12" a="1"/>
  <c r="R6" i="1" a="1"/>
  <c r="N9" i="12" l="1"/>
  <c r="O8" i="12"/>
  <c r="P8" i="12"/>
  <c r="Q8" i="12" s="1" a="1"/>
  <c r="Q8" i="12" s="1"/>
  <c r="P1" i="8"/>
  <c r="E10" i="12"/>
  <c r="Q1" i="8"/>
  <c r="F1" i="8"/>
  <c r="Q27" i="8"/>
  <c r="P27" i="8"/>
  <c r="G27" i="8"/>
  <c r="G1" i="8"/>
  <c r="F27" i="8"/>
  <c r="R6" i="1"/>
  <c r="N10" i="12" a="1"/>
  <c r="D50" i="13"/>
  <c r="N24" i="13" s="1"/>
  <c r="P9" i="12" a="1"/>
  <c r="O9" i="12" a="1"/>
  <c r="R11" i="1" a="1"/>
  <c r="O9" i="12" l="1"/>
  <c r="P9" i="12"/>
  <c r="Q9" i="12" s="1" a="1"/>
  <c r="Q9" i="12" s="1"/>
  <c r="N10" i="12"/>
  <c r="E11" i="12"/>
  <c r="R11" i="1"/>
  <c r="U2" i="1" s="1" a="1"/>
  <c r="AC2" i="1" s="1"/>
  <c r="O10" i="12" a="1"/>
  <c r="P10" i="12" a="1"/>
  <c r="D51" i="13"/>
  <c r="N25" i="13" s="1"/>
  <c r="N11" i="12" a="1"/>
  <c r="AC3" i="1" a="1"/>
  <c r="N11" i="12" l="1"/>
  <c r="P10" i="12"/>
  <c r="Q10" i="12" s="1" a="1"/>
  <c r="Q10" i="12" s="1"/>
  <c r="O10" i="12"/>
  <c r="E12" i="12"/>
  <c r="Y2" i="1"/>
  <c r="W2" i="1"/>
  <c r="Z2" i="1"/>
  <c r="AA2" i="1"/>
  <c r="AB2" i="1"/>
  <c r="V2" i="1"/>
  <c r="X2" i="1"/>
  <c r="U2" i="1"/>
  <c r="AC3" i="1"/>
  <c r="N12" i="12" a="1"/>
  <c r="D52" i="13"/>
  <c r="N26" i="13" s="1"/>
  <c r="P11" i="12" a="1"/>
  <c r="O11" i="12" a="1"/>
  <c r="Y14" i="1" a="1"/>
  <c r="Y13" i="1" a="1"/>
  <c r="Y12" i="1" a="1"/>
  <c r="Y11" i="1" a="1"/>
  <c r="Y10" i="1" a="1"/>
  <c r="Y9" i="1" a="1"/>
  <c r="Y8" i="1" a="1"/>
  <c r="Y7" i="1" a="1"/>
  <c r="Y6" i="1" a="1"/>
  <c r="Y5" i="1" a="1"/>
  <c r="Y4" i="1" a="1"/>
  <c r="Y3" i="1" a="1"/>
  <c r="Z14" i="1" a="1"/>
  <c r="Z13" i="1" a="1"/>
  <c r="Z12" i="1" a="1"/>
  <c r="Z11" i="1" a="1"/>
  <c r="Z10" i="1" a="1"/>
  <c r="Z9" i="1" a="1"/>
  <c r="Z8" i="1" a="1"/>
  <c r="Z7" i="1" a="1"/>
  <c r="Z6" i="1" a="1"/>
  <c r="Z5" i="1" a="1"/>
  <c r="Z4" i="1" a="1"/>
  <c r="Z3" i="1" a="1"/>
  <c r="AB14" i="1" a="1"/>
  <c r="AB13" i="1" a="1"/>
  <c r="AB12" i="1" a="1"/>
  <c r="AB11" i="1" a="1"/>
  <c r="AB10" i="1" a="1"/>
  <c r="AB9" i="1" a="1"/>
  <c r="AB8" i="1" a="1"/>
  <c r="AB7" i="1" a="1"/>
  <c r="AB6" i="1" a="1"/>
  <c r="AB5" i="1" a="1"/>
  <c r="AB4" i="1" a="1"/>
  <c r="AB3" i="1" a="1"/>
  <c r="V14" i="1" a="1"/>
  <c r="V13" i="1" a="1"/>
  <c r="V12" i="1" a="1"/>
  <c r="V11" i="1" a="1"/>
  <c r="V10" i="1" a="1"/>
  <c r="V9" i="1" a="1"/>
  <c r="V8" i="1" a="1"/>
  <c r="V7" i="1" a="1"/>
  <c r="V6" i="1" a="1"/>
  <c r="V5" i="1" a="1"/>
  <c r="V4" i="1" a="1"/>
  <c r="V3" i="1" a="1"/>
  <c r="U14" i="1" a="1"/>
  <c r="U13" i="1" a="1"/>
  <c r="U12" i="1" a="1"/>
  <c r="U11" i="1" a="1"/>
  <c r="U10" i="1" a="1"/>
  <c r="U9" i="1" a="1"/>
  <c r="U8" i="1" a="1"/>
  <c r="U7" i="1" a="1"/>
  <c r="U6" i="1" a="1"/>
  <c r="U5" i="1" a="1"/>
  <c r="U4" i="1" a="1"/>
  <c r="U3" i="1" a="1"/>
  <c r="W14" i="1" a="1"/>
  <c r="W13" i="1" a="1"/>
  <c r="W12" i="1" a="1"/>
  <c r="W11" i="1" a="1"/>
  <c r="W10" i="1" a="1"/>
  <c r="W9" i="1" a="1"/>
  <c r="W8" i="1" a="1"/>
  <c r="W7" i="1" a="1"/>
  <c r="W6" i="1" a="1"/>
  <c r="W5" i="1" a="1"/>
  <c r="W4" i="1" a="1"/>
  <c r="W3" i="1" a="1"/>
  <c r="AA14" i="1" a="1"/>
  <c r="AA13" i="1" a="1"/>
  <c r="AA12" i="1" a="1"/>
  <c r="AA11" i="1" a="1"/>
  <c r="AA10" i="1" a="1"/>
  <c r="AA9" i="1" a="1"/>
  <c r="AA8" i="1" a="1"/>
  <c r="AA7" i="1" a="1"/>
  <c r="AA6" i="1" a="1"/>
  <c r="AA5" i="1" a="1"/>
  <c r="AA4" i="1" a="1"/>
  <c r="AA3" i="1" a="1"/>
  <c r="X14" i="1" a="1"/>
  <c r="X13" i="1" a="1"/>
  <c r="X12" i="1" a="1"/>
  <c r="X11" i="1" a="1"/>
  <c r="X10" i="1" a="1"/>
  <c r="X9" i="1" a="1"/>
  <c r="X8" i="1" a="1"/>
  <c r="X7" i="1" a="1"/>
  <c r="X6" i="1" a="1"/>
  <c r="X5" i="1" a="1"/>
  <c r="X4" i="1" a="1"/>
  <c r="X3" i="1" a="1"/>
  <c r="AC4" i="1" a="1"/>
  <c r="O11" i="12" l="1"/>
  <c r="P11" i="12"/>
  <c r="Q11" i="12" s="1" a="1"/>
  <c r="Q11" i="12" s="1"/>
  <c r="N12" i="12"/>
  <c r="E13" i="12"/>
  <c r="X3" i="1"/>
  <c r="X4" i="1"/>
  <c r="X5" i="1"/>
  <c r="X6" i="1"/>
  <c r="X7" i="1"/>
  <c r="X8" i="1"/>
  <c r="X9" i="1"/>
  <c r="X10" i="1"/>
  <c r="X11" i="1"/>
  <c r="X12" i="1"/>
  <c r="X13" i="1"/>
  <c r="X14" i="1"/>
  <c r="AA3" i="1"/>
  <c r="AA4" i="1"/>
  <c r="AA5" i="1"/>
  <c r="AA6" i="1"/>
  <c r="AA7" i="1"/>
  <c r="AA8" i="1"/>
  <c r="AA9" i="1"/>
  <c r="AA10" i="1"/>
  <c r="AA11" i="1"/>
  <c r="AA12" i="1"/>
  <c r="AA13" i="1"/>
  <c r="AA14" i="1"/>
  <c r="W3" i="1"/>
  <c r="W4" i="1"/>
  <c r="W5" i="1"/>
  <c r="W6" i="1"/>
  <c r="W7" i="1"/>
  <c r="W8" i="1"/>
  <c r="W9" i="1"/>
  <c r="W10" i="1"/>
  <c r="W11" i="1"/>
  <c r="W12" i="1"/>
  <c r="W13" i="1"/>
  <c r="W14" i="1"/>
  <c r="U3" i="1"/>
  <c r="U4" i="1"/>
  <c r="U5" i="1"/>
  <c r="U6" i="1"/>
  <c r="U7" i="1"/>
  <c r="U8" i="1"/>
  <c r="U9" i="1"/>
  <c r="U10" i="1"/>
  <c r="U11" i="1"/>
  <c r="U12" i="1"/>
  <c r="U13" i="1"/>
  <c r="U14" i="1"/>
  <c r="V3" i="1"/>
  <c r="V4" i="1"/>
  <c r="V5" i="1"/>
  <c r="V6" i="1"/>
  <c r="V7" i="1"/>
  <c r="V8" i="1"/>
  <c r="V9" i="1"/>
  <c r="V10" i="1"/>
  <c r="V11" i="1"/>
  <c r="V12" i="1"/>
  <c r="V13" i="1"/>
  <c r="V14" i="1"/>
  <c r="AB3" i="1"/>
  <c r="AB4" i="1"/>
  <c r="AB5" i="1"/>
  <c r="AB6" i="1"/>
  <c r="AB7" i="1"/>
  <c r="AB8" i="1"/>
  <c r="AB9" i="1"/>
  <c r="AB10" i="1"/>
  <c r="AB11" i="1"/>
  <c r="AB12" i="1"/>
  <c r="AB13" i="1"/>
  <c r="AB14" i="1"/>
  <c r="Z3" i="1"/>
  <c r="Z4" i="1"/>
  <c r="Z5" i="1"/>
  <c r="Z6" i="1"/>
  <c r="Z7" i="1"/>
  <c r="Z8" i="1"/>
  <c r="Z9" i="1"/>
  <c r="Z10" i="1"/>
  <c r="Z11" i="1"/>
  <c r="Z12" i="1"/>
  <c r="Z13" i="1"/>
  <c r="Z14" i="1"/>
  <c r="Y3" i="1"/>
  <c r="Y4" i="1"/>
  <c r="Y5" i="1"/>
  <c r="Y6" i="1"/>
  <c r="Y7" i="1"/>
  <c r="Y8" i="1"/>
  <c r="Y9" i="1"/>
  <c r="Y10" i="1"/>
  <c r="Y11" i="1"/>
  <c r="Y12" i="1"/>
  <c r="Y13" i="1"/>
  <c r="Y14" i="1"/>
  <c r="AC4" i="1"/>
  <c r="O12" i="12" a="1"/>
  <c r="P12" i="12" a="1"/>
  <c r="N13" i="12" a="1"/>
  <c r="D53" i="13"/>
  <c r="N27" i="13" s="1"/>
  <c r="AC5" i="1" a="1"/>
  <c r="N13" i="12" l="1"/>
  <c r="P12" i="12"/>
  <c r="Q12" i="12" s="1" a="1"/>
  <c r="Q12" i="12" s="1"/>
  <c r="O12" i="12"/>
  <c r="E14" i="12"/>
  <c r="AC5" i="1"/>
  <c r="O13" i="12" a="1"/>
  <c r="P13" i="12" a="1"/>
  <c r="D54" i="13"/>
  <c r="N28" i="13" s="1"/>
  <c r="N14" i="12" a="1"/>
  <c r="AC6" i="1" a="1"/>
  <c r="N14" i="12" l="1"/>
  <c r="P13" i="12"/>
  <c r="Q13" i="12" s="1" a="1"/>
  <c r="Q13" i="12" s="1"/>
  <c r="O13" i="12"/>
  <c r="E15" i="12"/>
  <c r="AC6" i="1"/>
  <c r="O14" i="12" a="1"/>
  <c r="P14" i="12" a="1"/>
  <c r="N15" i="12" a="1"/>
  <c r="D55" i="13"/>
  <c r="N29" i="13" s="1"/>
  <c r="AC7" i="1" a="1"/>
  <c r="N15" i="12" l="1"/>
  <c r="P14" i="12"/>
  <c r="Q14" i="12" s="1" a="1"/>
  <c r="Q14" i="12" s="1"/>
  <c r="O14" i="12"/>
  <c r="E16" i="12"/>
  <c r="AC7" i="1"/>
  <c r="O15" i="12" a="1"/>
  <c r="P15" i="12" a="1"/>
  <c r="D56" i="13"/>
  <c r="N30" i="13" s="1"/>
  <c r="N16" i="12" a="1"/>
  <c r="AC8" i="1" a="1"/>
  <c r="N16" i="12" l="1"/>
  <c r="P15" i="12"/>
  <c r="Q15" i="12" s="1" a="1"/>
  <c r="Q15" i="12" s="1"/>
  <c r="O15" i="12"/>
  <c r="E17" i="12"/>
  <c r="AC8" i="1"/>
  <c r="O16" i="12" a="1"/>
  <c r="P16" i="12" a="1"/>
  <c r="N17" i="12" a="1"/>
  <c r="D57" i="13"/>
  <c r="N31" i="13" s="1"/>
  <c r="AC9" i="1" a="1"/>
  <c r="N17" i="12" l="1"/>
  <c r="P16" i="12"/>
  <c r="Q16" i="12" s="1" a="1"/>
  <c r="Q16" i="12" s="1"/>
  <c r="O16" i="12"/>
  <c r="AC9" i="1"/>
  <c r="P17" i="12" a="1"/>
  <c r="O17" i="12" a="1"/>
  <c r="D58" i="13"/>
  <c r="N32" i="13" s="1"/>
  <c r="AC10" i="1" a="1"/>
  <c r="O17" i="12" l="1"/>
  <c r="P17" i="12"/>
  <c r="Q17" i="12" s="1" a="1"/>
  <c r="Q17" i="12" s="1"/>
  <c r="AC10" i="1"/>
  <c r="D59" i="13"/>
  <c r="N33" i="13" s="1"/>
  <c r="AC11" i="1" a="1"/>
  <c r="AC11" i="1" l="1"/>
  <c r="D60" i="13"/>
  <c r="N34" i="13" s="1"/>
  <c r="AC12" i="1" a="1"/>
  <c r="AC12" i="1" l="1"/>
  <c r="D61" i="13"/>
  <c r="N35" i="13" s="1"/>
  <c r="AC13" i="1" a="1"/>
  <c r="AC13" i="1" l="1"/>
  <c r="D62" i="13"/>
  <c r="N36" i="13" s="1"/>
  <c r="AC14" i="1" a="1"/>
  <c r="AC14" i="1" l="1"/>
  <c r="D63" i="13"/>
  <c r="N37" i="13" s="1"/>
  <c r="U16" i="1" a="1"/>
  <c r="U16" i="1" l="1"/>
  <c r="D64" i="13"/>
  <c r="N38" i="13" s="1"/>
  <c r="V16" i="1" a="1"/>
  <c r="V16" i="1" l="1"/>
  <c r="D65" i="13"/>
  <c r="N39" i="13" s="1"/>
  <c r="W16" i="1" a="1"/>
  <c r="W16" i="1" l="1"/>
  <c r="D66" i="13"/>
  <c r="N40" i="13" s="1"/>
  <c r="X16" i="1" a="1"/>
  <c r="X16" i="1" l="1"/>
  <c r="D67" i="13"/>
  <c r="N41" i="13" s="1"/>
  <c r="Y16" i="1" a="1"/>
  <c r="Y16" i="1" l="1"/>
  <c r="D68" i="13"/>
  <c r="N42" i="13" s="1"/>
  <c r="Z16" i="1" a="1"/>
  <c r="Z16" i="1" l="1"/>
  <c r="C15" i="13"/>
  <c r="C6" i="13" s="1" a="1"/>
  <c r="D69" i="13"/>
  <c r="N43" i="13" s="1"/>
  <c r="AA16" i="1" a="1"/>
  <c r="C6" i="13" l="1"/>
  <c r="AA16" i="1"/>
  <c r="H12" i="13"/>
  <c r="U17" i="1" a="1"/>
  <c r="H16" i="13" l="1"/>
  <c r="G21" i="13" s="1" a="1"/>
  <c r="H13" i="13"/>
  <c r="U17" i="1"/>
  <c r="S17" i="1"/>
  <c r="H8" i="13" a="1"/>
  <c r="H15" i="13"/>
  <c r="H6" i="13"/>
  <c r="H5" i="13"/>
  <c r="H14" i="13"/>
  <c r="V17" i="1" a="1"/>
  <c r="H8" i="13" l="1"/>
  <c r="J10" i="13"/>
  <c r="I8" i="13"/>
  <c r="J8" i="13"/>
  <c r="H9" i="13"/>
  <c r="I9" i="13"/>
  <c r="J9" i="13"/>
  <c r="H10" i="13"/>
  <c r="I10" i="13"/>
  <c r="G21" i="13"/>
  <c r="I23" i="13"/>
  <c r="H26" i="13"/>
  <c r="G29" i="13"/>
  <c r="I31" i="13"/>
  <c r="H34" i="13"/>
  <c r="G37" i="13"/>
  <c r="I39" i="13"/>
  <c r="H42" i="13"/>
  <c r="G45" i="13"/>
  <c r="I47" i="13"/>
  <c r="H50" i="13"/>
  <c r="G53" i="13"/>
  <c r="I55" i="13"/>
  <c r="H58" i="13"/>
  <c r="G61" i="13"/>
  <c r="H21" i="13"/>
  <c r="G24" i="13"/>
  <c r="I26" i="13"/>
  <c r="H29" i="13"/>
  <c r="G32" i="13"/>
  <c r="I34" i="13"/>
  <c r="H37" i="13"/>
  <c r="G40" i="13"/>
  <c r="I42" i="13"/>
  <c r="H45" i="13"/>
  <c r="G48" i="13"/>
  <c r="I50" i="13"/>
  <c r="H53" i="13"/>
  <c r="G56" i="13"/>
  <c r="I58" i="13"/>
  <c r="H61" i="13"/>
  <c r="I21" i="13"/>
  <c r="H24" i="13"/>
  <c r="G27" i="13"/>
  <c r="I29" i="13"/>
  <c r="H32" i="13"/>
  <c r="G35" i="13"/>
  <c r="I37" i="13"/>
  <c r="H40" i="13"/>
  <c r="G43" i="13"/>
  <c r="I45" i="13"/>
  <c r="H48" i="13"/>
  <c r="H56" i="13"/>
  <c r="G22" i="13"/>
  <c r="I24" i="13"/>
  <c r="H27" i="13"/>
  <c r="G30" i="13"/>
  <c r="I32" i="13"/>
  <c r="H35" i="13"/>
  <c r="G38" i="13"/>
  <c r="I40" i="13"/>
  <c r="H43" i="13"/>
  <c r="G46" i="13"/>
  <c r="I48" i="13"/>
  <c r="H51" i="13"/>
  <c r="G54" i="13"/>
  <c r="I56" i="13"/>
  <c r="H59" i="13"/>
  <c r="G62" i="13"/>
  <c r="I25" i="13"/>
  <c r="G31" i="13"/>
  <c r="H36" i="13"/>
  <c r="I41" i="13"/>
  <c r="G47" i="13"/>
  <c r="H52" i="13"/>
  <c r="I57" i="13"/>
  <c r="H23" i="13"/>
  <c r="I28" i="13"/>
  <c r="G34" i="13"/>
  <c r="I36" i="13"/>
  <c r="G42" i="13"/>
  <c r="H47" i="13"/>
  <c r="I52" i="13"/>
  <c r="G58" i="13"/>
  <c r="G51" i="13"/>
  <c r="G59" i="13"/>
  <c r="H22" i="13"/>
  <c r="G25" i="13"/>
  <c r="I27" i="13"/>
  <c r="H30" i="13"/>
  <c r="G33" i="13"/>
  <c r="I35" i="13"/>
  <c r="H38" i="13"/>
  <c r="G41" i="13"/>
  <c r="I43" i="13"/>
  <c r="H46" i="13"/>
  <c r="G49" i="13"/>
  <c r="I51" i="13"/>
  <c r="H54" i="13"/>
  <c r="G57" i="13"/>
  <c r="I59" i="13"/>
  <c r="H62" i="13"/>
  <c r="G23" i="13"/>
  <c r="H28" i="13"/>
  <c r="I33" i="13"/>
  <c r="G39" i="13"/>
  <c r="H44" i="13"/>
  <c r="I49" i="13"/>
  <c r="G55" i="13"/>
  <c r="H60" i="13"/>
  <c r="G26" i="13"/>
  <c r="H31" i="13"/>
  <c r="H39" i="13"/>
  <c r="I44" i="13"/>
  <c r="G50" i="13"/>
  <c r="H55" i="13"/>
  <c r="I60" i="13"/>
  <c r="I53" i="13"/>
  <c r="I61" i="13"/>
  <c r="I22" i="13"/>
  <c r="H25" i="13"/>
  <c r="G28" i="13"/>
  <c r="I30" i="13"/>
  <c r="H33" i="13"/>
  <c r="G36" i="13"/>
  <c r="I38" i="13"/>
  <c r="H41" i="13"/>
  <c r="G44" i="13"/>
  <c r="I46" i="13"/>
  <c r="H49" i="13"/>
  <c r="G52" i="13"/>
  <c r="I54" i="13"/>
  <c r="H57" i="13"/>
  <c r="G60" i="13"/>
  <c r="I62" i="13"/>
  <c r="O3" i="13"/>
  <c r="K21" i="13" a="1"/>
  <c r="V17" i="1"/>
  <c r="W40" i="13"/>
  <c r="W30" i="13"/>
  <c r="W42" i="13"/>
  <c r="W35" i="13"/>
  <c r="W31" i="13"/>
  <c r="W34" i="13"/>
  <c r="W23" i="13"/>
  <c r="W26" i="13"/>
  <c r="W37" i="13"/>
  <c r="W25" i="13"/>
  <c r="W39" i="13"/>
  <c r="W28" i="13"/>
  <c r="W24" i="13"/>
  <c r="W33" i="13"/>
  <c r="W27" i="13"/>
  <c r="W38" i="13"/>
  <c r="W29" i="13"/>
  <c r="W36" i="13"/>
  <c r="W32" i="13"/>
  <c r="W22" i="13"/>
  <c r="W41" i="13"/>
  <c r="W17" i="1" a="1"/>
  <c r="L9" i="13" l="1"/>
  <c r="L10" i="13"/>
  <c r="O6" i="13" s="1"/>
  <c r="P6" i="13" s="1"/>
  <c r="K48" i="13"/>
  <c r="M36" i="13"/>
  <c r="O36" i="13" s="1"/>
  <c r="L45" i="13"/>
  <c r="L34" i="13"/>
  <c r="K52" i="13"/>
  <c r="K44" i="13"/>
  <c r="K35" i="13"/>
  <c r="L24" i="13"/>
  <c r="K34" i="13"/>
  <c r="L36" i="13"/>
  <c r="M41" i="13"/>
  <c r="O41" i="13" s="1"/>
  <c r="M44" i="13"/>
  <c r="L59" i="13"/>
  <c r="K61" i="13"/>
  <c r="M24" i="13"/>
  <c r="O24" i="13" s="1"/>
  <c r="L52" i="13"/>
  <c r="M35" i="13"/>
  <c r="O35" i="13" s="1"/>
  <c r="L57" i="13"/>
  <c r="M53" i="13"/>
  <c r="L43" i="13"/>
  <c r="L62" i="13"/>
  <c r="M33" i="13"/>
  <c r="O33" i="13" s="1"/>
  <c r="K38" i="13"/>
  <c r="M29" i="13"/>
  <c r="O29" i="13" s="1"/>
  <c r="L27" i="13"/>
  <c r="M58" i="13"/>
  <c r="M62" i="13"/>
  <c r="M51" i="13"/>
  <c r="L39" i="13"/>
  <c r="K58" i="13"/>
  <c r="L51" i="13"/>
  <c r="M49" i="13"/>
  <c r="L50" i="13"/>
  <c r="K21" i="13"/>
  <c r="L35" i="13"/>
  <c r="L54" i="13"/>
  <c r="L53" i="13"/>
  <c r="L46" i="13"/>
  <c r="M57" i="13"/>
  <c r="L25" i="13"/>
  <c r="L33" i="13"/>
  <c r="L56" i="13"/>
  <c r="K62" i="13"/>
  <c r="K31" i="13"/>
  <c r="M22" i="13"/>
  <c r="M54" i="13"/>
  <c r="K37" i="13"/>
  <c r="L61" i="13"/>
  <c r="K59" i="13"/>
  <c r="K29" i="13"/>
  <c r="M38" i="13"/>
  <c r="O38" i="13" s="1"/>
  <c r="M46" i="13"/>
  <c r="M48" i="13"/>
  <c r="K33" i="13"/>
  <c r="L47" i="13"/>
  <c r="M47" i="13"/>
  <c r="L55" i="13"/>
  <c r="L30" i="13"/>
  <c r="M40" i="13"/>
  <c r="O40" i="13" s="1"/>
  <c r="M27" i="13"/>
  <c r="O27" i="13" s="1"/>
  <c r="M60" i="13"/>
  <c r="M34" i="13"/>
  <c r="O34" i="13" s="1"/>
  <c r="L28" i="13"/>
  <c r="K47" i="13"/>
  <c r="K46" i="13"/>
  <c r="L60" i="13"/>
  <c r="K57" i="13"/>
  <c r="M39" i="13"/>
  <c r="O39" i="13" s="1"/>
  <c r="M59" i="13"/>
  <c r="L37" i="13"/>
  <c r="L22" i="13"/>
  <c r="M37" i="13"/>
  <c r="O37" i="13" s="1"/>
  <c r="M30" i="13"/>
  <c r="O30" i="13" s="1"/>
  <c r="M32" i="13"/>
  <c r="O32" i="13" s="1"/>
  <c r="K27" i="13"/>
  <c r="M42" i="13"/>
  <c r="O42" i="13" s="1"/>
  <c r="M61" i="13"/>
  <c r="L26" i="13"/>
  <c r="M21" i="13"/>
  <c r="K41" i="13"/>
  <c r="K60" i="13"/>
  <c r="L23" i="13"/>
  <c r="M52" i="13"/>
  <c r="K28" i="13"/>
  <c r="L44" i="13"/>
  <c r="M25" i="13"/>
  <c r="O25" i="13" s="1"/>
  <c r="L42" i="13"/>
  <c r="K45" i="13"/>
  <c r="K39" i="13"/>
  <c r="K23" i="13"/>
  <c r="K55" i="13"/>
  <c r="L32" i="13"/>
  <c r="K25" i="13"/>
  <c r="K50" i="13"/>
  <c r="M45" i="13"/>
  <c r="K36" i="13"/>
  <c r="K51" i="13"/>
  <c r="K24" i="13"/>
  <c r="K40" i="13"/>
  <c r="M43" i="13"/>
  <c r="O43" i="13" s="1"/>
  <c r="K56" i="13"/>
  <c r="M26" i="13"/>
  <c r="O26" i="13" s="1"/>
  <c r="L31" i="13"/>
  <c r="M50" i="13"/>
  <c r="L38" i="13"/>
  <c r="K42" i="13"/>
  <c r="M31" i="13"/>
  <c r="O31" i="13" s="1"/>
  <c r="L29" i="13"/>
  <c r="K43" i="13"/>
  <c r="K30" i="13"/>
  <c r="K54" i="13"/>
  <c r="L48" i="13"/>
  <c r="K26" i="13"/>
  <c r="M55" i="13"/>
  <c r="M28" i="13"/>
  <c r="O28" i="13" s="1"/>
  <c r="K32" i="13"/>
  <c r="K53" i="13"/>
  <c r="L58" i="13"/>
  <c r="M23" i="13"/>
  <c r="O23" i="13" s="1"/>
  <c r="K49" i="13"/>
  <c r="L41" i="13"/>
  <c r="L49" i="13"/>
  <c r="M56" i="13"/>
  <c r="L21" i="13"/>
  <c r="L40" i="13"/>
  <c r="K22" i="13"/>
  <c r="U22" i="13" s="1"/>
  <c r="O5" i="13"/>
  <c r="P5" i="13" s="1"/>
  <c r="O10" i="13"/>
  <c r="P3" i="13"/>
  <c r="W17" i="1"/>
  <c r="S33" i="13"/>
  <c r="S38" i="13"/>
  <c r="S25" i="13"/>
  <c r="S26" i="13"/>
  <c r="S39" i="13"/>
  <c r="S28" i="13"/>
  <c r="S22" i="13"/>
  <c r="S23" i="13"/>
  <c r="S41" i="13"/>
  <c r="S27" i="13"/>
  <c r="S24" i="13"/>
  <c r="S42" i="13"/>
  <c r="S34" i="13"/>
  <c r="S36" i="13"/>
  <c r="S32" i="13"/>
  <c r="S29" i="13"/>
  <c r="S37" i="13"/>
  <c r="S40" i="13"/>
  <c r="S35" i="13"/>
  <c r="S30" i="13"/>
  <c r="S31" i="13"/>
  <c r="X17" i="1" a="1"/>
  <c r="P43" i="13" l="1"/>
  <c r="Q43" i="13"/>
  <c r="J23" i="13"/>
  <c r="U28" i="13"/>
  <c r="U31" i="13"/>
  <c r="U42" i="13"/>
  <c r="U23" i="13"/>
  <c r="U29" i="13"/>
  <c r="U26" i="13"/>
  <c r="U39" i="13"/>
  <c r="U34" i="13"/>
  <c r="U37" i="13"/>
  <c r="U38" i="13"/>
  <c r="U35" i="13"/>
  <c r="U32" i="13"/>
  <c r="U36" i="13"/>
  <c r="U41" i="13"/>
  <c r="U30" i="13"/>
  <c r="U33" i="13"/>
  <c r="U40" i="13"/>
  <c r="U27" i="13"/>
  <c r="U24" i="13"/>
  <c r="U25" i="13"/>
  <c r="V34" i="13"/>
  <c r="X34" i="13" s="1"/>
  <c r="Y34" i="13" s="1"/>
  <c r="V30" i="13"/>
  <c r="X30" i="13" s="1"/>
  <c r="Y30" i="13" s="1"/>
  <c r="V38" i="13"/>
  <c r="X38" i="13" s="1"/>
  <c r="Y38" i="13" s="1"/>
  <c r="V32" i="13"/>
  <c r="X32" i="13" s="1"/>
  <c r="Y32" i="13" s="1"/>
  <c r="V40" i="13"/>
  <c r="X40" i="13" s="1"/>
  <c r="Y40" i="13" s="1"/>
  <c r="V27" i="13"/>
  <c r="X27" i="13" s="1"/>
  <c r="Y27" i="13" s="1"/>
  <c r="V42" i="13"/>
  <c r="X42" i="13" s="1"/>
  <c r="Y42" i="13" s="1"/>
  <c r="V24" i="13"/>
  <c r="X24" i="13" s="1"/>
  <c r="Y24" i="13" s="1"/>
  <c r="V22" i="13"/>
  <c r="X22" i="13" s="1"/>
  <c r="Y22" i="13" s="1"/>
  <c r="Z22" i="13" s="1"/>
  <c r="V33" i="13"/>
  <c r="X33" i="13" s="1"/>
  <c r="Y33" i="13" s="1"/>
  <c r="V36" i="13"/>
  <c r="X36" i="13" s="1"/>
  <c r="Y36" i="13" s="1"/>
  <c r="V35" i="13"/>
  <c r="X35" i="13" s="1"/>
  <c r="Y35" i="13" s="1"/>
  <c r="V28" i="13"/>
  <c r="X28" i="13" s="1"/>
  <c r="Y28" i="13" s="1"/>
  <c r="V41" i="13"/>
  <c r="X41" i="13" s="1"/>
  <c r="Y41" i="13" s="1"/>
  <c r="V31" i="13"/>
  <c r="X31" i="13" s="1"/>
  <c r="Y31" i="13" s="1"/>
  <c r="V23" i="13"/>
  <c r="X23" i="13" s="1"/>
  <c r="Y23" i="13" s="1"/>
  <c r="V26" i="13"/>
  <c r="X26" i="13" s="1"/>
  <c r="Y26" i="13" s="1"/>
  <c r="V39" i="13"/>
  <c r="X39" i="13" s="1"/>
  <c r="Y39" i="13" s="1"/>
  <c r="V29" i="13"/>
  <c r="X29" i="13" s="1"/>
  <c r="Y29" i="13" s="1"/>
  <c r="V25" i="13"/>
  <c r="X25" i="13" s="1"/>
  <c r="Y25" i="13" s="1"/>
  <c r="V37" i="13"/>
  <c r="X37" i="13" s="1"/>
  <c r="Y37" i="13" s="1"/>
  <c r="O22" i="13"/>
  <c r="P22" i="13" s="1"/>
  <c r="O8" i="13"/>
  <c r="O16" i="13" s="1"/>
  <c r="O17" i="13" s="1"/>
  <c r="Q27" i="13"/>
  <c r="P27" i="13"/>
  <c r="Q31" i="13"/>
  <c r="P31" i="13"/>
  <c r="P37" i="13"/>
  <c r="Q37" i="13"/>
  <c r="Q29" i="13"/>
  <c r="P29" i="13"/>
  <c r="Q40" i="13"/>
  <c r="P40" i="13"/>
  <c r="P23" i="13"/>
  <c r="Q23" i="13"/>
  <c r="Q24" i="13"/>
  <c r="P24" i="13"/>
  <c r="P26" i="13"/>
  <c r="Q26" i="13"/>
  <c r="P25" i="13"/>
  <c r="Q25" i="13"/>
  <c r="P34" i="13"/>
  <c r="Q34" i="13"/>
  <c r="P33" i="13"/>
  <c r="Q33" i="13"/>
  <c r="P39" i="13"/>
  <c r="Q39" i="13"/>
  <c r="P41" i="13"/>
  <c r="Q41" i="13"/>
  <c r="O11" i="13"/>
  <c r="O13" i="13" s="1"/>
  <c r="Q32" i="13"/>
  <c r="P32" i="13"/>
  <c r="P36" i="13"/>
  <c r="Q36" i="13"/>
  <c r="P42" i="13"/>
  <c r="Q42" i="13"/>
  <c r="Q28" i="13"/>
  <c r="P28" i="13"/>
  <c r="Q38" i="13"/>
  <c r="P38" i="13"/>
  <c r="P30" i="13"/>
  <c r="Q30" i="13"/>
  <c r="Q35" i="13"/>
  <c r="P35" i="13"/>
  <c r="X17" i="1"/>
  <c r="Y17" i="1" a="1"/>
  <c r="Z23" i="13" l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Z35" i="13" s="1"/>
  <c r="Z36" i="13" s="1"/>
  <c r="Z37" i="13" s="1"/>
  <c r="Z38" i="13" s="1"/>
  <c r="Z39" i="13" s="1"/>
  <c r="Z40" i="13" s="1"/>
  <c r="Z41" i="13" s="1"/>
  <c r="Z42" i="13" s="1"/>
  <c r="R28" i="13"/>
  <c r="T28" i="13" s="1"/>
  <c r="Q22" i="13"/>
  <c r="R22" i="13" s="1"/>
  <c r="T22" i="13" s="1"/>
  <c r="P8" i="13"/>
  <c r="R38" i="13"/>
  <c r="T38" i="13" s="1"/>
  <c r="R32" i="13"/>
  <c r="T32" i="13" s="1"/>
  <c r="R35" i="13"/>
  <c r="T35" i="13" s="1"/>
  <c r="R25" i="13"/>
  <c r="T25" i="13" s="1"/>
  <c r="R41" i="13"/>
  <c r="T41" i="13" s="1"/>
  <c r="R34" i="13"/>
  <c r="T34" i="13" s="1"/>
  <c r="R23" i="13"/>
  <c r="T23" i="13" s="1"/>
  <c r="R33" i="13"/>
  <c r="T33" i="13" s="1"/>
  <c r="R27" i="13"/>
  <c r="T27" i="13" s="1"/>
  <c r="R30" i="13"/>
  <c r="T30" i="13" s="1"/>
  <c r="R36" i="13"/>
  <c r="T36" i="13" s="1"/>
  <c r="R39" i="13"/>
  <c r="T39" i="13" s="1"/>
  <c r="R26" i="13"/>
  <c r="T26" i="13" s="1"/>
  <c r="R24" i="13"/>
  <c r="T24" i="13" s="1"/>
  <c r="R29" i="13"/>
  <c r="T29" i="13" s="1"/>
  <c r="R37" i="13"/>
  <c r="T37" i="13" s="1"/>
  <c r="R42" i="13"/>
  <c r="T42" i="13" s="1"/>
  <c r="R40" i="13"/>
  <c r="T40" i="13" s="1"/>
  <c r="R31" i="13"/>
  <c r="T31" i="13" s="1"/>
  <c r="Y17" i="1"/>
  <c r="T20" i="13"/>
  <c r="Z17" i="1" a="1"/>
  <c r="Z17" i="1"/>
  <c r="AA17" i="1" a="1"/>
  <c r="AA17" i="1"/>
  <c r="U18" i="1" a="1"/>
  <c r="U18" i="1"/>
  <c r="S18" i="1" s="1"/>
  <c r="V18" i="1" a="1"/>
  <c r="V18" i="1"/>
  <c r="W18" i="1" a="1"/>
  <c r="W18" i="1"/>
  <c r="X18" i="1" a="1"/>
  <c r="X18" i="1"/>
  <c r="Y18" i="1" a="1"/>
  <c r="Y18" i="1"/>
  <c r="Z18" i="1" a="1"/>
  <c r="Z18" i="1"/>
  <c r="AA18" i="1" a="1"/>
  <c r="AA18" i="1"/>
  <c r="U19" i="1" a="1"/>
  <c r="U19" i="1"/>
  <c r="V19" i="1" a="1"/>
  <c r="V19" i="1"/>
  <c r="W19" i="1" a="1"/>
  <c r="W19" i="1"/>
  <c r="X19" i="1" a="1"/>
  <c r="X19" i="1"/>
  <c r="Y19" i="1" a="1"/>
  <c r="Y19" i="1"/>
  <c r="Z19" i="1" a="1"/>
  <c r="Z19" i="1"/>
  <c r="AA19" i="1" a="1"/>
  <c r="AA19" i="1"/>
  <c r="U20" i="1" a="1"/>
  <c r="U20" i="1"/>
  <c r="V20" i="1" a="1"/>
  <c r="V20" i="1"/>
  <c r="W20" i="1" a="1"/>
  <c r="W20" i="1"/>
  <c r="X20" i="1" a="1"/>
  <c r="X20" i="1"/>
  <c r="Y20" i="1" a="1"/>
  <c r="Y20" i="1"/>
  <c r="Z20" i="1" a="1"/>
  <c r="Z20" i="1"/>
  <c r="AA20" i="1" a="1"/>
  <c r="AA20" i="1"/>
  <c r="U21" i="1" a="1"/>
  <c r="U21" i="1"/>
  <c r="V21" i="1" a="1"/>
  <c r="V21" i="1"/>
  <c r="W21" i="1" a="1"/>
  <c r="W21" i="1"/>
  <c r="X21" i="1" a="1"/>
  <c r="X21" i="1"/>
  <c r="Y21" i="1" a="1"/>
  <c r="Y21" i="1"/>
  <c r="Z21" i="1" a="1"/>
  <c r="Z21" i="1"/>
  <c r="AA21" i="1" a="1"/>
  <c r="AA21" i="1"/>
  <c r="U22" i="1" a="1"/>
  <c r="U22" i="1"/>
  <c r="V22" i="1" a="1"/>
  <c r="V22" i="1"/>
  <c r="W22" i="1" a="1"/>
  <c r="W22" i="1"/>
  <c r="X22" i="1" a="1"/>
  <c r="X22" i="1"/>
  <c r="Y22" i="1" a="1"/>
  <c r="Y22" i="1"/>
  <c r="Z22" i="1" a="1"/>
  <c r="Z22" i="1"/>
  <c r="AA22" i="1" a="1"/>
  <c r="AA22" i="1"/>
  <c r="U23" i="1" a="1"/>
  <c r="U23" i="1"/>
  <c r="V23" i="1" a="1"/>
  <c r="V23" i="1"/>
  <c r="W23" i="1" a="1"/>
  <c r="W23" i="1"/>
  <c r="X23" i="1" a="1"/>
  <c r="X23" i="1"/>
  <c r="Y23" i="1" a="1"/>
  <c r="Y23" i="1"/>
  <c r="Z23" i="1" a="1"/>
  <c r="Z23" i="1"/>
  <c r="AA23" i="1" a="1"/>
  <c r="AA23" i="1"/>
  <c r="U24" i="1" a="1"/>
  <c r="U24" i="1"/>
  <c r="V24" i="1" a="1"/>
  <c r="V24" i="1"/>
  <c r="W24" i="1" a="1"/>
  <c r="W24" i="1"/>
  <c r="X24" i="1" a="1"/>
  <c r="X24" i="1"/>
  <c r="Y24" i="1" a="1"/>
  <c r="Y24" i="1"/>
  <c r="Z24" i="1" a="1"/>
  <c r="Z24" i="1"/>
  <c r="AA24" i="1" a="1"/>
  <c r="AA24" i="1"/>
  <c r="U25" i="1" a="1"/>
  <c r="U25" i="1"/>
  <c r="V25" i="1" a="1"/>
  <c r="V25" i="1"/>
  <c r="W25" i="1" a="1"/>
  <c r="W25" i="1"/>
  <c r="X25" i="1" a="1"/>
  <c r="X25" i="1"/>
  <c r="Y25" i="1" a="1"/>
  <c r="Y25" i="1"/>
  <c r="Z25" i="1" a="1"/>
  <c r="Z25" i="1"/>
  <c r="AA25" i="1" a="1"/>
  <c r="AA25" i="1"/>
  <c r="U26" i="1" a="1"/>
  <c r="U26" i="1"/>
  <c r="V26" i="1" a="1"/>
  <c r="V26" i="1"/>
  <c r="W26" i="1" a="1"/>
  <c r="W26" i="1"/>
  <c r="X26" i="1" a="1"/>
  <c r="X26" i="1"/>
  <c r="Y26" i="1" a="1"/>
  <c r="Y26" i="1"/>
  <c r="Z26" i="1" a="1"/>
  <c r="Z26" i="1"/>
  <c r="AA26" i="1" a="1"/>
  <c r="AA26" i="1"/>
  <c r="R20" i="13"/>
  <c r="I20" i="13"/>
  <c r="M20" i="13"/>
  <c r="AA16" i="2" a="1"/>
  <c r="AA50" i="2"/>
  <c r="AA19" i="2"/>
  <c r="AA35" i="2"/>
  <c r="AA43" i="2"/>
  <c r="AA59" i="2"/>
  <c r="AA20" i="2"/>
  <c r="AA28" i="2"/>
  <c r="AA36" i="2"/>
  <c r="AA44" i="2"/>
  <c r="AA52" i="2"/>
  <c r="AA60" i="2"/>
  <c r="AA34" i="2"/>
  <c r="AA27" i="2"/>
  <c r="AA51" i="2"/>
  <c r="AA21" i="2"/>
  <c r="AA29" i="2"/>
  <c r="AA37" i="2"/>
  <c r="AA45" i="2"/>
  <c r="AA53" i="2"/>
  <c r="AA61" i="2"/>
  <c r="AA42" i="2"/>
  <c r="AA30" i="2"/>
  <c r="AA46" i="2"/>
  <c r="AA62" i="2"/>
  <c r="AA23" i="2"/>
  <c r="AA31" i="2"/>
  <c r="AA39" i="2"/>
  <c r="AA47" i="2"/>
  <c r="AA55" i="2"/>
  <c r="AA63" i="2"/>
  <c r="AA26" i="2"/>
  <c r="AA22" i="2"/>
  <c r="AA54" i="2"/>
  <c r="AA16" i="2"/>
  <c r="AA24" i="2"/>
  <c r="AA32" i="2"/>
  <c r="AA40" i="2"/>
  <c r="AA48" i="2"/>
  <c r="AA56" i="2"/>
  <c r="AA64" i="2"/>
  <c r="AA18" i="2"/>
  <c r="AA58" i="2"/>
  <c r="AA38" i="2"/>
  <c r="AA17" i="2"/>
  <c r="AA25" i="2"/>
  <c r="AA33" i="2"/>
  <c r="AA41" i="2"/>
  <c r="AA49" i="2"/>
  <c r="AA57" i="2"/>
  <c r="W16" i="2" a="1"/>
  <c r="W19" i="2"/>
  <c r="W29" i="2"/>
  <c r="W35" i="2"/>
  <c r="W52" i="2"/>
  <c r="W62" i="2"/>
  <c r="W28" i="2"/>
  <c r="W60" i="2"/>
  <c r="W45" i="2"/>
  <c r="W38" i="2"/>
  <c r="W39" i="2"/>
  <c r="W47" i="2"/>
  <c r="W55" i="2"/>
  <c r="W63" i="2"/>
  <c r="W27" i="2"/>
  <c r="W59" i="2"/>
  <c r="W36" i="2"/>
  <c r="W21" i="2"/>
  <c r="W22" i="2"/>
  <c r="W54" i="2"/>
  <c r="W16" i="2"/>
  <c r="W32" i="2"/>
  <c r="W40" i="2"/>
  <c r="W48" i="2"/>
  <c r="W56" i="2"/>
  <c r="W64" i="2"/>
  <c r="W51" i="2"/>
  <c r="W44" i="2"/>
  <c r="W53" i="2"/>
  <c r="W30" i="2"/>
  <c r="W43" i="2"/>
  <c r="W20" i="2"/>
  <c r="W37" i="2"/>
  <c r="W61" i="2"/>
  <c r="W46" i="2"/>
  <c r="W23" i="2"/>
  <c r="W31" i="2"/>
  <c r="W24" i="2"/>
  <c r="W17" i="2"/>
  <c r="W25" i="2"/>
  <c r="W33" i="2"/>
  <c r="W41" i="2"/>
  <c r="W49" i="2"/>
  <c r="W57" i="2"/>
  <c r="W18" i="2"/>
  <c r="W26" i="2"/>
  <c r="W34" i="2"/>
  <c r="W42" i="2"/>
  <c r="W50" i="2"/>
  <c r="W58" i="2"/>
  <c r="S16" i="2" a="1"/>
  <c r="S43" i="2"/>
  <c r="S21" i="2"/>
  <c r="S35" i="2"/>
  <c r="S28" i="2"/>
  <c r="S37" i="2"/>
  <c r="S62" i="2"/>
  <c r="S19" i="2"/>
  <c r="S20" i="2"/>
  <c r="S29" i="2"/>
  <c r="S61" i="2"/>
  <c r="S22" i="2"/>
  <c r="S47" i="2"/>
  <c r="S55" i="2"/>
  <c r="S63" i="2"/>
  <c r="S36" i="2"/>
  <c r="S60" i="2"/>
  <c r="S38" i="2"/>
  <c r="S31" i="2"/>
  <c r="S16" i="2"/>
  <c r="S24" i="2"/>
  <c r="S32" i="2"/>
  <c r="S40" i="2"/>
  <c r="S48" i="2"/>
  <c r="S56" i="2"/>
  <c r="S64" i="2"/>
  <c r="S27" i="2"/>
  <c r="S59" i="2"/>
  <c r="S52" i="2"/>
  <c r="S53" i="2"/>
  <c r="S30" i="2"/>
  <c r="S54" i="2"/>
  <c r="S39" i="2"/>
  <c r="S17" i="2"/>
  <c r="S25" i="2"/>
  <c r="S33" i="2"/>
  <c r="S41" i="2"/>
  <c r="S49" i="2"/>
  <c r="S57" i="2"/>
  <c r="S51" i="2"/>
  <c r="S44" i="2"/>
  <c r="S45" i="2"/>
  <c r="S46" i="2"/>
  <c r="S23" i="2"/>
  <c r="S18" i="2"/>
  <c r="S26" i="2"/>
  <c r="S34" i="2"/>
  <c r="S42" i="2"/>
  <c r="S50" i="2"/>
  <c r="S58" i="2"/>
  <c r="O16" i="2" a="1"/>
  <c r="O19" i="2"/>
  <c r="O20" i="2"/>
  <c r="O38" i="2"/>
  <c r="O51" i="2"/>
  <c r="O44" i="2"/>
  <c r="O60" i="2"/>
  <c r="O45" i="2"/>
  <c r="O30" i="2"/>
  <c r="O39" i="2"/>
  <c r="O63" i="2"/>
  <c r="O35" i="2"/>
  <c r="O28" i="2"/>
  <c r="O29" i="2"/>
  <c r="O61" i="2"/>
  <c r="O54" i="2"/>
  <c r="O23" i="2"/>
  <c r="O55" i="2"/>
  <c r="O24" i="2"/>
  <c r="O32" i="2"/>
  <c r="O40" i="2"/>
  <c r="O48" i="2"/>
  <c r="O56" i="2"/>
  <c r="O64" i="2"/>
  <c r="O43" i="2"/>
  <c r="O36" i="2"/>
  <c r="O21" i="2"/>
  <c r="O53" i="2"/>
  <c r="O46" i="2"/>
  <c r="O27" i="2"/>
  <c r="O59" i="2"/>
  <c r="O52" i="2"/>
  <c r="O37" i="2"/>
  <c r="O22" i="2"/>
  <c r="O62" i="2"/>
  <c r="O31" i="2"/>
  <c r="O47" i="2"/>
  <c r="O16" i="2"/>
  <c r="O17" i="2"/>
  <c r="O25" i="2"/>
  <c r="O33" i="2"/>
  <c r="O41" i="2"/>
  <c r="O49" i="2"/>
  <c r="O57" i="2"/>
  <c r="O18" i="2"/>
  <c r="O26" i="2"/>
  <c r="O34" i="2"/>
  <c r="O42" i="2"/>
  <c r="O50" i="2"/>
  <c r="O58" i="2"/>
  <c r="K16" i="2" a="1"/>
  <c r="K16" i="2"/>
  <c r="K56" i="2"/>
  <c r="K26" i="2"/>
  <c r="K25" i="2"/>
  <c r="K65" i="2"/>
  <c r="K50" i="2"/>
  <c r="K59" i="2"/>
  <c r="K24" i="2"/>
  <c r="K64" i="2"/>
  <c r="K49" i="2"/>
  <c r="K18" i="2"/>
  <c r="K58" i="2"/>
  <c r="K19" i="2"/>
  <c r="K43" i="2"/>
  <c r="K28" i="2"/>
  <c r="K60" i="2"/>
  <c r="K76" i="2"/>
  <c r="K48" i="2"/>
  <c r="K33" i="2"/>
  <c r="K57" i="2"/>
  <c r="K42" i="2"/>
  <c r="K74" i="2"/>
  <c r="K35" i="2"/>
  <c r="K67" i="2"/>
  <c r="K20" i="2"/>
  <c r="K44" i="2"/>
  <c r="K21" i="2"/>
  <c r="K37" i="2"/>
  <c r="K53" i="2"/>
  <c r="K61" i="2"/>
  <c r="K69" i="2"/>
  <c r="K77" i="2"/>
  <c r="K32" i="2"/>
  <c r="K17" i="2"/>
  <c r="K40" i="2"/>
  <c r="K72" i="2"/>
  <c r="K41" i="2"/>
  <c r="K73" i="2"/>
  <c r="K34" i="2"/>
  <c r="K66" i="2"/>
  <c r="K27" i="2"/>
  <c r="K51" i="2"/>
  <c r="K75" i="2"/>
  <c r="K36" i="2"/>
  <c r="K52" i="2"/>
  <c r="K68" i="2"/>
  <c r="K29" i="2"/>
  <c r="K45" i="2"/>
  <c r="K22" i="2"/>
  <c r="K30" i="2"/>
  <c r="K38" i="2"/>
  <c r="K46" i="2"/>
  <c r="K54" i="2"/>
  <c r="K62" i="2"/>
  <c r="K70" i="2"/>
  <c r="K23" i="2"/>
  <c r="K31" i="2"/>
  <c r="K39" i="2"/>
  <c r="K47" i="2"/>
  <c r="K55" i="2"/>
  <c r="K63" i="2"/>
  <c r="K71" i="2"/>
  <c r="G16" i="2" a="1"/>
  <c r="G40" i="2"/>
  <c r="G64" i="2"/>
  <c r="G41" i="2"/>
  <c r="G26" i="2"/>
  <c r="G35" i="2"/>
  <c r="G48" i="2"/>
  <c r="G72" i="2"/>
  <c r="G49" i="2"/>
  <c r="H49" i="2" s="1"/>
  <c r="G18" i="2"/>
  <c r="G58" i="2"/>
  <c r="G19" i="2"/>
  <c r="G51" i="2"/>
  <c r="G28" i="2"/>
  <c r="G68" i="2"/>
  <c r="G16" i="2"/>
  <c r="H16" i="2" s="1"/>
  <c r="G56" i="2"/>
  <c r="H56" i="2" s="1"/>
  <c r="G25" i="2"/>
  <c r="G65" i="2"/>
  <c r="G50" i="2"/>
  <c r="G27" i="2"/>
  <c r="G67" i="2"/>
  <c r="G44" i="2"/>
  <c r="G21" i="2"/>
  <c r="H21" i="2" s="1"/>
  <c r="G37" i="2"/>
  <c r="H37" i="2" s="1"/>
  <c r="G53" i="2"/>
  <c r="G77" i="2"/>
  <c r="G24" i="2"/>
  <c r="G17" i="2"/>
  <c r="G57" i="2"/>
  <c r="G34" i="2"/>
  <c r="G66" i="2"/>
  <c r="G43" i="2"/>
  <c r="H43" i="2" s="1"/>
  <c r="G75" i="2"/>
  <c r="G32" i="2"/>
  <c r="G33" i="2"/>
  <c r="G73" i="2"/>
  <c r="G42" i="2"/>
  <c r="G74" i="2"/>
  <c r="G59" i="2"/>
  <c r="H59" i="2" s="1"/>
  <c r="G20" i="2"/>
  <c r="H20" i="2" s="1"/>
  <c r="G36" i="2"/>
  <c r="G52" i="2"/>
  <c r="G60" i="2"/>
  <c r="G76" i="2"/>
  <c r="G29" i="2"/>
  <c r="G45" i="2"/>
  <c r="G61" i="2"/>
  <c r="H61" i="2" s="1"/>
  <c r="G69" i="2"/>
  <c r="G22" i="2"/>
  <c r="G30" i="2"/>
  <c r="G38" i="2"/>
  <c r="G46" i="2"/>
  <c r="G54" i="2"/>
  <c r="G62" i="2"/>
  <c r="G70" i="2"/>
  <c r="G23" i="2"/>
  <c r="H23" i="2" s="1"/>
  <c r="G31" i="2"/>
  <c r="G39" i="2"/>
  <c r="G47" i="2"/>
  <c r="G55" i="2"/>
  <c r="G63" i="2"/>
  <c r="G71" i="2"/>
  <c r="AB57" i="2"/>
  <c r="AB49" i="2"/>
  <c r="AB41" i="2"/>
  <c r="AB33" i="2"/>
  <c r="AB25" i="2"/>
  <c r="AB17" i="2"/>
  <c r="AB30" i="2"/>
  <c r="AB21" i="2"/>
  <c r="AB35" i="2"/>
  <c r="AB64" i="2"/>
  <c r="AB56" i="2"/>
  <c r="AB48" i="2"/>
  <c r="AB40" i="2"/>
  <c r="AB32" i="2"/>
  <c r="AB24" i="2"/>
  <c r="AB16" i="2"/>
  <c r="AB37" i="2"/>
  <c r="AB36" i="2"/>
  <c r="AB18" i="2"/>
  <c r="AB63" i="2"/>
  <c r="AB55" i="2"/>
  <c r="AB47" i="2"/>
  <c r="AB39" i="2"/>
  <c r="AB31" i="2"/>
  <c r="AB23" i="2"/>
  <c r="AB38" i="2"/>
  <c r="AB29" i="2"/>
  <c r="AB27" i="2"/>
  <c r="AB62" i="2"/>
  <c r="AB54" i="2"/>
  <c r="AB46" i="2"/>
  <c r="AB22" i="2"/>
  <c r="AB43" i="2"/>
  <c r="AB61" i="2"/>
  <c r="AB53" i="2"/>
  <c r="AB45" i="2"/>
  <c r="AB20" i="2"/>
  <c r="AB60" i="2"/>
  <c r="AB52" i="2"/>
  <c r="AB44" i="2"/>
  <c r="AB28" i="2"/>
  <c r="AB59" i="2"/>
  <c r="AB51" i="2"/>
  <c r="AB19" i="2"/>
  <c r="AB58" i="2"/>
  <c r="AB50" i="2"/>
  <c r="AB42" i="2"/>
  <c r="AB34" i="2"/>
  <c r="AB26" i="2"/>
  <c r="X57" i="2"/>
  <c r="X49" i="2"/>
  <c r="X41" i="2"/>
  <c r="X33" i="2"/>
  <c r="X25" i="2"/>
  <c r="X17" i="2"/>
  <c r="X16" i="2"/>
  <c r="X21" i="2"/>
  <c r="X34" i="2"/>
  <c r="X64" i="2"/>
  <c r="X56" i="2"/>
  <c r="X48" i="2"/>
  <c r="X40" i="2"/>
  <c r="X32" i="2"/>
  <c r="X24" i="2"/>
  <c r="X28" i="2"/>
  <c r="X63" i="2"/>
  <c r="X55" i="2"/>
  <c r="X47" i="2"/>
  <c r="X39" i="2"/>
  <c r="X31" i="2"/>
  <c r="X23" i="2"/>
  <c r="X20" i="2"/>
  <c r="X18" i="2"/>
  <c r="X62" i="2"/>
  <c r="X54" i="2"/>
  <c r="X46" i="2"/>
  <c r="X38" i="2"/>
  <c r="X30" i="2"/>
  <c r="X22" i="2"/>
  <c r="X35" i="2"/>
  <c r="X61" i="2"/>
  <c r="X53" i="2"/>
  <c r="X45" i="2"/>
  <c r="X37" i="2"/>
  <c r="X29" i="2"/>
  <c r="X19" i="2"/>
  <c r="X60" i="2"/>
  <c r="X52" i="2"/>
  <c r="X44" i="2"/>
  <c r="X36" i="2"/>
  <c r="X26" i="2"/>
  <c r="X59" i="2"/>
  <c r="X51" i="2"/>
  <c r="X43" i="2"/>
  <c r="X27" i="2"/>
  <c r="X58" i="2"/>
  <c r="X50" i="2"/>
  <c r="X42" i="2"/>
  <c r="T57" i="2"/>
  <c r="T49" i="2"/>
  <c r="T41" i="2"/>
  <c r="T33" i="2"/>
  <c r="T25" i="2"/>
  <c r="T17" i="2"/>
  <c r="T16" i="2"/>
  <c r="T23" i="2"/>
  <c r="T28" i="2"/>
  <c r="T34" i="2"/>
  <c r="T64" i="2"/>
  <c r="T56" i="2"/>
  <c r="T48" i="2"/>
  <c r="T40" i="2"/>
  <c r="T32" i="2"/>
  <c r="T24" i="2"/>
  <c r="T22" i="2"/>
  <c r="T35" i="2"/>
  <c r="T18" i="2"/>
  <c r="T63" i="2"/>
  <c r="T55" i="2"/>
  <c r="T47" i="2"/>
  <c r="T39" i="2"/>
  <c r="T31" i="2"/>
  <c r="T21" i="2"/>
  <c r="T19" i="2"/>
  <c r="T62" i="2"/>
  <c r="T54" i="2"/>
  <c r="T46" i="2"/>
  <c r="T38" i="2"/>
  <c r="T30" i="2"/>
  <c r="T20" i="2"/>
  <c r="T26" i="2"/>
  <c r="T61" i="2"/>
  <c r="T53" i="2"/>
  <c r="T45" i="2"/>
  <c r="T37" i="2"/>
  <c r="T29" i="2"/>
  <c r="T27" i="2"/>
  <c r="T60" i="2"/>
  <c r="T52" i="2"/>
  <c r="T44" i="2"/>
  <c r="T36" i="2"/>
  <c r="T59" i="2"/>
  <c r="T51" i="2"/>
  <c r="T43" i="2"/>
  <c r="T58" i="2"/>
  <c r="T50" i="2"/>
  <c r="T42" i="2"/>
  <c r="P57" i="2"/>
  <c r="P49" i="2"/>
  <c r="P41" i="2"/>
  <c r="P33" i="2"/>
  <c r="P25" i="2"/>
  <c r="P17" i="2"/>
  <c r="P16" i="2"/>
  <c r="P28" i="2"/>
  <c r="P26" i="2"/>
  <c r="P64" i="2"/>
  <c r="P56" i="2"/>
  <c r="P48" i="2"/>
  <c r="P40" i="2"/>
  <c r="P32" i="2"/>
  <c r="P24" i="2"/>
  <c r="P22" i="2"/>
  <c r="P20" i="2"/>
  <c r="P18" i="2"/>
  <c r="P63" i="2"/>
  <c r="P55" i="2"/>
  <c r="P47" i="2"/>
  <c r="P39" i="2"/>
  <c r="P31" i="2"/>
  <c r="P23" i="2"/>
  <c r="P21" i="2"/>
  <c r="P19" i="2"/>
  <c r="P62" i="2"/>
  <c r="P54" i="2"/>
  <c r="P46" i="2"/>
  <c r="P38" i="2"/>
  <c r="P30" i="2"/>
  <c r="P27" i="2"/>
  <c r="P61" i="2"/>
  <c r="P53" i="2"/>
  <c r="P45" i="2"/>
  <c r="P37" i="2"/>
  <c r="P29" i="2"/>
  <c r="P35" i="2"/>
  <c r="P60" i="2"/>
  <c r="P52" i="2"/>
  <c r="P44" i="2"/>
  <c r="P36" i="2"/>
  <c r="P34" i="2"/>
  <c r="P59" i="2"/>
  <c r="P51" i="2"/>
  <c r="P43" i="2"/>
  <c r="P58" i="2"/>
  <c r="P50" i="2"/>
  <c r="P42" i="2"/>
  <c r="L70" i="2"/>
  <c r="L62" i="2"/>
  <c r="L54" i="2"/>
  <c r="L46" i="2"/>
  <c r="L38" i="2"/>
  <c r="L30" i="2"/>
  <c r="L22" i="2"/>
  <c r="L29" i="2"/>
  <c r="L28" i="2"/>
  <c r="L27" i="2"/>
  <c r="L26" i="2"/>
  <c r="L17" i="2"/>
  <c r="L16" i="2"/>
  <c r="L77" i="2"/>
  <c r="L69" i="2"/>
  <c r="L61" i="2"/>
  <c r="L53" i="2"/>
  <c r="L45" i="2"/>
  <c r="L37" i="2"/>
  <c r="L21" i="2"/>
  <c r="L19" i="2"/>
  <c r="L18" i="2"/>
  <c r="L40" i="2"/>
  <c r="L23" i="2"/>
  <c r="L76" i="2"/>
  <c r="L68" i="2"/>
  <c r="L60" i="2"/>
  <c r="L52" i="2"/>
  <c r="L44" i="2"/>
  <c r="L36" i="2"/>
  <c r="L20" i="2"/>
  <c r="L25" i="2"/>
  <c r="L24" i="2"/>
  <c r="L75" i="2"/>
  <c r="L67" i="2"/>
  <c r="L59" i="2"/>
  <c r="L51" i="2"/>
  <c r="L43" i="2"/>
  <c r="L35" i="2"/>
  <c r="L33" i="2"/>
  <c r="L47" i="2"/>
  <c r="L74" i="2"/>
  <c r="L66" i="2"/>
  <c r="L58" i="2"/>
  <c r="L50" i="2"/>
  <c r="L42" i="2"/>
  <c r="L34" i="2"/>
  <c r="L32" i="2"/>
  <c r="L31" i="2"/>
  <c r="L73" i="2"/>
  <c r="L65" i="2"/>
  <c r="L57" i="2"/>
  <c r="L49" i="2"/>
  <c r="L41" i="2"/>
  <c r="L39" i="2"/>
  <c r="L72" i="2"/>
  <c r="L64" i="2"/>
  <c r="L56" i="2"/>
  <c r="L48" i="2"/>
  <c r="L71" i="2"/>
  <c r="L63" i="2"/>
  <c r="L55" i="2"/>
  <c r="H17" i="2"/>
  <c r="H18" i="2"/>
  <c r="H19" i="2"/>
  <c r="H22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8" i="2"/>
  <c r="H39" i="2"/>
  <c r="H40" i="2"/>
  <c r="H41" i="2"/>
  <c r="H42" i="2"/>
  <c r="H44" i="2"/>
  <c r="H45" i="2"/>
  <c r="H46" i="2"/>
  <c r="H47" i="2"/>
  <c r="H48" i="2"/>
  <c r="H50" i="2"/>
  <c r="H51" i="2"/>
  <c r="H52" i="2"/>
  <c r="H53" i="2"/>
  <c r="H54" i="2"/>
  <c r="H55" i="2"/>
  <c r="H57" i="2"/>
  <c r="H58" i="2"/>
  <c r="H60" i="2"/>
  <c r="H62" i="2"/>
  <c r="P14" i="2" a="1"/>
  <c r="P14" i="2"/>
  <c r="T14" i="2" a="1"/>
  <c r="T14" i="2"/>
  <c r="X14" i="2" a="1"/>
  <c r="X14" i="2"/>
  <c r="AB14" i="2" a="1"/>
  <c r="AB14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L14" i="2" a="1"/>
  <c r="L14" i="2"/>
  <c r="H76" i="2"/>
  <c r="H77" i="2"/>
  <c r="H14" i="2" a="1"/>
  <c r="H14" i="2" l="1"/>
  <c r="K111" i="3"/>
  <c r="AI11" i="3" a="1"/>
  <c r="AI12" i="3"/>
  <c r="AI60" i="3"/>
  <c r="AI20" i="3"/>
  <c r="AI13" i="3"/>
  <c r="AI61" i="3"/>
  <c r="AI39" i="3"/>
  <c r="AI36" i="3"/>
  <c r="AI37" i="3"/>
  <c r="AI22" i="3"/>
  <c r="AI54" i="3"/>
  <c r="AI64" i="3"/>
  <c r="AI52" i="3"/>
  <c r="AI45" i="3"/>
  <c r="AI46" i="3"/>
  <c r="AI23" i="3"/>
  <c r="AI47" i="3"/>
  <c r="AI63" i="3"/>
  <c r="AI32" i="3"/>
  <c r="AI33" i="3"/>
  <c r="AI65" i="3"/>
  <c r="AI44" i="3"/>
  <c r="AI21" i="3"/>
  <c r="AI14" i="3"/>
  <c r="AI38" i="3"/>
  <c r="AI62" i="3"/>
  <c r="AI31" i="3"/>
  <c r="AI16" i="3"/>
  <c r="AI48" i="3"/>
  <c r="AI17" i="3"/>
  <c r="AI49" i="3"/>
  <c r="AI18" i="3"/>
  <c r="AI34" i="3"/>
  <c r="AI42" i="3"/>
  <c r="AI58" i="3"/>
  <c r="AI66" i="3"/>
  <c r="AI28" i="3"/>
  <c r="AI29" i="3"/>
  <c r="AI53" i="3"/>
  <c r="AI30" i="3"/>
  <c r="AI15" i="3"/>
  <c r="AI55" i="3"/>
  <c r="AI24" i="3"/>
  <c r="AI40" i="3"/>
  <c r="AI56" i="3"/>
  <c r="AI25" i="3"/>
  <c r="AI41" i="3"/>
  <c r="AI57" i="3"/>
  <c r="AI26" i="3"/>
  <c r="AI50" i="3"/>
  <c r="AI11" i="3"/>
  <c r="AI19" i="3"/>
  <c r="AI27" i="3"/>
  <c r="AI35" i="3"/>
  <c r="AI43" i="3"/>
  <c r="AI51" i="3"/>
  <c r="AI59" i="3"/>
  <c r="AI67" i="3"/>
  <c r="AJ11" i="3" a="1"/>
  <c r="AJ11" i="3"/>
  <c r="AJ12" i="3" a="1"/>
  <c r="AJ12" i="3"/>
  <c r="AJ13" i="3" a="1"/>
  <c r="AJ13" i="3"/>
  <c r="AJ14" i="3" a="1"/>
  <c r="AJ14" i="3"/>
  <c r="AJ15" i="3" a="1"/>
  <c r="AJ15" i="3"/>
  <c r="AJ16" i="3" a="1"/>
  <c r="AJ16" i="3"/>
  <c r="AJ17" i="3" a="1"/>
  <c r="AJ17" i="3"/>
  <c r="AJ18" i="3" a="1"/>
  <c r="AJ18" i="3"/>
  <c r="AJ19" i="3" a="1"/>
  <c r="AJ19" i="3"/>
  <c r="AJ20" i="3" a="1"/>
  <c r="AJ20" i="3"/>
  <c r="AJ21" i="3" a="1"/>
  <c r="AJ21" i="3"/>
  <c r="AJ22" i="3" a="1"/>
  <c r="AJ22" i="3"/>
  <c r="AJ23" i="3" a="1"/>
  <c r="AJ23" i="3"/>
  <c r="AJ24" i="3" a="1"/>
  <c r="AJ24" i="3"/>
  <c r="AJ25" i="3" a="1"/>
  <c r="AJ25" i="3"/>
  <c r="AJ26" i="3" a="1"/>
  <c r="AJ26" i="3"/>
  <c r="AJ27" i="3" a="1"/>
  <c r="AJ27" i="3"/>
  <c r="AJ28" i="3" a="1"/>
  <c r="AJ28" i="3"/>
  <c r="AJ29" i="3" a="1"/>
  <c r="AJ29" i="3"/>
  <c r="AJ30" i="3" a="1"/>
  <c r="AJ30" i="3"/>
  <c r="AJ31" i="3" a="1"/>
  <c r="AJ31" i="3"/>
  <c r="AJ32" i="3" a="1"/>
  <c r="AJ32" i="3"/>
  <c r="AJ33" i="3" a="1"/>
  <c r="AJ33" i="3"/>
  <c r="AJ34" i="3" a="1"/>
  <c r="AJ34" i="3"/>
  <c r="AJ35" i="3" a="1"/>
  <c r="AJ35" i="3"/>
  <c r="AJ36" i="3" a="1"/>
  <c r="AJ36" i="3"/>
  <c r="AJ37" i="3" a="1"/>
  <c r="AJ37" i="3"/>
  <c r="AJ38" i="3" a="1"/>
  <c r="AJ38" i="3"/>
  <c r="AJ39" i="3" a="1"/>
  <c r="AJ39" i="3"/>
  <c r="AJ40" i="3" a="1"/>
  <c r="AJ40" i="3"/>
  <c r="AJ41" i="3" a="1"/>
  <c r="AJ41" i="3"/>
  <c r="AJ42" i="3" a="1"/>
  <c r="AJ42" i="3"/>
  <c r="AJ43" i="3" a="1"/>
  <c r="AJ43" i="3"/>
  <c r="AJ44" i="3" a="1"/>
  <c r="AJ44" i="3"/>
  <c r="AJ45" i="3" a="1"/>
  <c r="AJ45" i="3"/>
  <c r="AJ46" i="3" a="1"/>
  <c r="AJ46" i="3"/>
  <c r="AJ47" i="3" a="1"/>
  <c r="AJ47" i="3"/>
  <c r="AJ48" i="3" a="1"/>
  <c r="AJ48" i="3"/>
  <c r="AJ49" i="3" a="1"/>
  <c r="AJ49" i="3"/>
  <c r="AJ50" i="3" a="1"/>
  <c r="AJ50" i="3"/>
  <c r="AJ51" i="3" a="1"/>
  <c r="AJ51" i="3"/>
  <c r="AJ52" i="3" a="1"/>
  <c r="AJ52" i="3"/>
  <c r="AJ53" i="3" a="1"/>
  <c r="AJ53" i="3"/>
  <c r="AJ54" i="3" a="1"/>
  <c r="AJ54" i="3"/>
  <c r="AJ55" i="3" a="1"/>
  <c r="AJ55" i="3"/>
  <c r="AJ56" i="3" a="1"/>
  <c r="AJ56" i="3"/>
  <c r="AJ57" i="3" a="1"/>
  <c r="AJ57" i="3"/>
  <c r="AJ58" i="3" a="1"/>
  <c r="AJ58" i="3"/>
  <c r="AJ59" i="3" a="1"/>
  <c r="AJ59" i="3"/>
  <c r="AJ60" i="3" a="1"/>
  <c r="AJ60" i="3"/>
  <c r="AJ61" i="3" a="1"/>
  <c r="AJ61" i="3"/>
  <c r="AJ62" i="3" a="1"/>
  <c r="AJ62" i="3"/>
  <c r="AJ63" i="3" a="1"/>
  <c r="AJ63" i="3"/>
  <c r="AJ64" i="3" a="1"/>
  <c r="AJ64" i="3"/>
  <c r="AJ65" i="3" a="1"/>
  <c r="AJ65" i="3"/>
  <c r="AJ66" i="3" a="1"/>
  <c r="AJ66" i="3"/>
  <c r="AJ67" i="3" a="1"/>
  <c r="AJ67" i="3"/>
  <c r="Z11" i="3" a="1"/>
  <c r="Z19" i="3"/>
  <c r="Z28" i="3"/>
  <c r="Z27" i="3"/>
  <c r="Z44" i="3"/>
  <c r="Z45" i="3"/>
  <c r="Z47" i="3"/>
  <c r="Z43" i="3"/>
  <c r="Z20" i="3"/>
  <c r="Z13" i="3"/>
  <c r="Z53" i="3"/>
  <c r="Z22" i="3"/>
  <c r="Z38" i="3"/>
  <c r="Z54" i="3"/>
  <c r="Z31" i="3"/>
  <c r="Z32" i="3"/>
  <c r="Z11" i="3"/>
  <c r="Z35" i="3"/>
  <c r="Z12" i="3"/>
  <c r="Z52" i="3"/>
  <c r="Z29" i="3"/>
  <c r="Z14" i="3"/>
  <c r="Z30" i="3"/>
  <c r="Z15" i="3"/>
  <c r="Z39" i="3"/>
  <c r="Z16" i="3"/>
  <c r="Z40" i="3"/>
  <c r="Z41" i="3"/>
  <c r="Z51" i="3"/>
  <c r="Z36" i="3"/>
  <c r="Z21" i="3"/>
  <c r="Z37" i="3"/>
  <c r="Z46" i="3"/>
  <c r="Z23" i="3"/>
  <c r="Z24" i="3"/>
  <c r="Z48" i="3"/>
  <c r="Z17" i="3"/>
  <c r="Z25" i="3"/>
  <c r="Z33" i="3"/>
  <c r="Z49" i="3"/>
  <c r="Z18" i="3"/>
  <c r="Z26" i="3"/>
  <c r="Z34" i="3"/>
  <c r="Z42" i="3"/>
  <c r="Z50" i="3"/>
  <c r="AA11" i="3" a="1"/>
  <c r="AA11" i="3"/>
  <c r="AA12" i="3" a="1"/>
  <c r="AA12" i="3"/>
  <c r="AA13" i="3" a="1"/>
  <c r="AA13" i="3"/>
  <c r="AA14" i="3" a="1"/>
  <c r="AA14" i="3"/>
  <c r="AA15" i="3" a="1"/>
  <c r="AA15" i="3"/>
  <c r="AA16" i="3" a="1"/>
  <c r="AA16" i="3"/>
  <c r="AA17" i="3" a="1"/>
  <c r="AA17" i="3"/>
  <c r="AA18" i="3" a="1"/>
  <c r="AA18" i="3"/>
  <c r="AA19" i="3" a="1"/>
  <c r="AA19" i="3"/>
  <c r="AA20" i="3" a="1"/>
  <c r="AA20" i="3"/>
  <c r="AA21" i="3" a="1"/>
  <c r="AA21" i="3"/>
  <c r="AA22" i="3" a="1"/>
  <c r="AA22" i="3"/>
  <c r="AA23" i="3" a="1"/>
  <c r="AA23" i="3"/>
  <c r="AA24" i="3" a="1"/>
  <c r="AA24" i="3"/>
  <c r="AA25" i="3" a="1"/>
  <c r="AA25" i="3"/>
  <c r="AA26" i="3" a="1"/>
  <c r="AA26" i="3"/>
  <c r="AA27" i="3" a="1"/>
  <c r="AA27" i="3"/>
  <c r="AA28" i="3" a="1"/>
  <c r="AA28" i="3"/>
  <c r="AA29" i="3" a="1"/>
  <c r="AA29" i="3"/>
  <c r="AA30" i="3" a="1"/>
  <c r="AA30" i="3"/>
  <c r="AA31" i="3" a="1"/>
  <c r="AA31" i="3"/>
  <c r="AA32" i="3" a="1"/>
  <c r="AA32" i="3"/>
  <c r="AA33" i="3" a="1"/>
  <c r="AA33" i="3"/>
  <c r="AA34" i="3" a="1"/>
  <c r="AA34" i="3"/>
  <c r="AA35" i="3" a="1"/>
  <c r="AA35" i="3"/>
  <c r="AA36" i="3" a="1"/>
  <c r="AA36" i="3"/>
  <c r="AA37" i="3" a="1"/>
  <c r="AA37" i="3"/>
  <c r="AA38" i="3" a="1"/>
  <c r="AA38" i="3"/>
  <c r="AA39" i="3" a="1"/>
  <c r="AA39" i="3"/>
  <c r="AA40" i="3" a="1"/>
  <c r="AA40" i="3"/>
  <c r="AA41" i="3" a="1"/>
  <c r="AA41" i="3"/>
  <c r="AA42" i="3" a="1"/>
  <c r="AA42" i="3"/>
  <c r="AA43" i="3" a="1"/>
  <c r="AA43" i="3"/>
  <c r="AA44" i="3" a="1"/>
  <c r="AA44" i="3"/>
  <c r="AA45" i="3" a="1"/>
  <c r="AA45" i="3"/>
  <c r="AA46" i="3" a="1"/>
  <c r="AA46" i="3"/>
  <c r="AA47" i="3" a="1"/>
  <c r="AA47" i="3"/>
  <c r="AA48" i="3" a="1"/>
  <c r="AA48" i="3"/>
  <c r="AA49" i="3" a="1"/>
  <c r="AA49" i="3"/>
  <c r="AA50" i="3" a="1"/>
  <c r="AA50" i="3"/>
  <c r="AA51" i="3" a="1"/>
  <c r="AA51" i="3"/>
  <c r="AA52" i="3" a="1"/>
  <c r="AA52" i="3"/>
  <c r="AA53" i="3" a="1"/>
  <c r="AA53" i="3"/>
  <c r="AA54" i="3" a="1"/>
  <c r="AA54" i="3"/>
  <c r="Q11" i="3" a="1"/>
  <c r="Q44" i="3"/>
  <c r="Q52" i="3"/>
  <c r="Q60" i="3"/>
  <c r="Q13" i="3"/>
  <c r="Q45" i="3"/>
  <c r="Q62" i="3"/>
  <c r="Q28" i="3"/>
  <c r="Q37" i="3"/>
  <c r="Q61" i="3"/>
  <c r="Q22" i="3"/>
  <c r="Q30" i="3"/>
  <c r="Q46" i="3"/>
  <c r="Q15" i="3"/>
  <c r="Q31" i="3"/>
  <c r="Q39" i="3"/>
  <c r="Q47" i="3"/>
  <c r="Q55" i="3"/>
  <c r="Q63" i="3"/>
  <c r="Q12" i="3"/>
  <c r="Q29" i="3"/>
  <c r="Q53" i="3"/>
  <c r="Q14" i="3"/>
  <c r="Q38" i="3"/>
  <c r="Q54" i="3"/>
  <c r="Q23" i="3"/>
  <c r="Q16" i="3"/>
  <c r="Q24" i="3"/>
  <c r="Q32" i="3"/>
  <c r="Q40" i="3"/>
  <c r="Q48" i="3"/>
  <c r="Q56" i="3"/>
  <c r="Q64" i="3"/>
  <c r="Q20" i="3"/>
  <c r="Q17" i="3"/>
  <c r="Q33" i="3"/>
  <c r="Q65" i="3"/>
  <c r="Q21" i="3"/>
  <c r="Q36" i="3"/>
  <c r="Q25" i="3"/>
  <c r="Q41" i="3"/>
  <c r="Q49" i="3"/>
  <c r="Q57" i="3"/>
  <c r="Q18" i="3"/>
  <c r="Q26" i="3"/>
  <c r="Q34" i="3"/>
  <c r="Q42" i="3"/>
  <c r="Q50" i="3"/>
  <c r="Q58" i="3"/>
  <c r="Q66" i="3"/>
  <c r="Q11" i="3"/>
  <c r="Q19" i="3"/>
  <c r="Q27" i="3"/>
  <c r="Q35" i="3"/>
  <c r="Q43" i="3"/>
  <c r="Q51" i="3"/>
  <c r="Q59" i="3"/>
  <c r="Q67" i="3"/>
  <c r="R11" i="3" a="1"/>
  <c r="R11" i="3"/>
  <c r="R12" i="3" a="1"/>
  <c r="R12" i="3"/>
  <c r="R13" i="3" a="1"/>
  <c r="R13" i="3"/>
  <c r="R14" i="3" a="1"/>
  <c r="R14" i="3"/>
  <c r="R15" i="3" a="1"/>
  <c r="R15" i="3"/>
  <c r="R16" i="3" a="1"/>
  <c r="R16" i="3"/>
  <c r="R17" i="3" a="1"/>
  <c r="R17" i="3"/>
  <c r="R18" i="3" a="1"/>
  <c r="R18" i="3"/>
  <c r="R19" i="3" a="1"/>
  <c r="R19" i="3"/>
  <c r="R20" i="3" a="1"/>
  <c r="R20" i="3"/>
  <c r="R21" i="3" a="1"/>
  <c r="R21" i="3"/>
  <c r="R22" i="3" a="1"/>
  <c r="R22" i="3"/>
  <c r="R23" i="3" a="1"/>
  <c r="R23" i="3"/>
  <c r="R24" i="3" a="1"/>
  <c r="R24" i="3"/>
  <c r="R25" i="3" a="1"/>
  <c r="R25" i="3"/>
  <c r="R26" i="3" a="1"/>
  <c r="R26" i="3"/>
  <c r="R27" i="3" a="1"/>
  <c r="R27" i="3"/>
  <c r="R28" i="3" a="1"/>
  <c r="R28" i="3"/>
  <c r="R29" i="3" a="1"/>
  <c r="R29" i="3"/>
  <c r="R30" i="3" a="1"/>
  <c r="R30" i="3"/>
  <c r="R31" i="3" a="1"/>
  <c r="R31" i="3"/>
  <c r="R32" i="3" a="1"/>
  <c r="R32" i="3"/>
  <c r="R33" i="3" a="1"/>
  <c r="R33" i="3"/>
  <c r="R34" i="3" a="1"/>
  <c r="R34" i="3"/>
  <c r="R35" i="3" a="1"/>
  <c r="R35" i="3"/>
  <c r="R36" i="3" a="1"/>
  <c r="R36" i="3"/>
  <c r="R37" i="3" a="1"/>
  <c r="R37" i="3"/>
  <c r="R38" i="3" a="1"/>
  <c r="R38" i="3"/>
  <c r="R39" i="3" a="1"/>
  <c r="R39" i="3"/>
  <c r="R40" i="3" a="1"/>
  <c r="R40" i="3"/>
  <c r="R41" i="3" a="1"/>
  <c r="R41" i="3"/>
  <c r="R42" i="3" a="1"/>
  <c r="R42" i="3"/>
  <c r="R43" i="3" a="1"/>
  <c r="R43" i="3"/>
  <c r="R44" i="3" a="1"/>
  <c r="R44" i="3"/>
  <c r="R45" i="3" a="1"/>
  <c r="R45" i="3"/>
  <c r="R46" i="3" a="1"/>
  <c r="R46" i="3"/>
  <c r="R47" i="3" a="1"/>
  <c r="R47" i="3"/>
  <c r="R48" i="3" a="1"/>
  <c r="R48" i="3"/>
  <c r="R49" i="3" a="1"/>
  <c r="R49" i="3"/>
  <c r="R50" i="3" a="1"/>
  <c r="R50" i="3"/>
  <c r="R51" i="3" a="1"/>
  <c r="R51" i="3"/>
  <c r="R52" i="3" a="1"/>
  <c r="R52" i="3"/>
  <c r="R53" i="3" a="1"/>
  <c r="R53" i="3"/>
  <c r="R54" i="3" a="1"/>
  <c r="R54" i="3"/>
  <c r="R55" i="3" a="1"/>
  <c r="R55" i="3"/>
  <c r="R56" i="3" a="1"/>
  <c r="R56" i="3"/>
  <c r="R57" i="3" a="1"/>
  <c r="R57" i="3"/>
  <c r="R58" i="3" a="1"/>
  <c r="R58" i="3"/>
  <c r="R59" i="3" a="1"/>
  <c r="R59" i="3"/>
  <c r="R60" i="3" a="1"/>
  <c r="R60" i="3"/>
  <c r="R61" i="3" a="1"/>
  <c r="R61" i="3"/>
  <c r="R62" i="3" a="1"/>
  <c r="R62" i="3"/>
  <c r="R63" i="3" a="1"/>
  <c r="R63" i="3"/>
  <c r="R64" i="3" a="1"/>
  <c r="R64" i="3"/>
  <c r="R65" i="3" a="1"/>
  <c r="R65" i="3"/>
  <c r="R66" i="3" a="1"/>
  <c r="R66" i="3"/>
  <c r="R67" i="3" a="1"/>
  <c r="R67" i="3"/>
  <c r="H11" i="3" a="1"/>
  <c r="H65" i="3"/>
  <c r="H17" i="3"/>
  <c r="H49" i="3"/>
  <c r="H34" i="3"/>
  <c r="H66" i="3"/>
  <c r="H67" i="3"/>
  <c r="H28" i="3"/>
  <c r="H13" i="3"/>
  <c r="H45" i="3"/>
  <c r="H25" i="3"/>
  <c r="H57" i="3"/>
  <c r="H42" i="3"/>
  <c r="H11" i="3"/>
  <c r="H51" i="3"/>
  <c r="H44" i="3"/>
  <c r="H62" i="3"/>
  <c r="H33" i="3"/>
  <c r="H18" i="3"/>
  <c r="H58" i="3"/>
  <c r="H27" i="3"/>
  <c r="H59" i="3"/>
  <c r="H20" i="3"/>
  <c r="H52" i="3"/>
  <c r="H21" i="3"/>
  <c r="H37" i="3"/>
  <c r="H61" i="3"/>
  <c r="H30" i="3"/>
  <c r="H55" i="3"/>
  <c r="H41" i="3"/>
  <c r="H26" i="3"/>
  <c r="H50" i="3"/>
  <c r="H19" i="3"/>
  <c r="H35" i="3"/>
  <c r="H43" i="3"/>
  <c r="H12" i="3"/>
  <c r="H36" i="3"/>
  <c r="H60" i="3"/>
  <c r="H29" i="3"/>
  <c r="H53" i="3"/>
  <c r="H14" i="3"/>
  <c r="H22" i="3"/>
  <c r="H38" i="3"/>
  <c r="H46" i="3"/>
  <c r="H54" i="3"/>
  <c r="H15" i="3"/>
  <c r="H23" i="3"/>
  <c r="H31" i="3"/>
  <c r="H39" i="3"/>
  <c r="H47" i="3"/>
  <c r="H63" i="3"/>
  <c r="H16" i="3"/>
  <c r="H24" i="3"/>
  <c r="H32" i="3"/>
  <c r="H40" i="3"/>
  <c r="H48" i="3"/>
  <c r="H56" i="3"/>
  <c r="H64" i="3"/>
  <c r="I11" i="3" a="1"/>
  <c r="I11" i="3"/>
  <c r="I12" i="3" a="1"/>
  <c r="I12" i="3"/>
  <c r="I13" i="3" a="1"/>
  <c r="I13" i="3"/>
  <c r="I14" i="3" a="1"/>
  <c r="I14" i="3"/>
  <c r="I15" i="3" a="1"/>
  <c r="I15" i="3"/>
  <c r="I16" i="3" a="1"/>
  <c r="I16" i="3"/>
  <c r="I17" i="3" a="1"/>
  <c r="I17" i="3"/>
  <c r="I18" i="3" a="1"/>
  <c r="I18" i="3"/>
  <c r="I19" i="3" a="1"/>
  <c r="I19" i="3"/>
  <c r="I20" i="3" a="1"/>
  <c r="I20" i="3"/>
  <c r="I21" i="3" a="1"/>
  <c r="I21" i="3"/>
  <c r="I22" i="3" a="1"/>
  <c r="I22" i="3"/>
  <c r="I23" i="3" a="1"/>
  <c r="I23" i="3"/>
  <c r="I24" i="3" a="1"/>
  <c r="I24" i="3"/>
  <c r="I25" i="3" a="1"/>
  <c r="I25" i="3"/>
  <c r="I26" i="3" a="1"/>
  <c r="I26" i="3"/>
  <c r="I27" i="3" a="1"/>
  <c r="I27" i="3"/>
  <c r="I28" i="3" a="1"/>
  <c r="I28" i="3"/>
  <c r="I29" i="3" a="1"/>
  <c r="I29" i="3"/>
  <c r="I30" i="3" a="1"/>
  <c r="I30" i="3"/>
  <c r="I31" i="3" a="1"/>
  <c r="I31" i="3"/>
  <c r="I32" i="3" a="1"/>
  <c r="I32" i="3"/>
  <c r="I33" i="3" a="1"/>
  <c r="I33" i="3"/>
  <c r="I34" i="3" a="1"/>
  <c r="I34" i="3"/>
  <c r="I35" i="3" a="1"/>
  <c r="I35" i="3"/>
  <c r="I36" i="3" a="1"/>
  <c r="I36" i="3"/>
  <c r="I37" i="3" a="1"/>
  <c r="I37" i="3"/>
  <c r="I38" i="3" a="1"/>
  <c r="I38" i="3"/>
  <c r="I39" i="3" a="1"/>
  <c r="I39" i="3"/>
  <c r="I40" i="3" a="1"/>
  <c r="I40" i="3"/>
  <c r="I41" i="3" a="1"/>
  <c r="I41" i="3"/>
  <c r="I42" i="3" a="1"/>
  <c r="I42" i="3"/>
  <c r="I43" i="3" a="1"/>
  <c r="I43" i="3"/>
  <c r="I44" i="3" a="1"/>
  <c r="I44" i="3"/>
  <c r="I45" i="3" a="1"/>
  <c r="I45" i="3"/>
  <c r="I46" i="3" a="1"/>
  <c r="I46" i="3"/>
  <c r="I47" i="3" a="1"/>
  <c r="I47" i="3"/>
  <c r="I48" i="3" a="1"/>
  <c r="I48" i="3"/>
  <c r="I49" i="3" a="1"/>
  <c r="I49" i="3"/>
  <c r="I50" i="3" a="1"/>
  <c r="I50" i="3"/>
  <c r="I51" i="3" a="1"/>
  <c r="I51" i="3"/>
  <c r="I52" i="3" a="1"/>
  <c r="I52" i="3"/>
  <c r="I53" i="3" a="1"/>
  <c r="I53" i="3"/>
  <c r="I54" i="3" a="1"/>
  <c r="I54" i="3"/>
  <c r="I55" i="3" a="1"/>
  <c r="I55" i="3"/>
  <c r="I56" i="3" a="1"/>
  <c r="I56" i="3"/>
  <c r="I57" i="3" a="1"/>
  <c r="I57" i="3"/>
  <c r="I58" i="3" a="1"/>
  <c r="I58" i="3"/>
  <c r="I59" i="3" a="1"/>
  <c r="I59" i="3"/>
  <c r="I60" i="3" a="1"/>
  <c r="I60" i="3"/>
  <c r="I61" i="3" a="1"/>
  <c r="I61" i="3"/>
  <c r="I62" i="3" a="1"/>
  <c r="I62" i="3"/>
  <c r="I63" i="3" a="1"/>
  <c r="I63" i="3"/>
  <c r="I64" i="3" a="1"/>
  <c r="I64" i="3"/>
  <c r="I65" i="3" a="1"/>
  <c r="I65" i="3"/>
  <c r="I66" i="3" a="1"/>
  <c r="I66" i="3"/>
  <c r="I67" i="3" a="1"/>
  <c r="I67" i="3"/>
  <c r="AA10" i="3" a="1"/>
  <c r="AA10" i="3"/>
  <c r="AJ10" i="3" a="1"/>
  <c r="AJ10" i="3"/>
  <c r="R10" i="3" a="1"/>
  <c r="R10" i="3"/>
  <c r="I10" i="3" a="1"/>
  <c r="I10" i="3"/>
  <c r="D5" i="3"/>
  <c r="D6" i="3"/>
  <c r="D7" i="3"/>
  <c r="G70" i="3" a="1"/>
  <c r="G70" i="3"/>
  <c r="H100" i="3" a="1"/>
  <c r="H100" i="3"/>
  <c r="H99" i="3" a="1"/>
  <c r="H99" i="3"/>
  <c r="H98" i="3" a="1"/>
  <c r="H98" i="3"/>
  <c r="H97" i="3" a="1"/>
  <c r="H97" i="3"/>
  <c r="H96" i="3" a="1"/>
  <c r="H96" i="3"/>
  <c r="H95" i="3" a="1"/>
  <c r="H95" i="3"/>
  <c r="H94" i="3" a="1"/>
  <c r="H94" i="3"/>
  <c r="H93" i="3" a="1"/>
  <c r="H93" i="3"/>
  <c r="H92" i="3" a="1"/>
  <c r="H92" i="3"/>
  <c r="H91" i="3" a="1"/>
  <c r="H91" i="3"/>
  <c r="H90" i="3" a="1"/>
  <c r="H90" i="3"/>
  <c r="H89" i="3" a="1"/>
  <c r="H89" i="3"/>
  <c r="H88" i="3" a="1"/>
  <c r="H88" i="3"/>
  <c r="H87" i="3" a="1"/>
  <c r="H87" i="3"/>
  <c r="H86" i="3" a="1"/>
  <c r="H86" i="3"/>
  <c r="H85" i="3" a="1"/>
  <c r="H85" i="3"/>
  <c r="H84" i="3" a="1"/>
  <c r="H84" i="3"/>
  <c r="H83" i="3" a="1"/>
  <c r="H83" i="3"/>
  <c r="H82" i="3" a="1"/>
  <c r="H82" i="3"/>
  <c r="H81" i="3" a="1"/>
  <c r="H81" i="3"/>
  <c r="H80" i="3" a="1"/>
  <c r="H80" i="3"/>
  <c r="H79" i="3" a="1"/>
  <c r="H79" i="3"/>
  <c r="H78" i="3" a="1"/>
  <c r="H78" i="3"/>
  <c r="H77" i="3" a="1"/>
  <c r="H77" i="3"/>
  <c r="H76" i="3" a="1"/>
  <c r="H76" i="3"/>
  <c r="H75" i="3" a="1"/>
  <c r="H75" i="3"/>
  <c r="H74" i="3" a="1"/>
  <c r="H74" i="3"/>
  <c r="H73" i="3" a="1"/>
  <c r="H73" i="3"/>
  <c r="H72" i="3" a="1"/>
  <c r="H72" i="3"/>
  <c r="O70" i="3" a="1"/>
  <c r="O70" i="3"/>
  <c r="P100" i="3" a="1"/>
  <c r="P100" i="3"/>
  <c r="P99" i="3" a="1"/>
  <c r="P99" i="3"/>
  <c r="P98" i="3" a="1"/>
  <c r="P98" i="3"/>
  <c r="P97" i="3" a="1"/>
  <c r="P97" i="3"/>
  <c r="P96" i="3" a="1"/>
  <c r="P96" i="3"/>
  <c r="P95" i="3" a="1"/>
  <c r="P95" i="3"/>
  <c r="P94" i="3" a="1"/>
  <c r="P94" i="3"/>
  <c r="P93" i="3" a="1"/>
  <c r="P93" i="3"/>
  <c r="P92" i="3" a="1"/>
  <c r="P92" i="3"/>
  <c r="P91" i="3" a="1"/>
  <c r="P91" i="3"/>
  <c r="P90" i="3" a="1"/>
  <c r="P90" i="3"/>
  <c r="P89" i="3" a="1"/>
  <c r="P89" i="3"/>
  <c r="P88" i="3" a="1"/>
  <c r="P88" i="3"/>
  <c r="P87" i="3" a="1"/>
  <c r="P87" i="3"/>
  <c r="P86" i="3" a="1"/>
  <c r="P86" i="3"/>
  <c r="P85" i="3" a="1"/>
  <c r="P85" i="3"/>
  <c r="P84" i="3" a="1"/>
  <c r="P84" i="3"/>
  <c r="P83" i="3" a="1"/>
  <c r="P83" i="3"/>
  <c r="P82" i="3" a="1"/>
  <c r="P82" i="3"/>
  <c r="P81" i="3" a="1"/>
  <c r="P81" i="3"/>
  <c r="P80" i="3" a="1"/>
  <c r="P80" i="3"/>
  <c r="P79" i="3" a="1"/>
  <c r="P79" i="3"/>
  <c r="P78" i="3" a="1"/>
  <c r="P78" i="3"/>
  <c r="P77" i="3" a="1"/>
  <c r="P77" i="3"/>
  <c r="P76" i="3" a="1"/>
  <c r="P76" i="3"/>
  <c r="P75" i="3" a="1"/>
  <c r="P75" i="3"/>
  <c r="P74" i="3" a="1"/>
  <c r="P74" i="3"/>
  <c r="P73" i="3" a="1"/>
  <c r="P73" i="3"/>
  <c r="P72" i="3" a="1"/>
  <c r="P72" i="3"/>
  <c r="W70" i="3" a="1"/>
  <c r="W70" i="3"/>
  <c r="X100" i="3" a="1"/>
  <c r="X100" i="3"/>
  <c r="X99" i="3" a="1"/>
  <c r="X99" i="3"/>
  <c r="X98" i="3" a="1"/>
  <c r="X98" i="3"/>
  <c r="X97" i="3" a="1"/>
  <c r="X97" i="3"/>
  <c r="X96" i="3" a="1"/>
  <c r="X96" i="3"/>
  <c r="X95" i="3" a="1"/>
  <c r="X95" i="3"/>
  <c r="X94" i="3" a="1"/>
  <c r="X94" i="3"/>
  <c r="X93" i="3" a="1"/>
  <c r="X93" i="3"/>
  <c r="X92" i="3" a="1"/>
  <c r="X92" i="3"/>
  <c r="X91" i="3" a="1"/>
  <c r="X91" i="3"/>
  <c r="X90" i="3" a="1"/>
  <c r="X90" i="3"/>
  <c r="X89" i="3" a="1"/>
  <c r="X89" i="3"/>
  <c r="X88" i="3" a="1"/>
  <c r="X88" i="3"/>
  <c r="X87" i="3" a="1"/>
  <c r="X87" i="3"/>
  <c r="X86" i="3" a="1"/>
  <c r="X86" i="3"/>
  <c r="X85" i="3" a="1"/>
  <c r="X85" i="3"/>
  <c r="X84" i="3" a="1"/>
  <c r="X84" i="3"/>
  <c r="X83" i="3" a="1"/>
  <c r="X83" i="3"/>
  <c r="X82" i="3" a="1"/>
  <c r="X82" i="3"/>
  <c r="X81" i="3" a="1"/>
  <c r="X81" i="3"/>
  <c r="X80" i="3" a="1"/>
  <c r="X80" i="3"/>
  <c r="X79" i="3" a="1"/>
  <c r="X79" i="3"/>
  <c r="X78" i="3" a="1"/>
  <c r="X78" i="3"/>
  <c r="X77" i="3" a="1"/>
  <c r="X77" i="3"/>
  <c r="X76" i="3" a="1"/>
  <c r="X76" i="3"/>
  <c r="X75" i="3" a="1"/>
  <c r="X75" i="3"/>
  <c r="X74" i="3" a="1"/>
  <c r="X74" i="3"/>
  <c r="X73" i="3" a="1"/>
  <c r="X73" i="3"/>
  <c r="X72" i="3" a="1"/>
  <c r="X7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tc={F5E58993-FF94-41D8-B77E-F22115EAA9A7}</author>
  </authors>
  <commentList>
    <comment ref="F3" authorId="0" shapeId="0" xr:uid="{F5E58993-FF94-41D8-B77E-F22115EAA9A7}">
      <text>
        <t>[Threaded comment]
Your version of Excel allows you to read this threaded comment; however, any edits to it will get removed if the file is opened in a newer version of Excel. Learn more: https://go.microsoft.com/fwlink/?linkid=870924
Comment:
    Additional time spread in units/year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<sst xmlns="http://schemas.openxmlformats.org/spreadsheetml/2006/main" count="2134" uniqueCount="382">
  <si>
    <t>Value Date</t>
  </si>
  <si>
    <t>ZAR</t>
  </si>
  <si>
    <t>Spots</t>
  </si>
  <si>
    <t>EUR</t>
  </si>
  <si>
    <t>AUD</t>
  </si>
  <si>
    <t>XAU</t>
  </si>
  <si>
    <t>XAG</t>
  </si>
  <si>
    <t>USD/ZAR</t>
  </si>
  <si>
    <t>EUR/USD</t>
  </si>
  <si>
    <t>AUD/USD</t>
  </si>
  <si>
    <t>XAU/USD</t>
  </si>
  <si>
    <t>XAG/USD</t>
  </si>
  <si>
    <t>XPD/USD</t>
  </si>
  <si>
    <t>XPT/USD</t>
  </si>
  <si>
    <t>Pair</t>
  </si>
  <si>
    <t>BBG</t>
  </si>
  <si>
    <t>Override</t>
  </si>
  <si>
    <t>Used</t>
  </si>
  <si>
    <t>/USD</t>
  </si>
  <si>
    <t>CCY</t>
  </si>
  <si>
    <t>Curves</t>
  </si>
  <si>
    <t>USD</t>
  </si>
  <si>
    <t>USD.LIBOR.3M</t>
  </si>
  <si>
    <t>Instruments</t>
  </si>
  <si>
    <t>ON</t>
  </si>
  <si>
    <t>TN</t>
  </si>
  <si>
    <t>1w</t>
  </si>
  <si>
    <t>2w</t>
  </si>
  <si>
    <t>1m</t>
  </si>
  <si>
    <t>2m</t>
  </si>
  <si>
    <t>3m</t>
  </si>
  <si>
    <t>6m</t>
  </si>
  <si>
    <t>9m</t>
  </si>
  <si>
    <t>12m</t>
  </si>
  <si>
    <t>18m</t>
  </si>
  <si>
    <t>2y</t>
  </si>
  <si>
    <t>3y</t>
  </si>
  <si>
    <t>5y</t>
  </si>
  <si>
    <t>Swaps</t>
  </si>
  <si>
    <t>Objects</t>
  </si>
  <si>
    <t>Ccy</t>
  </si>
  <si>
    <t>Inverted?</t>
  </si>
  <si>
    <t>USD Curve</t>
  </si>
  <si>
    <t>1W</t>
  </si>
  <si>
    <t>1M</t>
  </si>
  <si>
    <t>2M</t>
  </si>
  <si>
    <t>3M</t>
  </si>
  <si>
    <t>Depo Tenor</t>
  </si>
  <si>
    <t>Object</t>
  </si>
  <si>
    <t>PillarDate</t>
  </si>
  <si>
    <t>LIBOR Spot</t>
  </si>
  <si>
    <t>Future</t>
  </si>
  <si>
    <t>ZAR.JIBAR.3M</t>
  </si>
  <si>
    <t>Rate Indices</t>
  </si>
  <si>
    <t>(object)</t>
  </si>
  <si>
    <t>Contangos</t>
  </si>
  <si>
    <t>XPT</t>
  </si>
  <si>
    <t>XPD</t>
  </si>
  <si>
    <t>4y</t>
  </si>
  <si>
    <t>Metal Spot</t>
  </si>
  <si>
    <t>(Date)</t>
  </si>
  <si>
    <t>ZAR Swap</t>
  </si>
  <si>
    <t>Ticker</t>
  </si>
  <si>
    <t>SAONBOR</t>
  </si>
  <si>
    <t>JIBA1M</t>
  </si>
  <si>
    <t>JIBA3M</t>
  </si>
  <si>
    <t>SAFR0CF</t>
  </si>
  <si>
    <t>SAFR0FI</t>
  </si>
  <si>
    <t>3x6</t>
  </si>
  <si>
    <t>6x9</t>
  </si>
  <si>
    <t>Tenor</t>
  </si>
  <si>
    <t>1y</t>
  </si>
  <si>
    <t>ZAR Fund</t>
  </si>
  <si>
    <t>7y</t>
  </si>
  <si>
    <t>Swap.ZAR.&lt;Tenor&gt;.FUNDING.3M/JIBAR-SAFEX.3M.BBA</t>
  </si>
  <si>
    <t>Rate</t>
  </si>
  <si>
    <t>ZAR.FUNDING.3M</t>
  </si>
  <si>
    <t>FX Matrix</t>
  </si>
  <si>
    <t>Fx Pairs</t>
  </si>
  <si>
    <t>F-Model</t>
  </si>
  <si>
    <t>Calibration Info</t>
  </si>
  <si>
    <t>Curve Objects</t>
  </si>
  <si>
    <t>Curve</t>
  </si>
  <si>
    <t>Date</t>
  </si>
  <si>
    <t>Fx Vols</t>
  </si>
  <si>
    <t>ATM</t>
  </si>
  <si>
    <t>USDZAR</t>
  </si>
  <si>
    <t>RR</t>
  </si>
  <si>
    <t>BF</t>
  </si>
  <si>
    <t>EURUSD</t>
  </si>
  <si>
    <t>AUDUSD</t>
  </si>
  <si>
    <t>ATM Bump</t>
  </si>
  <si>
    <t>RR/BF</t>
  </si>
  <si>
    <t>PM Vols</t>
  </si>
  <si>
    <t>XAUUSD</t>
  </si>
  <si>
    <t>XAGUSD</t>
  </si>
  <si>
    <t>XPTUSD</t>
  </si>
  <si>
    <t>XPDUSD</t>
  </si>
  <si>
    <t>3m Date</t>
  </si>
  <si>
    <t>Cash Date</t>
  </si>
  <si>
    <t>Label</t>
  </si>
  <si>
    <t>S 0003</t>
  </si>
  <si>
    <t>Code</t>
  </si>
  <si>
    <t>LA</t>
  </si>
  <si>
    <t>AH</t>
  </si>
  <si>
    <t>Settle</t>
  </si>
  <si>
    <t>Live</t>
  </si>
  <si>
    <t>Forwards</t>
  </si>
  <si>
    <t>CA</t>
  </si>
  <si>
    <t>ZS</t>
  </si>
  <si>
    <t>NI</t>
  </si>
  <si>
    <t>PB</t>
  </si>
  <si>
    <t>SN</t>
  </si>
  <si>
    <t>Bump</t>
  </si>
  <si>
    <t>Vols</t>
  </si>
  <si>
    <t>LMECode</t>
  </si>
  <si>
    <t>Asset</t>
  </si>
  <si>
    <t>Skew</t>
  </si>
  <si>
    <t>LP</t>
  </si>
  <si>
    <t>LX</t>
  </si>
  <si>
    <t>LN</t>
  </si>
  <si>
    <t>Fixings</t>
  </si>
  <si>
    <t>Start Date</t>
  </si>
  <si>
    <t>End Date</t>
  </si>
  <si>
    <t>ZAR L130 Curncy</t>
  </si>
  <si>
    <t>GOLDLNAM Index</t>
  </si>
  <si>
    <t>SLVRLN Index</t>
  </si>
  <si>
    <t>PLTMLNAM Index</t>
  </si>
  <si>
    <t>PLDMLNAM Index</t>
  </si>
  <si>
    <t>CO</t>
  </si>
  <si>
    <t>Expiry</t>
  </si>
  <si>
    <t>Bid/Mid/Ask</t>
  </si>
  <si>
    <t>Set Sprd</t>
  </si>
  <si>
    <t>Live Sprd</t>
  </si>
  <si>
    <t>QS</t>
  </si>
  <si>
    <t>XB</t>
  </si>
  <si>
    <t>CL</t>
  </si>
  <si>
    <t>Ref</t>
  </si>
  <si>
    <t>Scale</t>
  </si>
  <si>
    <t>Flat Bump</t>
  </si>
  <si>
    <t>Time Bump</t>
  </si>
  <si>
    <t>Flat Price</t>
  </si>
  <si>
    <t>Basis Curves</t>
  </si>
  <si>
    <t>Dated</t>
  </si>
  <si>
    <t>Period</t>
  </si>
  <si>
    <t>Start</t>
  </si>
  <si>
    <t>End</t>
  </si>
  <si>
    <t>Price</t>
  </si>
  <si>
    <t>BBG Ticker</t>
  </si>
  <si>
    <t>3.5Fuel</t>
  </si>
  <si>
    <t>Fwd</t>
  </si>
  <si>
    <t>Swap Fwd</t>
  </si>
  <si>
    <t>Basis Swap</t>
  </si>
  <si>
    <t>Sing180</t>
  </si>
  <si>
    <t>A-Model</t>
  </si>
  <si>
    <t>(Input Surface)</t>
  </si>
  <si>
    <t>Contract</t>
  </si>
  <si>
    <t>AssetId</t>
  </si>
  <si>
    <t>Strike</t>
  </si>
  <si>
    <t>Call/Put</t>
  </si>
  <si>
    <t>Nominal</t>
  </si>
  <si>
    <t>PV</t>
  </si>
  <si>
    <t>Currency</t>
  </si>
  <si>
    <t>(swapObj)</t>
  </si>
  <si>
    <t>(optObj)</t>
  </si>
  <si>
    <t>(used)</t>
  </si>
  <si>
    <t>Put</t>
  </si>
  <si>
    <t>DiscoCurve</t>
  </si>
  <si>
    <t>Vol</t>
  </si>
  <si>
    <t>PaymentLag</t>
  </si>
  <si>
    <t>SpotLag</t>
  </si>
  <si>
    <t>2b</t>
  </si>
  <si>
    <t>(deltaObj)</t>
  </si>
  <si>
    <t>Delta</t>
  </si>
  <si>
    <t>(%)</t>
  </si>
  <si>
    <t>(/Unit)</t>
  </si>
  <si>
    <t>(fxVegaObjj)</t>
  </si>
  <si>
    <t>FxVega</t>
  </si>
  <si>
    <t>(VegaObjj)</t>
  </si>
  <si>
    <t>CommVega</t>
  </si>
  <si>
    <t>Tag</t>
  </si>
  <si>
    <t>A</t>
  </si>
  <si>
    <t>ClientA</t>
  </si>
  <si>
    <t>Portfolio</t>
  </si>
  <si>
    <t>(Objects)</t>
  </si>
  <si>
    <t>Correlations</t>
  </si>
  <si>
    <t>Asset/Fx</t>
  </si>
  <si>
    <t>Asset/Asset</t>
  </si>
  <si>
    <t>Model</t>
  </si>
  <si>
    <t>FixingCal</t>
  </si>
  <si>
    <t>AssetStatic</t>
  </si>
  <si>
    <t>0b</t>
  </si>
  <si>
    <t>ICE</t>
  </si>
  <si>
    <t>NYMEX</t>
  </si>
  <si>
    <t>LON</t>
  </si>
  <si>
    <t>IxFx</t>
  </si>
  <si>
    <t>USD+ZAR</t>
  </si>
  <si>
    <t>AUD+USD</t>
  </si>
  <si>
    <t>EUR+USD</t>
  </si>
  <si>
    <t>ClientB</t>
  </si>
  <si>
    <t>FxDelta</t>
  </si>
  <si>
    <t>FxVega(ZAR)</t>
  </si>
  <si>
    <t>Metrics</t>
  </si>
  <si>
    <t>AssetDelta</t>
  </si>
  <si>
    <t>AssetVega(ZAR)</t>
  </si>
  <si>
    <t>Fx Delta</t>
  </si>
  <si>
    <t>Fx Vega</t>
  </si>
  <si>
    <t>Asset Delta</t>
  </si>
  <si>
    <t>Asset Vega</t>
  </si>
  <si>
    <t>Calculate</t>
  </si>
  <si>
    <t>On</t>
  </si>
  <si>
    <t>Settings</t>
  </si>
  <si>
    <t>Paths</t>
  </si>
  <si>
    <t>Timesteps</t>
  </si>
  <si>
    <t>RandomGen</t>
  </si>
  <si>
    <t>Parallel</t>
  </si>
  <si>
    <t>LowMem</t>
  </si>
  <si>
    <t>PathCorrection</t>
  </si>
  <si>
    <t>MersenneTwister</t>
  </si>
  <si>
    <t>Black</t>
  </si>
  <si>
    <t>Credit Static</t>
  </si>
  <si>
    <t>Rating Grade</t>
  </si>
  <si>
    <t>1 YR PD</t>
  </si>
  <si>
    <t>Lower Bound</t>
  </si>
  <si>
    <t>Upper Bound</t>
  </si>
  <si>
    <t>AAA</t>
  </si>
  <si>
    <t>AA+</t>
  </si>
  <si>
    <t>AA</t>
  </si>
  <si>
    <t>AA-</t>
  </si>
  <si>
    <t>A+</t>
  </si>
  <si>
    <t>A-</t>
  </si>
  <si>
    <t>BBB+</t>
  </si>
  <si>
    <t>BBB(upper)</t>
  </si>
  <si>
    <t>BBB</t>
  </si>
  <si>
    <t>BBB-(upper)</t>
  </si>
  <si>
    <t>BBB-</t>
  </si>
  <si>
    <t>BB+(upper)</t>
  </si>
  <si>
    <t>BB+</t>
  </si>
  <si>
    <t>BB(upper)</t>
  </si>
  <si>
    <t>BB</t>
  </si>
  <si>
    <t>BB-(upper)</t>
  </si>
  <si>
    <t>BB-</t>
  </si>
  <si>
    <t>B+(upper)</t>
  </si>
  <si>
    <t>B+</t>
  </si>
  <si>
    <t>B(upper)</t>
  </si>
  <si>
    <t>B</t>
  </si>
  <si>
    <t>B-(upper)</t>
  </si>
  <si>
    <t>B-</t>
  </si>
  <si>
    <t>CCC</t>
  </si>
  <si>
    <t>D</t>
  </si>
  <si>
    <t>Rating</t>
  </si>
  <si>
    <t>Risk Weight</t>
  </si>
  <si>
    <t>CVA Weight</t>
  </si>
  <si>
    <t>Client</t>
  </si>
  <si>
    <t>PD</t>
  </si>
  <si>
    <t>Gold</t>
  </si>
  <si>
    <t>Precious</t>
  </si>
  <si>
    <t>FX</t>
  </si>
  <si>
    <t>Metals</t>
  </si>
  <si>
    <t>Energy</t>
  </si>
  <si>
    <t>Equity</t>
  </si>
  <si>
    <t>Credit Settings</t>
  </si>
  <si>
    <t>HazzardCurve</t>
  </si>
  <si>
    <t>Regressor</t>
  </si>
  <si>
    <t>MultiLinear</t>
  </si>
  <si>
    <t>DiscountCurve</t>
  </si>
  <si>
    <t>Regression Dates</t>
  </si>
  <si>
    <t>LGD</t>
  </si>
  <si>
    <t>Confidence Interval</t>
  </si>
  <si>
    <t>Sim Settings</t>
  </si>
  <si>
    <t>Spot EAD (B3)</t>
  </si>
  <si>
    <t>B2/B3 Split Date</t>
  </si>
  <si>
    <t>PV CCR Capital (B2/SM)</t>
  </si>
  <si>
    <t>PV CVA Capital (B2.5/SM)</t>
  </si>
  <si>
    <t>Split Capital</t>
  </si>
  <si>
    <t>EPE</t>
  </si>
  <si>
    <t>CVA</t>
  </si>
  <si>
    <t>Summary</t>
  </si>
  <si>
    <t>FVA</t>
  </si>
  <si>
    <t>CCR Cap</t>
  </si>
  <si>
    <t>CVA Cap</t>
  </si>
  <si>
    <t>Charges</t>
  </si>
  <si>
    <t>PFE</t>
  </si>
  <si>
    <t>Max</t>
  </si>
  <si>
    <t>FundingCurve</t>
  </si>
  <si>
    <t>(swap0Obj)</t>
  </si>
  <si>
    <t>Pfe @ 95%</t>
  </si>
  <si>
    <t>Call</t>
  </si>
  <si>
    <t>CreditPack</t>
  </si>
  <si>
    <t>PX_ASK</t>
  </si>
  <si>
    <t>Tier 1 Capital Req</t>
  </si>
  <si>
    <t>Tier 2 Capital Req</t>
  </si>
  <si>
    <t>RWA</t>
  </si>
  <si>
    <t>Cost</t>
  </si>
  <si>
    <t>CDS Spreads</t>
  </si>
  <si>
    <t>CDSCurve</t>
  </si>
  <si>
    <t>Discount Curve</t>
  </si>
  <si>
    <t>1y PD</t>
  </si>
  <si>
    <t>Bond Recovery</t>
  </si>
  <si>
    <t>6y</t>
  </si>
  <si>
    <t>Spread</t>
  </si>
  <si>
    <t>EAD</t>
  </si>
  <si>
    <t>Gross RoC</t>
  </si>
  <si>
    <t>Q420</t>
  </si>
  <si>
    <t>Net RoC</t>
  </si>
  <si>
    <t>Effective CoC</t>
  </si>
  <si>
    <t>Gap</t>
  </si>
  <si>
    <t>Size (oz)</t>
  </si>
  <si>
    <t>Q121</t>
  </si>
  <si>
    <t>Soverign</t>
  </si>
  <si>
    <t>Industrial</t>
  </si>
  <si>
    <t>Financial</t>
  </si>
  <si>
    <t>Consumer</t>
  </si>
  <si>
    <t>Tech</t>
  </si>
  <si>
    <t>Utilities</t>
  </si>
  <si>
    <t>Sector</t>
  </si>
  <si>
    <t>CCF</t>
  </si>
  <si>
    <t>Type</t>
  </si>
  <si>
    <t>Oil</t>
  </si>
  <si>
    <t>Products</t>
  </si>
  <si>
    <t>Silver</t>
  </si>
  <si>
    <t>PGMs</t>
  </si>
  <si>
    <t>Base</t>
  </si>
  <si>
    <t>CCFs</t>
  </si>
  <si>
    <t>TypeToClass</t>
  </si>
  <si>
    <t>CommoOilGas</t>
  </si>
  <si>
    <t>CommoMetals</t>
  </si>
  <si>
    <t>CVA Weight B3</t>
  </si>
  <si>
    <t>CVA Weight B2</t>
  </si>
  <si>
    <t>~</t>
  </si>
  <si>
    <t>Q320</t>
  </si>
  <si>
    <t>Q221</t>
  </si>
  <si>
    <t>Q321</t>
  </si>
  <si>
    <t>Q421</t>
  </si>
  <si>
    <t>Q122</t>
  </si>
  <si>
    <t>Q222</t>
  </si>
  <si>
    <t>Q322</t>
  </si>
  <si>
    <t>Q422</t>
  </si>
  <si>
    <t>Q123</t>
  </si>
  <si>
    <t>Q223</t>
  </si>
  <si>
    <t>Q323</t>
  </si>
  <si>
    <t>Q423</t>
  </si>
  <si>
    <t>Q124</t>
  </si>
  <si>
    <t>Q224</t>
  </si>
  <si>
    <t>Q324</t>
  </si>
  <si>
    <t>Q424</t>
  </si>
  <si>
    <t>Q125</t>
  </si>
  <si>
    <t>Q225</t>
  </si>
  <si>
    <t>Notional (MT)</t>
  </si>
  <si>
    <t>Calls</t>
  </si>
  <si>
    <t>Puts</t>
  </si>
  <si>
    <t>Tonage</t>
  </si>
  <si>
    <t>PV/mt</t>
  </si>
  <si>
    <t>Fixing Date</t>
  </si>
  <si>
    <t>Prompt Date</t>
  </si>
  <si>
    <t>Mid Fwd</t>
  </si>
  <si>
    <t>Mid Vol</t>
  </si>
  <si>
    <t>K</t>
  </si>
  <si>
    <t>Tier1</t>
  </si>
  <si>
    <t>Tier2</t>
  </si>
  <si>
    <t>14/16 Sep 21, 10koz</t>
  </si>
  <si>
    <t>26/28 Oct 21, 10koz</t>
  </si>
  <si>
    <t>23/25 Nov 21, 10koz</t>
  </si>
  <si>
    <t>14/16 Dec 21, 10koz</t>
  </si>
  <si>
    <t>22/24 Feb 22, 10koz</t>
  </si>
  <si>
    <t>29/31 Mar 22, 10koz</t>
  </si>
  <si>
    <t>26/29 Apr 22, 10koz</t>
  </si>
  <si>
    <t>23/25 May 22, 10koz</t>
  </si>
  <si>
    <t>27/29 Jun 22, 10koz</t>
  </si>
  <si>
    <t>25/27 Jul 22, 10koz</t>
  </si>
  <si>
    <t>AlR</t>
  </si>
  <si>
    <t>Bullet</t>
  </si>
  <si>
    <t>Asian</t>
  </si>
  <si>
    <t>c-ZAR</t>
  </si>
  <si>
    <t>Floor</t>
  </si>
  <si>
    <t>Cap</t>
  </si>
  <si>
    <t>DF</t>
  </si>
  <si>
    <t>Mi</t>
  </si>
  <si>
    <t>Quote Name</t>
  </si>
  <si>
    <t>ClientZ</t>
  </si>
  <si>
    <t>Capital cost T1</t>
  </si>
  <si>
    <t>Capital cost 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</si>
</sst>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6" formatCode="&quot;£&quot;#,##0;[Red]\-&quot;£&quot;#,##0"/>
    <numFmt numFmtId="41" formatCode="_-* #,##0_-;\-* #,##0_-;_-* &quot;-&quot;_-;_-@_-"/>
    <numFmt numFmtId="43" formatCode="_-* #,##0.00_-;\-* #,##0.00_-;_-* &quot;-&quot;??_-;_-@_-"/>
    <numFmt numFmtId="164" formatCode="0.0000"/>
    <numFmt numFmtId="165" formatCode="_-* #,##0.0000_-;\-* #,##0.0000_-;_-* &quot;-&quot;??_-;_-@_-"/>
    <numFmt numFmtId="166" formatCode="_-* #,##0_-;\-* #,##0_-;_-* &quot;-&quot;??_-;_-@_-"/>
    <numFmt numFmtId="167" formatCode="0.0%"/>
    <numFmt numFmtId="168" formatCode="mmmyy"/>
    <numFmt numFmtId="169" formatCode="0.000%"/>
    <numFmt numFmtId="170" formatCode="_-* #,##0.000_-;\-* #,##0.000_-;_-* &quot;-&quot;??_-;_-@_-"/>
    <numFmt numFmtId="172" formatCode="_-* #,##0.00000_-;\-* #,##0.00000_-;_-* &quot;-&quot;??_-;_-@_-"/>
    <numFmt numFmtId="173" formatCode="0.0"/>
    <numFmt numFmtId="174" formatCode="_ * #,##0.00_ ;_ * \-#,##0.00_ ;_ * &quot;-&quot;??_ ;_ @_ "/>
    <numFmt numFmtId="175" formatCode="_(&quot;$&quot;* #,##0_);_(&quot;$&quot;* \(#,##0\);_(&quot;$&quot;* &quot;-&quot;_);_(@_)"/>
    <numFmt numFmtId="176" formatCode="_(&quot;$&quot;* #,##0.00_);_(&quot;$&quot;* \(#,##0.00\);_(&quot;$&quot;* &quot;-&quot;??_);_(@_)"/>
    <numFmt numFmtId="177" formatCode="&quot;R&quot;\ #,##0;[Red]&quot;R&quot;\ \-#,##0"/>
    <numFmt numFmtId="178" formatCode="_ &quot;R&quot;\ * #,##0.00_ ;_ &quot;R&quot;\ * \-#,##0.00_ ;_ &quot;R&quot;\ * &quot;-&quot;??_ ;_ @_ "/>
    <numFmt numFmtId="179" formatCode="_([$€]* #,##0.00_);_([$€]* \(#,##0.00\);_([$€]* &quot;-&quot;??_);_(@_)"/>
    <numFmt numFmtId="180" formatCode="dd\-mmm\-yy_)"/>
    <numFmt numFmtId="181" formatCode="#,##0.0_);\(#,##0.0\)"/>
    <numFmt numFmtId="182" formatCode="_ [$€]\ * #,##0.00_ ;_ [$€]\ * \-#,##0.00_ ;_ [$€]\ * &quot;-&quot;??_ ;_ @_ "/>
    <numFmt numFmtId="183" formatCode="&quot;ZAR&quot;\ #,##0;[Red]&quot;ZAR&quot;\ \-#,##0"/>
    <numFmt numFmtId="184" formatCode="&quot;$&quot;#,##0\ ;\(&quot;$&quot;#,##0\)"/>
    <numFmt numFmtId="185" formatCode="#,##0.0;#,##0.0"/>
    <numFmt numFmtId="186" formatCode="\+#,##0.00;\-#,##0.00"/>
    <numFmt numFmtId="187" formatCode="0.00_)"/>
    <numFmt numFmtId="188" formatCode="_ [$€-2]\ * #,##0.00_ ;_ [$€-2]\ * \-#,##0.00_ ;_ [$€-2]\ * &quot;-&quot;??_ "/>
    <numFmt numFmtId="189" formatCode="[$-1C09]dd\ mmmm\ yyyy;@"/>
    <numFmt numFmtId="190" formatCode="#,##0.000000000000"/>
  </numFmts>
  <fonts count="10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FFFF"/>
      <name val="Calibri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0"/>
      <color rgb="FF000000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color indexed="32"/>
      <name val="Arial"/>
      <family val="2"/>
    </font>
    <font>
      <u/>
      <sz val="8"/>
      <color indexed="12"/>
      <name val="Arial"/>
      <family val="2"/>
    </font>
    <font>
      <sz val="10"/>
      <color indexed="8"/>
      <name val="Arial"/>
      <family val="2"/>
    </font>
    <font>
      <sz val="8"/>
      <name val="Times New Roman"/>
      <family val="1"/>
    </font>
    <font>
      <sz val="12"/>
      <color indexed="12"/>
      <name val="Helv"/>
    </font>
    <font>
      <b/>
      <sz val="12"/>
      <name val="Arial"/>
      <family val="2"/>
    </font>
    <font>
      <sz val="12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2"/>
      <name val="Calibri"/>
      <family val="2"/>
    </font>
    <font>
      <sz val="11"/>
      <color indexed="1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8"/>
      <name val="Tahoma"/>
      <family val="2"/>
    </font>
    <font>
      <u/>
      <sz val="10"/>
      <color indexed="12"/>
      <name val="Arial"/>
      <family val="2"/>
    </font>
    <font>
      <sz val="10"/>
      <color indexed="10"/>
      <name val="Arial"/>
      <family val="2"/>
    </font>
    <font>
      <b/>
      <sz val="10"/>
      <name val="Arial"/>
      <family val="2"/>
    </font>
    <font>
      <sz val="10"/>
      <color indexed="8"/>
      <name val="Arial Narrow"/>
      <family val="2"/>
    </font>
    <font>
      <sz val="10"/>
      <name val="Tahoma"/>
      <family val="2"/>
    </font>
    <font>
      <sz val="10"/>
      <name val="Arial Narrow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b/>
      <sz val="11"/>
      <color indexed="5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8"/>
      <color indexed="56"/>
      <name val="Cambria"/>
      <family val="2"/>
    </font>
    <font>
      <sz val="10"/>
      <color indexed="10"/>
      <name val="MS Sans Serif"/>
      <family val="2"/>
    </font>
    <font>
      <b/>
      <sz val="18"/>
      <name val="Arial"/>
      <family val="2"/>
    </font>
    <font>
      <i/>
      <sz val="10"/>
      <color indexed="11"/>
      <name val="Arial"/>
      <family val="2"/>
    </font>
    <font>
      <b/>
      <i/>
      <sz val="9"/>
      <color indexed="57"/>
      <name val="Verdana"/>
      <family val="2"/>
    </font>
    <font>
      <b/>
      <sz val="9"/>
      <color indexed="9"/>
      <name val="Verdana"/>
      <family val="2"/>
    </font>
    <font>
      <i/>
      <sz val="10"/>
      <name val="Arial"/>
      <family val="2"/>
    </font>
    <font>
      <b/>
      <i/>
      <sz val="9"/>
      <color indexed="16"/>
      <name val="Verdana"/>
      <family val="2"/>
    </font>
    <font>
      <b/>
      <i/>
      <sz val="16"/>
      <name val="Helv"/>
      <family val="2"/>
    </font>
    <font>
      <b/>
      <sz val="9"/>
      <color indexed="16"/>
      <name val="Verdana"/>
      <family val="2"/>
    </font>
    <font>
      <sz val="14"/>
      <color indexed="8"/>
      <name val="Verdana"/>
      <family val="2"/>
    </font>
    <font>
      <b/>
      <sz val="12"/>
      <color indexed="16"/>
      <name val="MS Sans Serif"/>
      <family val="2"/>
    </font>
    <font>
      <sz val="8"/>
      <color indexed="12"/>
      <name val="MS Sans Serif"/>
      <family val="2"/>
    </font>
    <font>
      <b/>
      <sz val="12"/>
      <color indexed="17"/>
      <name val="MS Sans Serif"/>
      <family val="2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10"/>
      <color indexed="20"/>
      <name val="Arial"/>
      <family val="2"/>
    </font>
    <font>
      <b/>
      <sz val="10"/>
      <color indexed="52"/>
      <name val="Arial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0"/>
      <color indexed="62"/>
      <name val="Arial"/>
      <family val="2"/>
    </font>
    <font>
      <sz val="10"/>
      <color indexed="52"/>
      <name val="Arial"/>
      <family val="2"/>
    </font>
    <font>
      <sz val="10"/>
      <color indexed="60"/>
      <name val="Arial"/>
      <family val="2"/>
    </font>
    <font>
      <b/>
      <sz val="10"/>
      <color indexed="63"/>
      <name val="Arial"/>
      <family val="2"/>
    </font>
    <font>
      <u/>
      <sz val="10"/>
      <color indexed="12"/>
      <name val="Tahoma"/>
      <family val="2"/>
    </font>
    <font>
      <b/>
      <u/>
      <sz val="12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7"/>
      <name val="Arial"/>
      <family val="2"/>
    </font>
    <font>
      <sz val="6"/>
      <name val="Arial"/>
      <family val="2"/>
    </font>
    <font>
      <sz val="6"/>
      <color indexed="9"/>
      <name val="Arial"/>
      <family val="2"/>
    </font>
    <font>
      <sz val="6"/>
      <color indexed="8"/>
      <name val="Arial"/>
      <family val="2"/>
    </font>
    <font>
      <b/>
      <sz val="7"/>
      <color indexed="8"/>
      <name val="Verdana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u/>
      <sz val="6"/>
      <color indexed="12"/>
      <name val="Arial"/>
      <family val="2"/>
    </font>
    <font>
      <sz val="8"/>
      <color theme="1"/>
      <name val="Tahoma"/>
      <family val="2"/>
    </font>
    <font>
      <sz val="10"/>
      <color theme="1"/>
      <name val="Calibri"/>
      <family val="2"/>
      <scheme val="minor"/>
    </font>
    <font>
      <sz val="10"/>
      <color theme="1"/>
      <name val="Times New Roman"/>
      <family val="1"/>
    </font>
    <font>
      <sz val="11"/>
      <color theme="1"/>
      <name val="Segoe UI"/>
      <family val="2"/>
    </font>
  </fonts>
  <fills count="92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44546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4"/>
      </patternFill>
    </fill>
    <fill>
      <patternFill patternType="solid">
        <fgColor indexed="31"/>
      </patternFill>
    </fill>
    <fill>
      <patternFill patternType="solid">
        <fgColor indexed="29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7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8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7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5"/>
      </patternFill>
    </fill>
    <fill>
      <patternFill patternType="solid">
        <fgColor indexed="4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6"/>
        <bgColor indexed="64"/>
      </patternFill>
    </fill>
    <fill>
      <patternFill patternType="lightTrellis">
        <fgColor indexed="57"/>
        <bgColor indexed="53"/>
      </patternFill>
    </fill>
    <fill>
      <patternFill patternType="solid">
        <fgColor indexed="52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62"/>
        <bgColor indexed="64"/>
      </patternFill>
    </fill>
    <fill>
      <patternFill patternType="gray0625">
        <fgColor indexed="22"/>
        <bgColor indexed="9"/>
      </patternFill>
    </fill>
    <fill>
      <patternFill patternType="solid">
        <fgColor indexed="22"/>
        <bgColor indexed="22"/>
      </patternFill>
    </fill>
    <fill>
      <patternFill patternType="solid">
        <fgColor indexed="9"/>
        <bgColor indexed="9"/>
      </patternFill>
    </fill>
    <fill>
      <patternFill patternType="solid">
        <fgColor indexed="58"/>
      </patternFill>
    </fill>
    <fill>
      <patternFill patternType="solid">
        <fgColor indexed="23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3"/>
      </patternFill>
    </fill>
    <fill>
      <patternFill patternType="solid">
        <fgColor indexed="60"/>
      </patternFill>
    </fill>
    <fill>
      <patternFill patternType="solid">
        <fgColor indexed="61"/>
      </patternFill>
    </fill>
    <fill>
      <patternFill patternType="solid">
        <fgColor indexed="56"/>
      </patternFill>
    </fill>
    <fill>
      <patternFill patternType="solid">
        <fgColor indexed="65"/>
      </patternFill>
    </fill>
    <fill>
      <patternFill patternType="solid">
        <fgColor rgb="FF4F81BD"/>
        <bgColor indexed="64"/>
      </patternFill>
    </fill>
  </fills>
  <borders count="5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2109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3" fillId="0" borderId="32" applyNumberFormat="0" applyFill="0" applyAlignment="0" applyProtection="0"/>
    <xf numFmtId="0" fontId="14" fillId="0" borderId="33" applyNumberFormat="0" applyFill="0" applyAlignment="0" applyProtection="0"/>
    <xf numFmtId="0" fontId="15" fillId="0" borderId="34" applyNumberFormat="0" applyFill="0" applyAlignment="0" applyProtection="0"/>
    <xf numFmtId="0" fontId="15" fillId="0" borderId="0" applyNumberFormat="0" applyFill="0" applyBorder="0" applyAlignment="0" applyProtection="0"/>
    <xf numFmtId="0" fontId="16" fillId="11" borderId="0" applyNumberFormat="0" applyBorder="0" applyAlignment="0" applyProtection="0"/>
    <xf numFmtId="0" fontId="17" fillId="12" borderId="0" applyNumberFormat="0" applyBorder="0" applyAlignment="0" applyProtection="0"/>
    <xf numFmtId="0" fontId="18" fillId="13" borderId="0" applyNumberFormat="0" applyBorder="0" applyAlignment="0" applyProtection="0"/>
    <xf numFmtId="0" fontId="19" fillId="14" borderId="35" applyNumberFormat="0" applyAlignment="0" applyProtection="0"/>
    <xf numFmtId="0" fontId="20" fillId="15" borderId="36" applyNumberFormat="0" applyAlignment="0" applyProtection="0"/>
    <xf numFmtId="0" fontId="21" fillId="15" borderId="35" applyNumberFormat="0" applyAlignment="0" applyProtection="0"/>
    <xf numFmtId="0" fontId="22" fillId="0" borderId="37" applyNumberFormat="0" applyFill="0" applyAlignment="0" applyProtection="0"/>
    <xf numFmtId="0" fontId="23" fillId="16" borderId="38" applyNumberFormat="0" applyAlignment="0" applyProtection="0"/>
    <xf numFmtId="0" fontId="24" fillId="0" borderId="0" applyNumberFormat="0" applyFill="0" applyBorder="0" applyAlignment="0" applyProtection="0"/>
    <xf numFmtId="0" fontId="1" fillId="17" borderId="39" applyNumberFormat="0" applyFont="0" applyAlignment="0" applyProtection="0"/>
    <xf numFmtId="0" fontId="25" fillId="0" borderId="0" applyNumberFormat="0" applyFill="0" applyBorder="0" applyAlignment="0" applyProtection="0"/>
    <xf numFmtId="0" fontId="2" fillId="0" borderId="40" applyNumberFormat="0" applyFill="0" applyAlignment="0" applyProtection="0"/>
    <xf numFmtId="0" fontId="26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26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26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26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26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26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27" fillId="0" borderId="0" applyNumberFormat="0" applyFill="0" applyBorder="0" applyAlignment="0" applyProtection="0"/>
    <xf numFmtId="43" fontId="1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9" fillId="0" borderId="0" applyFont="0" applyFill="0" applyBorder="0" applyAlignment="0" applyProtection="0"/>
    <xf numFmtId="0" fontId="32" fillId="0" borderId="0">
      <alignment vertical="top"/>
    </xf>
    <xf numFmtId="0" fontId="32" fillId="0" borderId="0">
      <alignment vertical="top"/>
    </xf>
    <xf numFmtId="0" fontId="37" fillId="43" borderId="0" applyNumberFormat="0" applyBorder="0" applyAlignment="0" applyProtection="0"/>
    <xf numFmtId="0" fontId="32" fillId="43" borderId="0" applyNumberFormat="0" applyBorder="0" applyAlignment="0" applyProtection="0"/>
    <xf numFmtId="0" fontId="1" fillId="19" borderId="0" applyNumberFormat="0" applyBorder="0" applyAlignment="0" applyProtection="0"/>
    <xf numFmtId="0" fontId="37" fillId="43" borderId="0" applyNumberFormat="0" applyBorder="0" applyAlignment="0" applyProtection="0"/>
    <xf numFmtId="0" fontId="1" fillId="19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5" borderId="0" applyNumberFormat="0" applyBorder="0" applyAlignment="0" applyProtection="0"/>
    <xf numFmtId="0" fontId="32" fillId="45" borderId="0" applyNumberFormat="0" applyBorder="0" applyAlignment="0" applyProtection="0"/>
    <xf numFmtId="0" fontId="1" fillId="23" borderId="0" applyNumberFormat="0" applyBorder="0" applyAlignment="0" applyProtection="0"/>
    <xf numFmtId="0" fontId="37" fillId="45" borderId="0" applyNumberFormat="0" applyBorder="0" applyAlignment="0" applyProtection="0"/>
    <xf numFmtId="0" fontId="1" fillId="23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7" borderId="0" applyNumberFormat="0" applyBorder="0" applyAlignment="0" applyProtection="0"/>
    <xf numFmtId="0" fontId="32" fillId="47" borderId="0" applyNumberFormat="0" applyBorder="0" applyAlignment="0" applyProtection="0"/>
    <xf numFmtId="0" fontId="1" fillId="27" borderId="0" applyNumberFormat="0" applyBorder="0" applyAlignment="0" applyProtection="0"/>
    <xf numFmtId="0" fontId="37" fillId="47" borderId="0" applyNumberFormat="0" applyBorder="0" applyAlignment="0" applyProtection="0"/>
    <xf numFmtId="0" fontId="1" fillId="2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9" borderId="0" applyNumberFormat="0" applyBorder="0" applyAlignment="0" applyProtection="0"/>
    <xf numFmtId="0" fontId="32" fillId="49" borderId="0" applyNumberFormat="0" applyBorder="0" applyAlignment="0" applyProtection="0"/>
    <xf numFmtId="0" fontId="1" fillId="31" borderId="0" applyNumberFormat="0" applyBorder="0" applyAlignment="0" applyProtection="0"/>
    <xf numFmtId="0" fontId="37" fillId="49" borderId="0" applyNumberFormat="0" applyBorder="0" applyAlignment="0" applyProtection="0"/>
    <xf numFmtId="0" fontId="1" fillId="31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50" borderId="0" applyNumberFormat="0" applyBorder="0" applyAlignment="0" applyProtection="0"/>
    <xf numFmtId="0" fontId="32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48" borderId="0" applyNumberFormat="0" applyBorder="0" applyAlignment="0" applyProtection="0"/>
    <xf numFmtId="0" fontId="32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2" borderId="0" applyNumberFormat="0" applyBorder="0" applyAlignment="0" applyProtection="0"/>
    <xf numFmtId="0" fontId="32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4" borderId="0" applyNumberFormat="0" applyBorder="0" applyAlignment="0" applyProtection="0"/>
    <xf numFmtId="0" fontId="32" fillId="44" borderId="0" applyNumberFormat="0" applyBorder="0" applyAlignment="0" applyProtection="0"/>
    <xf numFmtId="0" fontId="37" fillId="44" borderId="0" applyNumberFormat="0" applyBorder="0" applyAlignment="0" applyProtection="0"/>
    <xf numFmtId="0" fontId="37" fillId="52" borderId="0" applyNumberFormat="0" applyBorder="0" applyAlignment="0" applyProtection="0"/>
    <xf numFmtId="0" fontId="32" fillId="52" borderId="0" applyNumberFormat="0" applyBorder="0" applyAlignment="0" applyProtection="0"/>
    <xf numFmtId="0" fontId="1" fillId="28" borderId="0" applyNumberFormat="0" applyBorder="0" applyAlignment="0" applyProtection="0"/>
    <xf numFmtId="0" fontId="37" fillId="52" borderId="0" applyNumberFormat="0" applyBorder="0" applyAlignment="0" applyProtection="0"/>
    <xf numFmtId="0" fontId="1" fillId="28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49" borderId="0" applyNumberFormat="0" applyBorder="0" applyAlignment="0" applyProtection="0"/>
    <xf numFmtId="0" fontId="32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2" borderId="0" applyNumberFormat="0" applyBorder="0" applyAlignment="0" applyProtection="0"/>
    <xf numFmtId="0" fontId="32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53" borderId="0" applyNumberFormat="0" applyBorder="0" applyAlignment="0" applyProtection="0"/>
    <xf numFmtId="0" fontId="32" fillId="53" borderId="0" applyNumberFormat="0" applyBorder="0" applyAlignment="0" applyProtection="0"/>
    <xf numFmtId="0" fontId="37" fillId="53" borderId="0" applyNumberFormat="0" applyBorder="0" applyAlignment="0" applyProtection="0"/>
    <xf numFmtId="0" fontId="26" fillId="21" borderId="0" applyNumberFormat="0" applyBorder="0" applyAlignment="0" applyProtection="0"/>
    <xf numFmtId="0" fontId="38" fillId="54" borderId="0" applyNumberFormat="0" applyBorder="0" applyAlignment="0" applyProtection="0"/>
    <xf numFmtId="0" fontId="55" fillId="54" borderId="0" applyNumberFormat="0" applyBorder="0" applyAlignment="0" applyProtection="0"/>
    <xf numFmtId="0" fontId="38" fillId="54" borderId="0" applyNumberFormat="0" applyBorder="0" applyAlignment="0" applyProtection="0"/>
    <xf numFmtId="0" fontId="26" fillId="25" borderId="0" applyNumberFormat="0" applyBorder="0" applyAlignment="0" applyProtection="0"/>
    <xf numFmtId="0" fontId="38" fillId="44" borderId="0" applyNumberFormat="0" applyBorder="0" applyAlignment="0" applyProtection="0"/>
    <xf numFmtId="0" fontId="55" fillId="44" borderId="0" applyNumberFormat="0" applyBorder="0" applyAlignment="0" applyProtection="0"/>
    <xf numFmtId="0" fontId="38" fillId="44" borderId="0" applyNumberFormat="0" applyBorder="0" applyAlignment="0" applyProtection="0"/>
    <xf numFmtId="0" fontId="26" fillId="29" borderId="0" applyNumberFormat="0" applyBorder="0" applyAlignment="0" applyProtection="0"/>
    <xf numFmtId="0" fontId="38" fillId="52" borderId="0" applyNumberFormat="0" applyBorder="0" applyAlignment="0" applyProtection="0"/>
    <xf numFmtId="0" fontId="55" fillId="52" borderId="0" applyNumberFormat="0" applyBorder="0" applyAlignment="0" applyProtection="0"/>
    <xf numFmtId="0" fontId="26" fillId="29" borderId="0" applyNumberFormat="0" applyBorder="0" applyAlignment="0" applyProtection="0"/>
    <xf numFmtId="0" fontId="38" fillId="52" borderId="0" applyNumberFormat="0" applyBorder="0" applyAlignment="0" applyProtection="0"/>
    <xf numFmtId="0" fontId="26" fillId="29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26" fillId="33" borderId="0" applyNumberFormat="0" applyBorder="0" applyAlignment="0" applyProtection="0"/>
    <xf numFmtId="0" fontId="38" fillId="56" borderId="0" applyNumberFormat="0" applyBorder="0" applyAlignment="0" applyProtection="0"/>
    <xf numFmtId="0" fontId="55" fillId="56" borderId="0" applyNumberFormat="0" applyBorder="0" applyAlignment="0" applyProtection="0"/>
    <xf numFmtId="0" fontId="26" fillId="33" borderId="0" applyNumberFormat="0" applyBorder="0" applyAlignment="0" applyProtection="0"/>
    <xf numFmtId="0" fontId="38" fillId="56" borderId="0" applyNumberFormat="0" applyBorder="0" applyAlignment="0" applyProtection="0"/>
    <xf numFmtId="0" fontId="26" fillId="33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26" fillId="37" borderId="0" applyNumberFormat="0" applyBorder="0" applyAlignment="0" applyProtection="0"/>
    <xf numFmtId="0" fontId="38" fillId="57" borderId="0" applyNumberFormat="0" applyBorder="0" applyAlignment="0" applyProtection="0"/>
    <xf numFmtId="0" fontId="55" fillId="57" borderId="0" applyNumberFormat="0" applyBorder="0" applyAlignment="0" applyProtection="0"/>
    <xf numFmtId="0" fontId="38" fillId="57" borderId="0" applyNumberFormat="0" applyBorder="0" applyAlignment="0" applyProtection="0"/>
    <xf numFmtId="0" fontId="26" fillId="41" borderId="0" applyNumberFormat="0" applyBorder="0" applyAlignment="0" applyProtection="0"/>
    <xf numFmtId="0" fontId="38" fillId="58" borderId="0" applyNumberFormat="0" applyBorder="0" applyAlignment="0" applyProtection="0"/>
    <xf numFmtId="0" fontId="55" fillId="58" borderId="0" applyNumberFormat="0" applyBorder="0" applyAlignment="0" applyProtection="0"/>
    <xf numFmtId="0" fontId="26" fillId="41" borderId="0" applyNumberFormat="0" applyBorder="0" applyAlignment="0" applyProtection="0"/>
    <xf numFmtId="0" fontId="38" fillId="58" borderId="0" applyNumberFormat="0" applyBorder="0" applyAlignment="0" applyProtection="0"/>
    <xf numFmtId="0" fontId="26" fillId="41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9" borderId="0" applyNumberFormat="0" applyBorder="0" applyAlignment="0" applyProtection="0"/>
    <xf numFmtId="0" fontId="55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60" borderId="0" applyNumberFormat="0" applyBorder="0" applyAlignment="0" applyProtection="0"/>
    <xf numFmtId="0" fontId="55" fillId="60" borderId="0" applyNumberFormat="0" applyBorder="0" applyAlignment="0" applyProtection="0"/>
    <xf numFmtId="0" fontId="38" fillId="60" borderId="0" applyNumberFormat="0" applyBorder="0" applyAlignment="0" applyProtection="0"/>
    <xf numFmtId="0" fontId="38" fillId="61" borderId="0" applyNumberFormat="0" applyBorder="0" applyAlignment="0" applyProtection="0"/>
    <xf numFmtId="0" fontId="55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56" borderId="0" applyNumberFormat="0" applyBorder="0" applyAlignment="0" applyProtection="0"/>
    <xf numFmtId="0" fontId="55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7" borderId="0" applyNumberFormat="0" applyBorder="0" applyAlignment="0" applyProtection="0"/>
    <xf numFmtId="0" fontId="55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5" borderId="0" applyNumberFormat="0" applyBorder="0" applyAlignment="0" applyProtection="0"/>
    <xf numFmtId="0" fontId="55" fillId="55" borderId="0" applyNumberFormat="0" applyBorder="0" applyAlignment="0" applyProtection="0"/>
    <xf numFmtId="0" fontId="38" fillId="55" borderId="0" applyNumberFormat="0" applyBorder="0" applyAlignment="0" applyProtection="0"/>
    <xf numFmtId="0" fontId="33" fillId="0" borderId="0">
      <alignment horizontal="center" wrapText="1"/>
      <protection locked="0"/>
    </xf>
    <xf numFmtId="0" fontId="63" fillId="62" borderId="0" applyAlignment="0"/>
    <xf numFmtId="0" fontId="39" fillId="45" borderId="0" applyNumberFormat="0" applyBorder="0" applyAlignment="0" applyProtection="0"/>
    <xf numFmtId="0" fontId="78" fillId="45" borderId="0" applyNumberFormat="0" applyBorder="0" applyAlignment="0" applyProtection="0"/>
    <xf numFmtId="0" fontId="39" fillId="45" borderId="0" applyNumberFormat="0" applyBorder="0" applyAlignment="0" applyProtection="0"/>
    <xf numFmtId="0" fontId="40" fillId="91" borderId="0"/>
    <xf numFmtId="0" fontId="29" fillId="0" borderId="41"/>
    <xf numFmtId="0" fontId="56" fillId="63" borderId="42" applyNumberFormat="0" applyAlignment="0" applyProtection="0"/>
    <xf numFmtId="0" fontId="79" fillId="63" borderId="42" applyNumberFormat="0" applyAlignment="0" applyProtection="0"/>
    <xf numFmtId="0" fontId="56" fillId="63" borderId="42" applyNumberFormat="0" applyAlignment="0" applyProtection="0"/>
    <xf numFmtId="0" fontId="40" fillId="64" borderId="43" applyNumberFormat="0" applyAlignment="0" applyProtection="0"/>
    <xf numFmtId="0" fontId="54" fillId="64" borderId="43" applyNumberFormat="0" applyAlignment="0" applyProtection="0"/>
    <xf numFmtId="0" fontId="40" fillId="64" borderId="43" applyNumberFormat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174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174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174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53" fillId="0" borderId="0" applyFont="0" applyFill="0" applyBorder="0" applyAlignment="0" applyProtection="0"/>
    <xf numFmtId="43" fontId="29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53" fillId="0" borderId="0" applyFont="0" applyFill="0" applyBorder="0" applyAlignment="0" applyProtection="0"/>
    <xf numFmtId="174" fontId="5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52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8" fillId="0" borderId="0" applyFont="0" applyFill="0" applyBorder="0" applyAlignment="0" applyProtection="0"/>
    <xf numFmtId="174" fontId="52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37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52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47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37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37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28" fillId="0" borderId="0" applyFont="0" applyFill="0" applyBorder="0" applyAlignment="0" applyProtection="0"/>
    <xf numFmtId="3" fontId="29" fillId="0" borderId="0" applyFont="0" applyFill="0" applyBorder="0" applyAlignment="0" applyProtection="0"/>
    <xf numFmtId="178" fontId="29" fillId="0" borderId="0" applyFont="0" applyFill="0" applyBorder="0" applyAlignment="0" applyProtection="0"/>
    <xf numFmtId="178" fontId="29" fillId="0" borderId="0" applyFont="0" applyFill="0" applyBorder="0" applyAlignment="0" applyProtection="0"/>
    <xf numFmtId="178" fontId="29" fillId="0" borderId="0" applyFont="0" applyFill="0" applyBorder="0" applyAlignment="0" applyProtection="0"/>
    <xf numFmtId="184" fontId="29" fillId="0" borderId="0" applyFont="0" applyFill="0" applyBorder="0" applyAlignment="0" applyProtection="0"/>
    <xf numFmtId="180" fontId="34" fillId="0" borderId="44" applyFont="0" applyBorder="0" applyAlignment="0" applyProtection="0">
      <alignment horizontal="left"/>
      <protection locked="0"/>
    </xf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188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188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2" fontId="29" fillId="0" borderId="0" applyFont="0" applyFill="0" applyBorder="0" applyAlignment="0" applyProtection="0"/>
    <xf numFmtId="0" fontId="42" fillId="47" borderId="0" applyNumberFormat="0" applyBorder="0" applyAlignment="0" applyProtection="0"/>
    <xf numFmtId="0" fontId="81" fillId="47" borderId="0" applyNumberFormat="0" applyBorder="0" applyAlignment="0" applyProtection="0"/>
    <xf numFmtId="0" fontId="42" fillId="47" borderId="0" applyNumberFormat="0" applyBorder="0" applyAlignment="0" applyProtection="0"/>
    <xf numFmtId="0" fontId="90" fillId="0" borderId="0"/>
    <xf numFmtId="0" fontId="91" fillId="0" borderId="0"/>
    <xf numFmtId="0" fontId="50" fillId="0" borderId="0"/>
    <xf numFmtId="0" fontId="92" fillId="0" borderId="0"/>
    <xf numFmtId="0" fontId="93" fillId="0" borderId="0"/>
    <xf numFmtId="0" fontId="35" fillId="0" borderId="27" applyNumberFormat="0" applyAlignment="0" applyProtection="0">
      <alignment horizontal="left" vertical="center"/>
    </xf>
    <xf numFmtId="0" fontId="35" fillId="0" borderId="12">
      <alignment horizontal="left" vertical="center"/>
    </xf>
    <xf numFmtId="0" fontId="57" fillId="0" borderId="45" applyNumberFormat="0" applyFill="0" applyAlignment="0" applyProtection="0"/>
    <xf numFmtId="0" fontId="82" fillId="0" borderId="45" applyNumberFormat="0" applyFill="0" applyAlignment="0" applyProtection="0"/>
    <xf numFmtId="0" fontId="64" fillId="0" borderId="0" applyNumberFormat="0" applyFill="0" applyBorder="0" applyAlignment="0" applyProtection="0"/>
    <xf numFmtId="0" fontId="57" fillId="0" borderId="45" applyNumberFormat="0" applyFill="0" applyAlignment="0" applyProtection="0"/>
    <xf numFmtId="0" fontId="58" fillId="0" borderId="46" applyNumberFormat="0" applyFill="0" applyAlignment="0" applyProtection="0"/>
    <xf numFmtId="0" fontId="83" fillId="0" borderId="46" applyNumberFormat="0" applyFill="0" applyAlignment="0" applyProtection="0"/>
    <xf numFmtId="0" fontId="35" fillId="0" borderId="0" applyNumberFormat="0" applyFill="0" applyBorder="0" applyAlignment="0" applyProtection="0"/>
    <xf numFmtId="0" fontId="58" fillId="0" borderId="46" applyNumberFormat="0" applyFill="0" applyAlignment="0" applyProtection="0"/>
    <xf numFmtId="0" fontId="59" fillId="0" borderId="47" applyNumberFormat="0" applyFill="0" applyAlignment="0" applyProtection="0"/>
    <xf numFmtId="0" fontId="84" fillId="0" borderId="47" applyNumberFormat="0" applyFill="0" applyAlignment="0" applyProtection="0"/>
    <xf numFmtId="0" fontId="59" fillId="0" borderId="47" applyNumberFormat="0" applyFill="0" applyAlignment="0" applyProtection="0"/>
    <xf numFmtId="0" fontId="59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0" fontId="65" fillId="65" borderId="0" applyNumberFormat="0" applyBorder="0">
      <alignment horizontal="right" vertical="center"/>
    </xf>
    <xf numFmtId="19" fontId="65" fillId="65" borderId="19" applyNumberFormat="0" applyBorder="0">
      <alignment horizontal="left" vertical="center"/>
    </xf>
    <xf numFmtId="2" fontId="66" fillId="66" borderId="0">
      <alignment horizontal="center" vertical="center"/>
    </xf>
    <xf numFmtId="2" fontId="66" fillId="66" borderId="48" applyBorder="0">
      <alignment horizontal="left" vertical="center"/>
    </xf>
    <xf numFmtId="0" fontId="65" fillId="65" borderId="0">
      <alignment horizontal="right" vertical="center"/>
    </xf>
    <xf numFmtId="0" fontId="30" fillId="67" borderId="49" applyNumberFormat="0" applyAlignment="0">
      <protection locked="0"/>
    </xf>
    <xf numFmtId="0" fontId="19" fillId="14" borderId="35" applyNumberFormat="0" applyAlignment="0" applyProtection="0"/>
    <xf numFmtId="0" fontId="77" fillId="68" borderId="50" applyNumberFormat="0" applyAlignment="0">
      <protection locked="0"/>
    </xf>
    <xf numFmtId="0" fontId="85" fillId="48" borderId="42" applyNumberFormat="0" applyAlignment="0" applyProtection="0"/>
    <xf numFmtId="0" fontId="43" fillId="48" borderId="42" applyNumberFormat="0" applyAlignment="0" applyProtection="0"/>
    <xf numFmtId="0" fontId="30" fillId="67" borderId="49" applyNumberFormat="0" applyAlignment="0">
      <protection locked="0"/>
    </xf>
    <xf numFmtId="0" fontId="77" fillId="68" borderId="50" applyNumberFormat="0" applyAlignment="0">
      <protection locked="0"/>
    </xf>
    <xf numFmtId="0" fontId="77" fillId="68" borderId="50" applyNumberFormat="0" applyAlignment="0">
      <protection locked="0"/>
    </xf>
    <xf numFmtId="0" fontId="77" fillId="68" borderId="50" applyNumberFormat="0" applyAlignment="0">
      <protection locked="0"/>
    </xf>
    <xf numFmtId="0" fontId="77" fillId="68" borderId="50" applyNumberFormat="0" applyAlignment="0">
      <protection locked="0"/>
    </xf>
    <xf numFmtId="0" fontId="77" fillId="68" borderId="50" applyNumberFormat="0" applyAlignment="0">
      <protection locked="0"/>
    </xf>
    <xf numFmtId="0" fontId="43" fillId="48" borderId="42" applyNumberFormat="0" applyAlignment="0" applyProtection="0"/>
    <xf numFmtId="0" fontId="77" fillId="68" borderId="50" applyNumberFormat="0" applyAlignment="0">
      <protection locked="0"/>
    </xf>
    <xf numFmtId="181" fontId="36" fillId="69" borderId="0"/>
    <xf numFmtId="0" fontId="29" fillId="70" borderId="49" applyNumberFormat="0" applyAlignment="0">
      <protection locked="0"/>
    </xf>
    <xf numFmtId="0" fontId="29" fillId="71" borderId="0">
      <alignment horizontal="right" vertical="center"/>
    </xf>
    <xf numFmtId="2" fontId="29" fillId="71" borderId="19" applyNumberFormat="0" applyBorder="0">
      <alignment horizontal="right" vertical="center"/>
    </xf>
    <xf numFmtId="2" fontId="67" fillId="72" borderId="0">
      <alignment horizontal="right" vertical="center"/>
    </xf>
    <xf numFmtId="2" fontId="67" fillId="72" borderId="48" applyBorder="0">
      <alignment horizontal="left" vertical="center"/>
    </xf>
    <xf numFmtId="15" fontId="68" fillId="73" borderId="17" applyNumberFormat="0" applyBorder="0">
      <alignment horizontal="right" vertical="center"/>
    </xf>
    <xf numFmtId="2" fontId="69" fillId="74" borderId="48" applyNumberFormat="0">
      <alignment horizontal="center" vertical="center"/>
    </xf>
    <xf numFmtId="2" fontId="29" fillId="75" borderId="24" applyNumberFormat="0" applyBorder="0">
      <alignment horizontal="right" vertical="center"/>
    </xf>
    <xf numFmtId="0" fontId="60" fillId="0" borderId="51" applyNumberFormat="0" applyFill="0" applyAlignment="0" applyProtection="0"/>
    <xf numFmtId="0" fontId="86" fillId="0" borderId="51" applyNumberFormat="0" applyFill="0" applyAlignment="0" applyProtection="0"/>
    <xf numFmtId="0" fontId="60" fillId="0" borderId="51" applyNumberFormat="0" applyFill="0" applyAlignment="0" applyProtection="0"/>
    <xf numFmtId="41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175" fontId="29" fillId="0" borderId="0" applyFont="0" applyFill="0" applyBorder="0" applyAlignment="0" applyProtection="0"/>
    <xf numFmtId="176" fontId="29" fillId="0" borderId="0" applyFont="0" applyFill="0" applyBorder="0" applyAlignment="0" applyProtection="0"/>
    <xf numFmtId="0" fontId="99" fillId="13" borderId="0" applyNumberFormat="0" applyBorder="0" applyAlignment="0" applyProtection="0"/>
    <xf numFmtId="0" fontId="61" fillId="51" borderId="0" applyNumberFormat="0" applyBorder="0" applyAlignment="0" applyProtection="0"/>
    <xf numFmtId="0" fontId="87" fillId="51" borderId="0" applyNumberFormat="0" applyBorder="0" applyAlignment="0" applyProtection="0"/>
    <xf numFmtId="0" fontId="61" fillId="51" borderId="0" applyNumberFormat="0" applyBorder="0" applyAlignment="0" applyProtection="0"/>
    <xf numFmtId="0" fontId="29" fillId="0" borderId="0" applyNumberFormat="0" applyFont="0" applyFill="0" applyBorder="0" applyAlignment="0"/>
    <xf numFmtId="177" fontId="29" fillId="0" borderId="0" applyNumberFormat="0" applyBorder="0" applyAlignment="0">
      <alignment horizontal="center"/>
      <protection locked="0"/>
    </xf>
    <xf numFmtId="177" fontId="77" fillId="0" borderId="0" applyNumberFormat="0" applyBorder="0" applyAlignment="0">
      <alignment horizontal="center"/>
      <protection locked="0"/>
    </xf>
    <xf numFmtId="183" fontId="29" fillId="0" borderId="0" applyNumberFormat="0" applyBorder="0" applyAlignment="0">
      <alignment horizontal="center"/>
      <protection locked="0"/>
    </xf>
    <xf numFmtId="6" fontId="29" fillId="0" borderId="0" applyNumberFormat="0" applyBorder="0" applyAlignment="0">
      <alignment horizontal="center"/>
      <protection locked="0"/>
    </xf>
    <xf numFmtId="187" fontId="70" fillId="0" borderId="0"/>
    <xf numFmtId="0" fontId="1" fillId="0" borderId="0"/>
    <xf numFmtId="0" fontId="52" fillId="0" borderId="0"/>
    <xf numFmtId="0" fontId="52" fillId="0" borderId="0"/>
    <xf numFmtId="0" fontId="52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9" fillId="0" borderId="0"/>
    <xf numFmtId="0" fontId="1" fillId="0" borderId="0"/>
    <xf numFmtId="0" fontId="1" fillId="0" borderId="0"/>
    <xf numFmtId="0" fontId="52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28" fillId="0" borderId="0"/>
    <xf numFmtId="0" fontId="52" fillId="0" borderId="0"/>
    <xf numFmtId="0" fontId="28" fillId="0" borderId="0"/>
    <xf numFmtId="0" fontId="52" fillId="0" borderId="0"/>
    <xf numFmtId="0" fontId="28" fillId="0" borderId="0"/>
    <xf numFmtId="0" fontId="52" fillId="0" borderId="0"/>
    <xf numFmtId="0" fontId="29" fillId="0" borderId="0"/>
    <xf numFmtId="0" fontId="28" fillId="0" borderId="0"/>
    <xf numFmtId="0" fontId="28" fillId="0" borderId="0"/>
    <xf numFmtId="0" fontId="28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8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37" fillId="0" borderId="0"/>
    <xf numFmtId="0" fontId="28" fillId="0" borderId="0"/>
    <xf numFmtId="0" fontId="1" fillId="0" borderId="0"/>
    <xf numFmtId="0" fontId="28" fillId="0" borderId="0"/>
    <xf numFmtId="0" fontId="51" fillId="0" borderId="0"/>
    <xf numFmtId="0" fontId="28" fillId="0" borderId="0"/>
    <xf numFmtId="0" fontId="29" fillId="0" borderId="0"/>
    <xf numFmtId="0" fontId="29" fillId="0" borderId="0"/>
    <xf numFmtId="0" fontId="51" fillId="0" borderId="0"/>
    <xf numFmtId="0" fontId="51" fillId="0" borderId="0"/>
    <xf numFmtId="0" fontId="28" fillId="0" borderId="0"/>
    <xf numFmtId="0" fontId="52" fillId="0" borderId="0"/>
    <xf numFmtId="0" fontId="52" fillId="0" borderId="0"/>
    <xf numFmtId="0" fontId="1" fillId="0" borderId="0"/>
    <xf numFmtId="0" fontId="52" fillId="0" borderId="0"/>
    <xf numFmtId="0" fontId="52" fillId="0" borderId="0"/>
    <xf numFmtId="0" fontId="1" fillId="0" borderId="0"/>
    <xf numFmtId="0" fontId="28" fillId="0" borderId="0"/>
    <xf numFmtId="0" fontId="52" fillId="0" borderId="0"/>
    <xf numFmtId="0" fontId="28" fillId="0" borderId="0"/>
    <xf numFmtId="0" fontId="52" fillId="0" borderId="0"/>
    <xf numFmtId="0" fontId="52" fillId="0" borderId="0"/>
    <xf numFmtId="0" fontId="1" fillId="0" borderId="0"/>
    <xf numFmtId="0" fontId="28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1" fillId="0" borderId="0"/>
    <xf numFmtId="0" fontId="52" fillId="0" borderId="0"/>
    <xf numFmtId="0" fontId="52" fillId="0" borderId="0"/>
    <xf numFmtId="0" fontId="52" fillId="0" borderId="0"/>
    <xf numFmtId="0" fontId="1" fillId="0" borderId="0"/>
    <xf numFmtId="0" fontId="52" fillId="0" borderId="0"/>
    <xf numFmtId="0" fontId="1" fillId="0" borderId="0"/>
    <xf numFmtId="0" fontId="52" fillId="0" borderId="0"/>
    <xf numFmtId="0" fontId="52" fillId="0" borderId="0"/>
    <xf numFmtId="0" fontId="1" fillId="0" borderId="0"/>
    <xf numFmtId="0" fontId="52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29" fillId="0" borderId="0"/>
    <xf numFmtId="0" fontId="52" fillId="0" borderId="0"/>
    <xf numFmtId="0" fontId="52" fillId="0" borderId="0"/>
    <xf numFmtId="0" fontId="28" fillId="0" borderId="0"/>
    <xf numFmtId="0" fontId="53" fillId="0" borderId="0"/>
    <xf numFmtId="0" fontId="53" fillId="0" borderId="0"/>
    <xf numFmtId="0" fontId="28" fillId="0" borderId="0"/>
    <xf numFmtId="0" fontId="53" fillId="0" borderId="0"/>
    <xf numFmtId="0" fontId="29" fillId="0" borderId="0"/>
    <xf numFmtId="0" fontId="52" fillId="0" borderId="0"/>
    <xf numFmtId="0" fontId="28" fillId="0" borderId="0"/>
    <xf numFmtId="0" fontId="52" fillId="0" borderId="0"/>
    <xf numFmtId="0" fontId="28" fillId="0" borderId="0"/>
    <xf numFmtId="0" fontId="1" fillId="0" borderId="0"/>
    <xf numFmtId="0" fontId="52" fillId="0" borderId="0"/>
    <xf numFmtId="0" fontId="52" fillId="0" borderId="0"/>
    <xf numFmtId="0" fontId="28" fillId="0" borderId="0"/>
    <xf numFmtId="0" fontId="28" fillId="0" borderId="0"/>
    <xf numFmtId="0" fontId="52" fillId="0" borderId="0"/>
    <xf numFmtId="0" fontId="28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52" fillId="0" borderId="0"/>
    <xf numFmtId="0" fontId="29" fillId="0" borderId="0"/>
    <xf numFmtId="0" fontId="52" fillId="0" borderId="0"/>
    <xf numFmtId="0" fontId="28" fillId="0" borderId="0"/>
    <xf numFmtId="0" fontId="52" fillId="0" borderId="0"/>
    <xf numFmtId="0" fontId="29" fillId="0" borderId="0"/>
    <xf numFmtId="0" fontId="29" fillId="0" borderId="0"/>
    <xf numFmtId="0" fontId="52" fillId="0" borderId="0"/>
    <xf numFmtId="0" fontId="52" fillId="0" borderId="0"/>
    <xf numFmtId="0" fontId="28" fillId="0" borderId="0"/>
    <xf numFmtId="0" fontId="52" fillId="0" borderId="0"/>
    <xf numFmtId="0" fontId="29" fillId="0" borderId="0"/>
    <xf numFmtId="0" fontId="52" fillId="0" borderId="0"/>
    <xf numFmtId="0" fontId="29" fillId="0" borderId="0"/>
    <xf numFmtId="0" fontId="52" fillId="0" borderId="0"/>
    <xf numFmtId="0" fontId="29" fillId="0" borderId="0"/>
    <xf numFmtId="0" fontId="29" fillId="0" borderId="0"/>
    <xf numFmtId="0" fontId="52" fillId="0" borderId="0"/>
    <xf numFmtId="0" fontId="52" fillId="0" borderId="0"/>
    <xf numFmtId="0" fontId="29" fillId="0" borderId="0"/>
    <xf numFmtId="0" fontId="29" fillId="0" borderId="0"/>
    <xf numFmtId="0" fontId="52" fillId="0" borderId="0"/>
    <xf numFmtId="0" fontId="52" fillId="0" borderId="0">
      <alignment vertical="top"/>
    </xf>
    <xf numFmtId="0" fontId="29" fillId="0" borderId="0"/>
    <xf numFmtId="0" fontId="52" fillId="0" borderId="0">
      <alignment vertical="top"/>
    </xf>
    <xf numFmtId="0" fontId="52" fillId="0" borderId="0">
      <alignment vertical="top"/>
    </xf>
    <xf numFmtId="0" fontId="28" fillId="0" borderId="0"/>
    <xf numFmtId="0" fontId="52" fillId="0" borderId="0"/>
    <xf numFmtId="0" fontId="52" fillId="0" borderId="0"/>
    <xf numFmtId="0" fontId="28" fillId="0" borderId="0"/>
    <xf numFmtId="0" fontId="29" fillId="0" borderId="0"/>
    <xf numFmtId="0" fontId="52" fillId="0" borderId="0"/>
    <xf numFmtId="0" fontId="29" fillId="0" borderId="0"/>
    <xf numFmtId="0" fontId="29" fillId="0" borderId="0"/>
    <xf numFmtId="0" fontId="52" fillId="0" borderId="0"/>
    <xf numFmtId="0" fontId="52" fillId="0" borderId="0"/>
    <xf numFmtId="0" fontId="29" fillId="0" borderId="0"/>
    <xf numFmtId="0" fontId="29" fillId="0" borderId="0"/>
    <xf numFmtId="0" fontId="52" fillId="0" borderId="0"/>
    <xf numFmtId="0" fontId="28" fillId="0" borderId="0"/>
    <xf numFmtId="0" fontId="29" fillId="0" borderId="0"/>
    <xf numFmtId="0" fontId="52" fillId="0" borderId="0"/>
    <xf numFmtId="0" fontId="29" fillId="0" borderId="0"/>
    <xf numFmtId="0" fontId="29" fillId="0" borderId="0"/>
    <xf numFmtId="0" fontId="52" fillId="0" borderId="0"/>
    <xf numFmtId="0" fontId="52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52" fillId="0" borderId="0"/>
    <xf numFmtId="0" fontId="29" fillId="0" borderId="0"/>
    <xf numFmtId="0" fontId="52" fillId="0" borderId="0"/>
    <xf numFmtId="0" fontId="28" fillId="0" borderId="0"/>
    <xf numFmtId="0" fontId="28" fillId="0" borderId="0"/>
    <xf numFmtId="0" fontId="52" fillId="0" borderId="0"/>
    <xf numFmtId="0" fontId="52" fillId="0" borderId="0"/>
    <xf numFmtId="0" fontId="28" fillId="0" borderId="0"/>
    <xf numFmtId="0" fontId="1" fillId="0" borderId="0"/>
    <xf numFmtId="0" fontId="1" fillId="0" borderId="0"/>
    <xf numFmtId="0" fontId="28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1" fillId="0" borderId="0"/>
    <xf numFmtId="0" fontId="52" fillId="0" borderId="0"/>
    <xf numFmtId="0" fontId="28" fillId="0" borderId="0"/>
    <xf numFmtId="0" fontId="29" fillId="0" borderId="0"/>
    <xf numFmtId="0" fontId="29" fillId="0" borderId="0"/>
    <xf numFmtId="0" fontId="28" fillId="0" borderId="0"/>
    <xf numFmtId="0" fontId="52" fillId="0" borderId="0"/>
    <xf numFmtId="0" fontId="52" fillId="0" borderId="0"/>
    <xf numFmtId="0" fontId="29" fillId="0" borderId="0"/>
    <xf numFmtId="0" fontId="29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9" fillId="0" borderId="0"/>
    <xf numFmtId="0" fontId="28" fillId="0" borderId="0"/>
    <xf numFmtId="0" fontId="28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9" fillId="0" borderId="0"/>
    <xf numFmtId="0" fontId="29" fillId="0" borderId="0"/>
    <xf numFmtId="0" fontId="29" fillId="0" borderId="0"/>
    <xf numFmtId="0" fontId="28" fillId="0" borderId="0"/>
    <xf numFmtId="0" fontId="28" fillId="0" borderId="0"/>
    <xf numFmtId="0" fontId="52" fillId="0" borderId="0"/>
    <xf numFmtId="0" fontId="28" fillId="0" borderId="0"/>
    <xf numFmtId="0" fontId="52" fillId="0" borderId="0"/>
    <xf numFmtId="0" fontId="28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8" fillId="0" borderId="0"/>
    <xf numFmtId="0" fontId="28" fillId="0" borderId="0"/>
    <xf numFmtId="0" fontId="28" fillId="0" borderId="0"/>
    <xf numFmtId="0" fontId="52" fillId="0" borderId="0"/>
    <xf numFmtId="0" fontId="28" fillId="0" borderId="0"/>
    <xf numFmtId="0" fontId="52" fillId="0" borderId="0"/>
    <xf numFmtId="0" fontId="28" fillId="0" borderId="0"/>
    <xf numFmtId="0" fontId="52" fillId="0" borderId="0"/>
    <xf numFmtId="0" fontId="52" fillId="0" borderId="0"/>
    <xf numFmtId="0" fontId="28" fillId="0" borderId="0"/>
    <xf numFmtId="0" fontId="52" fillId="0" borderId="0"/>
    <xf numFmtId="0" fontId="29" fillId="0" borderId="0"/>
    <xf numFmtId="0" fontId="47" fillId="0" borderId="0"/>
    <xf numFmtId="0" fontId="47" fillId="0" borderId="0"/>
    <xf numFmtId="0" fontId="47" fillId="0" borderId="0"/>
    <xf numFmtId="0" fontId="29" fillId="0" borderId="0"/>
    <xf numFmtId="0" fontId="29" fillId="0" borderId="0"/>
    <xf numFmtId="0" fontId="28" fillId="0" borderId="0"/>
    <xf numFmtId="0" fontId="29" fillId="0" borderId="0"/>
    <xf numFmtId="0" fontId="29" fillId="0" borderId="0"/>
    <xf numFmtId="0" fontId="28" fillId="0" borderId="0"/>
    <xf numFmtId="0" fontId="52" fillId="0" borderId="0"/>
    <xf numFmtId="0" fontId="52" fillId="0" borderId="0"/>
    <xf numFmtId="0" fontId="28" fillId="0" borderId="0"/>
    <xf numFmtId="0" fontId="28" fillId="0" borderId="0"/>
    <xf numFmtId="0" fontId="28" fillId="0" borderId="0"/>
    <xf numFmtId="0" fontId="52" fillId="0" borderId="0"/>
    <xf numFmtId="0" fontId="52" fillId="0" borderId="0"/>
    <xf numFmtId="0" fontId="28" fillId="0" borderId="0"/>
    <xf numFmtId="0" fontId="52" fillId="0" borderId="0"/>
    <xf numFmtId="0" fontId="28" fillId="0" borderId="0"/>
    <xf numFmtId="0" fontId="29" fillId="0" borderId="0"/>
    <xf numFmtId="0" fontId="47" fillId="0" borderId="0"/>
    <xf numFmtId="0" fontId="52" fillId="0" borderId="0"/>
    <xf numFmtId="0" fontId="52" fillId="0" borderId="0"/>
    <xf numFmtId="0" fontId="28" fillId="0" borderId="0"/>
    <xf numFmtId="0" fontId="28" fillId="0" borderId="0"/>
    <xf numFmtId="0" fontId="52" fillId="0" borderId="0"/>
    <xf numFmtId="0" fontId="1" fillId="0" borderId="0"/>
    <xf numFmtId="0" fontId="52" fillId="0" borderId="0"/>
    <xf numFmtId="0" fontId="28" fillId="0" borderId="0"/>
    <xf numFmtId="0" fontId="28" fillId="0" borderId="0"/>
    <xf numFmtId="0" fontId="52" fillId="0" borderId="0"/>
    <xf numFmtId="0" fontId="52" fillId="0" borderId="0"/>
    <xf numFmtId="0" fontId="28" fillId="0" borderId="0"/>
    <xf numFmtId="0" fontId="52" fillId="0" borderId="0"/>
    <xf numFmtId="0" fontId="28" fillId="0" borderId="0"/>
    <xf numFmtId="0" fontId="1" fillId="17" borderId="39" applyNumberFormat="0" applyFont="0" applyAlignment="0" applyProtection="0"/>
    <xf numFmtId="0" fontId="32" fillId="46" borderId="49" applyNumberFormat="0" applyFont="0" applyAlignment="0" applyProtection="0"/>
    <xf numFmtId="0" fontId="29" fillId="46" borderId="49" applyNumberFormat="0" applyFont="0" applyAlignment="0" applyProtection="0"/>
    <xf numFmtId="0" fontId="37" fillId="46" borderId="49" applyNumberFormat="0" applyFont="0" applyAlignment="0" applyProtection="0"/>
    <xf numFmtId="0" fontId="50" fillId="76" borderId="20" applyNumberFormat="0" applyBorder="0">
      <alignment horizontal="left" vertical="center"/>
    </xf>
    <xf numFmtId="2" fontId="50" fillId="76" borderId="48" applyNumberFormat="0" applyBorder="0">
      <alignment horizontal="left" vertical="center"/>
    </xf>
    <xf numFmtId="2" fontId="67" fillId="72" borderId="26" applyNumberFormat="0" applyBorder="0">
      <alignment horizontal="left" vertical="center"/>
    </xf>
    <xf numFmtId="2" fontId="67" fillId="72" borderId="48" applyNumberFormat="0" applyBorder="0">
      <alignment horizontal="left" vertical="center"/>
    </xf>
    <xf numFmtId="0" fontId="45" fillId="63" borderId="52" applyNumberFormat="0" applyAlignment="0" applyProtection="0"/>
    <xf numFmtId="0" fontId="88" fillId="63" borderId="52" applyNumberFormat="0" applyAlignment="0" applyProtection="0"/>
    <xf numFmtId="0" fontId="45" fillId="63" borderId="52" applyNumberFormat="0" applyAlignment="0" applyProtection="0"/>
    <xf numFmtId="0" fontId="29" fillId="77" borderId="0">
      <alignment horizontal="right" vertical="center"/>
    </xf>
    <xf numFmtId="19" fontId="29" fillId="77" borderId="24" applyNumberFormat="0" applyBorder="0">
      <alignment horizontal="right" vertical="center"/>
    </xf>
    <xf numFmtId="2" fontId="71" fillId="78" borderId="0">
      <alignment horizontal="center" vertical="center"/>
    </xf>
    <xf numFmtId="2" fontId="71" fillId="78" borderId="29">
      <alignment horizontal="left" vertical="center"/>
    </xf>
    <xf numFmtId="0" fontId="72" fillId="79" borderId="30">
      <alignment horizontal="center"/>
    </xf>
    <xf numFmtId="14" fontId="33" fillId="0" borderId="0">
      <alignment horizontal="center" wrapText="1"/>
      <protection locked="0"/>
    </xf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185" fontId="73" fillId="80" borderId="0">
      <alignment horizontal="center" vertical="center"/>
    </xf>
    <xf numFmtId="0" fontId="94" fillId="0" borderId="41"/>
    <xf numFmtId="186" fontId="74" fillId="81" borderId="0">
      <alignment horizontal="center" vertical="center"/>
      <protection locked="0"/>
    </xf>
    <xf numFmtId="0" fontId="29" fillId="0" borderId="0" applyFont="0" applyFill="0" applyBorder="0" applyAlignment="0" applyProtection="0"/>
    <xf numFmtId="0" fontId="32" fillId="0" borderId="0">
      <alignment vertical="top"/>
    </xf>
    <xf numFmtId="2" fontId="75" fillId="82" borderId="20" applyNumberFormat="0" applyFill="0" applyBorder="0" applyAlignment="0">
      <alignment horizontal="center"/>
      <protection locked="0"/>
    </xf>
    <xf numFmtId="2" fontId="95" fillId="0" borderId="41"/>
    <xf numFmtId="164" fontId="95" fillId="0" borderId="41"/>
    <xf numFmtId="2" fontId="96" fillId="83" borderId="41"/>
    <xf numFmtId="164" fontId="96" fillId="83" borderId="41"/>
    <xf numFmtId="2" fontId="29" fillId="84" borderId="48" applyBorder="0">
      <alignment horizontal="right" vertical="center"/>
    </xf>
    <xf numFmtId="2" fontId="29" fillId="84" borderId="0">
      <alignment horizontal="right" vertical="center"/>
    </xf>
    <xf numFmtId="2" fontId="67" fillId="85" borderId="30">
      <alignment horizontal="center" vertical="center"/>
    </xf>
    <xf numFmtId="2" fontId="67" fillId="85" borderId="0" applyNumberFormat="0" applyBorder="0">
      <alignment horizontal="left" vertical="center"/>
    </xf>
    <xf numFmtId="2" fontId="67" fillId="85" borderId="30">
      <alignment horizontal="center" vertical="center"/>
    </xf>
    <xf numFmtId="2" fontId="97" fillId="86" borderId="41"/>
    <xf numFmtId="164" fontId="97" fillId="86" borderId="41"/>
    <xf numFmtId="2" fontId="97" fillId="87" borderId="41"/>
    <xf numFmtId="164" fontId="97" fillId="87" borderId="41"/>
    <xf numFmtId="2" fontId="96" fillId="61" borderId="41"/>
    <xf numFmtId="164" fontId="96" fillId="61" borderId="41"/>
    <xf numFmtId="0" fontId="97" fillId="88" borderId="41"/>
    <xf numFmtId="2" fontId="97" fillId="89" borderId="41"/>
    <xf numFmtId="164" fontId="97" fillId="89" borderId="41"/>
    <xf numFmtId="0" fontId="98" fillId="90" borderId="41"/>
    <xf numFmtId="0" fontId="100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46" fillId="0" borderId="53" applyNumberFormat="0" applyFill="0" applyAlignment="0" applyProtection="0"/>
    <xf numFmtId="0" fontId="76" fillId="0" borderId="53" applyNumberFormat="0" applyFill="0" applyAlignment="0" applyProtection="0"/>
    <xf numFmtId="0" fontId="29" fillId="0" borderId="54" applyNumberFormat="0" applyFont="0" applyFill="0" applyAlignment="0" applyProtection="0"/>
    <xf numFmtId="0" fontId="46" fillId="0" borderId="53" applyNumberFormat="0" applyFill="0" applyAlignment="0" applyProtection="0"/>
    <xf numFmtId="0" fontId="44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8" fillId="0" borderId="0"/>
    <xf numFmtId="174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0" fillId="67" borderId="49" applyNumberFormat="0" applyAlignment="0">
      <protection locked="0"/>
    </xf>
    <xf numFmtId="0" fontId="30" fillId="67" borderId="49" applyNumberFormat="0" applyAlignment="0">
      <protection locked="0"/>
    </xf>
    <xf numFmtId="0" fontId="30" fillId="67" borderId="49" applyNumberFormat="0" applyAlignment="0">
      <protection locked="0"/>
    </xf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174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0" fillId="67" borderId="49" applyNumberFormat="0" applyAlignment="0">
      <protection locked="0"/>
    </xf>
    <xf numFmtId="0" fontId="30" fillId="67" borderId="49" applyNumberFormat="0" applyAlignment="0">
      <protection locked="0"/>
    </xf>
    <xf numFmtId="9" fontId="28" fillId="0" borderId="0" applyFont="0" applyFill="0" applyBorder="0" applyAlignment="0" applyProtection="0"/>
    <xf numFmtId="0" fontId="28" fillId="0" borderId="0"/>
    <xf numFmtId="43" fontId="1" fillId="0" borderId="0" applyFont="0" applyFill="0" applyBorder="0" applyAlignment="0" applyProtection="0"/>
    <xf numFmtId="0" fontId="28" fillId="0" borderId="0"/>
    <xf numFmtId="174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174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28" fillId="0" borderId="0"/>
    <xf numFmtId="0" fontId="28" fillId="0" borderId="0"/>
    <xf numFmtId="43" fontId="1" fillId="0" borderId="0" applyFont="0" applyFill="0" applyBorder="0" applyAlignment="0" applyProtection="0"/>
    <xf numFmtId="0" fontId="28" fillId="0" borderId="0"/>
    <xf numFmtId="0" fontId="28" fillId="0" borderId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28" borderId="0" applyNumberFormat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174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174" fontId="53" fillId="0" borderId="0" applyFont="0" applyFill="0" applyBorder="0" applyAlignment="0" applyProtection="0"/>
    <xf numFmtId="43" fontId="29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37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52" fillId="0" borderId="0" applyFont="0" applyFill="0" applyBorder="0" applyAlignment="0" applyProtection="0"/>
    <xf numFmtId="174" fontId="52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47" fillId="0" borderId="0" applyFont="0" applyFill="0" applyBorder="0" applyAlignment="0" applyProtection="0"/>
    <xf numFmtId="174" fontId="47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37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37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9" fillId="0" borderId="0" applyFont="0" applyFill="0" applyBorder="0" applyAlignment="0" applyProtection="0"/>
    <xf numFmtId="178" fontId="29" fillId="0" borderId="0" applyFont="0" applyFill="0" applyBorder="0" applyAlignment="0" applyProtection="0"/>
    <xf numFmtId="178" fontId="29" fillId="0" borderId="0" applyFont="0" applyFill="0" applyBorder="0" applyAlignment="0" applyProtection="0"/>
    <xf numFmtId="178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88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0" fontId="101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top"/>
      <protection locked="0"/>
    </xf>
    <xf numFmtId="0" fontId="19" fillId="14" borderId="35" applyNumberFormat="0" applyAlignment="0" applyProtection="0"/>
    <xf numFmtId="0" fontId="19" fillId="14" borderId="35" applyNumberFormat="0" applyAlignment="0" applyProtection="0"/>
    <xf numFmtId="0" fontId="77" fillId="68" borderId="50" applyNumberFormat="0" applyAlignment="0">
      <protection locked="0"/>
    </xf>
    <xf numFmtId="0" fontId="19" fillId="14" borderId="35" applyNumberFormat="0" applyAlignment="0" applyProtection="0"/>
    <xf numFmtId="0" fontId="19" fillId="14" borderId="35" applyNumberFormat="0" applyAlignment="0" applyProtection="0"/>
    <xf numFmtId="0" fontId="19" fillId="14" borderId="35" applyNumberFormat="0" applyAlignment="0" applyProtection="0"/>
    <xf numFmtId="0" fontId="19" fillId="14" borderId="35" applyNumberFormat="0" applyAlignment="0" applyProtection="0"/>
    <xf numFmtId="0" fontId="19" fillId="14" borderId="35" applyNumberFormat="0" applyAlignment="0" applyProtection="0"/>
    <xf numFmtId="0" fontId="43" fillId="48" borderId="42" applyNumberFormat="0" applyAlignment="0" applyProtection="0"/>
    <xf numFmtId="0" fontId="77" fillId="68" borderId="50" applyNumberFormat="0" applyAlignment="0">
      <protection locked="0"/>
    </xf>
    <xf numFmtId="0" fontId="77" fillId="68" borderId="50" applyNumberFormat="0" applyAlignment="0">
      <protection locked="0"/>
    </xf>
    <xf numFmtId="0" fontId="77" fillId="68" borderId="50" applyNumberFormat="0" applyAlignment="0">
      <protection locked="0"/>
    </xf>
    <xf numFmtId="6" fontId="29" fillId="0" borderId="0" applyNumberFormat="0" applyBorder="0" applyAlignment="0">
      <alignment horizontal="center"/>
      <protection locked="0"/>
    </xf>
    <xf numFmtId="177" fontId="29" fillId="0" borderId="0" applyNumberFormat="0" applyBorder="0" applyAlignment="0">
      <alignment horizontal="center"/>
      <protection locked="0"/>
    </xf>
    <xf numFmtId="177" fontId="29" fillId="0" borderId="0" applyNumberFormat="0" applyBorder="0" applyAlignment="0">
      <alignment horizontal="center"/>
      <protection locked="0"/>
    </xf>
    <xf numFmtId="0" fontId="28" fillId="0" borderId="0"/>
    <xf numFmtId="0" fontId="1" fillId="0" borderId="0"/>
    <xf numFmtId="0" fontId="1" fillId="0" borderId="0"/>
    <xf numFmtId="0" fontId="52" fillId="0" borderId="0"/>
    <xf numFmtId="0" fontId="52" fillId="0" borderId="0"/>
    <xf numFmtId="0" fontId="28" fillId="0" borderId="0"/>
    <xf numFmtId="0" fontId="1" fillId="0" borderId="0"/>
    <xf numFmtId="0" fontId="1" fillId="0" borderId="0"/>
    <xf numFmtId="0" fontId="52" fillId="0" borderId="0"/>
    <xf numFmtId="0" fontId="52" fillId="0" borderId="0"/>
    <xf numFmtId="0" fontId="28" fillId="0" borderId="0"/>
    <xf numFmtId="0" fontId="1" fillId="0" borderId="0"/>
    <xf numFmtId="0" fontId="28" fillId="0" borderId="0"/>
    <xf numFmtId="0" fontId="52" fillId="0" borderId="0"/>
    <xf numFmtId="0" fontId="52" fillId="0" borderId="0"/>
    <xf numFmtId="0" fontId="28" fillId="0" borderId="0"/>
    <xf numFmtId="0" fontId="52" fillId="0" borderId="0"/>
    <xf numFmtId="0" fontId="28" fillId="0" borderId="0"/>
    <xf numFmtId="0" fontId="52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52" fillId="0" borderId="0"/>
    <xf numFmtId="0" fontId="28" fillId="0" borderId="0"/>
    <xf numFmtId="0" fontId="28" fillId="0" borderId="0"/>
    <xf numFmtId="0" fontId="52" fillId="0" borderId="0"/>
    <xf numFmtId="0" fontId="28" fillId="0" borderId="0"/>
    <xf numFmtId="0" fontId="28" fillId="0" borderId="0"/>
    <xf numFmtId="0" fontId="52" fillId="0" borderId="0"/>
    <xf numFmtId="0" fontId="52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52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52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52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52" fillId="0" borderId="0"/>
    <xf numFmtId="0" fontId="1" fillId="0" borderId="0"/>
    <xf numFmtId="0" fontId="52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52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52" fillId="0" borderId="0"/>
    <xf numFmtId="0" fontId="1" fillId="0" borderId="0"/>
    <xf numFmtId="0" fontId="28" fillId="0" borderId="0"/>
    <xf numFmtId="0" fontId="28" fillId="0" borderId="0"/>
    <xf numFmtId="0" fontId="52" fillId="0" borderId="0"/>
    <xf numFmtId="0" fontId="52" fillId="0" borderId="0"/>
    <xf numFmtId="0" fontId="1" fillId="0" borderId="0"/>
    <xf numFmtId="0" fontId="1" fillId="0" borderId="0"/>
    <xf numFmtId="0" fontId="1" fillId="0" borderId="0"/>
    <xf numFmtId="0" fontId="51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51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53" fillId="0" borderId="0"/>
    <xf numFmtId="0" fontId="102" fillId="0" borderId="0"/>
    <xf numFmtId="0" fontId="102" fillId="0" borderId="0"/>
    <xf numFmtId="0" fontId="53" fillId="0" borderId="0"/>
    <xf numFmtId="0" fontId="28" fillId="0" borderId="0"/>
    <xf numFmtId="0" fontId="29" fillId="0" borderId="0"/>
    <xf numFmtId="0" fontId="53" fillId="0" borderId="0"/>
    <xf numFmtId="0" fontId="1" fillId="0" borderId="0"/>
    <xf numFmtId="0" fontId="52" fillId="0" borderId="0">
      <alignment vertical="top"/>
    </xf>
    <xf numFmtId="0" fontId="29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52" fillId="0" borderId="0"/>
    <xf numFmtId="0" fontId="28" fillId="0" borderId="0"/>
    <xf numFmtId="0" fontId="52" fillId="0" borderId="0"/>
    <xf numFmtId="0" fontId="28" fillId="0" borderId="0"/>
    <xf numFmtId="0" fontId="52" fillId="0" borderId="0"/>
    <xf numFmtId="0" fontId="28" fillId="0" borderId="0"/>
    <xf numFmtId="0" fontId="28" fillId="0" borderId="0"/>
    <xf numFmtId="0" fontId="52" fillId="0" borderId="0"/>
    <xf numFmtId="0" fontId="28" fillId="0" borderId="0"/>
    <xf numFmtId="0" fontId="52" fillId="0" borderId="0"/>
    <xf numFmtId="0" fontId="28" fillId="0" borderId="0"/>
    <xf numFmtId="0" fontId="29" fillId="0" borderId="0"/>
    <xf numFmtId="0" fontId="28" fillId="0" borderId="0"/>
    <xf numFmtId="0" fontId="28" fillId="0" borderId="0"/>
    <xf numFmtId="0" fontId="52" fillId="0" borderId="0"/>
    <xf numFmtId="0" fontId="29" fillId="0" borderId="0"/>
    <xf numFmtId="0" fontId="52" fillId="0" borderId="0"/>
    <xf numFmtId="0" fontId="52" fillId="0" borderId="0"/>
    <xf numFmtId="0" fontId="29" fillId="0" borderId="0"/>
    <xf numFmtId="0" fontId="28" fillId="0" borderId="0"/>
    <xf numFmtId="0" fontId="29" fillId="0" borderId="0"/>
    <xf numFmtId="0" fontId="29" fillId="0" borderId="0"/>
    <xf numFmtId="0" fontId="28" fillId="0" borderId="0"/>
    <xf numFmtId="0" fontId="28" fillId="0" borderId="0"/>
    <xf numFmtId="0" fontId="52" fillId="0" borderId="0"/>
    <xf numFmtId="0" fontId="52" fillId="0" borderId="0"/>
    <xf numFmtId="0" fontId="28" fillId="0" borderId="0"/>
    <xf numFmtId="0" fontId="28" fillId="0" borderId="0"/>
    <xf numFmtId="0" fontId="52" fillId="0" borderId="0"/>
    <xf numFmtId="0" fontId="52" fillId="0" borderId="0"/>
    <xf numFmtId="0" fontId="28" fillId="0" borderId="0"/>
    <xf numFmtId="0" fontId="52" fillId="0" borderId="0"/>
    <xf numFmtId="0" fontId="28" fillId="0" borderId="0"/>
    <xf numFmtId="0" fontId="28" fillId="0" borderId="0"/>
    <xf numFmtId="0" fontId="28" fillId="0" borderId="0"/>
    <xf numFmtId="0" fontId="52" fillId="0" borderId="0"/>
    <xf numFmtId="0" fontId="28" fillId="0" borderId="0"/>
    <xf numFmtId="0" fontId="28" fillId="0" borderId="0"/>
    <xf numFmtId="0" fontId="52" fillId="0" borderId="0"/>
    <xf numFmtId="0" fontId="52" fillId="0" borderId="0"/>
    <xf numFmtId="0" fontId="28" fillId="0" borderId="0"/>
    <xf numFmtId="0" fontId="28" fillId="0" borderId="0"/>
    <xf numFmtId="0" fontId="1" fillId="0" borderId="0"/>
    <xf numFmtId="0" fontId="1" fillId="0" borderId="0"/>
    <xf numFmtId="0" fontId="28" fillId="0" borderId="0"/>
    <xf numFmtId="0" fontId="29" fillId="0" borderId="0"/>
    <xf numFmtId="0" fontId="28" fillId="0" borderId="0"/>
    <xf numFmtId="0" fontId="52" fillId="0" borderId="0"/>
    <xf numFmtId="0" fontId="52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37" fillId="46" borderId="49" applyNumberFormat="0" applyFont="0" applyAlignment="0" applyProtection="0"/>
    <xf numFmtId="0" fontId="1" fillId="17" borderId="39" applyNumberFormat="0" applyFont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1" fillId="0" borderId="0" applyFont="0" applyFill="0" applyBorder="0" applyAlignment="0" applyProtection="0"/>
    <xf numFmtId="0" fontId="28" fillId="0" borderId="0"/>
    <xf numFmtId="174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9" fontId="28" fillId="0" borderId="0" applyFont="0" applyFill="0" applyBorder="0" applyAlignment="0" applyProtection="0"/>
    <xf numFmtId="0" fontId="28" fillId="0" borderId="0"/>
    <xf numFmtId="174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28" fillId="0" borderId="0"/>
    <xf numFmtId="0" fontId="28" fillId="0" borderId="0"/>
    <xf numFmtId="0" fontId="1" fillId="0" borderId="0"/>
    <xf numFmtId="43" fontId="1" fillId="0" borderId="0" applyFont="0" applyFill="0" applyBorder="0" applyAlignment="0" applyProtection="0"/>
    <xf numFmtId="0" fontId="19" fillId="14" borderId="35" applyNumberFormat="0" applyAlignment="0" applyProtection="0"/>
    <xf numFmtId="0" fontId="28" fillId="0" borderId="0"/>
    <xf numFmtId="174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1" fillId="0" borderId="0"/>
    <xf numFmtId="0" fontId="19" fillId="14" borderId="35" applyNumberFormat="0" applyAlignment="0" applyProtection="0"/>
    <xf numFmtId="0" fontId="28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1" fillId="0" borderId="0" applyFont="0" applyFill="0" applyBorder="0" applyAlignment="0" applyProtection="0"/>
    <xf numFmtId="0" fontId="28" fillId="0" borderId="0"/>
    <xf numFmtId="174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8" fillId="13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0" fontId="19" fillId="14" borderId="35" applyNumberFormat="0" applyAlignment="0" applyProtection="0"/>
    <xf numFmtId="0" fontId="28" fillId="0" borderId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0" fontId="28" fillId="0" borderId="0"/>
    <xf numFmtId="174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14" borderId="35" applyNumberFormat="0" applyAlignment="0" applyProtection="0"/>
    <xf numFmtId="6" fontId="29" fillId="0" borderId="0" applyNumberFormat="0" applyBorder="0" applyAlignment="0">
      <alignment horizontal="center"/>
      <protection locked="0"/>
    </xf>
    <xf numFmtId="0" fontId="1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188" fontId="1" fillId="0" borderId="0"/>
    <xf numFmtId="43" fontId="1" fillId="0" borderId="0" applyFont="0" applyFill="0" applyBorder="0" applyAlignment="0" applyProtection="0"/>
    <xf numFmtId="188" fontId="28" fillId="0" borderId="0"/>
    <xf numFmtId="188" fontId="28" fillId="0" borderId="0"/>
    <xf numFmtId="188" fontId="13" fillId="0" borderId="32" applyNumberFormat="0" applyFill="0" applyAlignment="0" applyProtection="0"/>
    <xf numFmtId="188" fontId="14" fillId="0" borderId="33" applyNumberFormat="0" applyFill="0" applyAlignment="0" applyProtection="0"/>
    <xf numFmtId="188" fontId="15" fillId="0" borderId="34" applyNumberFormat="0" applyFill="0" applyAlignment="0" applyProtection="0"/>
    <xf numFmtId="188" fontId="15" fillId="0" borderId="0" applyNumberFormat="0" applyFill="0" applyBorder="0" applyAlignment="0" applyProtection="0"/>
    <xf numFmtId="188" fontId="16" fillId="11" borderId="0" applyNumberFormat="0" applyBorder="0" applyAlignment="0" applyProtection="0"/>
    <xf numFmtId="188" fontId="17" fillId="12" borderId="0" applyNumberFormat="0" applyBorder="0" applyAlignment="0" applyProtection="0"/>
    <xf numFmtId="188" fontId="20" fillId="15" borderId="36" applyNumberFormat="0" applyAlignment="0" applyProtection="0"/>
    <xf numFmtId="188" fontId="21" fillId="15" borderId="35" applyNumberFormat="0" applyAlignment="0" applyProtection="0"/>
    <xf numFmtId="188" fontId="22" fillId="0" borderId="37" applyNumberFormat="0" applyFill="0" applyAlignment="0" applyProtection="0"/>
    <xf numFmtId="188" fontId="23" fillId="16" borderId="38" applyNumberFormat="0" applyAlignment="0" applyProtection="0"/>
    <xf numFmtId="188" fontId="24" fillId="0" borderId="0" applyNumberFormat="0" applyFill="0" applyBorder="0" applyAlignment="0" applyProtection="0"/>
    <xf numFmtId="188" fontId="25" fillId="0" borderId="0" applyNumberFormat="0" applyFill="0" applyBorder="0" applyAlignment="0" applyProtection="0"/>
    <xf numFmtId="188" fontId="2" fillId="0" borderId="40" applyNumberFormat="0" applyFill="0" applyAlignment="0" applyProtection="0"/>
    <xf numFmtId="188" fontId="26" fillId="18" borderId="0" applyNumberFormat="0" applyBorder="0" applyAlignment="0" applyProtection="0"/>
    <xf numFmtId="188" fontId="1" fillId="19" borderId="0" applyNumberFormat="0" applyBorder="0" applyAlignment="0" applyProtection="0"/>
    <xf numFmtId="188" fontId="1" fillId="20" borderId="0" applyNumberFormat="0" applyBorder="0" applyAlignment="0" applyProtection="0"/>
    <xf numFmtId="188" fontId="26" fillId="22" borderId="0" applyNumberFormat="0" applyBorder="0" applyAlignment="0" applyProtection="0"/>
    <xf numFmtId="188" fontId="1" fillId="23" borderId="0" applyNumberFormat="0" applyBorder="0" applyAlignment="0" applyProtection="0"/>
    <xf numFmtId="188" fontId="1" fillId="24" borderId="0" applyNumberFormat="0" applyBorder="0" applyAlignment="0" applyProtection="0"/>
    <xf numFmtId="188" fontId="26" fillId="26" borderId="0" applyNumberFormat="0" applyBorder="0" applyAlignment="0" applyProtection="0"/>
    <xf numFmtId="188" fontId="1" fillId="27" borderId="0" applyNumberFormat="0" applyBorder="0" applyAlignment="0" applyProtection="0"/>
    <xf numFmtId="188" fontId="1" fillId="28" borderId="0" applyNumberFormat="0" applyBorder="0" applyAlignment="0" applyProtection="0"/>
    <xf numFmtId="188" fontId="26" fillId="30" borderId="0" applyNumberFormat="0" applyBorder="0" applyAlignment="0" applyProtection="0"/>
    <xf numFmtId="188" fontId="1" fillId="31" borderId="0" applyNumberFormat="0" applyBorder="0" applyAlignment="0" applyProtection="0"/>
    <xf numFmtId="188" fontId="1" fillId="32" borderId="0" applyNumberFormat="0" applyBorder="0" applyAlignment="0" applyProtection="0"/>
    <xf numFmtId="188" fontId="26" fillId="34" borderId="0" applyNumberFormat="0" applyBorder="0" applyAlignment="0" applyProtection="0"/>
    <xf numFmtId="188" fontId="1" fillId="35" borderId="0" applyNumberFormat="0" applyBorder="0" applyAlignment="0" applyProtection="0"/>
    <xf numFmtId="188" fontId="1" fillId="36" borderId="0" applyNumberFormat="0" applyBorder="0" applyAlignment="0" applyProtection="0"/>
    <xf numFmtId="188" fontId="26" fillId="38" borderId="0" applyNumberFormat="0" applyBorder="0" applyAlignment="0" applyProtection="0"/>
    <xf numFmtId="188" fontId="1" fillId="39" borderId="0" applyNumberFormat="0" applyBorder="0" applyAlignment="0" applyProtection="0"/>
    <xf numFmtId="188" fontId="1" fillId="40" borderId="0" applyNumberFormat="0" applyBorder="0" applyAlignment="0" applyProtection="0"/>
    <xf numFmtId="188" fontId="28" fillId="0" borderId="0"/>
    <xf numFmtId="188" fontId="29" fillId="0" borderId="0" applyFont="0" applyFill="0" applyBorder="0" applyAlignment="0" applyProtection="0"/>
    <xf numFmtId="188" fontId="32" fillId="0" borderId="0">
      <alignment vertical="top"/>
    </xf>
    <xf numFmtId="188" fontId="32" fillId="0" borderId="0">
      <alignment vertical="top"/>
    </xf>
    <xf numFmtId="188" fontId="37" fillId="43" borderId="0" applyNumberFormat="0" applyBorder="0" applyAlignment="0" applyProtection="0"/>
    <xf numFmtId="188" fontId="32" fillId="43" borderId="0" applyNumberFormat="0" applyBorder="0" applyAlignment="0" applyProtection="0"/>
    <xf numFmtId="188" fontId="1" fillId="19" borderId="0" applyNumberFormat="0" applyBorder="0" applyAlignment="0" applyProtection="0"/>
    <xf numFmtId="188" fontId="37" fillId="43" borderId="0" applyNumberFormat="0" applyBorder="0" applyAlignment="0" applyProtection="0"/>
    <xf numFmtId="188" fontId="1" fillId="19" borderId="0" applyNumberFormat="0" applyBorder="0" applyAlignment="0" applyProtection="0"/>
    <xf numFmtId="188" fontId="37" fillId="43" borderId="0" applyNumberFormat="0" applyBorder="0" applyAlignment="0" applyProtection="0"/>
    <xf numFmtId="188" fontId="37" fillId="43" borderId="0" applyNumberFormat="0" applyBorder="0" applyAlignment="0" applyProtection="0"/>
    <xf numFmtId="188" fontId="37" fillId="45" borderId="0" applyNumberFormat="0" applyBorder="0" applyAlignment="0" applyProtection="0"/>
    <xf numFmtId="188" fontId="32" fillId="45" borderId="0" applyNumberFormat="0" applyBorder="0" applyAlignment="0" applyProtection="0"/>
    <xf numFmtId="188" fontId="1" fillId="23" borderId="0" applyNumberFormat="0" applyBorder="0" applyAlignment="0" applyProtection="0"/>
    <xf numFmtId="188" fontId="37" fillId="45" borderId="0" applyNumberFormat="0" applyBorder="0" applyAlignment="0" applyProtection="0"/>
    <xf numFmtId="188" fontId="1" fillId="23" borderId="0" applyNumberFormat="0" applyBorder="0" applyAlignment="0" applyProtection="0"/>
    <xf numFmtId="188" fontId="37" fillId="45" borderId="0" applyNumberFormat="0" applyBorder="0" applyAlignment="0" applyProtection="0"/>
    <xf numFmtId="188" fontId="37" fillId="45" borderId="0" applyNumberFormat="0" applyBorder="0" applyAlignment="0" applyProtection="0"/>
    <xf numFmtId="188" fontId="37" fillId="47" borderId="0" applyNumberFormat="0" applyBorder="0" applyAlignment="0" applyProtection="0"/>
    <xf numFmtId="188" fontId="32" fillId="47" borderId="0" applyNumberFormat="0" applyBorder="0" applyAlignment="0" applyProtection="0"/>
    <xf numFmtId="188" fontId="1" fillId="27" borderId="0" applyNumberFormat="0" applyBorder="0" applyAlignment="0" applyProtection="0"/>
    <xf numFmtId="188" fontId="37" fillId="47" borderId="0" applyNumberFormat="0" applyBorder="0" applyAlignment="0" applyProtection="0"/>
    <xf numFmtId="188" fontId="1" fillId="27" borderId="0" applyNumberFormat="0" applyBorder="0" applyAlignment="0" applyProtection="0"/>
    <xf numFmtId="188" fontId="37" fillId="47" borderId="0" applyNumberFormat="0" applyBorder="0" applyAlignment="0" applyProtection="0"/>
    <xf numFmtId="188" fontId="37" fillId="47" borderId="0" applyNumberFormat="0" applyBorder="0" applyAlignment="0" applyProtection="0"/>
    <xf numFmtId="188" fontId="37" fillId="49" borderId="0" applyNumberFormat="0" applyBorder="0" applyAlignment="0" applyProtection="0"/>
    <xf numFmtId="188" fontId="32" fillId="49" borderId="0" applyNumberFormat="0" applyBorder="0" applyAlignment="0" applyProtection="0"/>
    <xf numFmtId="188" fontId="1" fillId="31" borderId="0" applyNumberFormat="0" applyBorder="0" applyAlignment="0" applyProtection="0"/>
    <xf numFmtId="188" fontId="37" fillId="49" borderId="0" applyNumberFormat="0" applyBorder="0" applyAlignment="0" applyProtection="0"/>
    <xf numFmtId="188" fontId="1" fillId="31" borderId="0" applyNumberFormat="0" applyBorder="0" applyAlignment="0" applyProtection="0"/>
    <xf numFmtId="188" fontId="37" fillId="49" borderId="0" applyNumberFormat="0" applyBorder="0" applyAlignment="0" applyProtection="0"/>
    <xf numFmtId="188" fontId="37" fillId="49" borderId="0" applyNumberFormat="0" applyBorder="0" applyAlignment="0" applyProtection="0"/>
    <xf numFmtId="188" fontId="37" fillId="50" borderId="0" applyNumberFormat="0" applyBorder="0" applyAlignment="0" applyProtection="0"/>
    <xf numFmtId="188" fontId="32" fillId="50" borderId="0" applyNumberFormat="0" applyBorder="0" applyAlignment="0" applyProtection="0"/>
    <xf numFmtId="188" fontId="37" fillId="50" borderId="0" applyNumberFormat="0" applyBorder="0" applyAlignment="0" applyProtection="0"/>
    <xf numFmtId="188" fontId="37" fillId="48" borderId="0" applyNumberFormat="0" applyBorder="0" applyAlignment="0" applyProtection="0"/>
    <xf numFmtId="188" fontId="32" fillId="48" borderId="0" applyNumberFormat="0" applyBorder="0" applyAlignment="0" applyProtection="0"/>
    <xf numFmtId="188" fontId="37" fillId="48" borderId="0" applyNumberFormat="0" applyBorder="0" applyAlignment="0" applyProtection="0"/>
    <xf numFmtId="188" fontId="37" fillId="42" borderId="0" applyNumberFormat="0" applyBorder="0" applyAlignment="0" applyProtection="0"/>
    <xf numFmtId="188" fontId="32" fillId="42" borderId="0" applyNumberFormat="0" applyBorder="0" applyAlignment="0" applyProtection="0"/>
    <xf numFmtId="188" fontId="37" fillId="42" borderId="0" applyNumberFormat="0" applyBorder="0" applyAlignment="0" applyProtection="0"/>
    <xf numFmtId="188" fontId="37" fillId="44" borderId="0" applyNumberFormat="0" applyBorder="0" applyAlignment="0" applyProtection="0"/>
    <xf numFmtId="188" fontId="32" fillId="44" borderId="0" applyNumberFormat="0" applyBorder="0" applyAlignment="0" applyProtection="0"/>
    <xf numFmtId="188" fontId="37" fillId="44" borderId="0" applyNumberFormat="0" applyBorder="0" applyAlignment="0" applyProtection="0"/>
    <xf numFmtId="188" fontId="37" fillId="52" borderId="0" applyNumberFormat="0" applyBorder="0" applyAlignment="0" applyProtection="0"/>
    <xf numFmtId="188" fontId="32" fillId="52" borderId="0" applyNumberFormat="0" applyBorder="0" applyAlignment="0" applyProtection="0"/>
    <xf numFmtId="188" fontId="1" fillId="28" borderId="0" applyNumberFormat="0" applyBorder="0" applyAlignment="0" applyProtection="0"/>
    <xf numFmtId="188" fontId="37" fillId="52" borderId="0" applyNumberFormat="0" applyBorder="0" applyAlignment="0" applyProtection="0"/>
    <xf numFmtId="188" fontId="1" fillId="28" borderId="0" applyNumberFormat="0" applyBorder="0" applyAlignment="0" applyProtection="0"/>
    <xf numFmtId="188" fontId="37" fillId="52" borderId="0" applyNumberFormat="0" applyBorder="0" applyAlignment="0" applyProtection="0"/>
    <xf numFmtId="188" fontId="37" fillId="52" borderId="0" applyNumberFormat="0" applyBorder="0" applyAlignment="0" applyProtection="0"/>
    <xf numFmtId="188" fontId="37" fillId="49" borderId="0" applyNumberFormat="0" applyBorder="0" applyAlignment="0" applyProtection="0"/>
    <xf numFmtId="188" fontId="32" fillId="49" borderId="0" applyNumberFormat="0" applyBorder="0" applyAlignment="0" applyProtection="0"/>
    <xf numFmtId="188" fontId="37" fillId="49" borderId="0" applyNumberFormat="0" applyBorder="0" applyAlignment="0" applyProtection="0"/>
    <xf numFmtId="188" fontId="37" fillId="42" borderId="0" applyNumberFormat="0" applyBorder="0" applyAlignment="0" applyProtection="0"/>
    <xf numFmtId="188" fontId="32" fillId="42" borderId="0" applyNumberFormat="0" applyBorder="0" applyAlignment="0" applyProtection="0"/>
    <xf numFmtId="188" fontId="37" fillId="42" borderId="0" applyNumberFormat="0" applyBorder="0" applyAlignment="0" applyProtection="0"/>
    <xf numFmtId="188" fontId="37" fillId="53" borderId="0" applyNumberFormat="0" applyBorder="0" applyAlignment="0" applyProtection="0"/>
    <xf numFmtId="188" fontId="32" fillId="53" borderId="0" applyNumberFormat="0" applyBorder="0" applyAlignment="0" applyProtection="0"/>
    <xf numFmtId="188" fontId="37" fillId="53" borderId="0" applyNumberFormat="0" applyBorder="0" applyAlignment="0" applyProtection="0"/>
    <xf numFmtId="188" fontId="26" fillId="21" borderId="0" applyNumberFormat="0" applyBorder="0" applyAlignment="0" applyProtection="0"/>
    <xf numFmtId="188" fontId="38" fillId="54" borderId="0" applyNumberFormat="0" applyBorder="0" applyAlignment="0" applyProtection="0"/>
    <xf numFmtId="188" fontId="55" fillId="54" borderId="0" applyNumberFormat="0" applyBorder="0" applyAlignment="0" applyProtection="0"/>
    <xf numFmtId="188" fontId="38" fillId="54" borderId="0" applyNumberFormat="0" applyBorder="0" applyAlignment="0" applyProtection="0"/>
    <xf numFmtId="188" fontId="26" fillId="25" borderId="0" applyNumberFormat="0" applyBorder="0" applyAlignment="0" applyProtection="0"/>
    <xf numFmtId="188" fontId="38" fillId="44" borderId="0" applyNumberFormat="0" applyBorder="0" applyAlignment="0" applyProtection="0"/>
    <xf numFmtId="188" fontId="55" fillId="44" borderId="0" applyNumberFormat="0" applyBorder="0" applyAlignment="0" applyProtection="0"/>
    <xf numFmtId="188" fontId="38" fillId="44" borderId="0" applyNumberFormat="0" applyBorder="0" applyAlignment="0" applyProtection="0"/>
    <xf numFmtId="188" fontId="26" fillId="29" borderId="0" applyNumberFormat="0" applyBorder="0" applyAlignment="0" applyProtection="0"/>
    <xf numFmtId="188" fontId="38" fillId="52" borderId="0" applyNumberFormat="0" applyBorder="0" applyAlignment="0" applyProtection="0"/>
    <xf numFmtId="188" fontId="55" fillId="52" borderId="0" applyNumberFormat="0" applyBorder="0" applyAlignment="0" applyProtection="0"/>
    <xf numFmtId="188" fontId="26" fillId="29" borderId="0" applyNumberFormat="0" applyBorder="0" applyAlignment="0" applyProtection="0"/>
    <xf numFmtId="188" fontId="38" fillId="52" borderId="0" applyNumberFormat="0" applyBorder="0" applyAlignment="0" applyProtection="0"/>
    <xf numFmtId="188" fontId="26" fillId="29" borderId="0" applyNumberFormat="0" applyBorder="0" applyAlignment="0" applyProtection="0"/>
    <xf numFmtId="188" fontId="38" fillId="52" borderId="0" applyNumberFormat="0" applyBorder="0" applyAlignment="0" applyProtection="0"/>
    <xf numFmtId="188" fontId="38" fillId="52" borderId="0" applyNumberFormat="0" applyBorder="0" applyAlignment="0" applyProtection="0"/>
    <xf numFmtId="188" fontId="26" fillId="33" borderId="0" applyNumberFormat="0" applyBorder="0" applyAlignment="0" applyProtection="0"/>
    <xf numFmtId="188" fontId="38" fillId="56" borderId="0" applyNumberFormat="0" applyBorder="0" applyAlignment="0" applyProtection="0"/>
    <xf numFmtId="188" fontId="55" fillId="56" borderId="0" applyNumberFormat="0" applyBorder="0" applyAlignment="0" applyProtection="0"/>
    <xf numFmtId="188" fontId="26" fillId="33" borderId="0" applyNumberFormat="0" applyBorder="0" applyAlignment="0" applyProtection="0"/>
    <xf numFmtId="188" fontId="38" fillId="56" borderId="0" applyNumberFormat="0" applyBorder="0" applyAlignment="0" applyProtection="0"/>
    <xf numFmtId="188" fontId="26" fillId="33" borderId="0" applyNumberFormat="0" applyBorder="0" applyAlignment="0" applyProtection="0"/>
    <xf numFmtId="188" fontId="38" fillId="56" borderId="0" applyNumberFormat="0" applyBorder="0" applyAlignment="0" applyProtection="0"/>
    <xf numFmtId="188" fontId="38" fillId="56" borderId="0" applyNumberFormat="0" applyBorder="0" applyAlignment="0" applyProtection="0"/>
    <xf numFmtId="188" fontId="26" fillId="37" borderId="0" applyNumberFormat="0" applyBorder="0" applyAlignment="0" applyProtection="0"/>
    <xf numFmtId="188" fontId="38" fillId="57" borderId="0" applyNumberFormat="0" applyBorder="0" applyAlignment="0" applyProtection="0"/>
    <xf numFmtId="188" fontId="55" fillId="57" borderId="0" applyNumberFormat="0" applyBorder="0" applyAlignment="0" applyProtection="0"/>
    <xf numFmtId="188" fontId="38" fillId="57" borderId="0" applyNumberFormat="0" applyBorder="0" applyAlignment="0" applyProtection="0"/>
    <xf numFmtId="188" fontId="26" fillId="41" borderId="0" applyNumberFormat="0" applyBorder="0" applyAlignment="0" applyProtection="0"/>
    <xf numFmtId="188" fontId="38" fillId="58" borderId="0" applyNumberFormat="0" applyBorder="0" applyAlignment="0" applyProtection="0"/>
    <xf numFmtId="188" fontId="55" fillId="58" borderId="0" applyNumberFormat="0" applyBorder="0" applyAlignment="0" applyProtection="0"/>
    <xf numFmtId="188" fontId="26" fillId="41" borderId="0" applyNumberFormat="0" applyBorder="0" applyAlignment="0" applyProtection="0"/>
    <xf numFmtId="188" fontId="38" fillId="58" borderId="0" applyNumberFormat="0" applyBorder="0" applyAlignment="0" applyProtection="0"/>
    <xf numFmtId="188" fontId="26" fillId="41" borderId="0" applyNumberFormat="0" applyBorder="0" applyAlignment="0" applyProtection="0"/>
    <xf numFmtId="188" fontId="38" fillId="58" borderId="0" applyNumberFormat="0" applyBorder="0" applyAlignment="0" applyProtection="0"/>
    <xf numFmtId="188" fontId="38" fillId="58" borderId="0" applyNumberFormat="0" applyBorder="0" applyAlignment="0" applyProtection="0"/>
    <xf numFmtId="188" fontId="38" fillId="59" borderId="0" applyNumberFormat="0" applyBorder="0" applyAlignment="0" applyProtection="0"/>
    <xf numFmtId="188" fontId="55" fillId="59" borderId="0" applyNumberFormat="0" applyBorder="0" applyAlignment="0" applyProtection="0"/>
    <xf numFmtId="188" fontId="38" fillId="59" borderId="0" applyNumberFormat="0" applyBorder="0" applyAlignment="0" applyProtection="0"/>
    <xf numFmtId="188" fontId="38" fillId="60" borderId="0" applyNumberFormat="0" applyBorder="0" applyAlignment="0" applyProtection="0"/>
    <xf numFmtId="188" fontId="55" fillId="60" borderId="0" applyNumberFormat="0" applyBorder="0" applyAlignment="0" applyProtection="0"/>
    <xf numFmtId="188" fontId="38" fillId="60" borderId="0" applyNumberFormat="0" applyBorder="0" applyAlignment="0" applyProtection="0"/>
    <xf numFmtId="188" fontId="38" fillId="61" borderId="0" applyNumberFormat="0" applyBorder="0" applyAlignment="0" applyProtection="0"/>
    <xf numFmtId="188" fontId="55" fillId="61" borderId="0" applyNumberFormat="0" applyBorder="0" applyAlignment="0" applyProtection="0"/>
    <xf numFmtId="188" fontId="38" fillId="61" borderId="0" applyNumberFormat="0" applyBorder="0" applyAlignment="0" applyProtection="0"/>
    <xf numFmtId="188" fontId="38" fillId="56" borderId="0" applyNumberFormat="0" applyBorder="0" applyAlignment="0" applyProtection="0"/>
    <xf numFmtId="188" fontId="55" fillId="56" borderId="0" applyNumberFormat="0" applyBorder="0" applyAlignment="0" applyProtection="0"/>
    <xf numFmtId="188" fontId="38" fillId="56" borderId="0" applyNumberFormat="0" applyBorder="0" applyAlignment="0" applyProtection="0"/>
    <xf numFmtId="188" fontId="38" fillId="57" borderId="0" applyNumberFormat="0" applyBorder="0" applyAlignment="0" applyProtection="0"/>
    <xf numFmtId="188" fontId="55" fillId="57" borderId="0" applyNumberFormat="0" applyBorder="0" applyAlignment="0" applyProtection="0"/>
    <xf numFmtId="188" fontId="38" fillId="57" borderId="0" applyNumberFormat="0" applyBorder="0" applyAlignment="0" applyProtection="0"/>
    <xf numFmtId="188" fontId="38" fillId="55" borderId="0" applyNumberFormat="0" applyBorder="0" applyAlignment="0" applyProtection="0"/>
    <xf numFmtId="188" fontId="55" fillId="55" borderId="0" applyNumberFormat="0" applyBorder="0" applyAlignment="0" applyProtection="0"/>
    <xf numFmtId="188" fontId="38" fillId="55" borderId="0" applyNumberFormat="0" applyBorder="0" applyAlignment="0" applyProtection="0"/>
    <xf numFmtId="188" fontId="33" fillId="0" borderId="0">
      <alignment horizontal="center" wrapText="1"/>
      <protection locked="0"/>
    </xf>
    <xf numFmtId="188" fontId="63" fillId="62" borderId="0" applyAlignment="0"/>
    <xf numFmtId="188" fontId="39" fillId="45" borderId="0" applyNumberFormat="0" applyBorder="0" applyAlignment="0" applyProtection="0"/>
    <xf numFmtId="188" fontId="78" fillId="45" borderId="0" applyNumberFormat="0" applyBorder="0" applyAlignment="0" applyProtection="0"/>
    <xf numFmtId="188" fontId="39" fillId="45" borderId="0" applyNumberFormat="0" applyBorder="0" applyAlignment="0" applyProtection="0"/>
    <xf numFmtId="188" fontId="29" fillId="0" borderId="41"/>
    <xf numFmtId="188" fontId="56" fillId="63" borderId="42" applyNumberFormat="0" applyAlignment="0" applyProtection="0"/>
    <xf numFmtId="188" fontId="79" fillId="63" borderId="42" applyNumberFormat="0" applyAlignment="0" applyProtection="0"/>
    <xf numFmtId="188" fontId="56" fillId="63" borderId="42" applyNumberFormat="0" applyAlignment="0" applyProtection="0"/>
    <xf numFmtId="188" fontId="40" fillId="64" borderId="43" applyNumberFormat="0" applyAlignment="0" applyProtection="0"/>
    <xf numFmtId="188" fontId="54" fillId="64" borderId="43" applyNumberFormat="0" applyAlignment="0" applyProtection="0"/>
    <xf numFmtId="188" fontId="40" fillId="64" borderId="43" applyNumberFormat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188" fontId="29" fillId="0" borderId="0" applyFont="0" applyFill="0" applyBorder="0" applyAlignment="0" applyProtection="0"/>
    <xf numFmtId="188" fontId="29" fillId="0" borderId="0" applyFont="0" applyFill="0" applyBorder="0" applyAlignment="0" applyProtection="0"/>
    <xf numFmtId="188" fontId="29" fillId="0" borderId="0" applyFont="0" applyFill="0" applyBorder="0" applyAlignment="0" applyProtection="0"/>
    <xf numFmtId="188" fontId="29" fillId="0" borderId="0" applyFont="0" applyFill="0" applyBorder="0" applyAlignment="0" applyProtection="0"/>
    <xf numFmtId="188" fontId="29" fillId="0" borderId="0" applyFont="0" applyFill="0" applyBorder="0" applyAlignment="0" applyProtection="0"/>
    <xf numFmtId="188" fontId="29" fillId="0" borderId="0" applyFont="0" applyFill="0" applyBorder="0" applyAlignment="0" applyProtection="0"/>
    <xf numFmtId="188" fontId="29" fillId="0" borderId="0" applyFont="0" applyFill="0" applyBorder="0" applyAlignment="0" applyProtection="0"/>
    <xf numFmtId="188" fontId="29" fillId="0" borderId="0" applyFont="0" applyFill="0" applyBorder="0" applyAlignment="0" applyProtection="0"/>
    <xf numFmtId="188" fontId="29" fillId="0" borderId="0" applyFont="0" applyFill="0" applyBorder="0" applyAlignment="0" applyProtection="0"/>
    <xf numFmtId="188" fontId="29" fillId="0" borderId="0" applyFont="0" applyFill="0" applyBorder="0" applyAlignment="0" applyProtection="0"/>
    <xf numFmtId="188" fontId="29" fillId="0" borderId="0" applyFont="0" applyFill="0" applyBorder="0" applyAlignment="0" applyProtection="0"/>
    <xf numFmtId="188" fontId="41" fillId="0" borderId="0" applyNumberFormat="0" applyFill="0" applyBorder="0" applyAlignment="0" applyProtection="0"/>
    <xf numFmtId="188" fontId="80" fillId="0" borderId="0" applyNumberFormat="0" applyFill="0" applyBorder="0" applyAlignment="0" applyProtection="0"/>
    <xf numFmtId="188" fontId="41" fillId="0" borderId="0" applyNumberFormat="0" applyFill="0" applyBorder="0" applyAlignment="0" applyProtection="0"/>
    <xf numFmtId="188" fontId="42" fillId="47" borderId="0" applyNumberFormat="0" applyBorder="0" applyAlignment="0" applyProtection="0"/>
    <xf numFmtId="188" fontId="81" fillId="47" borderId="0" applyNumberFormat="0" applyBorder="0" applyAlignment="0" applyProtection="0"/>
    <xf numFmtId="188" fontId="42" fillId="47" borderId="0" applyNumberFormat="0" applyBorder="0" applyAlignment="0" applyProtection="0"/>
    <xf numFmtId="188" fontId="90" fillId="0" borderId="0"/>
    <xf numFmtId="188" fontId="91" fillId="0" borderId="0"/>
    <xf numFmtId="188" fontId="50" fillId="0" borderId="0"/>
    <xf numFmtId="188" fontId="92" fillId="0" borderId="0"/>
    <xf numFmtId="188" fontId="93" fillId="0" borderId="0"/>
    <xf numFmtId="188" fontId="35" fillId="0" borderId="27" applyNumberFormat="0" applyAlignment="0" applyProtection="0">
      <alignment horizontal="left" vertical="center"/>
    </xf>
    <xf numFmtId="188" fontId="35" fillId="0" borderId="12">
      <alignment horizontal="left" vertical="center"/>
    </xf>
    <xf numFmtId="188" fontId="57" fillId="0" borderId="45" applyNumberFormat="0" applyFill="0" applyAlignment="0" applyProtection="0"/>
    <xf numFmtId="188" fontId="82" fillId="0" borderId="45" applyNumberFormat="0" applyFill="0" applyAlignment="0" applyProtection="0"/>
    <xf numFmtId="188" fontId="64" fillId="0" borderId="0" applyNumberFormat="0" applyFill="0" applyBorder="0" applyAlignment="0" applyProtection="0"/>
    <xf numFmtId="188" fontId="57" fillId="0" borderId="45" applyNumberFormat="0" applyFill="0" applyAlignment="0" applyProtection="0"/>
    <xf numFmtId="188" fontId="58" fillId="0" borderId="46" applyNumberFormat="0" applyFill="0" applyAlignment="0" applyProtection="0"/>
    <xf numFmtId="188" fontId="83" fillId="0" borderId="46" applyNumberFormat="0" applyFill="0" applyAlignment="0" applyProtection="0"/>
    <xf numFmtId="188" fontId="35" fillId="0" borderId="0" applyNumberFormat="0" applyFill="0" applyBorder="0" applyAlignment="0" applyProtection="0"/>
    <xf numFmtId="188" fontId="58" fillId="0" borderId="46" applyNumberFormat="0" applyFill="0" applyAlignment="0" applyProtection="0"/>
    <xf numFmtId="188" fontId="59" fillId="0" borderId="47" applyNumberFormat="0" applyFill="0" applyAlignment="0" applyProtection="0"/>
    <xf numFmtId="188" fontId="84" fillId="0" borderId="47" applyNumberFormat="0" applyFill="0" applyAlignment="0" applyProtection="0"/>
    <xf numFmtId="188" fontId="59" fillId="0" borderId="47" applyNumberFormat="0" applyFill="0" applyAlignment="0" applyProtection="0"/>
    <xf numFmtId="188" fontId="59" fillId="0" borderId="0" applyNumberFormat="0" applyFill="0" applyBorder="0" applyAlignment="0" applyProtection="0"/>
    <xf numFmtId="188" fontId="84" fillId="0" borderId="0" applyNumberFormat="0" applyFill="0" applyBorder="0" applyAlignment="0" applyProtection="0"/>
    <xf numFmtId="188" fontId="59" fillId="0" borderId="0" applyNumberFormat="0" applyFill="0" applyBorder="0" applyAlignment="0" applyProtection="0"/>
    <xf numFmtId="188" fontId="31" fillId="0" borderId="0" applyNumberFormat="0" applyFill="0" applyBorder="0" applyAlignment="0" applyProtection="0">
      <alignment vertical="top"/>
      <protection locked="0"/>
    </xf>
    <xf numFmtId="188" fontId="48" fillId="0" borderId="0" applyNumberFormat="0" applyFill="0" applyBorder="0" applyAlignment="0" applyProtection="0">
      <alignment vertical="top"/>
      <protection locked="0"/>
    </xf>
    <xf numFmtId="188" fontId="31" fillId="0" borderId="0" applyNumberFormat="0" applyFill="0" applyBorder="0" applyAlignment="0" applyProtection="0">
      <alignment vertical="top"/>
      <protection locked="0"/>
    </xf>
    <xf numFmtId="188" fontId="31" fillId="0" borderId="0" applyNumberFormat="0" applyFill="0" applyBorder="0" applyAlignment="0" applyProtection="0">
      <alignment vertical="top"/>
      <protection locked="0"/>
    </xf>
    <xf numFmtId="188" fontId="89" fillId="0" borderId="0" applyNumberFormat="0" applyFill="0" applyBorder="0" applyAlignment="0" applyProtection="0">
      <alignment vertical="top"/>
      <protection locked="0"/>
    </xf>
    <xf numFmtId="188" fontId="89" fillId="0" borderId="0" applyNumberFormat="0" applyFill="0" applyBorder="0" applyAlignment="0" applyProtection="0">
      <alignment vertical="top"/>
      <protection locked="0"/>
    </xf>
    <xf numFmtId="188" fontId="89" fillId="0" borderId="0" applyNumberFormat="0" applyFill="0" applyBorder="0" applyAlignment="0" applyProtection="0">
      <alignment vertical="top"/>
      <protection locked="0"/>
    </xf>
    <xf numFmtId="188" fontId="65" fillId="65" borderId="0" applyNumberFormat="0" applyBorder="0">
      <alignment horizontal="right" vertical="center"/>
    </xf>
    <xf numFmtId="188" fontId="65" fillId="65" borderId="0">
      <alignment horizontal="right" vertical="center"/>
    </xf>
    <xf numFmtId="188" fontId="30" fillId="67" borderId="49" applyNumberFormat="0" applyAlignment="0">
      <protection locked="0"/>
    </xf>
    <xf numFmtId="188" fontId="19" fillId="14" borderId="35" applyNumberFormat="0" applyAlignment="0" applyProtection="0"/>
    <xf numFmtId="188" fontId="77" fillId="68" borderId="50" applyNumberFormat="0" applyAlignment="0">
      <protection locked="0"/>
    </xf>
    <xf numFmtId="188" fontId="85" fillId="48" borderId="42" applyNumberFormat="0" applyAlignment="0" applyProtection="0"/>
    <xf numFmtId="188" fontId="43" fillId="48" borderId="42" applyNumberFormat="0" applyAlignment="0" applyProtection="0"/>
    <xf numFmtId="188" fontId="30" fillId="67" borderId="49" applyNumberFormat="0" applyAlignment="0">
      <protection locked="0"/>
    </xf>
    <xf numFmtId="188" fontId="77" fillId="68" borderId="50" applyNumberFormat="0" applyAlignment="0">
      <protection locked="0"/>
    </xf>
    <xf numFmtId="188" fontId="77" fillId="68" borderId="50" applyNumberFormat="0" applyAlignment="0">
      <protection locked="0"/>
    </xf>
    <xf numFmtId="188" fontId="77" fillId="68" borderId="50" applyNumberFormat="0" applyAlignment="0">
      <protection locked="0"/>
    </xf>
    <xf numFmtId="188" fontId="77" fillId="68" borderId="50" applyNumberFormat="0" applyAlignment="0">
      <protection locked="0"/>
    </xf>
    <xf numFmtId="188" fontId="77" fillId="68" borderId="50" applyNumberFormat="0" applyAlignment="0">
      <protection locked="0"/>
    </xf>
    <xf numFmtId="188" fontId="43" fillId="48" borderId="42" applyNumberFormat="0" applyAlignment="0" applyProtection="0"/>
    <xf numFmtId="188" fontId="77" fillId="68" borderId="50" applyNumberFormat="0" applyAlignment="0">
      <protection locked="0"/>
    </xf>
    <xf numFmtId="188" fontId="29" fillId="70" borderId="49" applyNumberFormat="0" applyAlignment="0">
      <protection locked="0"/>
    </xf>
    <xf numFmtId="188" fontId="29" fillId="71" borderId="0">
      <alignment horizontal="right" vertical="center"/>
    </xf>
    <xf numFmtId="188" fontId="60" fillId="0" borderId="51" applyNumberFormat="0" applyFill="0" applyAlignment="0" applyProtection="0"/>
    <xf numFmtId="188" fontId="86" fillId="0" borderId="51" applyNumberFormat="0" applyFill="0" applyAlignment="0" applyProtection="0"/>
    <xf numFmtId="188" fontId="60" fillId="0" borderId="51" applyNumberFormat="0" applyFill="0" applyAlignment="0" applyProtection="0"/>
    <xf numFmtId="188" fontId="99" fillId="13" borderId="0" applyNumberFormat="0" applyBorder="0" applyAlignment="0" applyProtection="0"/>
    <xf numFmtId="188" fontId="61" fillId="51" borderId="0" applyNumberFormat="0" applyBorder="0" applyAlignment="0" applyProtection="0"/>
    <xf numFmtId="188" fontId="87" fillId="51" borderId="0" applyNumberFormat="0" applyBorder="0" applyAlignment="0" applyProtection="0"/>
    <xf numFmtId="188" fontId="61" fillId="51" borderId="0" applyNumberFormat="0" applyBorder="0" applyAlignment="0" applyProtection="0"/>
    <xf numFmtId="188" fontId="29" fillId="0" borderId="0" applyNumberFormat="0" applyFont="0" applyFill="0" applyBorder="0" applyAlignment="0"/>
    <xf numFmtId="6" fontId="29" fillId="0" borderId="0" applyNumberFormat="0" applyBorder="0" applyAlignment="0">
      <alignment horizontal="center"/>
      <protection locked="0"/>
    </xf>
    <xf numFmtId="188" fontId="1" fillId="0" borderId="0"/>
    <xf numFmtId="188" fontId="52" fillId="0" borderId="0"/>
    <xf numFmtId="188" fontId="52" fillId="0" borderId="0"/>
    <xf numFmtId="188" fontId="52" fillId="0" borderId="0"/>
    <xf numFmtId="188" fontId="28" fillId="0" borderId="0"/>
    <xf numFmtId="188" fontId="28" fillId="0" borderId="0"/>
    <xf numFmtId="188" fontId="28" fillId="0" borderId="0"/>
    <xf numFmtId="188" fontId="28" fillId="0" borderId="0"/>
    <xf numFmtId="188" fontId="28" fillId="0" borderId="0"/>
    <xf numFmtId="188" fontId="28" fillId="0" borderId="0"/>
    <xf numFmtId="188" fontId="28" fillId="0" borderId="0"/>
    <xf numFmtId="188" fontId="29" fillId="0" borderId="0"/>
    <xf numFmtId="188" fontId="1" fillId="0" borderId="0"/>
    <xf numFmtId="188" fontId="1" fillId="0" borderId="0"/>
    <xf numFmtId="188" fontId="52" fillId="0" borderId="0"/>
    <xf numFmtId="188" fontId="1" fillId="0" borderId="0"/>
    <xf numFmtId="188" fontId="1" fillId="0" borderId="0"/>
    <xf numFmtId="188" fontId="28" fillId="0" borderId="0"/>
    <xf numFmtId="188" fontId="1" fillId="0" borderId="0"/>
    <xf numFmtId="188" fontId="1" fillId="0" borderId="0"/>
    <xf numFmtId="188" fontId="28" fillId="0" borderId="0"/>
    <xf numFmtId="188" fontId="52" fillId="0" borderId="0"/>
    <xf numFmtId="188" fontId="28" fillId="0" borderId="0"/>
    <xf numFmtId="188" fontId="52" fillId="0" borderId="0"/>
    <xf numFmtId="188" fontId="28" fillId="0" borderId="0"/>
    <xf numFmtId="188" fontId="52" fillId="0" borderId="0"/>
    <xf numFmtId="188" fontId="29" fillId="0" borderId="0"/>
    <xf numFmtId="188" fontId="28" fillId="0" borderId="0"/>
    <xf numFmtId="188" fontId="28" fillId="0" borderId="0"/>
    <xf numFmtId="188" fontId="28" fillId="0" borderId="0"/>
    <xf numFmtId="188" fontId="29" fillId="0" borderId="0"/>
    <xf numFmtId="188" fontId="29" fillId="0" borderId="0"/>
    <xf numFmtId="188" fontId="29" fillId="0" borderId="0"/>
    <xf numFmtId="188" fontId="29" fillId="0" borderId="0"/>
    <xf numFmtId="188" fontId="28" fillId="0" borderId="0"/>
    <xf numFmtId="188" fontId="1" fillId="0" borderId="0"/>
    <xf numFmtId="188" fontId="1" fillId="0" borderId="0"/>
    <xf numFmtId="188" fontId="28" fillId="0" borderId="0"/>
    <xf numFmtId="188" fontId="28" fillId="0" borderId="0"/>
    <xf numFmtId="188" fontId="1" fillId="0" borderId="0"/>
    <xf numFmtId="188" fontId="37" fillId="0" borderId="0"/>
    <xf numFmtId="188" fontId="28" fillId="0" borderId="0"/>
    <xf numFmtId="188" fontId="1" fillId="0" borderId="0"/>
    <xf numFmtId="188" fontId="28" fillId="0" borderId="0"/>
    <xf numFmtId="188" fontId="51" fillId="0" borderId="0"/>
    <xf numFmtId="188" fontId="28" fillId="0" borderId="0"/>
    <xf numFmtId="188" fontId="29" fillId="0" borderId="0"/>
    <xf numFmtId="188" fontId="29" fillId="0" borderId="0"/>
    <xf numFmtId="188" fontId="51" fillId="0" borderId="0"/>
    <xf numFmtId="188" fontId="51" fillId="0" borderId="0"/>
    <xf numFmtId="188" fontId="28" fillId="0" borderId="0"/>
    <xf numFmtId="188" fontId="52" fillId="0" borderId="0"/>
    <xf numFmtId="188" fontId="52" fillId="0" borderId="0"/>
    <xf numFmtId="188" fontId="1" fillId="0" borderId="0"/>
    <xf numFmtId="188" fontId="52" fillId="0" borderId="0"/>
    <xf numFmtId="188" fontId="52" fillId="0" borderId="0"/>
    <xf numFmtId="188" fontId="1" fillId="0" borderId="0"/>
    <xf numFmtId="188" fontId="28" fillId="0" borderId="0"/>
    <xf numFmtId="188" fontId="52" fillId="0" borderId="0"/>
    <xf numFmtId="188" fontId="28" fillId="0" borderId="0"/>
    <xf numFmtId="188" fontId="52" fillId="0" borderId="0"/>
    <xf numFmtId="188" fontId="52" fillId="0" borderId="0"/>
    <xf numFmtId="188" fontId="1" fillId="0" borderId="0"/>
    <xf numFmtId="188" fontId="28" fillId="0" borderId="0"/>
    <xf numFmtId="188" fontId="52" fillId="0" borderId="0"/>
    <xf numFmtId="188" fontId="52" fillId="0" borderId="0"/>
    <xf numFmtId="188" fontId="52" fillId="0" borderId="0"/>
    <xf numFmtId="188" fontId="52" fillId="0" borderId="0"/>
    <xf numFmtId="188" fontId="1" fillId="0" borderId="0"/>
    <xf numFmtId="188" fontId="52" fillId="0" borderId="0"/>
    <xf numFmtId="188" fontId="52" fillId="0" borderId="0"/>
    <xf numFmtId="188" fontId="52" fillId="0" borderId="0"/>
    <xf numFmtId="188" fontId="1" fillId="0" borderId="0"/>
    <xf numFmtId="188" fontId="52" fillId="0" borderId="0"/>
    <xf numFmtId="188" fontId="1" fillId="0" borderId="0"/>
    <xf numFmtId="188" fontId="52" fillId="0" borderId="0"/>
    <xf numFmtId="188" fontId="52" fillId="0" borderId="0"/>
    <xf numFmtId="188" fontId="1" fillId="0" borderId="0"/>
    <xf numFmtId="188" fontId="52" fillId="0" borderId="0"/>
    <xf numFmtId="188" fontId="28" fillId="0" borderId="0"/>
    <xf numFmtId="188" fontId="1" fillId="0" borderId="0"/>
    <xf numFmtId="188" fontId="28" fillId="0" borderId="0"/>
    <xf numFmtId="188" fontId="28" fillId="0" borderId="0"/>
    <xf numFmtId="188" fontId="1" fillId="0" borderId="0"/>
    <xf numFmtId="188" fontId="28" fillId="0" borderId="0"/>
    <xf numFmtId="188" fontId="28" fillId="0" borderId="0"/>
    <xf numFmtId="188" fontId="29" fillId="0" borderId="0"/>
    <xf numFmtId="188" fontId="52" fillId="0" borderId="0"/>
    <xf numFmtId="188" fontId="52" fillId="0" borderId="0"/>
    <xf numFmtId="188" fontId="28" fillId="0" borderId="0"/>
    <xf numFmtId="188" fontId="53" fillId="0" borderId="0"/>
    <xf numFmtId="188" fontId="53" fillId="0" borderId="0"/>
    <xf numFmtId="188" fontId="28" fillId="0" borderId="0"/>
    <xf numFmtId="188" fontId="53" fillId="0" borderId="0"/>
    <xf numFmtId="188" fontId="29" fillId="0" borderId="0"/>
    <xf numFmtId="188" fontId="52" fillId="0" borderId="0"/>
    <xf numFmtId="188" fontId="28" fillId="0" borderId="0"/>
    <xf numFmtId="188" fontId="52" fillId="0" borderId="0"/>
    <xf numFmtId="188" fontId="28" fillId="0" borderId="0"/>
    <xf numFmtId="188" fontId="1" fillId="0" borderId="0"/>
    <xf numFmtId="188" fontId="52" fillId="0" borderId="0"/>
    <xf numFmtId="188" fontId="52" fillId="0" borderId="0"/>
    <xf numFmtId="188" fontId="28" fillId="0" borderId="0"/>
    <xf numFmtId="188" fontId="28" fillId="0" borderId="0"/>
    <xf numFmtId="188" fontId="52" fillId="0" borderId="0"/>
    <xf numFmtId="188" fontId="28" fillId="0" borderId="0"/>
    <xf numFmtId="188" fontId="1" fillId="0" borderId="0"/>
    <xf numFmtId="188" fontId="1" fillId="0" borderId="0"/>
    <xf numFmtId="188" fontId="28" fillId="0" borderId="0"/>
    <xf numFmtId="188" fontId="28" fillId="0" borderId="0"/>
    <xf numFmtId="188" fontId="1" fillId="0" borderId="0"/>
    <xf numFmtId="188" fontId="52" fillId="0" borderId="0"/>
    <xf numFmtId="188" fontId="29" fillId="0" borderId="0"/>
    <xf numFmtId="188" fontId="52" fillId="0" borderId="0"/>
    <xf numFmtId="188" fontId="28" fillId="0" borderId="0"/>
    <xf numFmtId="188" fontId="52" fillId="0" borderId="0"/>
    <xf numFmtId="188" fontId="29" fillId="0" borderId="0"/>
    <xf numFmtId="188" fontId="29" fillId="0" borderId="0"/>
    <xf numFmtId="188" fontId="52" fillId="0" borderId="0"/>
    <xf numFmtId="188" fontId="52" fillId="0" borderId="0"/>
    <xf numFmtId="188" fontId="28" fillId="0" borderId="0"/>
    <xf numFmtId="188" fontId="52" fillId="0" borderId="0"/>
    <xf numFmtId="188" fontId="29" fillId="0" borderId="0"/>
    <xf numFmtId="188" fontId="52" fillId="0" borderId="0"/>
    <xf numFmtId="188" fontId="29" fillId="0" borderId="0"/>
    <xf numFmtId="188" fontId="52" fillId="0" borderId="0"/>
    <xf numFmtId="188" fontId="29" fillId="0" borderId="0"/>
    <xf numFmtId="188" fontId="29" fillId="0" borderId="0"/>
    <xf numFmtId="188" fontId="52" fillId="0" borderId="0"/>
    <xf numFmtId="188" fontId="52" fillId="0" borderId="0"/>
    <xf numFmtId="188" fontId="29" fillId="0" borderId="0"/>
    <xf numFmtId="188" fontId="29" fillId="0" borderId="0"/>
    <xf numFmtId="188" fontId="52" fillId="0" borderId="0"/>
    <xf numFmtId="188" fontId="52" fillId="0" borderId="0">
      <alignment vertical="top"/>
    </xf>
    <xf numFmtId="188" fontId="29" fillId="0" borderId="0"/>
    <xf numFmtId="188" fontId="52" fillId="0" borderId="0">
      <alignment vertical="top"/>
    </xf>
    <xf numFmtId="188" fontId="52" fillId="0" borderId="0">
      <alignment vertical="top"/>
    </xf>
    <xf numFmtId="188" fontId="28" fillId="0" borderId="0"/>
    <xf numFmtId="188" fontId="52" fillId="0" borderId="0"/>
    <xf numFmtId="188" fontId="52" fillId="0" borderId="0"/>
    <xf numFmtId="188" fontId="28" fillId="0" borderId="0"/>
    <xf numFmtId="188" fontId="29" fillId="0" borderId="0"/>
    <xf numFmtId="188" fontId="52" fillId="0" borderId="0"/>
    <xf numFmtId="188" fontId="29" fillId="0" borderId="0"/>
    <xf numFmtId="188" fontId="29" fillId="0" borderId="0"/>
    <xf numFmtId="188" fontId="52" fillId="0" borderId="0"/>
    <xf numFmtId="188" fontId="52" fillId="0" borderId="0"/>
    <xf numFmtId="188" fontId="29" fillId="0" borderId="0"/>
    <xf numFmtId="188" fontId="29" fillId="0" borderId="0"/>
    <xf numFmtId="188" fontId="52" fillId="0" borderId="0"/>
    <xf numFmtId="188" fontId="28" fillId="0" borderId="0"/>
    <xf numFmtId="188" fontId="29" fillId="0" borderId="0"/>
    <xf numFmtId="188" fontId="52" fillId="0" borderId="0"/>
    <xf numFmtId="188" fontId="29" fillId="0" borderId="0"/>
    <xf numFmtId="188" fontId="29" fillId="0" borderId="0"/>
    <xf numFmtId="188" fontId="52" fillId="0" borderId="0"/>
    <xf numFmtId="188" fontId="52" fillId="0" borderId="0"/>
    <xf numFmtId="188" fontId="29" fillId="0" borderId="0"/>
    <xf numFmtId="188" fontId="1" fillId="0" borderId="0"/>
    <xf numFmtId="188" fontId="29" fillId="0" borderId="0"/>
    <xf numFmtId="188" fontId="1" fillId="0" borderId="0"/>
    <xf numFmtId="188" fontId="1" fillId="0" borderId="0"/>
    <xf numFmtId="188" fontId="52" fillId="0" borderId="0"/>
    <xf numFmtId="188" fontId="29" fillId="0" borderId="0"/>
    <xf numFmtId="188" fontId="52" fillId="0" borderId="0"/>
    <xf numFmtId="188" fontId="28" fillId="0" borderId="0"/>
    <xf numFmtId="188" fontId="28" fillId="0" borderId="0"/>
    <xf numFmtId="188" fontId="52" fillId="0" borderId="0"/>
    <xf numFmtId="188" fontId="52" fillId="0" borderId="0"/>
    <xf numFmtId="188" fontId="28" fillId="0" borderId="0"/>
    <xf numFmtId="188" fontId="1" fillId="0" borderId="0"/>
    <xf numFmtId="188" fontId="1" fillId="0" borderId="0"/>
    <xf numFmtId="188" fontId="28" fillId="0" borderId="0"/>
    <xf numFmtId="188" fontId="52" fillId="0" borderId="0"/>
    <xf numFmtId="188" fontId="52" fillId="0" borderId="0"/>
    <xf numFmtId="188" fontId="52" fillId="0" borderId="0"/>
    <xf numFmtId="188" fontId="52" fillId="0" borderId="0"/>
    <xf numFmtId="188" fontId="1" fillId="0" borderId="0"/>
    <xf numFmtId="188" fontId="52" fillId="0" borderId="0"/>
    <xf numFmtId="188" fontId="28" fillId="0" borderId="0"/>
    <xf numFmtId="188" fontId="29" fillId="0" borderId="0"/>
    <xf numFmtId="188" fontId="29" fillId="0" borderId="0"/>
    <xf numFmtId="188" fontId="28" fillId="0" borderId="0"/>
    <xf numFmtId="188" fontId="52" fillId="0" borderId="0"/>
    <xf numFmtId="188" fontId="52" fillId="0" borderId="0"/>
    <xf numFmtId="188" fontId="29" fillId="0" borderId="0"/>
    <xf numFmtId="188" fontId="29" fillId="0" borderId="0"/>
    <xf numFmtId="188" fontId="32" fillId="0" borderId="0"/>
    <xf numFmtId="188" fontId="1" fillId="0" borderId="0"/>
    <xf numFmtId="188" fontId="1" fillId="0" borderId="0"/>
    <xf numFmtId="188" fontId="1" fillId="0" borderId="0"/>
    <xf numFmtId="188" fontId="28" fillId="0" borderId="0"/>
    <xf numFmtId="188" fontId="28" fillId="0" borderId="0"/>
    <xf numFmtId="188" fontId="28" fillId="0" borderId="0"/>
    <xf numFmtId="188" fontId="29" fillId="0" borderId="0"/>
    <xf numFmtId="188" fontId="28" fillId="0" borderId="0"/>
    <xf numFmtId="188" fontId="28" fillId="0" borderId="0"/>
    <xf numFmtId="188" fontId="52" fillId="0" borderId="0"/>
    <xf numFmtId="188" fontId="52" fillId="0" borderId="0"/>
    <xf numFmtId="188" fontId="52" fillId="0" borderId="0"/>
    <xf numFmtId="188" fontId="52" fillId="0" borderId="0"/>
    <xf numFmtId="188" fontId="29" fillId="0" borderId="0"/>
    <xf numFmtId="188" fontId="29" fillId="0" borderId="0"/>
    <xf numFmtId="188" fontId="28" fillId="0" borderId="0"/>
    <xf numFmtId="188" fontId="28" fillId="0" borderId="0"/>
    <xf numFmtId="188" fontId="52" fillId="0" borderId="0"/>
    <xf numFmtId="188" fontId="28" fillId="0" borderId="0"/>
    <xf numFmtId="188" fontId="52" fillId="0" borderId="0"/>
    <xf numFmtId="188" fontId="28" fillId="0" borderId="0"/>
    <xf numFmtId="188" fontId="52" fillId="0" borderId="0"/>
    <xf numFmtId="188" fontId="52" fillId="0" borderId="0"/>
    <xf numFmtId="188" fontId="52" fillId="0" borderId="0"/>
    <xf numFmtId="188" fontId="52" fillId="0" borderId="0"/>
    <xf numFmtId="188" fontId="52" fillId="0" borderId="0"/>
    <xf numFmtId="188" fontId="52" fillId="0" borderId="0"/>
    <xf numFmtId="188" fontId="28" fillId="0" borderId="0"/>
    <xf numFmtId="188" fontId="28" fillId="0" borderId="0"/>
    <xf numFmtId="188" fontId="28" fillId="0" borderId="0"/>
    <xf numFmtId="188" fontId="52" fillId="0" borderId="0"/>
    <xf numFmtId="188" fontId="28" fillId="0" borderId="0"/>
    <xf numFmtId="188" fontId="52" fillId="0" borderId="0"/>
    <xf numFmtId="188" fontId="28" fillId="0" borderId="0"/>
    <xf numFmtId="188" fontId="52" fillId="0" borderId="0"/>
    <xf numFmtId="188" fontId="52" fillId="0" borderId="0"/>
    <xf numFmtId="188" fontId="28" fillId="0" borderId="0"/>
    <xf numFmtId="188" fontId="52" fillId="0" borderId="0"/>
    <xf numFmtId="188" fontId="29" fillId="0" borderId="0"/>
    <xf numFmtId="188" fontId="47" fillId="0" borderId="0"/>
    <xf numFmtId="188" fontId="47" fillId="0" borderId="0"/>
    <xf numFmtId="188" fontId="29" fillId="0" borderId="0"/>
    <xf numFmtId="188" fontId="29" fillId="0" borderId="0"/>
    <xf numFmtId="188" fontId="28" fillId="0" borderId="0"/>
    <xf numFmtId="188" fontId="29" fillId="0" borderId="0"/>
    <xf numFmtId="188" fontId="29" fillId="0" borderId="0"/>
    <xf numFmtId="188" fontId="28" fillId="0" borderId="0"/>
    <xf numFmtId="188" fontId="52" fillId="0" borderId="0"/>
    <xf numFmtId="188" fontId="52" fillId="0" borderId="0"/>
    <xf numFmtId="188" fontId="28" fillId="0" borderId="0"/>
    <xf numFmtId="188" fontId="28" fillId="0" borderId="0"/>
    <xf numFmtId="188" fontId="28" fillId="0" borderId="0"/>
    <xf numFmtId="188" fontId="52" fillId="0" borderId="0"/>
    <xf numFmtId="188" fontId="52" fillId="0" borderId="0"/>
    <xf numFmtId="188" fontId="28" fillId="0" borderId="0"/>
    <xf numFmtId="188" fontId="52" fillId="0" borderId="0"/>
    <xf numFmtId="188" fontId="28" fillId="0" borderId="0"/>
    <xf numFmtId="188" fontId="29" fillId="0" borderId="0"/>
    <xf numFmtId="188" fontId="47" fillId="0" borderId="0"/>
    <xf numFmtId="188" fontId="52" fillId="0" borderId="0"/>
    <xf numFmtId="188" fontId="52" fillId="0" borderId="0"/>
    <xf numFmtId="188" fontId="28" fillId="0" borderId="0"/>
    <xf numFmtId="188" fontId="28" fillId="0" borderId="0"/>
    <xf numFmtId="188" fontId="52" fillId="0" borderId="0"/>
    <xf numFmtId="188" fontId="1" fillId="0" borderId="0"/>
    <xf numFmtId="188" fontId="52" fillId="0" borderId="0"/>
    <xf numFmtId="188" fontId="28" fillId="0" borderId="0"/>
    <xf numFmtId="188" fontId="28" fillId="0" borderId="0"/>
    <xf numFmtId="188" fontId="52" fillId="0" borderId="0"/>
    <xf numFmtId="188" fontId="52" fillId="0" borderId="0"/>
    <xf numFmtId="188" fontId="28" fillId="0" borderId="0"/>
    <xf numFmtId="188" fontId="52" fillId="0" borderId="0"/>
    <xf numFmtId="188" fontId="28" fillId="0" borderId="0"/>
    <xf numFmtId="188" fontId="1" fillId="17" borderId="39" applyNumberFormat="0" applyFont="0" applyAlignment="0" applyProtection="0"/>
    <xf numFmtId="188" fontId="32" fillId="46" borderId="49" applyNumberFormat="0" applyFont="0" applyAlignment="0" applyProtection="0"/>
    <xf numFmtId="188" fontId="29" fillId="46" borderId="49" applyNumberFormat="0" applyFont="0" applyAlignment="0" applyProtection="0"/>
    <xf numFmtId="188" fontId="37" fillId="46" borderId="49" applyNumberFormat="0" applyFont="0" applyAlignment="0" applyProtection="0"/>
    <xf numFmtId="188" fontId="50" fillId="76" borderId="20" applyNumberFormat="0" applyBorder="0">
      <alignment horizontal="left" vertical="center"/>
    </xf>
    <xf numFmtId="188" fontId="45" fillId="63" borderId="52" applyNumberFormat="0" applyAlignment="0" applyProtection="0"/>
    <xf numFmtId="188" fontId="88" fillId="63" borderId="52" applyNumberFormat="0" applyAlignment="0" applyProtection="0"/>
    <xf numFmtId="188" fontId="45" fillId="63" borderId="52" applyNumberFormat="0" applyAlignment="0" applyProtection="0"/>
    <xf numFmtId="188" fontId="29" fillId="77" borderId="0">
      <alignment horizontal="right" vertical="center"/>
    </xf>
    <xf numFmtId="188" fontId="72" fillId="79" borderId="30">
      <alignment horizontal="center"/>
    </xf>
    <xf numFmtId="188" fontId="94" fillId="0" borderId="41"/>
    <xf numFmtId="188" fontId="29" fillId="0" borderId="0" applyFont="0" applyFill="0" applyBorder="0" applyAlignment="0" applyProtection="0"/>
    <xf numFmtId="188" fontId="32" fillId="0" borderId="0">
      <alignment vertical="top"/>
    </xf>
    <xf numFmtId="188" fontId="97" fillId="88" borderId="41"/>
    <xf numFmtId="188" fontId="98" fillId="90" borderId="41"/>
    <xf numFmtId="188" fontId="100" fillId="0" borderId="0" applyNumberFormat="0" applyFill="0" applyBorder="0" applyAlignment="0" applyProtection="0"/>
    <xf numFmtId="188" fontId="62" fillId="0" borderId="0" applyNumberFormat="0" applyFill="0" applyBorder="0" applyAlignment="0" applyProtection="0"/>
    <xf numFmtId="188" fontId="62" fillId="0" borderId="0" applyNumberFormat="0" applyFill="0" applyBorder="0" applyAlignment="0" applyProtection="0"/>
    <xf numFmtId="188" fontId="46" fillId="0" borderId="53" applyNumberFormat="0" applyFill="0" applyAlignment="0" applyProtection="0"/>
    <xf numFmtId="188" fontId="76" fillId="0" borderId="53" applyNumberFormat="0" applyFill="0" applyAlignment="0" applyProtection="0"/>
    <xf numFmtId="188" fontId="29" fillId="0" borderId="54" applyNumberFormat="0" applyFont="0" applyFill="0" applyAlignment="0" applyProtection="0"/>
    <xf numFmtId="188" fontId="46" fillId="0" borderId="53" applyNumberFormat="0" applyFill="0" applyAlignment="0" applyProtection="0"/>
    <xf numFmtId="188" fontId="44" fillId="0" borderId="0" applyNumberFormat="0" applyFill="0" applyBorder="0" applyAlignment="0" applyProtection="0"/>
    <xf numFmtId="188" fontId="49" fillId="0" borderId="0" applyNumberFormat="0" applyFill="0" applyBorder="0" applyAlignment="0" applyProtection="0"/>
    <xf numFmtId="188" fontId="44" fillId="0" borderId="0" applyNumberFormat="0" applyFill="0" applyBorder="0" applyAlignment="0" applyProtection="0"/>
    <xf numFmtId="188" fontId="28" fillId="0" borderId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188" fontId="30" fillId="67" borderId="49" applyNumberFormat="0" applyAlignment="0">
      <protection locked="0"/>
    </xf>
    <xf numFmtId="188" fontId="30" fillId="67" borderId="49" applyNumberFormat="0" applyAlignment="0">
      <protection locked="0"/>
    </xf>
    <xf numFmtId="188" fontId="30" fillId="67" borderId="49" applyNumberFormat="0" applyAlignment="0">
      <protection locked="0"/>
    </xf>
    <xf numFmtId="188" fontId="28" fillId="0" borderId="0"/>
    <xf numFmtId="188" fontId="28" fillId="0" borderId="0"/>
    <xf numFmtId="188" fontId="19" fillId="14" borderId="35" applyNumberFormat="0" applyAlignment="0" applyProtection="0"/>
    <xf numFmtId="188" fontId="1" fillId="17" borderId="39" applyNumberFormat="0" applyFont="0" applyAlignment="0" applyProtection="0"/>
    <xf numFmtId="188" fontId="28" fillId="0" borderId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28" fillId="0" borderId="0"/>
    <xf numFmtId="174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174" fontId="28" fillId="0" borderId="0" applyFont="0" applyFill="0" applyBorder="0" applyAlignment="0" applyProtection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28" fillId="0" borderId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28" fillId="0" borderId="0"/>
    <xf numFmtId="0" fontId="28" fillId="0" borderId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174" fontId="28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28" fillId="0" borderId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28" fillId="0" borderId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0" fontId="28" fillId="0" borderId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188" fontId="1" fillId="0" borderId="0"/>
    <xf numFmtId="43" fontId="1" fillId="0" borderId="0" applyFont="0" applyFill="0" applyBorder="0" applyAlignment="0" applyProtection="0"/>
    <xf numFmtId="2" fontId="95" fillId="0" borderId="41"/>
    <xf numFmtId="188" fontId="16" fillId="11" borderId="0" applyNumberFormat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188" fontId="19" fillId="14" borderId="35" applyNumberFormat="0" applyAlignment="0" applyProtection="0"/>
    <xf numFmtId="188" fontId="77" fillId="68" borderId="50" applyNumberFormat="0" applyAlignment="0">
      <protection locked="0"/>
    </xf>
    <xf numFmtId="188" fontId="43" fillId="48" borderId="42" applyNumberFormat="0" applyAlignment="0" applyProtection="0"/>
    <xf numFmtId="188" fontId="43" fillId="48" borderId="42" applyNumberFormat="0" applyAlignment="0" applyProtection="0"/>
    <xf numFmtId="6" fontId="29" fillId="0" borderId="0" applyNumberFormat="0" applyBorder="0" applyAlignment="0">
      <alignment horizontal="center"/>
      <protection locked="0"/>
    </xf>
    <xf numFmtId="188" fontId="30" fillId="67" borderId="49" applyNumberFormat="0" applyAlignment="0">
      <protection locked="0"/>
    </xf>
    <xf numFmtId="188" fontId="30" fillId="67" borderId="49" applyNumberFormat="0" applyAlignment="0">
      <protection locked="0"/>
    </xf>
    <xf numFmtId="188" fontId="22" fillId="0" borderId="37" applyNumberFormat="0" applyFill="0" applyAlignment="0" applyProtection="0"/>
    <xf numFmtId="188" fontId="46" fillId="0" borderId="53" applyNumberFormat="0" applyFill="0" applyAlignment="0" applyProtection="0"/>
    <xf numFmtId="188" fontId="98" fillId="90" borderId="41"/>
    <xf numFmtId="188" fontId="97" fillId="88" borderId="41"/>
    <xf numFmtId="164" fontId="96" fillId="61" borderId="41"/>
    <xf numFmtId="164" fontId="97" fillId="87" borderId="41"/>
    <xf numFmtId="188" fontId="1" fillId="23" borderId="0" applyNumberFormat="0" applyBorder="0" applyAlignment="0" applyProtection="0"/>
    <xf numFmtId="188" fontId="1" fillId="31" borderId="0" applyNumberFormat="0" applyBorder="0" applyAlignment="0" applyProtection="0"/>
    <xf numFmtId="188" fontId="45" fillId="63" borderId="52" applyNumberFormat="0" applyAlignment="0" applyProtection="0"/>
    <xf numFmtId="188" fontId="88" fillId="63" borderId="52" applyNumberFormat="0" applyAlignment="0" applyProtection="0"/>
    <xf numFmtId="188" fontId="45" fillId="63" borderId="52" applyNumberFormat="0" applyAlignment="0" applyProtection="0"/>
    <xf numFmtId="188" fontId="37" fillId="46" borderId="49" applyNumberFormat="0" applyFont="0" applyAlignment="0" applyProtection="0"/>
    <xf numFmtId="188" fontId="77" fillId="68" borderId="50" applyNumberFormat="0" applyAlignment="0">
      <protection locked="0"/>
    </xf>
    <xf numFmtId="188" fontId="19" fillId="14" borderId="35" applyNumberFormat="0" applyAlignment="0" applyProtection="0"/>
    <xf numFmtId="188" fontId="30" fillId="67" borderId="49" applyNumberFormat="0" applyAlignment="0">
      <protection locked="0"/>
    </xf>
    <xf numFmtId="188" fontId="56" fillId="63" borderId="42" applyNumberFormat="0" applyAlignment="0" applyProtection="0"/>
    <xf numFmtId="188" fontId="79" fillId="63" borderId="42" applyNumberFormat="0" applyAlignment="0" applyProtection="0"/>
    <xf numFmtId="188" fontId="56" fillId="63" borderId="42" applyNumberFormat="0" applyAlignment="0" applyProtection="0"/>
    <xf numFmtId="188" fontId="29" fillId="0" borderId="41"/>
    <xf numFmtId="188" fontId="37" fillId="52" borderId="0" applyNumberFormat="0" applyBorder="0" applyAlignment="0" applyProtection="0"/>
    <xf numFmtId="188" fontId="1" fillId="28" borderId="0" applyNumberFormat="0" applyBorder="0" applyAlignment="0" applyProtection="0"/>
    <xf numFmtId="188" fontId="37" fillId="50" borderId="0" applyNumberFormat="0" applyBorder="0" applyAlignment="0" applyProtection="0"/>
    <xf numFmtId="188" fontId="37" fillId="49" borderId="0" applyNumberFormat="0" applyBorder="0" applyAlignment="0" applyProtection="0"/>
    <xf numFmtId="188" fontId="1" fillId="31" borderId="0" applyNumberFormat="0" applyBorder="0" applyAlignment="0" applyProtection="0"/>
    <xf numFmtId="188" fontId="37" fillId="45" borderId="0" applyNumberFormat="0" applyBorder="0" applyAlignment="0" applyProtection="0"/>
    <xf numFmtId="188" fontId="1" fillId="23" borderId="0" applyNumberFormat="0" applyBorder="0" applyAlignment="0" applyProtection="0"/>
    <xf numFmtId="188" fontId="1" fillId="19" borderId="0" applyNumberFormat="0" applyBorder="0" applyAlignment="0" applyProtection="0"/>
    <xf numFmtId="188" fontId="37" fillId="43" borderId="0" applyNumberFormat="0" applyBorder="0" applyAlignment="0" applyProtection="0"/>
    <xf numFmtId="188" fontId="1" fillId="40" borderId="0" applyNumberFormat="0" applyBorder="0" applyAlignment="0" applyProtection="0"/>
    <xf numFmtId="188" fontId="1" fillId="39" borderId="0" applyNumberFormat="0" applyBorder="0" applyAlignment="0" applyProtection="0"/>
    <xf numFmtId="188" fontId="26" fillId="38" borderId="0" applyNumberFormat="0" applyBorder="0" applyAlignment="0" applyProtection="0"/>
    <xf numFmtId="188" fontId="1" fillId="36" borderId="0" applyNumberFormat="0" applyBorder="0" applyAlignment="0" applyProtection="0"/>
    <xf numFmtId="188" fontId="1" fillId="35" borderId="0" applyNumberFormat="0" applyBorder="0" applyAlignment="0" applyProtection="0"/>
    <xf numFmtId="188" fontId="26" fillId="34" borderId="0" applyNumberFormat="0" applyBorder="0" applyAlignment="0" applyProtection="0"/>
    <xf numFmtId="188" fontId="1" fillId="32" borderId="0" applyNumberFormat="0" applyBorder="0" applyAlignment="0" applyProtection="0"/>
    <xf numFmtId="188" fontId="1" fillId="31" borderId="0" applyNumberFormat="0" applyBorder="0" applyAlignment="0" applyProtection="0"/>
    <xf numFmtId="188" fontId="26" fillId="30" borderId="0" applyNumberFormat="0" applyBorder="0" applyAlignment="0" applyProtection="0"/>
    <xf numFmtId="188" fontId="1" fillId="28" borderId="0" applyNumberFormat="0" applyBorder="0" applyAlignment="0" applyProtection="0"/>
    <xf numFmtId="188" fontId="1" fillId="27" borderId="0" applyNumberFormat="0" applyBorder="0" applyAlignment="0" applyProtection="0"/>
    <xf numFmtId="188" fontId="26" fillId="26" borderId="0" applyNumberFormat="0" applyBorder="0" applyAlignment="0" applyProtection="0"/>
    <xf numFmtId="188" fontId="1" fillId="24" borderId="0" applyNumberFormat="0" applyBorder="0" applyAlignment="0" applyProtection="0"/>
    <xf numFmtId="188" fontId="1" fillId="23" borderId="0" applyNumberFormat="0" applyBorder="0" applyAlignment="0" applyProtection="0"/>
    <xf numFmtId="188" fontId="26" fillId="22" borderId="0" applyNumberFormat="0" applyBorder="0" applyAlignment="0" applyProtection="0"/>
    <xf numFmtId="188" fontId="1" fillId="19" borderId="0" applyNumberFormat="0" applyBorder="0" applyAlignment="0" applyProtection="0"/>
    <xf numFmtId="188" fontId="26" fillId="18" borderId="0" applyNumberFormat="0" applyBorder="0" applyAlignment="0" applyProtection="0"/>
    <xf numFmtId="188" fontId="2" fillId="0" borderId="40" applyNumberFormat="0" applyFill="0" applyAlignment="0" applyProtection="0"/>
    <xf numFmtId="188" fontId="21" fillId="15" borderId="35" applyNumberFormat="0" applyAlignment="0" applyProtection="0"/>
    <xf numFmtId="188" fontId="23" fillId="16" borderId="38" applyNumberFormat="0" applyAlignment="0" applyProtection="0"/>
    <xf numFmtId="188" fontId="22" fillId="0" borderId="37" applyNumberFormat="0" applyFill="0" applyAlignment="0" applyProtection="0"/>
    <xf numFmtId="188" fontId="15" fillId="0" borderId="0" applyNumberFormat="0" applyFill="0" applyBorder="0" applyAlignment="0" applyProtection="0"/>
    <xf numFmtId="188" fontId="15" fillId="0" borderId="34" applyNumberFormat="0" applyFill="0" applyAlignment="0" applyProtection="0"/>
    <xf numFmtId="188" fontId="14" fillId="0" borderId="33" applyNumberFormat="0" applyFill="0" applyAlignment="0" applyProtection="0"/>
    <xf numFmtId="188" fontId="13" fillId="0" borderId="32" applyNumberFormat="0" applyFill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188" fontId="19" fillId="14" borderId="35" applyNumberFormat="0" applyAlignment="0" applyProtection="0"/>
    <xf numFmtId="0" fontId="29" fillId="0" borderId="0"/>
    <xf numFmtId="0" fontId="29" fillId="0" borderId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189" fontId="37" fillId="43" borderId="0" applyNumberFormat="0" applyBorder="0" applyAlignment="0" applyProtection="0"/>
    <xf numFmtId="189" fontId="37" fillId="43" borderId="0" applyNumberFormat="0" applyBorder="0" applyAlignment="0" applyProtection="0"/>
    <xf numFmtId="189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189" fontId="37" fillId="43" borderId="0" applyNumberFormat="0" applyBorder="0" applyAlignment="0" applyProtection="0"/>
    <xf numFmtId="189" fontId="37" fillId="43" borderId="0" applyNumberFormat="0" applyBorder="0" applyAlignment="0" applyProtection="0"/>
    <xf numFmtId="189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189" fontId="37" fillId="43" borderId="0" applyNumberFormat="0" applyBorder="0" applyAlignment="0" applyProtection="0"/>
    <xf numFmtId="189" fontId="37" fillId="43" borderId="0" applyNumberFormat="0" applyBorder="0" applyAlignment="0" applyProtection="0"/>
    <xf numFmtId="189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189" fontId="37" fillId="45" borderId="0" applyNumberFormat="0" applyBorder="0" applyAlignment="0" applyProtection="0"/>
    <xf numFmtId="189" fontId="37" fillId="45" borderId="0" applyNumberFormat="0" applyBorder="0" applyAlignment="0" applyProtection="0"/>
    <xf numFmtId="189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189" fontId="37" fillId="45" borderId="0" applyNumberFormat="0" applyBorder="0" applyAlignment="0" applyProtection="0"/>
    <xf numFmtId="189" fontId="37" fillId="45" borderId="0" applyNumberFormat="0" applyBorder="0" applyAlignment="0" applyProtection="0"/>
    <xf numFmtId="189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189" fontId="37" fillId="45" borderId="0" applyNumberFormat="0" applyBorder="0" applyAlignment="0" applyProtection="0"/>
    <xf numFmtId="189" fontId="37" fillId="45" borderId="0" applyNumberFormat="0" applyBorder="0" applyAlignment="0" applyProtection="0"/>
    <xf numFmtId="189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189" fontId="37" fillId="47" borderId="0" applyNumberFormat="0" applyBorder="0" applyAlignment="0" applyProtection="0"/>
    <xf numFmtId="189" fontId="37" fillId="47" borderId="0" applyNumberFormat="0" applyBorder="0" applyAlignment="0" applyProtection="0"/>
    <xf numFmtId="189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189" fontId="37" fillId="47" borderId="0" applyNumberFormat="0" applyBorder="0" applyAlignment="0" applyProtection="0"/>
    <xf numFmtId="189" fontId="37" fillId="47" borderId="0" applyNumberFormat="0" applyBorder="0" applyAlignment="0" applyProtection="0"/>
    <xf numFmtId="189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189" fontId="37" fillId="47" borderId="0" applyNumberFormat="0" applyBorder="0" applyAlignment="0" applyProtection="0"/>
    <xf numFmtId="189" fontId="37" fillId="47" borderId="0" applyNumberFormat="0" applyBorder="0" applyAlignment="0" applyProtection="0"/>
    <xf numFmtId="189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189" fontId="37" fillId="49" borderId="0" applyNumberFormat="0" applyBorder="0" applyAlignment="0" applyProtection="0"/>
    <xf numFmtId="189" fontId="37" fillId="49" borderId="0" applyNumberFormat="0" applyBorder="0" applyAlignment="0" applyProtection="0"/>
    <xf numFmtId="189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189" fontId="37" fillId="49" borderId="0" applyNumberFormat="0" applyBorder="0" applyAlignment="0" applyProtection="0"/>
    <xf numFmtId="189" fontId="37" fillId="49" borderId="0" applyNumberFormat="0" applyBorder="0" applyAlignment="0" applyProtection="0"/>
    <xf numFmtId="189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189" fontId="37" fillId="49" borderId="0" applyNumberFormat="0" applyBorder="0" applyAlignment="0" applyProtection="0"/>
    <xf numFmtId="189" fontId="37" fillId="49" borderId="0" applyNumberFormat="0" applyBorder="0" applyAlignment="0" applyProtection="0"/>
    <xf numFmtId="189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189" fontId="37" fillId="50" borderId="0" applyNumberFormat="0" applyBorder="0" applyAlignment="0" applyProtection="0"/>
    <xf numFmtId="189" fontId="37" fillId="50" borderId="0" applyNumberFormat="0" applyBorder="0" applyAlignment="0" applyProtection="0"/>
    <xf numFmtId="189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189" fontId="37" fillId="50" borderId="0" applyNumberFormat="0" applyBorder="0" applyAlignment="0" applyProtection="0"/>
    <xf numFmtId="189" fontId="37" fillId="50" borderId="0" applyNumberFormat="0" applyBorder="0" applyAlignment="0" applyProtection="0"/>
    <xf numFmtId="189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189" fontId="37" fillId="50" borderId="0" applyNumberFormat="0" applyBorder="0" applyAlignment="0" applyProtection="0"/>
    <xf numFmtId="189" fontId="37" fillId="50" borderId="0" applyNumberFormat="0" applyBorder="0" applyAlignment="0" applyProtection="0"/>
    <xf numFmtId="189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63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189" fontId="37" fillId="48" borderId="0" applyNumberFormat="0" applyBorder="0" applyAlignment="0" applyProtection="0"/>
    <xf numFmtId="189" fontId="37" fillId="48" borderId="0" applyNumberFormat="0" applyBorder="0" applyAlignment="0" applyProtection="0"/>
    <xf numFmtId="189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189" fontId="37" fillId="48" borderId="0" applyNumberFormat="0" applyBorder="0" applyAlignment="0" applyProtection="0"/>
    <xf numFmtId="189" fontId="37" fillId="48" borderId="0" applyNumberFormat="0" applyBorder="0" applyAlignment="0" applyProtection="0"/>
    <xf numFmtId="189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189" fontId="37" fillId="48" borderId="0" applyNumberFormat="0" applyBorder="0" applyAlignment="0" applyProtection="0"/>
    <xf numFmtId="189" fontId="37" fillId="48" borderId="0" applyNumberFormat="0" applyBorder="0" applyAlignment="0" applyProtection="0"/>
    <xf numFmtId="189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189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189" fontId="37" fillId="43" borderId="0" applyNumberFormat="0" applyBorder="0" applyAlignment="0" applyProtection="0"/>
    <xf numFmtId="0" fontId="37" fillId="43" borderId="0" applyNumberFormat="0" applyBorder="0" applyAlignment="0" applyProtection="0"/>
    <xf numFmtId="189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189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189" fontId="37" fillId="45" borderId="0" applyNumberFormat="0" applyBorder="0" applyAlignment="0" applyProtection="0"/>
    <xf numFmtId="0" fontId="37" fillId="45" borderId="0" applyNumberFormat="0" applyBorder="0" applyAlignment="0" applyProtection="0"/>
    <xf numFmtId="189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189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189" fontId="37" fillId="47" borderId="0" applyNumberFormat="0" applyBorder="0" applyAlignment="0" applyProtection="0"/>
    <xf numFmtId="0" fontId="37" fillId="47" borderId="0" applyNumberFormat="0" applyBorder="0" applyAlignment="0" applyProtection="0"/>
    <xf numFmtId="189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189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189" fontId="37" fillId="49" borderId="0" applyNumberFormat="0" applyBorder="0" applyAlignment="0" applyProtection="0"/>
    <xf numFmtId="0" fontId="37" fillId="49" borderId="0" applyNumberFormat="0" applyBorder="0" applyAlignment="0" applyProtection="0"/>
    <xf numFmtId="189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" fillId="0" borderId="0"/>
    <xf numFmtId="174" fontId="1" fillId="0" borderId="0" applyFont="0" applyFill="0" applyBorder="0" applyAlignment="0" applyProtection="0"/>
    <xf numFmtId="0" fontId="28" fillId="0" borderId="0"/>
    <xf numFmtId="0" fontId="28" fillId="0" borderId="0"/>
    <xf numFmtId="0" fontId="29" fillId="0" borderId="0"/>
    <xf numFmtId="0" fontId="29" fillId="0" borderId="0"/>
    <xf numFmtId="0" fontId="37" fillId="0" borderId="0"/>
    <xf numFmtId="0" fontId="103" fillId="0" borderId="0"/>
    <xf numFmtId="43" fontId="103" fillId="0" borderId="0" applyFont="0" applyFill="0" applyBorder="0" applyAlignment="0" applyProtection="0"/>
    <xf numFmtId="9" fontId="103" fillId="0" borderId="0" applyFont="0" applyFill="0" applyBorder="0" applyAlignment="0" applyProtection="0"/>
    <xf numFmtId="188" fontId="24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28" fillId="0" borderId="0"/>
    <xf numFmtId="0" fontId="28" fillId="0" borderId="0"/>
    <xf numFmtId="0" fontId="13" fillId="0" borderId="32" applyNumberFormat="0" applyFill="0" applyAlignment="0" applyProtection="0"/>
    <xf numFmtId="0" fontId="14" fillId="0" borderId="33" applyNumberFormat="0" applyFill="0" applyAlignment="0" applyProtection="0"/>
    <xf numFmtId="0" fontId="15" fillId="0" borderId="34" applyNumberFormat="0" applyFill="0" applyAlignment="0" applyProtection="0"/>
    <xf numFmtId="0" fontId="15" fillId="0" borderId="0" applyNumberFormat="0" applyFill="0" applyBorder="0" applyAlignment="0" applyProtection="0"/>
    <xf numFmtId="0" fontId="16" fillId="11" borderId="0" applyNumberFormat="0" applyBorder="0" applyAlignment="0" applyProtection="0"/>
    <xf numFmtId="0" fontId="17" fillId="12" borderId="0" applyNumberFormat="0" applyBorder="0" applyAlignment="0" applyProtection="0"/>
    <xf numFmtId="0" fontId="20" fillId="15" borderId="36" applyNumberFormat="0" applyAlignment="0" applyProtection="0"/>
    <xf numFmtId="0" fontId="21" fillId="15" borderId="35" applyNumberFormat="0" applyAlignment="0" applyProtection="0"/>
    <xf numFmtId="0" fontId="22" fillId="0" borderId="37" applyNumberFormat="0" applyFill="0" applyAlignment="0" applyProtection="0"/>
    <xf numFmtId="0" fontId="23" fillId="16" borderId="38" applyNumberFormat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" fillId="0" borderId="40" applyNumberFormat="0" applyFill="0" applyAlignment="0" applyProtection="0"/>
    <xf numFmtId="0" fontId="26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6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6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6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6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26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28" fillId="0" borderId="0"/>
    <xf numFmtId="0" fontId="29" fillId="0" borderId="0" applyFont="0" applyFill="0" applyBorder="0" applyAlignment="0" applyProtection="0"/>
    <xf numFmtId="0" fontId="32" fillId="0" borderId="0">
      <alignment vertical="top"/>
    </xf>
    <xf numFmtId="0" fontId="32" fillId="0" borderId="0">
      <alignment vertical="top"/>
    </xf>
    <xf numFmtId="0" fontId="32" fillId="4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2" fillId="45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2" fillId="4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2" fillId="49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2" fillId="50" borderId="0" applyNumberFormat="0" applyBorder="0" applyAlignment="0" applyProtection="0"/>
    <xf numFmtId="0" fontId="32" fillId="48" borderId="0" applyNumberFormat="0" applyBorder="0" applyAlignment="0" applyProtection="0"/>
    <xf numFmtId="0" fontId="37" fillId="42" borderId="0" applyNumberFormat="0" applyBorder="0" applyAlignment="0" applyProtection="0"/>
    <xf numFmtId="0" fontId="32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4" borderId="0" applyNumberFormat="0" applyBorder="0" applyAlignment="0" applyProtection="0"/>
    <xf numFmtId="0" fontId="32" fillId="44" borderId="0" applyNumberFormat="0" applyBorder="0" applyAlignment="0" applyProtection="0"/>
    <xf numFmtId="0" fontId="37" fillId="44" borderId="0" applyNumberFormat="0" applyBorder="0" applyAlignment="0" applyProtection="0"/>
    <xf numFmtId="0" fontId="37" fillId="52" borderId="0" applyNumberFormat="0" applyBorder="0" applyAlignment="0" applyProtection="0"/>
    <xf numFmtId="0" fontId="32" fillId="52" borderId="0" applyNumberFormat="0" applyBorder="0" applyAlignment="0" applyProtection="0"/>
    <xf numFmtId="0" fontId="1" fillId="28" borderId="0" applyNumberFormat="0" applyBorder="0" applyAlignment="0" applyProtection="0"/>
    <xf numFmtId="0" fontId="37" fillId="52" borderId="0" applyNumberFormat="0" applyBorder="0" applyAlignment="0" applyProtection="0"/>
    <xf numFmtId="0" fontId="1" fillId="28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49" borderId="0" applyNumberFormat="0" applyBorder="0" applyAlignment="0" applyProtection="0"/>
    <xf numFmtId="0" fontId="32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2" borderId="0" applyNumberFormat="0" applyBorder="0" applyAlignment="0" applyProtection="0"/>
    <xf numFmtId="0" fontId="32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53" borderId="0" applyNumberFormat="0" applyBorder="0" applyAlignment="0" applyProtection="0"/>
    <xf numFmtId="0" fontId="32" fillId="53" borderId="0" applyNumberFormat="0" applyBorder="0" applyAlignment="0" applyProtection="0"/>
    <xf numFmtId="0" fontId="37" fillId="53" borderId="0" applyNumberFormat="0" applyBorder="0" applyAlignment="0" applyProtection="0"/>
    <xf numFmtId="0" fontId="26" fillId="21" borderId="0" applyNumberFormat="0" applyBorder="0" applyAlignment="0" applyProtection="0"/>
    <xf numFmtId="0" fontId="38" fillId="54" borderId="0" applyNumberFormat="0" applyBorder="0" applyAlignment="0" applyProtection="0"/>
    <xf numFmtId="0" fontId="55" fillId="54" borderId="0" applyNumberFormat="0" applyBorder="0" applyAlignment="0" applyProtection="0"/>
    <xf numFmtId="0" fontId="38" fillId="54" borderId="0" applyNumberFormat="0" applyBorder="0" applyAlignment="0" applyProtection="0"/>
    <xf numFmtId="0" fontId="26" fillId="25" borderId="0" applyNumberFormat="0" applyBorder="0" applyAlignment="0" applyProtection="0"/>
    <xf numFmtId="0" fontId="38" fillId="44" borderId="0" applyNumberFormat="0" applyBorder="0" applyAlignment="0" applyProtection="0"/>
    <xf numFmtId="0" fontId="55" fillId="44" borderId="0" applyNumberFormat="0" applyBorder="0" applyAlignment="0" applyProtection="0"/>
    <xf numFmtId="0" fontId="38" fillId="44" borderId="0" applyNumberFormat="0" applyBorder="0" applyAlignment="0" applyProtection="0"/>
    <xf numFmtId="0" fontId="26" fillId="29" borderId="0" applyNumberFormat="0" applyBorder="0" applyAlignment="0" applyProtection="0"/>
    <xf numFmtId="0" fontId="38" fillId="52" borderId="0" applyNumberFormat="0" applyBorder="0" applyAlignment="0" applyProtection="0"/>
    <xf numFmtId="0" fontId="55" fillId="52" borderId="0" applyNumberFormat="0" applyBorder="0" applyAlignment="0" applyProtection="0"/>
    <xf numFmtId="0" fontId="26" fillId="29" borderId="0" applyNumberFormat="0" applyBorder="0" applyAlignment="0" applyProtection="0"/>
    <xf numFmtId="0" fontId="38" fillId="52" borderId="0" applyNumberFormat="0" applyBorder="0" applyAlignment="0" applyProtection="0"/>
    <xf numFmtId="0" fontId="26" fillId="29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26" fillId="33" borderId="0" applyNumberFormat="0" applyBorder="0" applyAlignment="0" applyProtection="0"/>
    <xf numFmtId="0" fontId="38" fillId="56" borderId="0" applyNumberFormat="0" applyBorder="0" applyAlignment="0" applyProtection="0"/>
    <xf numFmtId="0" fontId="55" fillId="56" borderId="0" applyNumberFormat="0" applyBorder="0" applyAlignment="0" applyProtection="0"/>
    <xf numFmtId="0" fontId="26" fillId="33" borderId="0" applyNumberFormat="0" applyBorder="0" applyAlignment="0" applyProtection="0"/>
    <xf numFmtId="0" fontId="38" fillId="56" borderId="0" applyNumberFormat="0" applyBorder="0" applyAlignment="0" applyProtection="0"/>
    <xf numFmtId="0" fontId="26" fillId="33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26" fillId="37" borderId="0" applyNumberFormat="0" applyBorder="0" applyAlignment="0" applyProtection="0"/>
    <xf numFmtId="0" fontId="38" fillId="57" borderId="0" applyNumberFormat="0" applyBorder="0" applyAlignment="0" applyProtection="0"/>
    <xf numFmtId="0" fontId="55" fillId="57" borderId="0" applyNumberFormat="0" applyBorder="0" applyAlignment="0" applyProtection="0"/>
    <xf numFmtId="0" fontId="38" fillId="57" borderId="0" applyNumberFormat="0" applyBorder="0" applyAlignment="0" applyProtection="0"/>
    <xf numFmtId="0" fontId="26" fillId="41" borderId="0" applyNumberFormat="0" applyBorder="0" applyAlignment="0" applyProtection="0"/>
    <xf numFmtId="0" fontId="38" fillId="58" borderId="0" applyNumberFormat="0" applyBorder="0" applyAlignment="0" applyProtection="0"/>
    <xf numFmtId="0" fontId="55" fillId="58" borderId="0" applyNumberFormat="0" applyBorder="0" applyAlignment="0" applyProtection="0"/>
    <xf numFmtId="0" fontId="26" fillId="41" borderId="0" applyNumberFormat="0" applyBorder="0" applyAlignment="0" applyProtection="0"/>
    <xf numFmtId="0" fontId="38" fillId="58" borderId="0" applyNumberFormat="0" applyBorder="0" applyAlignment="0" applyProtection="0"/>
    <xf numFmtId="0" fontId="26" fillId="41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9" borderId="0" applyNumberFormat="0" applyBorder="0" applyAlignment="0" applyProtection="0"/>
    <xf numFmtId="0" fontId="55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60" borderId="0" applyNumberFormat="0" applyBorder="0" applyAlignment="0" applyProtection="0"/>
    <xf numFmtId="0" fontId="55" fillId="60" borderId="0" applyNumberFormat="0" applyBorder="0" applyAlignment="0" applyProtection="0"/>
    <xf numFmtId="0" fontId="38" fillId="60" borderId="0" applyNumberFormat="0" applyBorder="0" applyAlignment="0" applyProtection="0"/>
    <xf numFmtId="0" fontId="38" fillId="61" borderId="0" applyNumberFormat="0" applyBorder="0" applyAlignment="0" applyProtection="0"/>
    <xf numFmtId="0" fontId="55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56" borderId="0" applyNumberFormat="0" applyBorder="0" applyAlignment="0" applyProtection="0"/>
    <xf numFmtId="0" fontId="55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7" borderId="0" applyNumberFormat="0" applyBorder="0" applyAlignment="0" applyProtection="0"/>
    <xf numFmtId="0" fontId="55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5" borderId="0" applyNumberFormat="0" applyBorder="0" applyAlignment="0" applyProtection="0"/>
    <xf numFmtId="0" fontId="55" fillId="55" borderId="0" applyNumberFormat="0" applyBorder="0" applyAlignment="0" applyProtection="0"/>
    <xf numFmtId="0" fontId="38" fillId="55" borderId="0" applyNumberFormat="0" applyBorder="0" applyAlignment="0" applyProtection="0"/>
    <xf numFmtId="0" fontId="33" fillId="0" borderId="0">
      <alignment horizontal="center" wrapText="1"/>
      <protection locked="0"/>
    </xf>
    <xf numFmtId="0" fontId="63" fillId="62" borderId="0" applyAlignment="0"/>
    <xf numFmtId="0" fontId="39" fillId="45" borderId="0" applyNumberFormat="0" applyBorder="0" applyAlignment="0" applyProtection="0"/>
    <xf numFmtId="0" fontId="78" fillId="45" borderId="0" applyNumberFormat="0" applyBorder="0" applyAlignment="0" applyProtection="0"/>
    <xf numFmtId="0" fontId="39" fillId="45" borderId="0" applyNumberFormat="0" applyBorder="0" applyAlignment="0" applyProtection="0"/>
    <xf numFmtId="0" fontId="29" fillId="0" borderId="41"/>
    <xf numFmtId="0" fontId="56" fillId="63" borderId="42" applyNumberFormat="0" applyAlignment="0" applyProtection="0"/>
    <xf numFmtId="0" fontId="79" fillId="63" borderId="42" applyNumberFormat="0" applyAlignment="0" applyProtection="0"/>
    <xf numFmtId="0" fontId="56" fillId="63" borderId="42" applyNumberFormat="0" applyAlignment="0" applyProtection="0"/>
    <xf numFmtId="0" fontId="40" fillId="64" borderId="43" applyNumberFormat="0" applyAlignment="0" applyProtection="0"/>
    <xf numFmtId="0" fontId="54" fillId="64" borderId="43" applyNumberFormat="0" applyAlignment="0" applyProtection="0"/>
    <xf numFmtId="0" fontId="40" fillId="64" borderId="43" applyNumberFormat="0" applyAlignment="0" applyProtection="0"/>
    <xf numFmtId="174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47" borderId="0" applyNumberFormat="0" applyBorder="0" applyAlignment="0" applyProtection="0"/>
    <xf numFmtId="0" fontId="81" fillId="47" borderId="0" applyNumberFormat="0" applyBorder="0" applyAlignment="0" applyProtection="0"/>
    <xf numFmtId="0" fontId="42" fillId="47" borderId="0" applyNumberFormat="0" applyBorder="0" applyAlignment="0" applyProtection="0"/>
    <xf numFmtId="0" fontId="90" fillId="0" borderId="0"/>
    <xf numFmtId="0" fontId="91" fillId="0" borderId="0"/>
    <xf numFmtId="0" fontId="50" fillId="0" borderId="0"/>
    <xf numFmtId="0" fontId="92" fillId="0" borderId="0"/>
    <xf numFmtId="0" fontId="93" fillId="0" borderId="0"/>
    <xf numFmtId="0" fontId="35" fillId="0" borderId="27" applyNumberFormat="0" applyAlignment="0" applyProtection="0">
      <alignment horizontal="left" vertical="center"/>
    </xf>
    <xf numFmtId="0" fontId="35" fillId="0" borderId="12">
      <alignment horizontal="left" vertical="center"/>
    </xf>
    <xf numFmtId="0" fontId="57" fillId="0" borderId="45" applyNumberFormat="0" applyFill="0" applyAlignment="0" applyProtection="0"/>
    <xf numFmtId="0" fontId="82" fillId="0" borderId="45" applyNumberFormat="0" applyFill="0" applyAlignment="0" applyProtection="0"/>
    <xf numFmtId="0" fontId="64" fillId="0" borderId="0" applyNumberFormat="0" applyFill="0" applyBorder="0" applyAlignment="0" applyProtection="0"/>
    <xf numFmtId="0" fontId="57" fillId="0" borderId="45" applyNumberFormat="0" applyFill="0" applyAlignment="0" applyProtection="0"/>
    <xf numFmtId="0" fontId="58" fillId="0" borderId="46" applyNumberFormat="0" applyFill="0" applyAlignment="0" applyProtection="0"/>
    <xf numFmtId="0" fontId="83" fillId="0" borderId="46" applyNumberFormat="0" applyFill="0" applyAlignment="0" applyProtection="0"/>
    <xf numFmtId="0" fontId="35" fillId="0" borderId="0" applyNumberFormat="0" applyFill="0" applyBorder="0" applyAlignment="0" applyProtection="0"/>
    <xf numFmtId="0" fontId="58" fillId="0" borderId="46" applyNumberFormat="0" applyFill="0" applyAlignment="0" applyProtection="0"/>
    <xf numFmtId="0" fontId="59" fillId="0" borderId="47" applyNumberFormat="0" applyFill="0" applyAlignment="0" applyProtection="0"/>
    <xf numFmtId="0" fontId="84" fillId="0" borderId="47" applyNumberFormat="0" applyFill="0" applyAlignment="0" applyProtection="0"/>
    <xf numFmtId="0" fontId="59" fillId="0" borderId="47" applyNumberFormat="0" applyFill="0" applyAlignment="0" applyProtection="0"/>
    <xf numFmtId="0" fontId="59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0" fontId="65" fillId="65" borderId="0" applyNumberFormat="0" applyBorder="0">
      <alignment horizontal="right" vertical="center"/>
    </xf>
    <xf numFmtId="0" fontId="65" fillId="65" borderId="0">
      <alignment horizontal="right" vertical="center"/>
    </xf>
    <xf numFmtId="0" fontId="30" fillId="67" borderId="49" applyNumberFormat="0" applyAlignment="0">
      <protection locked="0"/>
    </xf>
    <xf numFmtId="0" fontId="19" fillId="14" borderId="35" applyNumberFormat="0" applyAlignment="0" applyProtection="0"/>
    <xf numFmtId="0" fontId="77" fillId="68" borderId="50" applyNumberFormat="0" applyAlignment="0">
      <protection locked="0"/>
    </xf>
    <xf numFmtId="0" fontId="85" fillId="48" borderId="42" applyNumberFormat="0" applyAlignment="0" applyProtection="0"/>
    <xf numFmtId="0" fontId="43" fillId="48" borderId="42" applyNumberFormat="0" applyAlignment="0" applyProtection="0"/>
    <xf numFmtId="0" fontId="30" fillId="67" borderId="49" applyNumberFormat="0" applyAlignment="0">
      <protection locked="0"/>
    </xf>
    <xf numFmtId="0" fontId="77" fillId="68" borderId="50" applyNumberFormat="0" applyAlignment="0">
      <protection locked="0"/>
    </xf>
    <xf numFmtId="0" fontId="77" fillId="68" borderId="50" applyNumberFormat="0" applyAlignment="0">
      <protection locked="0"/>
    </xf>
    <xf numFmtId="0" fontId="77" fillId="68" borderId="50" applyNumberFormat="0" applyAlignment="0">
      <protection locked="0"/>
    </xf>
    <xf numFmtId="0" fontId="77" fillId="68" borderId="50" applyNumberFormat="0" applyAlignment="0">
      <protection locked="0"/>
    </xf>
    <xf numFmtId="0" fontId="77" fillId="68" borderId="50" applyNumberFormat="0" applyAlignment="0">
      <protection locked="0"/>
    </xf>
    <xf numFmtId="0" fontId="43" fillId="48" borderId="42" applyNumberFormat="0" applyAlignment="0" applyProtection="0"/>
    <xf numFmtId="0" fontId="77" fillId="68" borderId="50" applyNumberFormat="0" applyAlignment="0">
      <protection locked="0"/>
    </xf>
    <xf numFmtId="0" fontId="29" fillId="70" borderId="49" applyNumberFormat="0" applyAlignment="0">
      <protection locked="0"/>
    </xf>
    <xf numFmtId="0" fontId="29" fillId="71" borderId="0">
      <alignment horizontal="right" vertical="center"/>
    </xf>
    <xf numFmtId="0" fontId="60" fillId="0" borderId="51" applyNumberFormat="0" applyFill="0" applyAlignment="0" applyProtection="0"/>
    <xf numFmtId="0" fontId="86" fillId="0" borderId="51" applyNumberFormat="0" applyFill="0" applyAlignment="0" applyProtection="0"/>
    <xf numFmtId="0" fontId="60" fillId="0" borderId="51" applyNumberFormat="0" applyFill="0" applyAlignment="0" applyProtection="0"/>
    <xf numFmtId="0" fontId="99" fillId="13" borderId="0" applyNumberFormat="0" applyBorder="0" applyAlignment="0" applyProtection="0"/>
    <xf numFmtId="0" fontId="61" fillId="51" borderId="0" applyNumberFormat="0" applyBorder="0" applyAlignment="0" applyProtection="0"/>
    <xf numFmtId="0" fontId="87" fillId="51" borderId="0" applyNumberFormat="0" applyBorder="0" applyAlignment="0" applyProtection="0"/>
    <xf numFmtId="0" fontId="61" fillId="51" borderId="0" applyNumberFormat="0" applyBorder="0" applyAlignment="0" applyProtection="0"/>
    <xf numFmtId="0" fontId="29" fillId="0" borderId="0" applyNumberFormat="0" applyFont="0" applyFill="0" applyBorder="0" applyAlignment="0"/>
    <xf numFmtId="6" fontId="29" fillId="0" borderId="0" applyNumberFormat="0" applyBorder="0" applyAlignment="0">
      <alignment horizontal="center"/>
      <protection locked="0"/>
    </xf>
    <xf numFmtId="0" fontId="1" fillId="0" borderId="0"/>
    <xf numFmtId="0" fontId="52" fillId="0" borderId="0"/>
    <xf numFmtId="0" fontId="52" fillId="0" borderId="0"/>
    <xf numFmtId="0" fontId="52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9" fillId="0" borderId="0"/>
    <xf numFmtId="0" fontId="1" fillId="0" borderId="0"/>
    <xf numFmtId="0" fontId="1" fillId="0" borderId="0"/>
    <xf numFmtId="0" fontId="52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28" fillId="0" borderId="0"/>
    <xf numFmtId="0" fontId="52" fillId="0" borderId="0"/>
    <xf numFmtId="0" fontId="28" fillId="0" borderId="0"/>
    <xf numFmtId="0" fontId="52" fillId="0" borderId="0"/>
    <xf numFmtId="0" fontId="28" fillId="0" borderId="0"/>
    <xf numFmtId="0" fontId="52" fillId="0" borderId="0"/>
    <xf numFmtId="0" fontId="29" fillId="0" borderId="0"/>
    <xf numFmtId="0" fontId="28" fillId="0" borderId="0"/>
    <xf numFmtId="0" fontId="28" fillId="0" borderId="0"/>
    <xf numFmtId="0" fontId="28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8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51" fillId="0" borderId="0"/>
    <xf numFmtId="0" fontId="28" fillId="0" borderId="0"/>
    <xf numFmtId="0" fontId="29" fillId="0" borderId="0"/>
    <xf numFmtId="0" fontId="29" fillId="0" borderId="0"/>
    <xf numFmtId="0" fontId="51" fillId="0" borderId="0"/>
    <xf numFmtId="0" fontId="51" fillId="0" borderId="0"/>
    <xf numFmtId="0" fontId="28" fillId="0" borderId="0"/>
    <xf numFmtId="0" fontId="52" fillId="0" borderId="0"/>
    <xf numFmtId="0" fontId="52" fillId="0" borderId="0"/>
    <xf numFmtId="0" fontId="1" fillId="0" borderId="0"/>
    <xf numFmtId="0" fontId="52" fillId="0" borderId="0"/>
    <xf numFmtId="0" fontId="52" fillId="0" borderId="0"/>
    <xf numFmtId="0" fontId="1" fillId="0" borderId="0"/>
    <xf numFmtId="0" fontId="28" fillId="0" borderId="0"/>
    <xf numFmtId="0" fontId="52" fillId="0" borderId="0"/>
    <xf numFmtId="0" fontId="28" fillId="0" borderId="0"/>
    <xf numFmtId="0" fontId="52" fillId="0" borderId="0"/>
    <xf numFmtId="0" fontId="52" fillId="0" borderId="0"/>
    <xf numFmtId="0" fontId="1" fillId="0" borderId="0"/>
    <xf numFmtId="0" fontId="28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1" fillId="0" borderId="0"/>
    <xf numFmtId="0" fontId="52" fillId="0" borderId="0"/>
    <xf numFmtId="0" fontId="52" fillId="0" borderId="0"/>
    <xf numFmtId="0" fontId="52" fillId="0" borderId="0"/>
    <xf numFmtId="0" fontId="1" fillId="0" borderId="0"/>
    <xf numFmtId="0" fontId="52" fillId="0" borderId="0"/>
    <xf numFmtId="0" fontId="1" fillId="0" borderId="0"/>
    <xf numFmtId="0" fontId="52" fillId="0" borderId="0"/>
    <xf numFmtId="0" fontId="52" fillId="0" borderId="0"/>
    <xf numFmtId="0" fontId="1" fillId="0" borderId="0"/>
    <xf numFmtId="0" fontId="52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29" fillId="0" borderId="0"/>
    <xf numFmtId="0" fontId="52" fillId="0" borderId="0"/>
    <xf numFmtId="0" fontId="52" fillId="0" borderId="0"/>
    <xf numFmtId="0" fontId="28" fillId="0" borderId="0"/>
    <xf numFmtId="0" fontId="53" fillId="0" borderId="0"/>
    <xf numFmtId="0" fontId="53" fillId="0" borderId="0"/>
    <xf numFmtId="0" fontId="28" fillId="0" borderId="0"/>
    <xf numFmtId="0" fontId="53" fillId="0" borderId="0"/>
    <xf numFmtId="0" fontId="29" fillId="0" borderId="0"/>
    <xf numFmtId="0" fontId="52" fillId="0" borderId="0"/>
    <xf numFmtId="0" fontId="28" fillId="0" borderId="0"/>
    <xf numFmtId="0" fontId="52" fillId="0" borderId="0"/>
    <xf numFmtId="0" fontId="28" fillId="0" borderId="0"/>
    <xf numFmtId="0" fontId="1" fillId="0" borderId="0"/>
    <xf numFmtId="0" fontId="52" fillId="0" borderId="0"/>
    <xf numFmtId="0" fontId="52" fillId="0" borderId="0"/>
    <xf numFmtId="0" fontId="28" fillId="0" borderId="0"/>
    <xf numFmtId="0" fontId="28" fillId="0" borderId="0"/>
    <xf numFmtId="0" fontId="52" fillId="0" borderId="0"/>
    <xf numFmtId="0" fontId="28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52" fillId="0" borderId="0"/>
    <xf numFmtId="0" fontId="29" fillId="0" borderId="0"/>
    <xf numFmtId="0" fontId="52" fillId="0" borderId="0"/>
    <xf numFmtId="0" fontId="28" fillId="0" borderId="0"/>
    <xf numFmtId="0" fontId="52" fillId="0" borderId="0"/>
    <xf numFmtId="0" fontId="29" fillId="0" borderId="0"/>
    <xf numFmtId="0" fontId="29" fillId="0" borderId="0"/>
    <xf numFmtId="0" fontId="52" fillId="0" borderId="0"/>
    <xf numFmtId="0" fontId="52" fillId="0" borderId="0"/>
    <xf numFmtId="0" fontId="28" fillId="0" borderId="0"/>
    <xf numFmtId="0" fontId="52" fillId="0" borderId="0"/>
    <xf numFmtId="0" fontId="29" fillId="0" borderId="0"/>
    <xf numFmtId="0" fontId="52" fillId="0" borderId="0"/>
    <xf numFmtId="0" fontId="29" fillId="0" borderId="0"/>
    <xf numFmtId="0" fontId="52" fillId="0" borderId="0"/>
    <xf numFmtId="0" fontId="29" fillId="0" borderId="0"/>
    <xf numFmtId="0" fontId="29" fillId="0" borderId="0"/>
    <xf numFmtId="0" fontId="52" fillId="0" borderId="0"/>
    <xf numFmtId="0" fontId="52" fillId="0" borderId="0"/>
    <xf numFmtId="0" fontId="29" fillId="0" borderId="0"/>
    <xf numFmtId="0" fontId="29" fillId="0" borderId="0"/>
    <xf numFmtId="0" fontId="52" fillId="0" borderId="0"/>
    <xf numFmtId="0" fontId="52" fillId="0" borderId="0">
      <alignment vertical="top"/>
    </xf>
    <xf numFmtId="0" fontId="29" fillId="0" borderId="0"/>
    <xf numFmtId="0" fontId="52" fillId="0" borderId="0">
      <alignment vertical="top"/>
    </xf>
    <xf numFmtId="0" fontId="52" fillId="0" borderId="0">
      <alignment vertical="top"/>
    </xf>
    <xf numFmtId="0" fontId="28" fillId="0" borderId="0"/>
    <xf numFmtId="0" fontId="52" fillId="0" borderId="0"/>
    <xf numFmtId="0" fontId="52" fillId="0" borderId="0"/>
    <xf numFmtId="0" fontId="28" fillId="0" borderId="0"/>
    <xf numFmtId="0" fontId="29" fillId="0" borderId="0"/>
    <xf numFmtId="0" fontId="52" fillId="0" borderId="0"/>
    <xf numFmtId="0" fontId="29" fillId="0" borderId="0"/>
    <xf numFmtId="0" fontId="29" fillId="0" borderId="0"/>
    <xf numFmtId="0" fontId="52" fillId="0" borderId="0"/>
    <xf numFmtId="0" fontId="52" fillId="0" borderId="0"/>
    <xf numFmtId="0" fontId="29" fillId="0" borderId="0"/>
    <xf numFmtId="0" fontId="29" fillId="0" borderId="0"/>
    <xf numFmtId="0" fontId="52" fillId="0" borderId="0"/>
    <xf numFmtId="0" fontId="28" fillId="0" borderId="0"/>
    <xf numFmtId="0" fontId="29" fillId="0" borderId="0"/>
    <xf numFmtId="0" fontId="52" fillId="0" borderId="0"/>
    <xf numFmtId="0" fontId="29" fillId="0" borderId="0"/>
    <xf numFmtId="0" fontId="29" fillId="0" borderId="0"/>
    <xf numFmtId="0" fontId="52" fillId="0" borderId="0"/>
    <xf numFmtId="0" fontId="52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52" fillId="0" borderId="0"/>
    <xf numFmtId="0" fontId="29" fillId="0" borderId="0"/>
    <xf numFmtId="0" fontId="52" fillId="0" borderId="0"/>
    <xf numFmtId="0" fontId="28" fillId="0" borderId="0"/>
    <xf numFmtId="0" fontId="28" fillId="0" borderId="0"/>
    <xf numFmtId="0" fontId="52" fillId="0" borderId="0"/>
    <xf numFmtId="0" fontId="52" fillId="0" borderId="0"/>
    <xf numFmtId="0" fontId="28" fillId="0" borderId="0"/>
    <xf numFmtId="0" fontId="1" fillId="0" borderId="0"/>
    <xf numFmtId="0" fontId="1" fillId="0" borderId="0"/>
    <xf numFmtId="0" fontId="28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1" fillId="0" borderId="0"/>
    <xf numFmtId="0" fontId="52" fillId="0" borderId="0"/>
    <xf numFmtId="0" fontId="28" fillId="0" borderId="0"/>
    <xf numFmtId="0" fontId="29" fillId="0" borderId="0"/>
    <xf numFmtId="0" fontId="29" fillId="0" borderId="0"/>
    <xf numFmtId="0" fontId="28" fillId="0" borderId="0"/>
    <xf numFmtId="0" fontId="52" fillId="0" borderId="0"/>
    <xf numFmtId="0" fontId="52" fillId="0" borderId="0"/>
    <xf numFmtId="0" fontId="29" fillId="0" borderId="0"/>
    <xf numFmtId="0" fontId="29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9" fillId="0" borderId="0"/>
    <xf numFmtId="0" fontId="28" fillId="0" borderId="0"/>
    <xf numFmtId="0" fontId="28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9" fillId="0" borderId="0"/>
    <xf numFmtId="0" fontId="29" fillId="0" borderId="0"/>
    <xf numFmtId="0" fontId="28" fillId="0" borderId="0"/>
    <xf numFmtId="0" fontId="28" fillId="0" borderId="0"/>
    <xf numFmtId="0" fontId="52" fillId="0" borderId="0"/>
    <xf numFmtId="0" fontId="28" fillId="0" borderId="0"/>
    <xf numFmtId="0" fontId="52" fillId="0" borderId="0"/>
    <xf numFmtId="0" fontId="28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8" fillId="0" borderId="0"/>
    <xf numFmtId="0" fontId="28" fillId="0" borderId="0"/>
    <xf numFmtId="0" fontId="28" fillId="0" borderId="0"/>
    <xf numFmtId="0" fontId="52" fillId="0" borderId="0"/>
    <xf numFmtId="0" fontId="28" fillId="0" borderId="0"/>
    <xf numFmtId="0" fontId="52" fillId="0" borderId="0"/>
    <xf numFmtId="0" fontId="28" fillId="0" borderId="0"/>
    <xf numFmtId="0" fontId="52" fillId="0" borderId="0"/>
    <xf numFmtId="0" fontId="52" fillId="0" borderId="0"/>
    <xf numFmtId="0" fontId="28" fillId="0" borderId="0"/>
    <xf numFmtId="0" fontId="52" fillId="0" borderId="0"/>
    <xf numFmtId="0" fontId="29" fillId="0" borderId="0"/>
    <xf numFmtId="0" fontId="47" fillId="0" borderId="0"/>
    <xf numFmtId="0" fontId="47" fillId="0" borderId="0"/>
    <xf numFmtId="0" fontId="29" fillId="0" borderId="0"/>
    <xf numFmtId="0" fontId="29" fillId="0" borderId="0"/>
    <xf numFmtId="0" fontId="28" fillId="0" borderId="0"/>
    <xf numFmtId="0" fontId="29" fillId="0" borderId="0"/>
    <xf numFmtId="0" fontId="29" fillId="0" borderId="0"/>
    <xf numFmtId="0" fontId="28" fillId="0" borderId="0"/>
    <xf numFmtId="0" fontId="52" fillId="0" borderId="0"/>
    <xf numFmtId="0" fontId="52" fillId="0" borderId="0"/>
    <xf numFmtId="0" fontId="28" fillId="0" borderId="0"/>
    <xf numFmtId="0" fontId="28" fillId="0" borderId="0"/>
    <xf numFmtId="0" fontId="28" fillId="0" borderId="0"/>
    <xf numFmtId="0" fontId="52" fillId="0" borderId="0"/>
    <xf numFmtId="0" fontId="52" fillId="0" borderId="0"/>
    <xf numFmtId="0" fontId="28" fillId="0" borderId="0"/>
    <xf numFmtId="0" fontId="52" fillId="0" borderId="0"/>
    <xf numFmtId="0" fontId="28" fillId="0" borderId="0"/>
    <xf numFmtId="0" fontId="29" fillId="0" borderId="0"/>
    <xf numFmtId="0" fontId="47" fillId="0" borderId="0"/>
    <xf numFmtId="0" fontId="52" fillId="0" borderId="0"/>
    <xf numFmtId="0" fontId="52" fillId="0" borderId="0"/>
    <xf numFmtId="0" fontId="28" fillId="0" borderId="0"/>
    <xf numFmtId="0" fontId="28" fillId="0" borderId="0"/>
    <xf numFmtId="0" fontId="52" fillId="0" borderId="0"/>
    <xf numFmtId="0" fontId="1" fillId="0" borderId="0"/>
    <xf numFmtId="0" fontId="52" fillId="0" borderId="0"/>
    <xf numFmtId="0" fontId="28" fillId="0" borderId="0"/>
    <xf numFmtId="0" fontId="28" fillId="0" borderId="0"/>
    <xf numFmtId="0" fontId="52" fillId="0" borderId="0"/>
    <xf numFmtId="0" fontId="52" fillId="0" borderId="0"/>
    <xf numFmtId="0" fontId="28" fillId="0" borderId="0"/>
    <xf numFmtId="0" fontId="52" fillId="0" borderId="0"/>
    <xf numFmtId="0" fontId="28" fillId="0" borderId="0"/>
    <xf numFmtId="0" fontId="1" fillId="17" borderId="39" applyNumberFormat="0" applyFont="0" applyAlignment="0" applyProtection="0"/>
    <xf numFmtId="0" fontId="32" fillId="46" borderId="49" applyNumberFormat="0" applyFont="0" applyAlignment="0" applyProtection="0"/>
    <xf numFmtId="0" fontId="29" fillId="46" borderId="49" applyNumberFormat="0" applyFont="0" applyAlignment="0" applyProtection="0"/>
    <xf numFmtId="0" fontId="37" fillId="46" borderId="49" applyNumberFormat="0" applyFont="0" applyAlignment="0" applyProtection="0"/>
    <xf numFmtId="0" fontId="50" fillId="76" borderId="20" applyNumberFormat="0" applyBorder="0">
      <alignment horizontal="left" vertical="center"/>
    </xf>
    <xf numFmtId="0" fontId="45" fillId="63" borderId="52" applyNumberFormat="0" applyAlignment="0" applyProtection="0"/>
    <xf numFmtId="0" fontId="88" fillId="63" borderId="52" applyNumberFormat="0" applyAlignment="0" applyProtection="0"/>
    <xf numFmtId="0" fontId="45" fillId="63" borderId="52" applyNumberFormat="0" applyAlignment="0" applyProtection="0"/>
    <xf numFmtId="0" fontId="29" fillId="77" borderId="0">
      <alignment horizontal="right" vertical="center"/>
    </xf>
    <xf numFmtId="0" fontId="72" fillId="79" borderId="30">
      <alignment horizontal="center"/>
    </xf>
    <xf numFmtId="9" fontId="28" fillId="0" borderId="0" applyFont="0" applyFill="0" applyBorder="0" applyAlignment="0" applyProtection="0"/>
    <xf numFmtId="0" fontId="32" fillId="53" borderId="0" applyNumberFormat="0" applyBorder="0" applyAlignment="0" applyProtection="0"/>
    <xf numFmtId="0" fontId="32" fillId="42" borderId="0" applyNumberFormat="0" applyBorder="0" applyAlignment="0" applyProtection="0"/>
    <xf numFmtId="0" fontId="32" fillId="49" borderId="0" applyNumberFormat="0" applyBorder="0" applyAlignment="0" applyProtection="0"/>
    <xf numFmtId="0" fontId="37" fillId="52" borderId="0" applyNumberFormat="0" applyBorder="0" applyAlignment="0" applyProtection="0"/>
    <xf numFmtId="0" fontId="32" fillId="52" borderId="0" applyNumberFormat="0" applyBorder="0" applyAlignment="0" applyProtection="0"/>
    <xf numFmtId="0" fontId="32" fillId="44" borderId="0" applyNumberFormat="0" applyBorder="0" applyAlignment="0" applyProtection="0"/>
    <xf numFmtId="0" fontId="32" fillId="42" borderId="0" applyNumberFormat="0" applyBorder="0" applyAlignment="0" applyProtection="0"/>
    <xf numFmtId="0" fontId="32" fillId="48" borderId="0" applyNumberFormat="0" applyBorder="0" applyAlignment="0" applyProtection="0"/>
    <xf numFmtId="0" fontId="32" fillId="50" borderId="0" applyNumberFormat="0" applyBorder="0" applyAlignment="0" applyProtection="0"/>
    <xf numFmtId="0" fontId="32" fillId="49" borderId="0" applyNumberFormat="0" applyBorder="0" applyAlignment="0" applyProtection="0"/>
    <xf numFmtId="0" fontId="32" fillId="47" borderId="0" applyNumberFormat="0" applyBorder="0" applyAlignment="0" applyProtection="0"/>
    <xf numFmtId="0" fontId="32" fillId="45" borderId="0" applyNumberFormat="0" applyBorder="0" applyAlignment="0" applyProtection="0"/>
    <xf numFmtId="0" fontId="32" fillId="43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26" fillId="38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26" fillId="34" borderId="0" applyNumberFormat="0" applyBorder="0" applyAlignment="0" applyProtection="0"/>
    <xf numFmtId="0" fontId="1" fillId="32" borderId="0" applyNumberFormat="0" applyBorder="0" applyAlignment="0" applyProtection="0"/>
    <xf numFmtId="0" fontId="1" fillId="31" borderId="0" applyNumberFormat="0" applyBorder="0" applyAlignment="0" applyProtection="0"/>
    <xf numFmtId="0" fontId="26" fillId="30" borderId="0" applyNumberFormat="0" applyBorder="0" applyAlignment="0" applyProtection="0"/>
    <xf numFmtId="0" fontId="1" fillId="28" borderId="0" applyNumberFormat="0" applyBorder="0" applyAlignment="0" applyProtection="0"/>
    <xf numFmtId="0" fontId="1" fillId="27" borderId="0" applyNumberFormat="0" applyBorder="0" applyAlignment="0" applyProtection="0"/>
    <xf numFmtId="0" fontId="26" fillId="26" borderId="0" applyNumberFormat="0" applyBorder="0" applyAlignment="0" applyProtection="0"/>
    <xf numFmtId="0" fontId="1" fillId="24" borderId="0" applyNumberFormat="0" applyBorder="0" applyAlignment="0" applyProtection="0"/>
    <xf numFmtId="0" fontId="1" fillId="23" borderId="0" applyNumberFormat="0" applyBorder="0" applyAlignment="0" applyProtection="0"/>
    <xf numFmtId="0" fontId="26" fillId="22" borderId="0" applyNumberFormat="0" applyBorder="0" applyAlignment="0" applyProtection="0"/>
    <xf numFmtId="0" fontId="1" fillId="20" borderId="0" applyNumberFormat="0" applyBorder="0" applyAlignment="0" applyProtection="0"/>
    <xf numFmtId="0" fontId="1" fillId="19" borderId="0" applyNumberFormat="0" applyBorder="0" applyAlignment="0" applyProtection="0"/>
    <xf numFmtId="0" fontId="26" fillId="18" borderId="0" applyNumberFormat="0" applyBorder="0" applyAlignment="0" applyProtection="0"/>
    <xf numFmtId="0" fontId="2" fillId="0" borderId="40" applyNumberFormat="0" applyFill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16" borderId="38" applyNumberFormat="0" applyAlignment="0" applyProtection="0"/>
    <xf numFmtId="0" fontId="94" fillId="0" borderId="41"/>
    <xf numFmtId="0" fontId="22" fillId="0" borderId="37" applyNumberFormat="0" applyFill="0" applyAlignment="0" applyProtection="0"/>
    <xf numFmtId="0" fontId="29" fillId="0" borderId="0" applyFont="0" applyFill="0" applyBorder="0" applyAlignment="0" applyProtection="0"/>
    <xf numFmtId="0" fontId="32" fillId="0" borderId="0">
      <alignment vertical="top"/>
    </xf>
    <xf numFmtId="0" fontId="21" fillId="15" borderId="35" applyNumberFormat="0" applyAlignment="0" applyProtection="0"/>
    <xf numFmtId="0" fontId="20" fillId="15" borderId="36" applyNumberFormat="0" applyAlignment="0" applyProtection="0"/>
    <xf numFmtId="0" fontId="17" fillId="12" borderId="0" applyNumberFormat="0" applyBorder="0" applyAlignment="0" applyProtection="0"/>
    <xf numFmtId="0" fontId="16" fillId="11" borderId="0" applyNumberFormat="0" applyBorder="0" applyAlignment="0" applyProtection="0"/>
    <xf numFmtId="0" fontId="15" fillId="0" borderId="0" applyNumberFormat="0" applyFill="0" applyBorder="0" applyAlignment="0" applyProtection="0"/>
    <xf numFmtId="0" fontId="15" fillId="0" borderId="34" applyNumberFormat="0" applyFill="0" applyAlignment="0" applyProtection="0"/>
    <xf numFmtId="0" fontId="14" fillId="0" borderId="33" applyNumberFormat="0" applyFill="0" applyAlignment="0" applyProtection="0"/>
    <xf numFmtId="0" fontId="13" fillId="0" borderId="32" applyNumberFormat="0" applyFill="0" applyAlignment="0" applyProtection="0"/>
    <xf numFmtId="43" fontId="1" fillId="0" borderId="0" applyFont="0" applyFill="0" applyBorder="0" applyAlignment="0" applyProtection="0"/>
    <xf numFmtId="0" fontId="1" fillId="0" borderId="0"/>
    <xf numFmtId="0" fontId="97" fillId="88" borderId="41"/>
    <xf numFmtId="0" fontId="98" fillId="90" borderId="41"/>
    <xf numFmtId="0" fontId="100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46" fillId="0" borderId="53" applyNumberFormat="0" applyFill="0" applyAlignment="0" applyProtection="0"/>
    <xf numFmtId="0" fontId="76" fillId="0" borderId="53" applyNumberFormat="0" applyFill="0" applyAlignment="0" applyProtection="0"/>
    <xf numFmtId="0" fontId="29" fillId="0" borderId="54" applyNumberFormat="0" applyFont="0" applyFill="0" applyAlignment="0" applyProtection="0"/>
    <xf numFmtId="0" fontId="46" fillId="0" borderId="53" applyNumberFormat="0" applyFill="0" applyAlignment="0" applyProtection="0"/>
    <xf numFmtId="0" fontId="44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8" fillId="0" borderId="0"/>
    <xf numFmtId="174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0" fillId="67" borderId="49" applyNumberFormat="0" applyAlignment="0">
      <protection locked="0"/>
    </xf>
    <xf numFmtId="0" fontId="30" fillId="67" borderId="49" applyNumberFormat="0" applyAlignment="0">
      <protection locked="0"/>
    </xf>
    <xf numFmtId="0" fontId="30" fillId="67" borderId="49" applyNumberFormat="0" applyAlignment="0">
      <protection locked="0"/>
    </xf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174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19" fillId="14" borderId="35" applyNumberFormat="0" applyAlignment="0" applyProtection="0"/>
    <xf numFmtId="0" fontId="1" fillId="17" borderId="39" applyNumberFormat="0" applyFont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28" fillId="0" borderId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28" borderId="0" applyNumberFormat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174" fontId="53" fillId="0" borderId="0" applyFont="0" applyFill="0" applyBorder="0" applyAlignment="0" applyProtection="0"/>
    <xf numFmtId="43" fontId="29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4" fontId="37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52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174" fontId="47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37" fillId="0" borderId="0" applyFont="0" applyFill="0" applyBorder="0" applyAlignment="0" applyProtection="0"/>
    <xf numFmtId="174" fontId="29" fillId="0" borderId="0" applyFont="0" applyFill="0" applyBorder="0" applyAlignment="0" applyProtection="0"/>
    <xf numFmtId="0" fontId="19" fillId="14" borderId="35" applyNumberFormat="0" applyAlignment="0" applyProtection="0"/>
    <xf numFmtId="0" fontId="19" fillId="14" borderId="35" applyNumberFormat="0" applyAlignment="0" applyProtection="0"/>
    <xf numFmtId="0" fontId="43" fillId="48" borderId="42" applyNumberFormat="0" applyAlignment="0" applyProtection="0"/>
    <xf numFmtId="0" fontId="77" fillId="68" borderId="50" applyNumberFormat="0" applyAlignment="0">
      <protection locked="0"/>
    </xf>
    <xf numFmtId="6" fontId="29" fillId="0" borderId="0" applyNumberFormat="0" applyBorder="0" applyAlignment="0">
      <alignment horizontal="center"/>
      <protection locked="0"/>
    </xf>
    <xf numFmtId="0" fontId="28" fillId="0" borderId="0"/>
    <xf numFmtId="0" fontId="1" fillId="0" borderId="0"/>
    <xf numFmtId="188" fontId="1" fillId="17" borderId="39" applyNumberFormat="0" applyFont="0" applyAlignment="0" applyProtection="0"/>
    <xf numFmtId="188" fontId="19" fillId="14" borderId="35" applyNumberFormat="0" applyAlignment="0" applyProtection="0"/>
    <xf numFmtId="0" fontId="51" fillId="0" borderId="0"/>
    <xf numFmtId="0" fontId="102" fillId="0" borderId="0"/>
    <xf numFmtId="188" fontId="76" fillId="0" borderId="53" applyNumberFormat="0" applyFill="0" applyAlignment="0" applyProtection="0"/>
    <xf numFmtId="188" fontId="46" fillId="0" borderId="53" applyNumberFormat="0" applyFill="0" applyAlignment="0" applyProtection="0"/>
    <xf numFmtId="0" fontId="1" fillId="0" borderId="0"/>
    <xf numFmtId="2" fontId="97" fillId="89" borderId="41"/>
    <xf numFmtId="0" fontId="1" fillId="0" borderId="0"/>
    <xf numFmtId="2" fontId="97" fillId="87" borderId="41"/>
    <xf numFmtId="164" fontId="97" fillId="86" borderId="41"/>
    <xf numFmtId="2" fontId="97" fillId="86" borderId="41"/>
    <xf numFmtId="188" fontId="1" fillId="19" borderId="0" applyNumberFormat="0" applyBorder="0" applyAlignment="0" applyProtection="0"/>
    <xf numFmtId="188" fontId="37" fillId="43" borderId="0" applyNumberFormat="0" applyBorder="0" applyAlignment="0" applyProtection="0"/>
    <xf numFmtId="164" fontId="96" fillId="83" borderId="41"/>
    <xf numFmtId="2" fontId="96" fillId="83" borderId="41"/>
    <xf numFmtId="164" fontId="95" fillId="0" borderId="41"/>
    <xf numFmtId="0" fontId="53" fillId="0" borderId="0"/>
    <xf numFmtId="0" fontId="29" fillId="0" borderId="0"/>
    <xf numFmtId="0" fontId="52" fillId="0" borderId="0">
      <alignment vertical="top"/>
    </xf>
    <xf numFmtId="0" fontId="1" fillId="0" borderId="0"/>
    <xf numFmtId="0" fontId="1" fillId="0" borderId="0"/>
    <xf numFmtId="0" fontId="28" fillId="0" borderId="0"/>
    <xf numFmtId="188" fontId="85" fillId="48" borderId="42" applyNumberFormat="0" applyAlignment="0" applyProtection="0"/>
    <xf numFmtId="188" fontId="43" fillId="48" borderId="42" applyNumberFormat="0" applyAlignment="0" applyProtection="0"/>
    <xf numFmtId="188" fontId="77" fillId="68" borderId="50" applyNumberFormat="0" applyAlignment="0">
      <protection locked="0"/>
    </xf>
    <xf numFmtId="188" fontId="77" fillId="68" borderId="50" applyNumberFormat="0" applyAlignment="0">
      <protection locked="0"/>
    </xf>
    <xf numFmtId="188" fontId="77" fillId="68" borderId="50" applyNumberFormat="0" applyAlignment="0">
      <protection locked="0"/>
    </xf>
    <xf numFmtId="188" fontId="77" fillId="68" borderId="50" applyNumberFormat="0" applyAlignment="0">
      <protection locked="0"/>
    </xf>
    <xf numFmtId="188" fontId="77" fillId="68" borderId="50" applyNumberFormat="0" applyAlignment="0">
      <protection locked="0"/>
    </xf>
    <xf numFmtId="188" fontId="30" fillId="67" borderId="49" applyNumberFormat="0" applyAlignment="0">
      <protection locked="0"/>
    </xf>
    <xf numFmtId="188" fontId="43" fillId="48" borderId="42" applyNumberFormat="0" applyAlignment="0" applyProtection="0"/>
    <xf numFmtId="0" fontId="28" fillId="0" borderId="0"/>
    <xf numFmtId="0" fontId="28" fillId="0" borderId="0"/>
    <xf numFmtId="180" fontId="34" fillId="0" borderId="44" applyFont="0" applyBorder="0" applyAlignment="0" applyProtection="0">
      <alignment horizontal="left"/>
      <protection locked="0"/>
    </xf>
    <xf numFmtId="0" fontId="37" fillId="46" borderId="49" applyNumberFormat="0" applyFont="0" applyAlignment="0" applyProtection="0"/>
    <xf numFmtId="0" fontId="1" fillId="17" borderId="39" applyNumberFormat="0" applyFont="0" applyAlignment="0" applyProtection="0"/>
    <xf numFmtId="9" fontId="28" fillId="0" borderId="0" applyFont="0" applyFill="0" applyBorder="0" applyAlignment="0" applyProtection="0"/>
    <xf numFmtId="188" fontId="37" fillId="53" borderId="0" applyNumberFormat="0" applyBorder="0" applyAlignment="0" applyProtection="0"/>
    <xf numFmtId="188" fontId="37" fillId="42" borderId="0" applyNumberFormat="0" applyBorder="0" applyAlignment="0" applyProtection="0"/>
    <xf numFmtId="188" fontId="37" fillId="49" borderId="0" applyNumberFormat="0" applyBorder="0" applyAlignment="0" applyProtection="0"/>
    <xf numFmtId="188" fontId="37" fillId="52" borderId="0" applyNumberFormat="0" applyBorder="0" applyAlignment="0" applyProtection="0"/>
    <xf numFmtId="188" fontId="37" fillId="44" borderId="0" applyNumberFormat="0" applyBorder="0" applyAlignment="0" applyProtection="0"/>
    <xf numFmtId="188" fontId="37" fillId="49" borderId="0" applyNumberFormat="0" applyBorder="0" applyAlignment="0" applyProtection="0"/>
    <xf numFmtId="188" fontId="37" fillId="47" borderId="0" applyNumberFormat="0" applyBorder="0" applyAlignment="0" applyProtection="0"/>
    <xf numFmtId="188" fontId="1" fillId="27" borderId="0" applyNumberFormat="0" applyBorder="0" applyAlignment="0" applyProtection="0"/>
    <xf numFmtId="188" fontId="37" fillId="47" borderId="0" applyNumberFormat="0" applyBorder="0" applyAlignment="0" applyProtection="0"/>
    <xf numFmtId="188" fontId="37" fillId="45" borderId="0" applyNumberFormat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188" fontId="1" fillId="28" borderId="0" applyNumberFormat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188" fontId="37" fillId="42" borderId="0" applyNumberFormat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188" fontId="17" fillId="12" borderId="0" applyNumberFormat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188" fontId="37" fillId="48" borderId="0" applyNumberFormat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188" fontId="28" fillId="0" borderId="0"/>
    <xf numFmtId="188" fontId="28" fillId="0" borderId="0"/>
    <xf numFmtId="188" fontId="1" fillId="0" borderId="0"/>
    <xf numFmtId="188" fontId="1" fillId="19" borderId="0" applyNumberFormat="0" applyBorder="0" applyAlignment="0" applyProtection="0"/>
    <xf numFmtId="188" fontId="1" fillId="20" borderId="0" applyNumberFormat="0" applyBorder="0" applyAlignment="0" applyProtection="0"/>
    <xf numFmtId="188" fontId="1" fillId="23" borderId="0" applyNumberFormat="0" applyBorder="0" applyAlignment="0" applyProtection="0"/>
    <xf numFmtId="188" fontId="1" fillId="24" borderId="0" applyNumberFormat="0" applyBorder="0" applyAlignment="0" applyProtection="0"/>
    <xf numFmtId="188" fontId="1" fillId="27" borderId="0" applyNumberFormat="0" applyBorder="0" applyAlignment="0" applyProtection="0"/>
    <xf numFmtId="188" fontId="1" fillId="28" borderId="0" applyNumberFormat="0" applyBorder="0" applyAlignment="0" applyProtection="0"/>
    <xf numFmtId="188" fontId="1" fillId="31" borderId="0" applyNumberFormat="0" applyBorder="0" applyAlignment="0" applyProtection="0"/>
    <xf numFmtId="188" fontId="1" fillId="32" borderId="0" applyNumberFormat="0" applyBorder="0" applyAlignment="0" applyProtection="0"/>
    <xf numFmtId="188" fontId="1" fillId="35" borderId="0" applyNumberFormat="0" applyBorder="0" applyAlignment="0" applyProtection="0"/>
    <xf numFmtId="188" fontId="1" fillId="36" borderId="0" applyNumberFormat="0" applyBorder="0" applyAlignment="0" applyProtection="0"/>
    <xf numFmtId="188" fontId="1" fillId="39" borderId="0" applyNumberFormat="0" applyBorder="0" applyAlignment="0" applyProtection="0"/>
    <xf numFmtId="188" fontId="1" fillId="40" borderId="0" applyNumberFormat="0" applyBorder="0" applyAlignment="0" applyProtection="0"/>
    <xf numFmtId="188" fontId="37" fillId="43" borderId="0" applyNumberFormat="0" applyBorder="0" applyAlignment="0" applyProtection="0"/>
    <xf numFmtId="188" fontId="32" fillId="43" borderId="0" applyNumberFormat="0" applyBorder="0" applyAlignment="0" applyProtection="0"/>
    <xf numFmtId="188" fontId="1" fillId="19" borderId="0" applyNumberFormat="0" applyBorder="0" applyAlignment="0" applyProtection="0"/>
    <xf numFmtId="188" fontId="37" fillId="43" borderId="0" applyNumberFormat="0" applyBorder="0" applyAlignment="0" applyProtection="0"/>
    <xf numFmtId="188" fontId="1" fillId="19" borderId="0" applyNumberFormat="0" applyBorder="0" applyAlignment="0" applyProtection="0"/>
    <xf numFmtId="188" fontId="37" fillId="43" borderId="0" applyNumberFormat="0" applyBorder="0" applyAlignment="0" applyProtection="0"/>
    <xf numFmtId="188" fontId="37" fillId="43" borderId="0" applyNumberFormat="0" applyBorder="0" applyAlignment="0" applyProtection="0"/>
    <xf numFmtId="188" fontId="37" fillId="45" borderId="0" applyNumberFormat="0" applyBorder="0" applyAlignment="0" applyProtection="0"/>
    <xf numFmtId="188" fontId="32" fillId="45" borderId="0" applyNumberFormat="0" applyBorder="0" applyAlignment="0" applyProtection="0"/>
    <xf numFmtId="188" fontId="1" fillId="23" borderId="0" applyNumberFormat="0" applyBorder="0" applyAlignment="0" applyProtection="0"/>
    <xf numFmtId="188" fontId="37" fillId="45" borderId="0" applyNumberFormat="0" applyBorder="0" applyAlignment="0" applyProtection="0"/>
    <xf numFmtId="188" fontId="1" fillId="23" borderId="0" applyNumberFormat="0" applyBorder="0" applyAlignment="0" applyProtection="0"/>
    <xf numFmtId="188" fontId="37" fillId="45" borderId="0" applyNumberFormat="0" applyBorder="0" applyAlignment="0" applyProtection="0"/>
    <xf numFmtId="188" fontId="37" fillId="45" borderId="0" applyNumberFormat="0" applyBorder="0" applyAlignment="0" applyProtection="0"/>
    <xf numFmtId="188" fontId="37" fillId="47" borderId="0" applyNumberFormat="0" applyBorder="0" applyAlignment="0" applyProtection="0"/>
    <xf numFmtId="188" fontId="32" fillId="47" borderId="0" applyNumberFormat="0" applyBorder="0" applyAlignment="0" applyProtection="0"/>
    <xf numFmtId="188" fontId="1" fillId="27" borderId="0" applyNumberFormat="0" applyBorder="0" applyAlignment="0" applyProtection="0"/>
    <xf numFmtId="188" fontId="37" fillId="47" borderId="0" applyNumberFormat="0" applyBorder="0" applyAlignment="0" applyProtection="0"/>
    <xf numFmtId="188" fontId="1" fillId="27" borderId="0" applyNumberFormat="0" applyBorder="0" applyAlignment="0" applyProtection="0"/>
    <xf numFmtId="188" fontId="37" fillId="47" borderId="0" applyNumberFormat="0" applyBorder="0" applyAlignment="0" applyProtection="0"/>
    <xf numFmtId="188" fontId="37" fillId="47" borderId="0" applyNumberFormat="0" applyBorder="0" applyAlignment="0" applyProtection="0"/>
    <xf numFmtId="188" fontId="37" fillId="49" borderId="0" applyNumberFormat="0" applyBorder="0" applyAlignment="0" applyProtection="0"/>
    <xf numFmtId="188" fontId="32" fillId="49" borderId="0" applyNumberFormat="0" applyBorder="0" applyAlignment="0" applyProtection="0"/>
    <xf numFmtId="188" fontId="1" fillId="31" borderId="0" applyNumberFormat="0" applyBorder="0" applyAlignment="0" applyProtection="0"/>
    <xf numFmtId="188" fontId="37" fillId="49" borderId="0" applyNumberFormat="0" applyBorder="0" applyAlignment="0" applyProtection="0"/>
    <xf numFmtId="188" fontId="1" fillId="31" borderId="0" applyNumberFormat="0" applyBorder="0" applyAlignment="0" applyProtection="0"/>
    <xf numFmtId="188" fontId="37" fillId="49" borderId="0" applyNumberFormat="0" applyBorder="0" applyAlignment="0" applyProtection="0"/>
    <xf numFmtId="188" fontId="37" fillId="49" borderId="0" applyNumberFormat="0" applyBorder="0" applyAlignment="0" applyProtection="0"/>
    <xf numFmtId="188" fontId="37" fillId="50" borderId="0" applyNumberFormat="0" applyBorder="0" applyAlignment="0" applyProtection="0"/>
    <xf numFmtId="188" fontId="32" fillId="50" borderId="0" applyNumberFormat="0" applyBorder="0" applyAlignment="0" applyProtection="0"/>
    <xf numFmtId="188" fontId="37" fillId="50" borderId="0" applyNumberFormat="0" applyBorder="0" applyAlignment="0" applyProtection="0"/>
    <xf numFmtId="188" fontId="37" fillId="48" borderId="0" applyNumberFormat="0" applyBorder="0" applyAlignment="0" applyProtection="0"/>
    <xf numFmtId="188" fontId="32" fillId="48" borderId="0" applyNumberFormat="0" applyBorder="0" applyAlignment="0" applyProtection="0"/>
    <xf numFmtId="188" fontId="37" fillId="48" borderId="0" applyNumberFormat="0" applyBorder="0" applyAlignment="0" applyProtection="0"/>
    <xf numFmtId="188" fontId="37" fillId="42" borderId="0" applyNumberFormat="0" applyBorder="0" applyAlignment="0" applyProtection="0"/>
    <xf numFmtId="188" fontId="32" fillId="42" borderId="0" applyNumberFormat="0" applyBorder="0" applyAlignment="0" applyProtection="0"/>
    <xf numFmtId="188" fontId="37" fillId="42" borderId="0" applyNumberFormat="0" applyBorder="0" applyAlignment="0" applyProtection="0"/>
    <xf numFmtId="188" fontId="37" fillId="44" borderId="0" applyNumberFormat="0" applyBorder="0" applyAlignment="0" applyProtection="0"/>
    <xf numFmtId="188" fontId="32" fillId="44" borderId="0" applyNumberFormat="0" applyBorder="0" applyAlignment="0" applyProtection="0"/>
    <xf numFmtId="188" fontId="37" fillId="44" borderId="0" applyNumberFormat="0" applyBorder="0" applyAlignment="0" applyProtection="0"/>
    <xf numFmtId="188" fontId="37" fillId="52" borderId="0" applyNumberFormat="0" applyBorder="0" applyAlignment="0" applyProtection="0"/>
    <xf numFmtId="188" fontId="32" fillId="52" borderId="0" applyNumberFormat="0" applyBorder="0" applyAlignment="0" applyProtection="0"/>
    <xf numFmtId="188" fontId="1" fillId="28" borderId="0" applyNumberFormat="0" applyBorder="0" applyAlignment="0" applyProtection="0"/>
    <xf numFmtId="188" fontId="37" fillId="52" borderId="0" applyNumberFormat="0" applyBorder="0" applyAlignment="0" applyProtection="0"/>
    <xf numFmtId="188" fontId="1" fillId="28" borderId="0" applyNumberFormat="0" applyBorder="0" applyAlignment="0" applyProtection="0"/>
    <xf numFmtId="188" fontId="37" fillId="52" borderId="0" applyNumberFormat="0" applyBorder="0" applyAlignment="0" applyProtection="0"/>
    <xf numFmtId="188" fontId="37" fillId="52" borderId="0" applyNumberFormat="0" applyBorder="0" applyAlignment="0" applyProtection="0"/>
    <xf numFmtId="188" fontId="37" fillId="49" borderId="0" applyNumberFormat="0" applyBorder="0" applyAlignment="0" applyProtection="0"/>
    <xf numFmtId="188" fontId="32" fillId="49" borderId="0" applyNumberFormat="0" applyBorder="0" applyAlignment="0" applyProtection="0"/>
    <xf numFmtId="188" fontId="37" fillId="49" borderId="0" applyNumberFormat="0" applyBorder="0" applyAlignment="0" applyProtection="0"/>
    <xf numFmtId="188" fontId="37" fillId="42" borderId="0" applyNumberFormat="0" applyBorder="0" applyAlignment="0" applyProtection="0"/>
    <xf numFmtId="188" fontId="32" fillId="42" borderId="0" applyNumberFormat="0" applyBorder="0" applyAlignment="0" applyProtection="0"/>
    <xf numFmtId="188" fontId="37" fillId="42" borderId="0" applyNumberFormat="0" applyBorder="0" applyAlignment="0" applyProtection="0"/>
    <xf numFmtId="188" fontId="37" fillId="53" borderId="0" applyNumberFormat="0" applyBorder="0" applyAlignment="0" applyProtection="0"/>
    <xf numFmtId="188" fontId="32" fillId="53" borderId="0" applyNumberFormat="0" applyBorder="0" applyAlignment="0" applyProtection="0"/>
    <xf numFmtId="188" fontId="37" fillId="53" borderId="0" applyNumberFormat="0" applyBorder="0" applyAlignment="0" applyProtection="0"/>
    <xf numFmtId="188" fontId="38" fillId="54" borderId="0" applyNumberFormat="0" applyBorder="0" applyAlignment="0" applyProtection="0"/>
    <xf numFmtId="188" fontId="55" fillId="54" borderId="0" applyNumberFormat="0" applyBorder="0" applyAlignment="0" applyProtection="0"/>
    <xf numFmtId="188" fontId="38" fillId="54" borderId="0" applyNumberFormat="0" applyBorder="0" applyAlignment="0" applyProtection="0"/>
    <xf numFmtId="188" fontId="38" fillId="44" borderId="0" applyNumberFormat="0" applyBorder="0" applyAlignment="0" applyProtection="0"/>
    <xf numFmtId="188" fontId="55" fillId="44" borderId="0" applyNumberFormat="0" applyBorder="0" applyAlignment="0" applyProtection="0"/>
    <xf numFmtId="188" fontId="38" fillId="44" borderId="0" applyNumberFormat="0" applyBorder="0" applyAlignment="0" applyProtection="0"/>
    <xf numFmtId="188" fontId="38" fillId="52" borderId="0" applyNumberFormat="0" applyBorder="0" applyAlignment="0" applyProtection="0"/>
    <xf numFmtId="188" fontId="55" fillId="52" borderId="0" applyNumberFormat="0" applyBorder="0" applyAlignment="0" applyProtection="0"/>
    <xf numFmtId="188" fontId="38" fillId="52" borderId="0" applyNumberFormat="0" applyBorder="0" applyAlignment="0" applyProtection="0"/>
    <xf numFmtId="188" fontId="38" fillId="56" borderId="0" applyNumberFormat="0" applyBorder="0" applyAlignment="0" applyProtection="0"/>
    <xf numFmtId="188" fontId="55" fillId="56" borderId="0" applyNumberFormat="0" applyBorder="0" applyAlignment="0" applyProtection="0"/>
    <xf numFmtId="188" fontId="38" fillId="56" borderId="0" applyNumberFormat="0" applyBorder="0" applyAlignment="0" applyProtection="0"/>
    <xf numFmtId="188" fontId="38" fillId="57" borderId="0" applyNumberFormat="0" applyBorder="0" applyAlignment="0" applyProtection="0"/>
    <xf numFmtId="188" fontId="55" fillId="57" borderId="0" applyNumberFormat="0" applyBorder="0" applyAlignment="0" applyProtection="0"/>
    <xf numFmtId="188" fontId="38" fillId="57" borderId="0" applyNumberFormat="0" applyBorder="0" applyAlignment="0" applyProtection="0"/>
    <xf numFmtId="188" fontId="38" fillId="58" borderId="0" applyNumberFormat="0" applyBorder="0" applyAlignment="0" applyProtection="0"/>
    <xf numFmtId="188" fontId="55" fillId="58" borderId="0" applyNumberFormat="0" applyBorder="0" applyAlignment="0" applyProtection="0"/>
    <xf numFmtId="188" fontId="38" fillId="58" borderId="0" applyNumberFormat="0" applyBorder="0" applyAlignment="0" applyProtection="0"/>
    <xf numFmtId="188" fontId="38" fillId="59" borderId="0" applyNumberFormat="0" applyBorder="0" applyAlignment="0" applyProtection="0"/>
    <xf numFmtId="188" fontId="55" fillId="59" borderId="0" applyNumberFormat="0" applyBorder="0" applyAlignment="0" applyProtection="0"/>
    <xf numFmtId="188" fontId="38" fillId="59" borderId="0" applyNumberFormat="0" applyBorder="0" applyAlignment="0" applyProtection="0"/>
    <xf numFmtId="188" fontId="38" fillId="60" borderId="0" applyNumberFormat="0" applyBorder="0" applyAlignment="0" applyProtection="0"/>
    <xf numFmtId="188" fontId="55" fillId="60" borderId="0" applyNumberFormat="0" applyBorder="0" applyAlignment="0" applyProtection="0"/>
    <xf numFmtId="188" fontId="38" fillId="60" borderId="0" applyNumberFormat="0" applyBorder="0" applyAlignment="0" applyProtection="0"/>
    <xf numFmtId="188" fontId="38" fillId="61" borderId="0" applyNumberFormat="0" applyBorder="0" applyAlignment="0" applyProtection="0"/>
    <xf numFmtId="188" fontId="55" fillId="61" borderId="0" applyNumberFormat="0" applyBorder="0" applyAlignment="0" applyProtection="0"/>
    <xf numFmtId="188" fontId="38" fillId="61" borderId="0" applyNumberFormat="0" applyBorder="0" applyAlignment="0" applyProtection="0"/>
    <xf numFmtId="188" fontId="38" fillId="56" borderId="0" applyNumberFormat="0" applyBorder="0" applyAlignment="0" applyProtection="0"/>
    <xf numFmtId="188" fontId="55" fillId="56" borderId="0" applyNumberFormat="0" applyBorder="0" applyAlignment="0" applyProtection="0"/>
    <xf numFmtId="188" fontId="38" fillId="56" borderId="0" applyNumberFormat="0" applyBorder="0" applyAlignment="0" applyProtection="0"/>
    <xf numFmtId="188" fontId="38" fillId="57" borderId="0" applyNumberFormat="0" applyBorder="0" applyAlignment="0" applyProtection="0"/>
    <xf numFmtId="188" fontId="55" fillId="57" borderId="0" applyNumberFormat="0" applyBorder="0" applyAlignment="0" applyProtection="0"/>
    <xf numFmtId="188" fontId="38" fillId="57" borderId="0" applyNumberFormat="0" applyBorder="0" applyAlignment="0" applyProtection="0"/>
    <xf numFmtId="188" fontId="38" fillId="55" borderId="0" applyNumberFormat="0" applyBorder="0" applyAlignment="0" applyProtection="0"/>
    <xf numFmtId="188" fontId="55" fillId="55" borderId="0" applyNumberFormat="0" applyBorder="0" applyAlignment="0" applyProtection="0"/>
    <xf numFmtId="188" fontId="38" fillId="55" borderId="0" applyNumberFormat="0" applyBorder="0" applyAlignment="0" applyProtection="0"/>
    <xf numFmtId="188" fontId="39" fillId="45" borderId="0" applyNumberFormat="0" applyBorder="0" applyAlignment="0" applyProtection="0"/>
    <xf numFmtId="188" fontId="78" fillId="45" borderId="0" applyNumberFormat="0" applyBorder="0" applyAlignment="0" applyProtection="0"/>
    <xf numFmtId="188" fontId="39" fillId="45" borderId="0" applyNumberFormat="0" applyBorder="0" applyAlignment="0" applyProtection="0"/>
    <xf numFmtId="188" fontId="56" fillId="63" borderId="42" applyNumberFormat="0" applyAlignment="0" applyProtection="0"/>
    <xf numFmtId="188" fontId="79" fillId="63" borderId="42" applyNumberFormat="0" applyAlignment="0" applyProtection="0"/>
    <xf numFmtId="188" fontId="56" fillId="63" borderId="42" applyNumberFormat="0" applyAlignment="0" applyProtection="0"/>
    <xf numFmtId="188" fontId="40" fillId="64" borderId="43" applyNumberFormat="0" applyAlignment="0" applyProtection="0"/>
    <xf numFmtId="188" fontId="54" fillId="64" borderId="43" applyNumberFormat="0" applyAlignment="0" applyProtection="0"/>
    <xf numFmtId="188" fontId="40" fillId="64" borderId="43" applyNumberFormat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188" fontId="41" fillId="0" borderId="0" applyNumberFormat="0" applyFill="0" applyBorder="0" applyAlignment="0" applyProtection="0"/>
    <xf numFmtId="188" fontId="80" fillId="0" borderId="0" applyNumberFormat="0" applyFill="0" applyBorder="0" applyAlignment="0" applyProtection="0"/>
    <xf numFmtId="188" fontId="41" fillId="0" borderId="0" applyNumberFormat="0" applyFill="0" applyBorder="0" applyAlignment="0" applyProtection="0"/>
    <xf numFmtId="188" fontId="42" fillId="47" borderId="0" applyNumberFormat="0" applyBorder="0" applyAlignment="0" applyProtection="0"/>
    <xf numFmtId="188" fontId="81" fillId="47" borderId="0" applyNumberFormat="0" applyBorder="0" applyAlignment="0" applyProtection="0"/>
    <xf numFmtId="188" fontId="42" fillId="47" borderId="0" applyNumberFormat="0" applyBorder="0" applyAlignment="0" applyProtection="0"/>
    <xf numFmtId="188" fontId="57" fillId="0" borderId="45" applyNumberFormat="0" applyFill="0" applyAlignment="0" applyProtection="0"/>
    <xf numFmtId="188" fontId="82" fillId="0" borderId="45" applyNumberFormat="0" applyFill="0" applyAlignment="0" applyProtection="0"/>
    <xf numFmtId="188" fontId="64" fillId="0" borderId="0" applyNumberFormat="0" applyFill="0" applyBorder="0" applyAlignment="0" applyProtection="0"/>
    <xf numFmtId="188" fontId="58" fillId="0" borderId="46" applyNumberFormat="0" applyFill="0" applyAlignment="0" applyProtection="0"/>
    <xf numFmtId="188" fontId="83" fillId="0" borderId="46" applyNumberFormat="0" applyFill="0" applyAlignment="0" applyProtection="0"/>
    <xf numFmtId="188" fontId="35" fillId="0" borderId="0" applyNumberFormat="0" applyFill="0" applyBorder="0" applyAlignment="0" applyProtection="0"/>
    <xf numFmtId="188" fontId="59" fillId="0" borderId="47" applyNumberFormat="0" applyFill="0" applyAlignment="0" applyProtection="0"/>
    <xf numFmtId="188" fontId="84" fillId="0" borderId="47" applyNumberFormat="0" applyFill="0" applyAlignment="0" applyProtection="0"/>
    <xf numFmtId="188" fontId="59" fillId="0" borderId="47" applyNumberFormat="0" applyFill="0" applyAlignment="0" applyProtection="0"/>
    <xf numFmtId="188" fontId="59" fillId="0" borderId="0" applyNumberFormat="0" applyFill="0" applyBorder="0" applyAlignment="0" applyProtection="0"/>
    <xf numFmtId="188" fontId="84" fillId="0" borderId="0" applyNumberFormat="0" applyFill="0" applyBorder="0" applyAlignment="0" applyProtection="0"/>
    <xf numFmtId="188" fontId="59" fillId="0" borderId="0" applyNumberFormat="0" applyFill="0" applyBorder="0" applyAlignment="0" applyProtection="0"/>
    <xf numFmtId="188" fontId="60" fillId="0" borderId="51" applyNumberFormat="0" applyFill="0" applyAlignment="0" applyProtection="0"/>
    <xf numFmtId="188" fontId="86" fillId="0" borderId="51" applyNumberFormat="0" applyFill="0" applyAlignment="0" applyProtection="0"/>
    <xf numFmtId="188" fontId="60" fillId="0" borderId="51" applyNumberFormat="0" applyFill="0" applyAlignment="0" applyProtection="0"/>
    <xf numFmtId="188" fontId="61" fillId="51" borderId="0" applyNumberFormat="0" applyBorder="0" applyAlignment="0" applyProtection="0"/>
    <xf numFmtId="188" fontId="87" fillId="51" borderId="0" applyNumberFormat="0" applyBorder="0" applyAlignment="0" applyProtection="0"/>
    <xf numFmtId="188" fontId="61" fillId="51" borderId="0" applyNumberFormat="0" applyBorder="0" applyAlignment="0" applyProtection="0"/>
    <xf numFmtId="6" fontId="29" fillId="0" borderId="0" applyNumberFormat="0" applyBorder="0" applyAlignment="0">
      <alignment horizontal="center"/>
      <protection locked="0"/>
    </xf>
    <xf numFmtId="188" fontId="1" fillId="0" borderId="0"/>
    <xf numFmtId="188" fontId="29" fillId="0" borderId="0"/>
    <xf numFmtId="188" fontId="29" fillId="0" borderId="0"/>
    <xf numFmtId="188" fontId="29" fillId="0" borderId="0"/>
    <xf numFmtId="188" fontId="29" fillId="0" borderId="0"/>
    <xf numFmtId="188" fontId="29" fillId="0" borderId="0"/>
    <xf numFmtId="188" fontId="29" fillId="0" borderId="0"/>
    <xf numFmtId="188" fontId="28" fillId="0" borderId="0"/>
    <xf numFmtId="188" fontId="1" fillId="0" borderId="0"/>
    <xf numFmtId="188" fontId="28" fillId="0" borderId="0"/>
    <xf numFmtId="188" fontId="37" fillId="0" borderId="0"/>
    <xf numFmtId="188" fontId="30" fillId="67" borderId="49" applyNumberFormat="0" applyAlignment="0">
      <protection locked="0"/>
    </xf>
    <xf numFmtId="188" fontId="1" fillId="0" borderId="0"/>
    <xf numFmtId="188" fontId="21" fillId="15" borderId="35" applyNumberFormat="0" applyAlignment="0" applyProtection="0"/>
    <xf numFmtId="188" fontId="1" fillId="35" borderId="0" applyNumberFormat="0" applyBorder="0" applyAlignment="0" applyProtection="0"/>
    <xf numFmtId="188" fontId="1" fillId="20" borderId="0" applyNumberFormat="0" applyBorder="0" applyAlignment="0" applyProtection="0"/>
    <xf numFmtId="188" fontId="26" fillId="30" borderId="0" applyNumberFormat="0" applyBorder="0" applyAlignment="0" applyProtection="0"/>
    <xf numFmtId="164" fontId="97" fillId="89" borderId="41"/>
    <xf numFmtId="188" fontId="52" fillId="0" borderId="0"/>
    <xf numFmtId="2" fontId="96" fillId="61" borderId="41"/>
    <xf numFmtId="188" fontId="1" fillId="0" borderId="0"/>
    <xf numFmtId="188" fontId="94" fillId="0" borderId="41"/>
    <xf numFmtId="188" fontId="37" fillId="45" borderId="0" applyNumberFormat="0" applyBorder="0" applyAlignment="0" applyProtection="0"/>
    <xf numFmtId="188" fontId="28" fillId="0" borderId="0"/>
    <xf numFmtId="188" fontId="52" fillId="0" borderId="0"/>
    <xf numFmtId="188" fontId="52" fillId="0" borderId="0"/>
    <xf numFmtId="188" fontId="52" fillId="0" borderId="0"/>
    <xf numFmtId="188" fontId="52" fillId="0" borderId="0"/>
    <xf numFmtId="188" fontId="28" fillId="0" borderId="0"/>
    <xf numFmtId="188" fontId="1" fillId="0" borderId="0"/>
    <xf numFmtId="188" fontId="28" fillId="0" borderId="0"/>
    <xf numFmtId="188" fontId="1" fillId="17" borderId="39" applyNumberFormat="0" applyFont="0" applyAlignment="0" applyProtection="0"/>
    <xf numFmtId="188" fontId="32" fillId="46" borderId="49" applyNumberFormat="0" applyFont="0" applyAlignment="0" applyProtection="0"/>
    <xf numFmtId="188" fontId="29" fillId="46" borderId="49" applyNumberFormat="0" applyFont="0" applyAlignment="0" applyProtection="0"/>
    <xf numFmtId="188" fontId="53" fillId="0" borderId="0"/>
    <xf numFmtId="188" fontId="28" fillId="0" borderId="0"/>
    <xf numFmtId="188" fontId="28" fillId="0" borderId="0"/>
    <xf numFmtId="188" fontId="28" fillId="0" borderId="0"/>
    <xf numFmtId="188" fontId="1" fillId="0" borderId="0"/>
    <xf numFmtId="188" fontId="29" fillId="70" borderId="49" applyNumberFormat="0" applyAlignment="0">
      <protection locked="0"/>
    </xf>
    <xf numFmtId="188" fontId="77" fillId="68" borderId="50" applyNumberFormat="0" applyAlignment="0">
      <protection locked="0"/>
    </xf>
    <xf numFmtId="188" fontId="1" fillId="17" borderId="39" applyNumberFormat="0" applyFont="0" applyAlignment="0" applyProtection="0"/>
    <xf numFmtId="188" fontId="32" fillId="46" borderId="49" applyNumberFormat="0" applyFont="0" applyAlignment="0" applyProtection="0"/>
    <xf numFmtId="188" fontId="29" fillId="46" borderId="49" applyNumberFormat="0" applyFont="0" applyAlignment="0" applyProtection="0"/>
    <xf numFmtId="188" fontId="37" fillId="46" borderId="49" applyNumberFormat="0" applyFont="0" applyAlignment="0" applyProtection="0"/>
    <xf numFmtId="188" fontId="45" fillId="63" borderId="52" applyNumberFormat="0" applyAlignment="0" applyProtection="0"/>
    <xf numFmtId="188" fontId="88" fillId="63" borderId="52" applyNumberFormat="0" applyAlignment="0" applyProtection="0"/>
    <xf numFmtId="188" fontId="45" fillId="63" borderId="52" applyNumberFormat="0" applyAlignment="0" applyProtection="0"/>
    <xf numFmtId="188" fontId="37" fillId="43" borderId="0" applyNumberFormat="0" applyBorder="0" applyAlignment="0" applyProtection="0"/>
    <xf numFmtId="188" fontId="1" fillId="20" borderId="0" applyNumberFormat="0" applyBorder="0" applyAlignment="0" applyProtection="0"/>
    <xf numFmtId="188" fontId="25" fillId="0" borderId="0" applyNumberFormat="0" applyFill="0" applyBorder="0" applyAlignment="0" applyProtection="0"/>
    <xf numFmtId="188" fontId="20" fillId="15" borderId="36" applyNumberFormat="0" applyAlignment="0" applyProtection="0"/>
    <xf numFmtId="188" fontId="62" fillId="0" borderId="0" applyNumberFormat="0" applyFill="0" applyBorder="0" applyAlignment="0" applyProtection="0"/>
    <xf numFmtId="188" fontId="62" fillId="0" borderId="0" applyNumberFormat="0" applyFill="0" applyBorder="0" applyAlignment="0" applyProtection="0"/>
    <xf numFmtId="188" fontId="46" fillId="0" borderId="53" applyNumberFormat="0" applyFill="0" applyAlignment="0" applyProtection="0"/>
    <xf numFmtId="188" fontId="76" fillId="0" borderId="53" applyNumberFormat="0" applyFill="0" applyAlignment="0" applyProtection="0"/>
    <xf numFmtId="188" fontId="29" fillId="0" borderId="54" applyNumberFormat="0" applyFont="0" applyFill="0" applyAlignment="0" applyProtection="0"/>
    <xf numFmtId="188" fontId="44" fillId="0" borderId="0" applyNumberFormat="0" applyFill="0" applyBorder="0" applyAlignment="0" applyProtection="0"/>
    <xf numFmtId="188" fontId="49" fillId="0" borderId="0" applyNumberFormat="0" applyFill="0" applyBorder="0" applyAlignment="0" applyProtection="0"/>
    <xf numFmtId="188" fontId="44" fillId="0" borderId="0" applyNumberForma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188" fontId="1" fillId="17" borderId="39" applyNumberFormat="0" applyFont="0" applyAlignment="0" applyProtection="0"/>
    <xf numFmtId="43" fontId="1" fillId="0" borderId="0" applyFont="0" applyFill="0" applyBorder="0" applyAlignment="0" applyProtection="0"/>
    <xf numFmtId="188" fontId="19" fillId="14" borderId="35" applyNumberFormat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188" fontId="19" fillId="14" borderId="35" applyNumberFormat="0" applyAlignment="0" applyProtection="0"/>
    <xf numFmtId="188" fontId="1" fillId="0" borderId="0"/>
    <xf numFmtId="6" fontId="29" fillId="0" borderId="0" applyNumberFormat="0" applyBorder="0" applyAlignment="0">
      <alignment horizontal="center"/>
      <protection locked="0"/>
    </xf>
    <xf numFmtId="188" fontId="19" fillId="14" borderId="35" applyNumberFormat="0" applyAlignment="0" applyProtection="0"/>
    <xf numFmtId="188" fontId="77" fillId="68" borderId="50" applyNumberFormat="0" applyAlignment="0">
      <protection locked="0"/>
    </xf>
    <xf numFmtId="188" fontId="43" fillId="48" borderId="42" applyNumberFormat="0" applyAlignment="0" applyProtection="0"/>
    <xf numFmtId="188" fontId="43" fillId="48" borderId="42" applyNumberFormat="0" applyAlignment="0" applyProtection="0"/>
    <xf numFmtId="188" fontId="43" fillId="48" borderId="42" applyNumberFormat="0" applyAlignment="0" applyProtection="0"/>
    <xf numFmtId="188" fontId="1" fillId="0" borderId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188" fontId="19" fillId="14" borderId="35" applyNumberFormat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188" fontId="43" fillId="48" borderId="42" applyNumberFormat="0" applyAlignment="0" applyProtection="0"/>
    <xf numFmtId="188" fontId="77" fillId="68" borderId="50" applyNumberFormat="0" applyAlignment="0">
      <protection locked="0"/>
    </xf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28" fillId="0" borderId="0"/>
    <xf numFmtId="174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77" fillId="68" borderId="50" applyNumberFormat="0" applyAlignment="0">
      <protection locked="0"/>
    </xf>
    <xf numFmtId="188" fontId="29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59" fillId="0" borderId="47" applyNumberFormat="0" applyFill="0" applyAlignment="0" applyProtection="0"/>
    <xf numFmtId="0" fontId="84" fillId="0" borderId="47" applyNumberFormat="0" applyFill="0" applyAlignment="0" applyProtection="0"/>
    <xf numFmtId="0" fontId="59" fillId="0" borderId="47" applyNumberFormat="0" applyFill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28" fillId="0" borderId="0"/>
    <xf numFmtId="6" fontId="29" fillId="0" borderId="0" applyNumberFormat="0" applyBorder="0" applyAlignment="0">
      <alignment horizontal="center"/>
      <protection locked="0"/>
    </xf>
    <xf numFmtId="0" fontId="28" fillId="0" borderId="0"/>
    <xf numFmtId="0" fontId="51" fillId="0" borderId="0"/>
    <xf numFmtId="0" fontId="29" fillId="0" borderId="0"/>
    <xf numFmtId="0" fontId="102" fillId="0" borderId="0"/>
    <xf numFmtId="0" fontId="53" fillId="0" borderId="0"/>
    <xf numFmtId="0" fontId="28" fillId="0" borderId="0"/>
    <xf numFmtId="0" fontId="102" fillId="0" borderId="0"/>
    <xf numFmtId="0" fontId="29" fillId="0" borderId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77" fillId="68" borderId="50" applyNumberFormat="0" applyAlignment="0">
      <protection locked="0"/>
    </xf>
    <xf numFmtId="6" fontId="29" fillId="0" borderId="0" applyNumberFormat="0" applyBorder="0" applyAlignment="0">
      <alignment horizontal="center"/>
      <protection locked="0"/>
    </xf>
    <xf numFmtId="0" fontId="35" fillId="0" borderId="55">
      <alignment horizontal="left" vertical="center"/>
    </xf>
    <xf numFmtId="0" fontId="19" fillId="14" borderId="35" applyNumberFormat="0" applyAlignment="0" applyProtection="0"/>
    <xf numFmtId="0" fontId="77" fillId="68" borderId="50" applyNumberFormat="0" applyAlignment="0">
      <protection locked="0"/>
    </xf>
    <xf numFmtId="0" fontId="43" fillId="48" borderId="42" applyNumberFormat="0" applyAlignment="0" applyProtection="0"/>
    <xf numFmtId="0" fontId="43" fillId="48" borderId="42" applyNumberFormat="0" applyAlignment="0" applyProtection="0"/>
    <xf numFmtId="0" fontId="29" fillId="0" borderId="0"/>
    <xf numFmtId="0" fontId="29" fillId="0" borderId="0"/>
    <xf numFmtId="0" fontId="28" fillId="0" borderId="0"/>
    <xf numFmtId="0" fontId="1" fillId="0" borderId="0"/>
    <xf numFmtId="0" fontId="32" fillId="46" borderId="49" applyNumberFormat="0" applyFont="0" applyAlignment="0" applyProtection="0"/>
    <xf numFmtId="0" fontId="29" fillId="46" borderId="49" applyNumberFormat="0" applyFont="0" applyAlignment="0" applyProtection="0"/>
    <xf numFmtId="0" fontId="19" fillId="14" borderId="35" applyNumberFormat="0" applyAlignment="0" applyProtection="0"/>
    <xf numFmtId="0" fontId="1" fillId="17" borderId="39" applyNumberFormat="0" applyFont="0" applyAlignment="0" applyProtection="0"/>
    <xf numFmtId="0" fontId="28" fillId="0" borderId="0"/>
    <xf numFmtId="0" fontId="37" fillId="46" borderId="49" applyNumberFormat="0" applyFont="0" applyAlignment="0" applyProtection="0"/>
    <xf numFmtId="0" fontId="1" fillId="17" borderId="39" applyNumberFormat="0" applyFont="0" applyAlignment="0" applyProtection="0"/>
    <xf numFmtId="188" fontId="1" fillId="19" borderId="0" applyNumberFormat="0" applyBorder="0" applyAlignment="0" applyProtection="0"/>
    <xf numFmtId="188" fontId="1" fillId="20" borderId="0" applyNumberFormat="0" applyBorder="0" applyAlignment="0" applyProtection="0"/>
    <xf numFmtId="188" fontId="1" fillId="23" borderId="0" applyNumberFormat="0" applyBorder="0" applyAlignment="0" applyProtection="0"/>
    <xf numFmtId="188" fontId="1" fillId="24" borderId="0" applyNumberFormat="0" applyBorder="0" applyAlignment="0" applyProtection="0"/>
    <xf numFmtId="188" fontId="1" fillId="27" borderId="0" applyNumberFormat="0" applyBorder="0" applyAlignment="0" applyProtection="0"/>
    <xf numFmtId="188" fontId="1" fillId="28" borderId="0" applyNumberFormat="0" applyBorder="0" applyAlignment="0" applyProtection="0"/>
    <xf numFmtId="188" fontId="1" fillId="31" borderId="0" applyNumberFormat="0" applyBorder="0" applyAlignment="0" applyProtection="0"/>
    <xf numFmtId="188" fontId="1" fillId="32" borderId="0" applyNumberFormat="0" applyBorder="0" applyAlignment="0" applyProtection="0"/>
    <xf numFmtId="188" fontId="1" fillId="35" borderId="0" applyNumberFormat="0" applyBorder="0" applyAlignment="0" applyProtection="0"/>
    <xf numFmtId="188" fontId="1" fillId="36" borderId="0" applyNumberFormat="0" applyBorder="0" applyAlignment="0" applyProtection="0"/>
    <xf numFmtId="188" fontId="1" fillId="39" borderId="0" applyNumberFormat="0" applyBorder="0" applyAlignment="0" applyProtection="0"/>
    <xf numFmtId="188" fontId="1" fillId="40" borderId="0" applyNumberFormat="0" applyBorder="0" applyAlignment="0" applyProtection="0"/>
    <xf numFmtId="188" fontId="37" fillId="43" borderId="0" applyNumberFormat="0" applyBorder="0" applyAlignment="0" applyProtection="0"/>
    <xf numFmtId="188" fontId="32" fillId="43" borderId="0" applyNumberFormat="0" applyBorder="0" applyAlignment="0" applyProtection="0"/>
    <xf numFmtId="188" fontId="37" fillId="43" borderId="0" applyNumberFormat="0" applyBorder="0" applyAlignment="0" applyProtection="0"/>
    <xf numFmtId="188" fontId="37" fillId="45" borderId="0" applyNumberFormat="0" applyBorder="0" applyAlignment="0" applyProtection="0"/>
    <xf numFmtId="188" fontId="32" fillId="45" borderId="0" applyNumberFormat="0" applyBorder="0" applyAlignment="0" applyProtection="0"/>
    <xf numFmtId="188" fontId="37" fillId="45" borderId="0" applyNumberFormat="0" applyBorder="0" applyAlignment="0" applyProtection="0"/>
    <xf numFmtId="188" fontId="37" fillId="47" borderId="0" applyNumberFormat="0" applyBorder="0" applyAlignment="0" applyProtection="0"/>
    <xf numFmtId="188" fontId="32" fillId="47" borderId="0" applyNumberFormat="0" applyBorder="0" applyAlignment="0" applyProtection="0"/>
    <xf numFmtId="188" fontId="37" fillId="47" borderId="0" applyNumberFormat="0" applyBorder="0" applyAlignment="0" applyProtection="0"/>
    <xf numFmtId="188" fontId="37" fillId="49" borderId="0" applyNumberFormat="0" applyBorder="0" applyAlignment="0" applyProtection="0"/>
    <xf numFmtId="188" fontId="32" fillId="49" borderId="0" applyNumberFormat="0" applyBorder="0" applyAlignment="0" applyProtection="0"/>
    <xf numFmtId="188" fontId="37" fillId="49" borderId="0" applyNumberFormat="0" applyBorder="0" applyAlignment="0" applyProtection="0"/>
    <xf numFmtId="188" fontId="37" fillId="50" borderId="0" applyNumberFormat="0" applyBorder="0" applyAlignment="0" applyProtection="0"/>
    <xf numFmtId="188" fontId="32" fillId="50" borderId="0" applyNumberFormat="0" applyBorder="0" applyAlignment="0" applyProtection="0"/>
    <xf numFmtId="188" fontId="37" fillId="50" borderId="0" applyNumberFormat="0" applyBorder="0" applyAlignment="0" applyProtection="0"/>
    <xf numFmtId="188" fontId="37" fillId="48" borderId="0" applyNumberFormat="0" applyBorder="0" applyAlignment="0" applyProtection="0"/>
    <xf numFmtId="188" fontId="32" fillId="48" borderId="0" applyNumberFormat="0" applyBorder="0" applyAlignment="0" applyProtection="0"/>
    <xf numFmtId="188" fontId="37" fillId="48" borderId="0" applyNumberFormat="0" applyBorder="0" applyAlignment="0" applyProtection="0"/>
    <xf numFmtId="188" fontId="37" fillId="42" borderId="0" applyNumberFormat="0" applyBorder="0" applyAlignment="0" applyProtection="0"/>
    <xf numFmtId="188" fontId="32" fillId="42" borderId="0" applyNumberFormat="0" applyBorder="0" applyAlignment="0" applyProtection="0"/>
    <xf numFmtId="188" fontId="37" fillId="42" borderId="0" applyNumberFormat="0" applyBorder="0" applyAlignment="0" applyProtection="0"/>
    <xf numFmtId="188" fontId="37" fillId="44" borderId="0" applyNumberFormat="0" applyBorder="0" applyAlignment="0" applyProtection="0"/>
    <xf numFmtId="188" fontId="32" fillId="44" borderId="0" applyNumberFormat="0" applyBorder="0" applyAlignment="0" applyProtection="0"/>
    <xf numFmtId="188" fontId="37" fillId="44" borderId="0" applyNumberFormat="0" applyBorder="0" applyAlignment="0" applyProtection="0"/>
    <xf numFmtId="188" fontId="37" fillId="52" borderId="0" applyNumberFormat="0" applyBorder="0" applyAlignment="0" applyProtection="0"/>
    <xf numFmtId="188" fontId="32" fillId="52" borderId="0" applyNumberFormat="0" applyBorder="0" applyAlignment="0" applyProtection="0"/>
    <xf numFmtId="188" fontId="37" fillId="52" borderId="0" applyNumberFormat="0" applyBorder="0" applyAlignment="0" applyProtection="0"/>
    <xf numFmtId="188" fontId="37" fillId="49" borderId="0" applyNumberFormat="0" applyBorder="0" applyAlignment="0" applyProtection="0"/>
    <xf numFmtId="188" fontId="32" fillId="49" borderId="0" applyNumberFormat="0" applyBorder="0" applyAlignment="0" applyProtection="0"/>
    <xf numFmtId="188" fontId="37" fillId="49" borderId="0" applyNumberFormat="0" applyBorder="0" applyAlignment="0" applyProtection="0"/>
    <xf numFmtId="188" fontId="37" fillId="42" borderId="0" applyNumberFormat="0" applyBorder="0" applyAlignment="0" applyProtection="0"/>
    <xf numFmtId="188" fontId="32" fillId="42" borderId="0" applyNumberFormat="0" applyBorder="0" applyAlignment="0" applyProtection="0"/>
    <xf numFmtId="188" fontId="37" fillId="42" borderId="0" applyNumberFormat="0" applyBorder="0" applyAlignment="0" applyProtection="0"/>
    <xf numFmtId="188" fontId="37" fillId="53" borderId="0" applyNumberFormat="0" applyBorder="0" applyAlignment="0" applyProtection="0"/>
    <xf numFmtId="188" fontId="32" fillId="53" borderId="0" applyNumberFormat="0" applyBorder="0" applyAlignment="0" applyProtection="0"/>
    <xf numFmtId="188" fontId="37" fillId="53" borderId="0" applyNumberFormat="0" applyBorder="0" applyAlignment="0" applyProtection="0"/>
    <xf numFmtId="188" fontId="35" fillId="0" borderId="55">
      <alignment horizontal="left" vertical="center"/>
    </xf>
    <xf numFmtId="188" fontId="59" fillId="0" borderId="47" applyNumberFormat="0" applyFill="0" applyAlignment="0" applyProtection="0"/>
    <xf numFmtId="188" fontId="84" fillId="0" borderId="47" applyNumberFormat="0" applyFill="0" applyAlignment="0" applyProtection="0"/>
    <xf numFmtId="188" fontId="59" fillId="0" borderId="47" applyNumberFormat="0" applyFill="0" applyAlignment="0" applyProtection="0"/>
    <xf numFmtId="188" fontId="29" fillId="0" borderId="0"/>
    <xf numFmtId="188" fontId="1" fillId="17" borderId="39" applyNumberFormat="0" applyFont="0" applyAlignment="0" applyProtection="0"/>
    <xf numFmtId="188" fontId="32" fillId="46" borderId="49" applyNumberFormat="0" applyFont="0" applyAlignment="0" applyProtection="0"/>
    <xf numFmtId="188" fontId="29" fillId="46" borderId="49" applyNumberFormat="0" applyFont="0" applyAlignment="0" applyProtection="0"/>
    <xf numFmtId="188" fontId="37" fillId="46" borderId="49" applyNumberFormat="0" applyFont="0" applyAlignment="0" applyProtection="0"/>
    <xf numFmtId="188" fontId="1" fillId="17" borderId="39" applyNumberFormat="0" applyFont="0" applyAlignment="0" applyProtection="0"/>
    <xf numFmtId="0" fontId="59" fillId="0" borderId="47" applyNumberFormat="0" applyFill="0" applyAlignment="0" applyProtection="0"/>
    <xf numFmtId="0" fontId="84" fillId="0" borderId="47" applyNumberFormat="0" applyFill="0" applyAlignment="0" applyProtection="0"/>
    <xf numFmtId="0" fontId="59" fillId="0" borderId="47" applyNumberFormat="0" applyFill="0" applyAlignment="0" applyProtection="0"/>
    <xf numFmtId="0" fontId="37" fillId="0" borderId="0"/>
    <xf numFmtId="188" fontId="1" fillId="17" borderId="39" applyNumberFormat="0" applyFont="0" applyAlignment="0" applyProtection="0"/>
    <xf numFmtId="188" fontId="32" fillId="46" borderId="49" applyNumberFormat="0" applyFont="0" applyAlignment="0" applyProtection="0"/>
    <xf numFmtId="188" fontId="28" fillId="0" borderId="0"/>
    <xf numFmtId="188" fontId="1" fillId="0" borderId="0"/>
    <xf numFmtId="188" fontId="43" fillId="48" borderId="42" applyNumberFormat="0" applyAlignment="0" applyProtection="0"/>
    <xf numFmtId="188" fontId="43" fillId="48" borderId="42" applyNumberFormat="0" applyAlignment="0" applyProtection="0"/>
    <xf numFmtId="188" fontId="37" fillId="47" borderId="0" applyNumberFormat="0" applyBorder="0" applyAlignment="0" applyProtection="0"/>
    <xf numFmtId="188" fontId="1" fillId="27" borderId="0" applyNumberFormat="0" applyBorder="0" applyAlignment="0" applyProtection="0"/>
    <xf numFmtId="188" fontId="1" fillId="39" borderId="0" applyNumberFormat="0" applyBorder="0" applyAlignment="0" applyProtection="0"/>
    <xf numFmtId="188" fontId="26" fillId="34" borderId="0" applyNumberFormat="0" applyBorder="0" applyAlignment="0" applyProtection="0"/>
    <xf numFmtId="188" fontId="1" fillId="23" borderId="0" applyNumberFormat="0" applyBorder="0" applyAlignment="0" applyProtection="0"/>
    <xf numFmtId="188" fontId="1" fillId="24" borderId="0" applyNumberFormat="0" applyBorder="0" applyAlignment="0" applyProtection="0"/>
    <xf numFmtId="188" fontId="1" fillId="19" borderId="0" applyNumberFormat="0" applyBorder="0" applyAlignment="0" applyProtection="0"/>
    <xf numFmtId="188" fontId="15" fillId="0" borderId="0" applyNumberFormat="0" applyFill="0" applyBorder="0" applyAlignment="0" applyProtection="0"/>
    <xf numFmtId="188" fontId="20" fillId="15" borderId="36" applyNumberFormat="0" applyAlignment="0" applyProtection="0"/>
    <xf numFmtId="0" fontId="37" fillId="0" borderId="0"/>
    <xf numFmtId="188" fontId="19" fillId="14" borderId="35" applyNumberFormat="0" applyAlignment="0" applyProtection="0"/>
    <xf numFmtId="188" fontId="29" fillId="46" borderId="49" applyNumberFormat="0" applyFont="0" applyAlignment="0" applyProtection="0"/>
    <xf numFmtId="188" fontId="19" fillId="14" borderId="35" applyNumberFormat="0" applyAlignment="0" applyProtection="0"/>
    <xf numFmtId="180" fontId="34" fillId="0" borderId="44" applyFont="0" applyBorder="0" applyAlignment="0" applyProtection="0">
      <alignment horizontal="left"/>
      <protection locked="0"/>
    </xf>
    <xf numFmtId="188" fontId="1" fillId="36" borderId="0" applyNumberFormat="0" applyBorder="0" applyAlignment="0" applyProtection="0"/>
    <xf numFmtId="188" fontId="26" fillId="22" borderId="0" applyNumberFormat="0" applyBorder="0" applyAlignment="0" applyProtection="0"/>
    <xf numFmtId="188" fontId="13" fillId="0" borderId="32" applyNumberFormat="0" applyFill="0" applyAlignment="0" applyProtection="0"/>
    <xf numFmtId="188" fontId="24" fillId="0" borderId="0" applyNumberFormat="0" applyFill="0" applyBorder="0" applyAlignment="0" applyProtection="0"/>
    <xf numFmtId="0" fontId="35" fillId="0" borderId="55">
      <alignment horizontal="left" vertical="center"/>
    </xf>
    <xf numFmtId="0" fontId="29" fillId="0" borderId="41"/>
    <xf numFmtId="0" fontId="56" fillId="63" borderId="42" applyNumberFormat="0" applyAlignment="0" applyProtection="0"/>
    <xf numFmtId="0" fontId="79" fillId="63" borderId="42" applyNumberFormat="0" applyAlignment="0" applyProtection="0"/>
    <xf numFmtId="0" fontId="56" fillId="63" borderId="42" applyNumberFormat="0" applyAlignment="0" applyProtection="0"/>
    <xf numFmtId="0" fontId="35" fillId="0" borderId="55">
      <alignment horizontal="left" vertical="center"/>
    </xf>
    <xf numFmtId="0" fontId="30" fillId="67" borderId="49" applyNumberFormat="0" applyAlignment="0">
      <protection locked="0"/>
    </xf>
    <xf numFmtId="0" fontId="77" fillId="68" borderId="50" applyNumberFormat="0" applyAlignment="0">
      <protection locked="0"/>
    </xf>
    <xf numFmtId="0" fontId="85" fillId="48" borderId="42" applyNumberFormat="0" applyAlignment="0" applyProtection="0"/>
    <xf numFmtId="0" fontId="43" fillId="48" borderId="42" applyNumberFormat="0" applyAlignment="0" applyProtection="0"/>
    <xf numFmtId="0" fontId="30" fillId="67" borderId="49" applyNumberFormat="0" applyAlignment="0">
      <protection locked="0"/>
    </xf>
    <xf numFmtId="0" fontId="77" fillId="68" borderId="50" applyNumberFormat="0" applyAlignment="0">
      <protection locked="0"/>
    </xf>
    <xf numFmtId="0" fontId="77" fillId="68" borderId="50" applyNumberFormat="0" applyAlignment="0">
      <protection locked="0"/>
    </xf>
    <xf numFmtId="0" fontId="77" fillId="68" borderId="50" applyNumberFormat="0" applyAlignment="0">
      <protection locked="0"/>
    </xf>
    <xf numFmtId="0" fontId="77" fillId="68" borderId="50" applyNumberFormat="0" applyAlignment="0">
      <protection locked="0"/>
    </xf>
    <xf numFmtId="0" fontId="77" fillId="68" borderId="50" applyNumberFormat="0" applyAlignment="0">
      <protection locked="0"/>
    </xf>
    <xf numFmtId="0" fontId="43" fillId="48" borderId="42" applyNumberFormat="0" applyAlignment="0" applyProtection="0"/>
    <xf numFmtId="0" fontId="77" fillId="68" borderId="50" applyNumberFormat="0" applyAlignment="0">
      <protection locked="0"/>
    </xf>
    <xf numFmtId="0" fontId="29" fillId="70" borderId="49" applyNumberFormat="0" applyAlignment="0">
      <protection locked="0"/>
    </xf>
    <xf numFmtId="0" fontId="32" fillId="46" borderId="49" applyNumberFormat="0" applyFont="0" applyAlignment="0" applyProtection="0"/>
    <xf numFmtId="0" fontId="29" fillId="46" borderId="49" applyNumberFormat="0" applyFont="0" applyAlignment="0" applyProtection="0"/>
    <xf numFmtId="0" fontId="37" fillId="46" borderId="49" applyNumberFormat="0" applyFont="0" applyAlignment="0" applyProtection="0"/>
    <xf numFmtId="0" fontId="45" fillId="63" borderId="52" applyNumberFormat="0" applyAlignment="0" applyProtection="0"/>
    <xf numFmtId="0" fontId="88" fillId="63" borderId="52" applyNumberFormat="0" applyAlignment="0" applyProtection="0"/>
    <xf numFmtId="0" fontId="45" fillId="63" borderId="52" applyNumberFormat="0" applyAlignment="0" applyProtection="0"/>
    <xf numFmtId="188" fontId="23" fillId="16" borderId="38" applyNumberFormat="0" applyAlignment="0" applyProtection="0"/>
    <xf numFmtId="188" fontId="1" fillId="0" borderId="0"/>
    <xf numFmtId="0" fontId="94" fillId="0" borderId="41"/>
    <xf numFmtId="0" fontId="97" fillId="88" borderId="41"/>
    <xf numFmtId="0" fontId="98" fillId="90" borderId="41"/>
    <xf numFmtId="188" fontId="1" fillId="27" borderId="0" applyNumberFormat="0" applyBorder="0" applyAlignment="0" applyProtection="0"/>
    <xf numFmtId="188" fontId="26" fillId="38" borderId="0" applyNumberFormat="0" applyBorder="0" applyAlignment="0" applyProtection="0"/>
    <xf numFmtId="188" fontId="1" fillId="31" borderId="0" applyNumberFormat="0" applyBorder="0" applyAlignment="0" applyProtection="0"/>
    <xf numFmtId="0" fontId="46" fillId="0" borderId="53" applyNumberFormat="0" applyFill="0" applyAlignment="0" applyProtection="0"/>
    <xf numFmtId="0" fontId="76" fillId="0" borderId="53" applyNumberFormat="0" applyFill="0" applyAlignment="0" applyProtection="0"/>
    <xf numFmtId="188" fontId="2" fillId="0" borderId="40" applyNumberFormat="0" applyFill="0" applyAlignment="0" applyProtection="0"/>
    <xf numFmtId="0" fontId="46" fillId="0" borderId="53" applyNumberFormat="0" applyFill="0" applyAlignment="0" applyProtection="0"/>
    <xf numFmtId="188" fontId="14" fillId="0" borderId="33" applyNumberFormat="0" applyFill="0" applyAlignment="0" applyProtection="0"/>
    <xf numFmtId="188" fontId="16" fillId="11" borderId="0" applyNumberFormat="0" applyBorder="0" applyAlignment="0" applyProtection="0"/>
    <xf numFmtId="0" fontId="30" fillId="67" borderId="49" applyNumberFormat="0" applyAlignment="0">
      <protection locked="0"/>
    </xf>
    <xf numFmtId="0" fontId="30" fillId="67" borderId="49" applyNumberFormat="0" applyAlignment="0">
      <protection locked="0"/>
    </xf>
    <xf numFmtId="0" fontId="30" fillId="67" borderId="49" applyNumberFormat="0" applyAlignment="0">
      <protection locked="0"/>
    </xf>
    <xf numFmtId="0" fontId="30" fillId="67" borderId="49" applyNumberFormat="0" applyAlignment="0">
      <protection locked="0"/>
    </xf>
    <xf numFmtId="0" fontId="30" fillId="67" borderId="49" applyNumberFormat="0" applyAlignment="0">
      <protection locked="0"/>
    </xf>
    <xf numFmtId="0" fontId="77" fillId="68" borderId="50" applyNumberFormat="0" applyAlignment="0">
      <protection locked="0"/>
    </xf>
    <xf numFmtId="0" fontId="43" fillId="48" borderId="42" applyNumberFormat="0" applyAlignment="0" applyProtection="0"/>
    <xf numFmtId="0" fontId="77" fillId="68" borderId="50" applyNumberFormat="0" applyAlignment="0">
      <protection locked="0"/>
    </xf>
    <xf numFmtId="0" fontId="77" fillId="68" borderId="50" applyNumberFormat="0" applyAlignment="0">
      <protection locked="0"/>
    </xf>
    <xf numFmtId="0" fontId="77" fillId="68" borderId="50" applyNumberFormat="0" applyAlignment="0">
      <protection locked="0"/>
    </xf>
    <xf numFmtId="0" fontId="37" fillId="46" borderId="49" applyNumberFormat="0" applyFont="0" applyAlignment="0" applyProtection="0"/>
    <xf numFmtId="188" fontId="37" fillId="49" borderId="0" applyNumberFormat="0" applyBorder="0" applyAlignment="0" applyProtection="0"/>
    <xf numFmtId="188" fontId="26" fillId="26" borderId="0" applyNumberFormat="0" applyBorder="0" applyAlignment="0" applyProtection="0"/>
    <xf numFmtId="43" fontId="1" fillId="0" borderId="0" applyFont="0" applyFill="0" applyBorder="0" applyAlignment="0" applyProtection="0"/>
    <xf numFmtId="188" fontId="25" fillId="0" borderId="0" applyNumberFormat="0" applyFill="0" applyBorder="0" applyAlignment="0" applyProtection="0"/>
    <xf numFmtId="188" fontId="29" fillId="0" borderId="41"/>
    <xf numFmtId="188" fontId="56" fillId="63" borderId="42" applyNumberFormat="0" applyAlignment="0" applyProtection="0"/>
    <xf numFmtId="188" fontId="79" fillId="63" borderId="42" applyNumberFormat="0" applyAlignment="0" applyProtection="0"/>
    <xf numFmtId="188" fontId="56" fillId="63" borderId="42" applyNumberFormat="0" applyAlignment="0" applyProtection="0"/>
    <xf numFmtId="188" fontId="30" fillId="67" borderId="49" applyNumberFormat="0" applyAlignment="0">
      <protection locked="0"/>
    </xf>
    <xf numFmtId="188" fontId="77" fillId="68" borderId="50" applyNumberFormat="0" applyAlignment="0">
      <protection locked="0"/>
    </xf>
    <xf numFmtId="188" fontId="85" fillId="48" borderId="42" applyNumberFormat="0" applyAlignment="0" applyProtection="0"/>
    <xf numFmtId="188" fontId="43" fillId="48" borderId="42" applyNumberFormat="0" applyAlignment="0" applyProtection="0"/>
    <xf numFmtId="188" fontId="30" fillId="67" borderId="49" applyNumberFormat="0" applyAlignment="0">
      <protection locked="0"/>
    </xf>
    <xf numFmtId="188" fontId="77" fillId="68" borderId="50" applyNumberFormat="0" applyAlignment="0">
      <protection locked="0"/>
    </xf>
    <xf numFmtId="188" fontId="77" fillId="68" borderId="50" applyNumberFormat="0" applyAlignment="0">
      <protection locked="0"/>
    </xf>
    <xf numFmtId="188" fontId="77" fillId="68" borderId="50" applyNumberFormat="0" applyAlignment="0">
      <protection locked="0"/>
    </xf>
    <xf numFmtId="188" fontId="77" fillId="68" borderId="50" applyNumberFormat="0" applyAlignment="0">
      <protection locked="0"/>
    </xf>
    <xf numFmtId="188" fontId="77" fillId="68" borderId="50" applyNumberFormat="0" applyAlignment="0">
      <protection locked="0"/>
    </xf>
    <xf numFmtId="188" fontId="43" fillId="48" borderId="42" applyNumberFormat="0" applyAlignment="0" applyProtection="0"/>
    <xf numFmtId="188" fontId="77" fillId="68" borderId="50" applyNumberFormat="0" applyAlignment="0">
      <protection locked="0"/>
    </xf>
    <xf numFmtId="188" fontId="29" fillId="70" borderId="49" applyNumberFormat="0" applyAlignment="0">
      <protection locked="0"/>
    </xf>
    <xf numFmtId="188" fontId="32" fillId="46" borderId="49" applyNumberFormat="0" applyFont="0" applyAlignment="0" applyProtection="0"/>
    <xf numFmtId="188" fontId="29" fillId="46" borderId="49" applyNumberFormat="0" applyFont="0" applyAlignment="0" applyProtection="0"/>
    <xf numFmtId="188" fontId="37" fillId="46" borderId="49" applyNumberFormat="0" applyFont="0" applyAlignment="0" applyProtection="0"/>
    <xf numFmtId="188" fontId="45" fillId="63" borderId="52" applyNumberFormat="0" applyAlignment="0" applyProtection="0"/>
    <xf numFmtId="188" fontId="88" fillId="63" borderId="52" applyNumberFormat="0" applyAlignment="0" applyProtection="0"/>
    <xf numFmtId="188" fontId="45" fillId="63" borderId="52" applyNumberFormat="0" applyAlignment="0" applyProtection="0"/>
    <xf numFmtId="188" fontId="94" fillId="0" borderId="41"/>
    <xf numFmtId="188" fontId="97" fillId="88" borderId="41"/>
    <xf numFmtId="188" fontId="98" fillId="90" borderId="41"/>
    <xf numFmtId="188" fontId="1" fillId="28" borderId="0" applyNumberFormat="0" applyBorder="0" applyAlignment="0" applyProtection="0"/>
    <xf numFmtId="188" fontId="1" fillId="40" borderId="0" applyNumberFormat="0" applyBorder="0" applyAlignment="0" applyProtection="0"/>
    <xf numFmtId="188" fontId="1" fillId="32" borderId="0" applyNumberFormat="0" applyBorder="0" applyAlignment="0" applyProtection="0"/>
    <xf numFmtId="188" fontId="46" fillId="0" borderId="53" applyNumberFormat="0" applyFill="0" applyAlignment="0" applyProtection="0"/>
    <xf numFmtId="188" fontId="76" fillId="0" borderId="53" applyNumberFormat="0" applyFill="0" applyAlignment="0" applyProtection="0"/>
    <xf numFmtId="188" fontId="26" fillId="18" borderId="0" applyNumberFormat="0" applyBorder="0" applyAlignment="0" applyProtection="0"/>
    <xf numFmtId="188" fontId="46" fillId="0" borderId="53" applyNumberFormat="0" applyFill="0" applyAlignment="0" applyProtection="0"/>
    <xf numFmtId="188" fontId="15" fillId="0" borderId="34" applyNumberFormat="0" applyFill="0" applyAlignment="0" applyProtection="0"/>
    <xf numFmtId="188" fontId="17" fillId="12" borderId="0" applyNumberFormat="0" applyBorder="0" applyAlignment="0" applyProtection="0"/>
    <xf numFmtId="188" fontId="30" fillId="67" borderId="49" applyNumberFormat="0" applyAlignment="0">
      <protection locked="0"/>
    </xf>
    <xf numFmtId="188" fontId="30" fillId="67" borderId="49" applyNumberFormat="0" applyAlignment="0">
      <protection locked="0"/>
    </xf>
    <xf numFmtId="188" fontId="30" fillId="67" borderId="49" applyNumberFormat="0" applyAlignment="0">
      <protection locked="0"/>
    </xf>
    <xf numFmtId="188" fontId="77" fillId="68" borderId="50" applyNumberFormat="0" applyAlignment="0">
      <protection locked="0"/>
    </xf>
    <xf numFmtId="188" fontId="43" fillId="48" borderId="42" applyNumberFormat="0" applyAlignment="0" applyProtection="0"/>
    <xf numFmtId="188" fontId="43" fillId="48" borderId="42" applyNumberFormat="0" applyAlignment="0" applyProtection="0"/>
    <xf numFmtId="188" fontId="43" fillId="48" borderId="42" applyNumberFormat="0" applyAlignment="0" applyProtection="0"/>
    <xf numFmtId="188" fontId="43" fillId="48" borderId="42" applyNumberFormat="0" applyAlignment="0" applyProtection="0"/>
    <xf numFmtId="188" fontId="77" fillId="68" borderId="50" applyNumberFormat="0" applyAlignment="0">
      <protection locked="0"/>
    </xf>
    <xf numFmtId="188" fontId="37" fillId="52" borderId="0" applyNumberFormat="0" applyBorder="0" applyAlignment="0" applyProtection="0"/>
    <xf numFmtId="0" fontId="77" fillId="68" borderId="50" applyNumberFormat="0" applyAlignment="0">
      <protection locked="0"/>
    </xf>
    <xf numFmtId="0" fontId="77" fillId="68" borderId="50" applyNumberFormat="0" applyAlignment="0">
      <protection locked="0"/>
    </xf>
    <xf numFmtId="0" fontId="35" fillId="0" borderId="55">
      <alignment horizontal="left" vertical="center"/>
    </xf>
    <xf numFmtId="0" fontId="77" fillId="68" borderId="50" applyNumberFormat="0" applyAlignment="0">
      <protection locked="0"/>
    </xf>
    <xf numFmtId="0" fontId="43" fillId="48" borderId="42" applyNumberFormat="0" applyAlignment="0" applyProtection="0"/>
    <xf numFmtId="0" fontId="43" fillId="48" borderId="42" applyNumberFormat="0" applyAlignment="0" applyProtection="0"/>
    <xf numFmtId="0" fontId="32" fillId="46" borderId="49" applyNumberFormat="0" applyFont="0" applyAlignment="0" applyProtection="0"/>
    <xf numFmtId="0" fontId="29" fillId="46" borderId="49" applyNumberFormat="0" applyFont="0" applyAlignment="0" applyProtection="0"/>
    <xf numFmtId="0" fontId="37" fillId="46" borderId="49" applyNumberFormat="0" applyFont="0" applyAlignment="0" applyProtection="0"/>
    <xf numFmtId="188" fontId="35" fillId="0" borderId="55">
      <alignment horizontal="left" vertical="center"/>
    </xf>
    <xf numFmtId="188" fontId="32" fillId="46" borderId="49" applyNumberFormat="0" applyFont="0" applyAlignment="0" applyProtection="0"/>
    <xf numFmtId="188" fontId="29" fillId="46" borderId="49" applyNumberFormat="0" applyFont="0" applyAlignment="0" applyProtection="0"/>
    <xf numFmtId="188" fontId="37" fillId="46" borderId="49" applyNumberFormat="0" applyFont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7" fillId="0" borderId="0" applyFont="0" applyFill="0" applyBorder="0" applyAlignment="0" applyProtection="0"/>
    <xf numFmtId="6" fontId="29" fillId="0" borderId="0" applyNumberFormat="0" applyBorder="0" applyAlignment="0">
      <alignment horizontal="center"/>
      <protection locked="0"/>
    </xf>
    <xf numFmtId="43" fontId="1" fillId="0" borderId="0" applyFont="0" applyFill="0" applyBorder="0" applyAlignment="0" applyProtection="0"/>
  </cellStyleXfs>
  <cellXfs count="214">
    <xf numFmtId="0" fontId="0" fillId="0" borderId="0" xfId="0"/>
    <xf numFmtId="15" fontId="0" fillId="0" borderId="0" xfId="0" applyNumberFormat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/>
    <xf numFmtId="0" fontId="3" fillId="0" borderId="0" xfId="0" applyFont="1" applyAlignment="1">
      <alignment horizontal="center"/>
    </xf>
    <xf numFmtId="0" fontId="0" fillId="2" borderId="0" xfId="0" applyFill="1"/>
    <xf numFmtId="0" fontId="3" fillId="0" borderId="0" xfId="0" quotePrefix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3" fillId="0" borderId="0" xfId="0" applyFont="1" applyAlignment="1">
      <alignment horizontal="center"/>
    </xf>
    <xf numFmtId="10" fontId="0" fillId="0" borderId="0" xfId="2" applyNumberFormat="1" applyFont="1"/>
    <xf numFmtId="0" fontId="3" fillId="0" borderId="0" xfId="0" applyFont="1" applyAlignment="1">
      <alignment horizontal="right"/>
    </xf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10" fontId="0" fillId="0" borderId="0" xfId="2" applyNumberFormat="1" applyFont="1" applyAlignment="1">
      <alignment horizontal="center"/>
    </xf>
    <xf numFmtId="2" fontId="0" fillId="0" borderId="0" xfId="2" applyNumberFormat="1" applyFont="1" applyAlignment="1">
      <alignment horizontal="center"/>
    </xf>
    <xf numFmtId="2" fontId="0" fillId="3" borderId="0" xfId="0" applyNumberFormat="1" applyFill="1"/>
    <xf numFmtId="15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43" fontId="0" fillId="0" borderId="0" xfId="1" applyFont="1"/>
    <xf numFmtId="165" fontId="0" fillId="0" borderId="0" xfId="1" applyNumberFormat="1" applyFont="1"/>
    <xf numFmtId="43" fontId="0" fillId="0" borderId="0" xfId="0" applyNumberFormat="1"/>
    <xf numFmtId="0" fontId="3" fillId="0" borderId="0" xfId="0" applyFont="1" applyAlignment="1">
      <alignment horizontal="center"/>
    </xf>
    <xf numFmtId="0" fontId="0" fillId="0" borderId="0" xfId="0" applyBorder="1"/>
    <xf numFmtId="0" fontId="0" fillId="0" borderId="2" xfId="0" applyBorder="1"/>
    <xf numFmtId="0" fontId="0" fillId="0" borderId="2" xfId="0" applyBorder="1" applyAlignment="1">
      <alignment horizontal="center"/>
    </xf>
    <xf numFmtId="9" fontId="0" fillId="0" borderId="2" xfId="0" applyNumberForma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9" fontId="0" fillId="2" borderId="0" xfId="0" applyNumberFormat="1" applyFill="1" applyAlignment="1">
      <alignment horizontal="center"/>
    </xf>
    <xf numFmtId="10" fontId="0" fillId="0" borderId="0" xfId="0" applyNumberFormat="1"/>
    <xf numFmtId="10" fontId="0" fillId="3" borderId="0" xfId="2" applyNumberFormat="1" applyFont="1" applyFill="1" applyAlignment="1">
      <alignment horizontal="center"/>
    </xf>
    <xf numFmtId="0" fontId="0" fillId="2" borderId="0" xfId="0" applyFill="1" applyAlignment="1">
      <alignment horizontal="center"/>
    </xf>
    <xf numFmtId="2" fontId="0" fillId="0" borderId="6" xfId="0" applyNumberFormat="1" applyBorder="1"/>
    <xf numFmtId="2" fontId="0" fillId="2" borderId="0" xfId="0" applyNumberFormat="1" applyFill="1" applyBorder="1"/>
    <xf numFmtId="2" fontId="0" fillId="0" borderId="0" xfId="0" applyNumberFormat="1" applyBorder="1"/>
    <xf numFmtId="2" fontId="0" fillId="0" borderId="7" xfId="0" applyNumberFormat="1" applyBorder="1"/>
    <xf numFmtId="0" fontId="0" fillId="2" borderId="0" xfId="0" applyFill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0" fillId="0" borderId="13" xfId="0" applyBorder="1"/>
    <xf numFmtId="2" fontId="0" fillId="3" borderId="6" xfId="0" applyNumberFormat="1" applyFill="1" applyBorder="1"/>
    <xf numFmtId="10" fontId="0" fillId="0" borderId="15" xfId="2" applyNumberFormat="1" applyFont="1" applyBorder="1" applyAlignment="1">
      <alignment horizontal="center"/>
    </xf>
    <xf numFmtId="9" fontId="3" fillId="0" borderId="12" xfId="0" applyNumberFormat="1" applyFont="1" applyBorder="1" applyAlignment="1">
      <alignment horizontal="center"/>
    </xf>
    <xf numFmtId="9" fontId="3" fillId="0" borderId="3" xfId="0" applyNumberFormat="1" applyFont="1" applyBorder="1" applyAlignment="1">
      <alignment horizontal="center"/>
    </xf>
    <xf numFmtId="9" fontId="0" fillId="2" borderId="0" xfId="0" applyNumberFormat="1" applyFill="1"/>
    <xf numFmtId="10" fontId="0" fillId="0" borderId="6" xfId="0" applyNumberFormat="1" applyBorder="1"/>
    <xf numFmtId="10" fontId="0" fillId="0" borderId="0" xfId="0" applyNumberFormat="1" applyBorder="1"/>
    <xf numFmtId="9" fontId="3" fillId="0" borderId="8" xfId="0" applyNumberFormat="1" applyFont="1" applyBorder="1" applyAlignment="1">
      <alignment horizontal="center"/>
    </xf>
    <xf numFmtId="9" fontId="3" fillId="0" borderId="9" xfId="0" applyNumberFormat="1" applyFont="1" applyBorder="1" applyAlignment="1">
      <alignment horizontal="center"/>
    </xf>
    <xf numFmtId="9" fontId="3" fillId="0" borderId="10" xfId="0" applyNumberFormat="1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0" xfId="0" applyFont="1" applyBorder="1" applyAlignment="1">
      <alignment horizontal="right"/>
    </xf>
    <xf numFmtId="9" fontId="0" fillId="2" borderId="0" xfId="0" applyNumberFormat="1" applyFill="1" applyBorder="1"/>
    <xf numFmtId="10" fontId="0" fillId="0" borderId="0" xfId="2" applyNumberFormat="1" applyFont="1" applyBorder="1" applyAlignment="1">
      <alignment horizontal="center"/>
    </xf>
    <xf numFmtId="0" fontId="2" fillId="0" borderId="17" xfId="0" applyFont="1" applyBorder="1" applyAlignment="1">
      <alignment horizontal="right"/>
    </xf>
    <xf numFmtId="0" fontId="2" fillId="0" borderId="18" xfId="0" applyFont="1" applyBorder="1" applyAlignment="1">
      <alignment horizontal="center"/>
    </xf>
    <xf numFmtId="0" fontId="0" fillId="0" borderId="18" xfId="0" applyBorder="1"/>
    <xf numFmtId="0" fontId="2" fillId="0" borderId="18" xfId="0" applyFont="1" applyBorder="1" applyAlignment="1">
      <alignment horizontal="right"/>
    </xf>
    <xf numFmtId="9" fontId="0" fillId="2" borderId="18" xfId="0" applyNumberFormat="1" applyFill="1" applyBorder="1"/>
    <xf numFmtId="0" fontId="0" fillId="0" borderId="19" xfId="0" applyBorder="1"/>
    <xf numFmtId="0" fontId="2" fillId="0" borderId="20" xfId="0" applyFont="1" applyBorder="1" applyAlignment="1">
      <alignment horizontal="right"/>
    </xf>
    <xf numFmtId="9" fontId="3" fillId="0" borderId="22" xfId="0" applyNumberFormat="1" applyFont="1" applyBorder="1" applyAlignment="1">
      <alignment horizontal="center"/>
    </xf>
    <xf numFmtId="9" fontId="3" fillId="0" borderId="23" xfId="0" applyNumberFormat="1" applyFont="1" applyBorder="1" applyAlignment="1">
      <alignment horizontal="center"/>
    </xf>
    <xf numFmtId="10" fontId="0" fillId="0" borderId="20" xfId="2" applyNumberFormat="1" applyFont="1" applyBorder="1" applyAlignment="1">
      <alignment horizontal="center"/>
    </xf>
    <xf numFmtId="10" fontId="0" fillId="0" borderId="24" xfId="0" applyNumberFormat="1" applyBorder="1"/>
    <xf numFmtId="0" fontId="0" fillId="0" borderId="0" xfId="0" applyBorder="1" applyAlignment="1">
      <alignment horizontal="center"/>
    </xf>
    <xf numFmtId="15" fontId="0" fillId="2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43" fontId="0" fillId="0" borderId="0" xfId="1" applyFont="1" applyAlignment="1">
      <alignment horizontal="center"/>
    </xf>
    <xf numFmtId="0" fontId="2" fillId="0" borderId="0" xfId="0" applyFont="1" applyAlignment="1">
      <alignment horizontal="left" indent="1"/>
    </xf>
    <xf numFmtId="17" fontId="0" fillId="0" borderId="0" xfId="0" applyNumberFormat="1"/>
    <xf numFmtId="14" fontId="0" fillId="0" borderId="0" xfId="0" applyNumberFormat="1"/>
    <xf numFmtId="14" fontId="0" fillId="0" borderId="0" xfId="0" applyNumberFormat="1"/>
    <xf numFmtId="15" fontId="2" fillId="0" borderId="0" xfId="0" applyNumberFormat="1" applyFont="1" applyAlignment="1">
      <alignment horizontal="center"/>
    </xf>
    <xf numFmtId="15" fontId="3" fillId="0" borderId="0" xfId="0" applyNumberFormat="1" applyFont="1"/>
    <xf numFmtId="15" fontId="3" fillId="0" borderId="0" xfId="0" applyNumberFormat="1" applyFont="1" applyAlignment="1">
      <alignment horizontal="center"/>
    </xf>
    <xf numFmtId="9" fontId="3" fillId="0" borderId="0" xfId="2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0" fillId="0" borderId="6" xfId="2" applyNumberFormat="1" applyFont="1" applyBorder="1"/>
    <xf numFmtId="10" fontId="0" fillId="0" borderId="0" xfId="2" applyNumberFormat="1" applyFont="1" applyBorder="1"/>
    <xf numFmtId="10" fontId="0" fillId="0" borderId="7" xfId="2" applyNumberFormat="1" applyFont="1" applyBorder="1"/>
    <xf numFmtId="10" fontId="0" fillId="0" borderId="8" xfId="2" applyNumberFormat="1" applyFont="1" applyBorder="1"/>
    <xf numFmtId="10" fontId="0" fillId="0" borderId="9" xfId="2" applyNumberFormat="1" applyFont="1" applyBorder="1"/>
    <xf numFmtId="10" fontId="0" fillId="0" borderId="10" xfId="2" applyNumberFormat="1" applyFont="1" applyBorder="1"/>
    <xf numFmtId="0" fontId="3" fillId="0" borderId="14" xfId="0" applyFont="1" applyBorder="1" applyAlignment="1">
      <alignment horizontal="center"/>
    </xf>
    <xf numFmtId="10" fontId="0" fillId="0" borderId="15" xfId="2" applyNumberFormat="1" applyFont="1" applyBorder="1"/>
    <xf numFmtId="10" fontId="0" fillId="0" borderId="16" xfId="2" applyNumberFormat="1" applyFont="1" applyBorder="1"/>
    <xf numFmtId="15" fontId="3" fillId="0" borderId="0" xfId="0" applyNumberFormat="1" applyFont="1" applyAlignment="1"/>
    <xf numFmtId="166" fontId="0" fillId="0" borderId="0" xfId="1" applyNumberFormat="1" applyFont="1"/>
    <xf numFmtId="0" fontId="4" fillId="4" borderId="2" xfId="0" applyFont="1" applyFill="1" applyBorder="1" applyAlignment="1">
      <alignment horizontal="center"/>
    </xf>
    <xf numFmtId="15" fontId="4" fillId="4" borderId="2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43" fontId="4" fillId="4" borderId="2" xfId="1" applyFont="1" applyFill="1" applyBorder="1" applyAlignment="1">
      <alignment horizontal="center"/>
    </xf>
    <xf numFmtId="167" fontId="0" fillId="0" borderId="0" xfId="2" applyNumberFormat="1" applyFont="1"/>
    <xf numFmtId="43" fontId="0" fillId="0" borderId="0" xfId="1" applyNumberFormat="1" applyFont="1"/>
    <xf numFmtId="168" fontId="0" fillId="2" borderId="0" xfId="0" applyNumberFormat="1" applyFill="1"/>
    <xf numFmtId="15" fontId="0" fillId="2" borderId="0" xfId="0" applyNumberFormat="1" applyFill="1"/>
    <xf numFmtId="43" fontId="0" fillId="2" borderId="0" xfId="1" applyFont="1" applyFill="1"/>
    <xf numFmtId="0" fontId="0" fillId="5" borderId="0" xfId="0" applyFill="1"/>
    <xf numFmtId="0" fontId="0" fillId="5" borderId="0" xfId="0" applyFill="1" applyAlignment="1">
      <alignment horizontal="center"/>
    </xf>
    <xf numFmtId="0" fontId="0" fillId="6" borderId="0" xfId="0" applyFill="1"/>
    <xf numFmtId="15" fontId="0" fillId="6" borderId="0" xfId="0" applyNumberFormat="1" applyFill="1"/>
    <xf numFmtId="43" fontId="0" fillId="6" borderId="0" xfId="1" applyFont="1" applyFill="1"/>
    <xf numFmtId="43" fontId="0" fillId="6" borderId="0" xfId="1" applyFont="1" applyFill="1" applyAlignment="1">
      <alignment horizontal="center"/>
    </xf>
    <xf numFmtId="43" fontId="0" fillId="0" borderId="4" xfId="1" applyFont="1" applyBorder="1"/>
    <xf numFmtId="43" fontId="0" fillId="0" borderId="1" xfId="1" applyFont="1" applyBorder="1"/>
    <xf numFmtId="43" fontId="0" fillId="0" borderId="5" xfId="1" applyFont="1" applyBorder="1"/>
    <xf numFmtId="43" fontId="0" fillId="0" borderId="6" xfId="1" applyFont="1" applyBorder="1"/>
    <xf numFmtId="43" fontId="0" fillId="0" borderId="0" xfId="1" applyFont="1" applyBorder="1"/>
    <xf numFmtId="43" fontId="0" fillId="0" borderId="7" xfId="1" applyFont="1" applyBorder="1"/>
    <xf numFmtId="43" fontId="0" fillId="0" borderId="8" xfId="1" applyFont="1" applyBorder="1"/>
    <xf numFmtId="43" fontId="0" fillId="0" borderId="9" xfId="1" applyFont="1" applyBorder="1"/>
    <xf numFmtId="43" fontId="0" fillId="0" borderId="10" xfId="1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6" fillId="7" borderId="26" xfId="0" applyFont="1" applyFill="1" applyBorder="1" applyAlignment="1">
      <alignment horizontal="center" vertical="center" wrapText="1"/>
    </xf>
    <xf numFmtId="0" fontId="6" fillId="7" borderId="27" xfId="0" applyFont="1" applyFill="1" applyBorder="1" applyAlignment="1">
      <alignment horizontal="center" vertical="center" wrapText="1"/>
    </xf>
    <xf numFmtId="0" fontId="6" fillId="7" borderId="28" xfId="0" applyFont="1" applyFill="1" applyBorder="1" applyAlignment="1">
      <alignment horizontal="center" vertical="center" wrapText="1"/>
    </xf>
    <xf numFmtId="0" fontId="7" fillId="8" borderId="29" xfId="0" applyFont="1" applyFill="1" applyBorder="1" applyAlignment="1">
      <alignment horizontal="center" vertical="center" wrapText="1"/>
    </xf>
    <xf numFmtId="0" fontId="7" fillId="8" borderId="24" xfId="0" applyFont="1" applyFill="1" applyBorder="1" applyAlignment="1">
      <alignment horizontal="center" vertical="center" wrapText="1"/>
    </xf>
    <xf numFmtId="0" fontId="8" fillId="9" borderId="30" xfId="0" applyFont="1" applyFill="1" applyBorder="1" applyAlignment="1">
      <alignment vertical="center"/>
    </xf>
    <xf numFmtId="169" fontId="9" fillId="9" borderId="28" xfId="2" applyNumberFormat="1" applyFont="1" applyFill="1" applyBorder="1" applyAlignment="1">
      <alignment horizontal="right" vertical="center"/>
    </xf>
    <xf numFmtId="169" fontId="10" fillId="9" borderId="28" xfId="2" applyNumberFormat="1" applyFont="1" applyFill="1" applyBorder="1" applyAlignment="1">
      <alignment horizontal="right" vertical="center"/>
    </xf>
    <xf numFmtId="0" fontId="8" fillId="9" borderId="31" xfId="0" applyFont="1" applyFill="1" applyBorder="1" applyAlignment="1">
      <alignment vertical="center"/>
    </xf>
    <xf numFmtId="169" fontId="9" fillId="9" borderId="25" xfId="2" applyNumberFormat="1" applyFont="1" applyFill="1" applyBorder="1" applyAlignment="1">
      <alignment horizontal="right" vertical="center"/>
    </xf>
    <xf numFmtId="169" fontId="10" fillId="9" borderId="25" xfId="2" applyNumberFormat="1" applyFont="1" applyFill="1" applyBorder="1" applyAlignment="1">
      <alignment horizontal="right" vertical="center" wrapText="1"/>
    </xf>
    <xf numFmtId="169" fontId="10" fillId="9" borderId="25" xfId="2" applyNumberFormat="1" applyFont="1" applyFill="1" applyBorder="1" applyAlignment="1">
      <alignment horizontal="right" vertical="center"/>
    </xf>
    <xf numFmtId="169" fontId="0" fillId="0" borderId="0" xfId="2" applyNumberFormat="1" applyFont="1" applyAlignment="1">
      <alignment horizontal="center"/>
    </xf>
    <xf numFmtId="9" fontId="0" fillId="0" borderId="0" xfId="2" applyNumberFormat="1" applyFont="1" applyAlignment="1">
      <alignment horizontal="center"/>
    </xf>
    <xf numFmtId="167" fontId="0" fillId="0" borderId="0" xfId="2" applyNumberFormat="1" applyFont="1" applyAlignment="1">
      <alignment horizontal="center"/>
    </xf>
    <xf numFmtId="166" fontId="0" fillId="0" borderId="0" xfId="1" applyNumberFormat="1" applyFont="1" applyAlignment="1">
      <alignment horizontal="center"/>
    </xf>
    <xf numFmtId="166" fontId="0" fillId="0" borderId="0" xfId="0" applyNumberFormat="1"/>
    <xf numFmtId="0" fontId="0" fillId="10" borderId="0" xfId="0" applyFill="1"/>
    <xf numFmtId="0" fontId="0" fillId="10" borderId="0" xfId="0" applyFill="1" applyAlignment="1">
      <alignment horizontal="center"/>
    </xf>
    <xf numFmtId="168" fontId="0" fillId="0" borderId="0" xfId="0" applyNumberFormat="1"/>
    <xf numFmtId="170" fontId="0" fillId="0" borderId="0" xfId="0" applyNumberFormat="1"/>
    <xf numFmtId="168" fontId="0" fillId="0" borderId="0" xfId="1" applyNumberFormat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43" fontId="0" fillId="0" borderId="0" xfId="1" quotePrefix="1" applyFont="1"/>
    <xf numFmtId="3" fontId="0" fillId="0" borderId="0" xfId="1" applyNumberFormat="1" applyFont="1" applyAlignment="1">
      <alignment horizontal="center"/>
    </xf>
    <xf numFmtId="0" fontId="0" fillId="0" borderId="0" xfId="0" quotePrefix="1"/>
    <xf numFmtId="10" fontId="0" fillId="2" borderId="0" xfId="0" applyNumberFormat="1" applyFill="1" applyAlignment="1">
      <alignment horizontal="center"/>
    </xf>
    <xf numFmtId="10" fontId="3" fillId="0" borderId="0" xfId="0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7" fontId="0" fillId="2" borderId="0" xfId="1" applyNumberFormat="1" applyFont="1" applyFill="1"/>
    <xf numFmtId="17" fontId="0" fillId="2" borderId="0" xfId="0" applyNumberFormat="1" applyFill="1"/>
    <xf numFmtId="165" fontId="0" fillId="2" borderId="0" xfId="1" applyNumberFormat="1" applyFont="1" applyFill="1"/>
    <xf numFmtId="172" fontId="0" fillId="2" borderId="0" xfId="1" applyNumberFormat="1" applyFont="1" applyFill="1"/>
    <xf numFmtId="17" fontId="0" fillId="0" borderId="0" xfId="0" applyNumberFormat="1" applyAlignment="1">
      <alignment horizontal="center"/>
    </xf>
    <xf numFmtId="43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center"/>
    </xf>
    <xf numFmtId="0" fontId="0" fillId="0" borderId="0" xfId="1" applyNumberFormat="1" applyFont="1" applyAlignment="1">
      <alignment horizontal="center"/>
    </xf>
    <xf numFmtId="43" fontId="0" fillId="2" borderId="0" xfId="0" applyNumberFormat="1" applyFill="1"/>
    <xf numFmtId="0" fontId="8" fillId="0" borderId="0" xfId="0" applyFont="1" applyAlignment="1">
      <alignment horizontal="center" vertical="center"/>
    </xf>
    <xf numFmtId="17" fontId="9" fillId="0" borderId="0" xfId="0" applyNumberFormat="1" applyFont="1" applyAlignment="1">
      <alignment horizontal="center" vertical="center"/>
    </xf>
    <xf numFmtId="3" fontId="9" fillId="0" borderId="0" xfId="0" applyNumberFormat="1" applyFont="1" applyAlignment="1">
      <alignment horizontal="center" vertical="center"/>
    </xf>
    <xf numFmtId="43" fontId="2" fillId="0" borderId="0" xfId="1" applyFont="1" applyAlignment="1">
      <alignment horizontal="center"/>
    </xf>
    <xf numFmtId="4" fontId="9" fillId="0" borderId="0" xfId="0" applyNumberFormat="1" applyFont="1" applyAlignment="1">
      <alignment horizontal="center" vertical="center"/>
    </xf>
    <xf numFmtId="2" fontId="0" fillId="5" borderId="0" xfId="0" applyNumberFormat="1" applyFill="1"/>
    <xf numFmtId="0" fontId="3" fillId="0" borderId="0" xfId="0" applyFont="1" applyAlignment="1">
      <alignment horizontal="center"/>
    </xf>
    <xf numFmtId="9" fontId="0" fillId="0" borderId="0" xfId="0" applyNumberFormat="1"/>
    <xf numFmtId="0" fontId="3" fillId="0" borderId="0" xfId="0" applyFont="1" applyAlignment="1">
      <alignment horizontal="center"/>
    </xf>
    <xf numFmtId="0" fontId="11" fillId="0" borderId="0" xfId="0" applyFont="1" applyAlignment="1">
      <alignment vertical="center" wrapText="1"/>
    </xf>
    <xf numFmtId="0" fontId="11" fillId="0" borderId="0" xfId="0" applyFont="1" applyAlignment="1">
      <alignment vertical="center"/>
    </xf>
    <xf numFmtId="15" fontId="11" fillId="0" borderId="0" xfId="0" applyNumberFormat="1" applyFont="1" applyAlignment="1">
      <alignment vertical="center" wrapText="1"/>
    </xf>
    <xf numFmtId="3" fontId="11" fillId="0" borderId="0" xfId="0" applyNumberFormat="1" applyFont="1" applyAlignment="1">
      <alignment horizontal="right" vertical="center"/>
    </xf>
    <xf numFmtId="10" fontId="11" fillId="0" borderId="0" xfId="0" applyNumberFormat="1" applyFont="1" applyAlignment="1">
      <alignment vertical="center" wrapText="1"/>
    </xf>
    <xf numFmtId="2" fontId="11" fillId="0" borderId="0" xfId="1" applyNumberFormat="1" applyFont="1" applyAlignment="1">
      <alignment vertical="center" wrapText="1"/>
    </xf>
    <xf numFmtId="172" fontId="0" fillId="0" borderId="0" xfId="1" applyNumberFormat="1" applyFont="1"/>
    <xf numFmtId="172" fontId="0" fillId="0" borderId="0" xfId="0" applyNumberFormat="1"/>
    <xf numFmtId="0" fontId="3" fillId="0" borderId="0" xfId="0" applyFont="1" applyAlignment="1">
      <alignment horizontal="center"/>
    </xf>
    <xf numFmtId="0" fontId="0" fillId="0" borderId="0" xfId="0" applyAlignment="1">
      <alignment horizontal="left" vertical="center" indent="1"/>
    </xf>
    <xf numFmtId="173" fontId="0" fillId="0" borderId="7" xfId="0" applyNumberFormat="1" applyBorder="1"/>
    <xf numFmtId="0" fontId="0" fillId="0" borderId="0" xfId="0"/>
    <xf numFmtId="0" fontId="0" fillId="0" borderId="0" xfId="0" applyAlignment="1">
      <alignment horizontal="center"/>
    </xf>
    <xf numFmtId="0" fontId="27" fillId="0" borderId="0" xfId="46"/>
    <xf numFmtId="15" fontId="0" fillId="2" borderId="0" xfId="1" applyNumberFormat="1" applyFont="1" applyFill="1"/>
    <xf numFmtId="0" fontId="27" fillId="0" borderId="0" xfId="46"/>
    <xf numFmtId="10" fontId="0" fillId="2" borderId="0" xfId="0" applyNumberFormat="1" applyFill="1"/>
    <xf numFmtId="0" fontId="3" fillId="0" borderId="0" xfId="0" applyFont="1" applyAlignment="1">
      <alignment horizontal="center"/>
    </xf>
    <xf numFmtId="43" fontId="0" fillId="2" borderId="0" xfId="1" applyFont="1" applyFill="1" applyAlignment="1">
      <alignment horizontal="center"/>
    </xf>
    <xf numFmtId="0" fontId="104" fillId="0" borderId="0" xfId="0" applyFont="1"/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15" fontId="9" fillId="0" borderId="0" xfId="0" applyNumberFormat="1" applyFont="1" applyAlignment="1">
      <alignment horizontal="right" vertical="center"/>
    </xf>
    <xf numFmtId="190" fontId="0" fillId="0" borderId="0" xfId="0" applyNumberFormat="1"/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1" xfId="0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15" fontId="3" fillId="0" borderId="4" xfId="0" applyNumberFormat="1" applyFont="1" applyBorder="1" applyAlignment="1">
      <alignment horizontal="center"/>
    </xf>
    <xf numFmtId="15" fontId="3" fillId="0" borderId="5" xfId="0" applyNumberFormat="1" applyFont="1" applyBorder="1" applyAlignment="1">
      <alignment horizontal="center"/>
    </xf>
    <xf numFmtId="15" fontId="3" fillId="0" borderId="0" xfId="0" applyNumberFormat="1" applyFont="1" applyAlignment="1">
      <alignment horizontal="center"/>
    </xf>
    <xf numFmtId="15" fontId="3" fillId="0" borderId="1" xfId="0" applyNumberFormat="1" applyFont="1" applyBorder="1" applyAlignment="1">
      <alignment horizontal="center"/>
    </xf>
    <xf numFmtId="166" fontId="0" fillId="2" borderId="0" xfId="1" applyNumberFormat="1" applyFont="1" applyFill="1"/>
    <xf numFmtId="15" fontId="0" fillId="0" borderId="0" xfId="2" applyNumberFormat="1" applyFont="1"/>
    <xf numFmtId="16" fontId="0" fillId="0" borderId="0" xfId="0" applyNumberFormat="1"/>
    <xf numFmtId="4" fontId="105" fillId="0" borderId="0" xfId="0" applyNumberFormat="1" applyFont="1" applyAlignment="1">
      <alignment vertical="center" wrapText="1"/>
    </xf>
  </cellXfs>
  <cellStyles count="21099">
    <cellStyle name="_Energy Attrib" xfId="53" xr:uid="{C21460D3-289B-4EBE-8D67-58C4820628FA}"/>
    <cellStyle name="_Energy Attrib 2" xfId="1883" xr:uid="{1BD019AD-B671-4F5A-B1BB-8F986FFEE4F6}"/>
    <cellStyle name="_Energy Attrib 3" xfId="16504" xr:uid="{F893D981-A5EC-4634-8175-B76F9C82D475}"/>
    <cellStyle name="_i. Net Risk" xfId="54" xr:uid="{49DC03C5-E024-401F-87FF-5037A6C9D319}"/>
    <cellStyle name="_i. Net Risk 2" xfId="1884" xr:uid="{D2725D3E-48EE-4C60-85C8-74A828BD517F}"/>
    <cellStyle name="_i. Net Risk 3" xfId="16505" xr:uid="{2856754F-EA32-4407-B3FB-3ED19050731B}"/>
    <cellStyle name="_vi. Funding Summary" xfId="55" xr:uid="{09A70B05-72D5-4FAB-A90D-DCF592DFBAC9}"/>
    <cellStyle name="_vi. Funding Summary 2" xfId="1885" xr:uid="{344A1174-7D5F-4862-A8AB-BA0043A8EC3C}"/>
    <cellStyle name="_vi. Funding Summary 3" xfId="16506" xr:uid="{1EEE9D89-0D69-4F32-B9DF-5994B7A971FE}"/>
    <cellStyle name="20% - Accent1" xfId="23" builtinId="30" customBuiltin="1"/>
    <cellStyle name="20% - Accent1 10" xfId="3930" xr:uid="{B719E17F-F73B-48C9-BA75-E174B9C5D893}"/>
    <cellStyle name="20% - Accent1 10 2" xfId="3931" xr:uid="{557F1667-9613-4B4A-B064-B82C35BF0488}"/>
    <cellStyle name="20% - Accent1 10 2 2" xfId="3932" xr:uid="{D7731523-DEBE-4526-B3E3-77F31BA035BC}"/>
    <cellStyle name="20% - Accent1 10 2 2 2" xfId="3933" xr:uid="{E5CE068C-D386-4EAF-AC57-32DFD113626F}"/>
    <cellStyle name="20% - Accent1 10 2 2_Working Capital Current" xfId="12885" xr:uid="{77C46D66-DCF7-4F64-A13F-535A52B4C93E}"/>
    <cellStyle name="20% - Accent1 10 2 3" xfId="3934" xr:uid="{95CDBDF1-0A7D-45BE-8091-CB8EB009CD3D}"/>
    <cellStyle name="20% - Accent1 10 2 4" xfId="3935" xr:uid="{86D32917-416D-405B-A31E-E22241B71C08}"/>
    <cellStyle name="20% - Accent1 10 2_Working Capital Current" xfId="12886" xr:uid="{19FFC04A-82C5-4EFD-8F0A-119F3E2F6CEA}"/>
    <cellStyle name="20% - Accent1 10 3" xfId="3936" xr:uid="{FF225391-7396-4E61-BEA9-B634C8E2E3FD}"/>
    <cellStyle name="20% - Accent1 10 3 2" xfId="3937" xr:uid="{5439C12C-0E52-4A8C-A488-3293DAF711C0}"/>
    <cellStyle name="20% - Accent1 10 3_Working Capital Current" xfId="12887" xr:uid="{38F99D64-F8D0-4166-8102-B8AE33D3DA3A}"/>
    <cellStyle name="20% - Accent1 10 4" xfId="3938" xr:uid="{576631C7-61FA-4C30-B741-346D06CBB7DD}"/>
    <cellStyle name="20% - Accent1 10 5" xfId="3939" xr:uid="{B54972F1-58FB-41AB-BF6A-AAC2B0CA5D62}"/>
    <cellStyle name="20% - Accent1 10_Not_for_upload_before_M4_correc" xfId="12888" xr:uid="{F277E86F-04DD-4A8F-AE4F-443005D3BF28}"/>
    <cellStyle name="20% - Accent1 100" xfId="3940" xr:uid="{7506D3B7-59EC-48C0-8C00-7707E33879FC}"/>
    <cellStyle name="20% - Accent1 100 2" xfId="3941" xr:uid="{BA147949-04EC-4442-81E3-BCAE469C80F8}"/>
    <cellStyle name="20% - Accent1 100 2 2" xfId="3942" xr:uid="{E821355C-A2F9-4F6A-9E4D-E5566AB06FBE}"/>
    <cellStyle name="20% - Accent1 100 2_Working Capital Current" xfId="12889" xr:uid="{0FB10915-7A7F-4FB0-907D-9DFDEF3C667D}"/>
    <cellStyle name="20% - Accent1 100 3" xfId="3943" xr:uid="{97BE752C-AD44-4052-A25F-645074B872CC}"/>
    <cellStyle name="20% - Accent1 100 4" xfId="3944" xr:uid="{4857E90A-EB15-4850-A72C-2ABCE9D65C35}"/>
    <cellStyle name="20% - Accent1 100_Working Capital Current" xfId="12890" xr:uid="{C32A0E0D-4E6A-4457-B971-9C34C8569D3F}"/>
    <cellStyle name="20% - Accent1 101" xfId="3945" xr:uid="{D9711B97-231D-4E43-837F-DBE0A1E7E237}"/>
    <cellStyle name="20% - Accent1 101 2" xfId="3946" xr:uid="{056E29EA-B0EE-498A-BA7E-6557B4D36CB2}"/>
    <cellStyle name="20% - Accent1 101 3" xfId="3947" xr:uid="{21A331A7-77DC-4C25-9AC9-96B47709C103}"/>
    <cellStyle name="20% - Accent1 101_Working Capital Current" xfId="12891" xr:uid="{C6EBC77B-001F-402B-B4D4-B6D32EDA87F1}"/>
    <cellStyle name="20% - Accent1 102" xfId="3948" xr:uid="{91D07667-E17A-412A-8150-2D6A7319219A}"/>
    <cellStyle name="20% - Accent1 102 2" xfId="3949" xr:uid="{24A9E69A-B93B-48EE-8A58-3CF74411CDAB}"/>
    <cellStyle name="20% - Accent1 102 3" xfId="3950" xr:uid="{B8A96199-D251-4399-A1A0-2FFD1A54D116}"/>
    <cellStyle name="20% - Accent1 102_Working Capital Current" xfId="12892" xr:uid="{EEA099E4-5B94-4831-A585-5A3F804BD853}"/>
    <cellStyle name="20% - Accent1 103" xfId="3951" xr:uid="{3B2D9BDF-53A5-4493-B89F-EA492B244480}"/>
    <cellStyle name="20% - Accent1 104" xfId="3952" xr:uid="{D698A6A7-5AD9-46A4-8644-D70A3E5BA917}"/>
    <cellStyle name="20% - Accent1 105" xfId="12893" xr:uid="{13F2BC2B-5A57-4293-B010-8116B6DD651F}"/>
    <cellStyle name="20% - Accent1 106" xfId="16486" xr:uid="{ECF4DF21-8C95-46BB-8F06-8FB33CFA186E}"/>
    <cellStyle name="20% - Accent1 107" xfId="16997" xr:uid="{C5EC3505-CF39-47C1-8F8E-12D24B29D406}"/>
    <cellStyle name="20% - Accent1 108" xfId="3910" xr:uid="{7E56DBBE-D79A-4267-AE60-B97A80769E6D}"/>
    <cellStyle name="20% - Accent1 109" xfId="18247" xr:uid="{C3B8588E-2AF4-49A3-AF7C-25FC3C4FAB0B}"/>
    <cellStyle name="20% - Accent1 11" xfId="3953" xr:uid="{A4B1D719-6961-4E95-9D69-A2B008382B86}"/>
    <cellStyle name="20% - Accent1 11 2" xfId="3954" xr:uid="{EB460A42-83B7-40EE-A7E8-3F35766568BE}"/>
    <cellStyle name="20% - Accent1 11 2 2" xfId="3955" xr:uid="{F05D8A20-1AEF-4105-9BF5-E2FDBE72B25A}"/>
    <cellStyle name="20% - Accent1 11 2 2 2" xfId="3956" xr:uid="{0C9988AC-B280-406D-A996-4E238D975C3A}"/>
    <cellStyle name="20% - Accent1 11 2 2_Working Capital Current" xfId="12894" xr:uid="{51029616-A0CE-4AB9-A1A4-E6CD06C762FF}"/>
    <cellStyle name="20% - Accent1 11 2 3" xfId="3957" xr:uid="{7F4B3127-0B05-4580-AE05-A28DC03898DA}"/>
    <cellStyle name="20% - Accent1 11 2 4" xfId="3958" xr:uid="{AE0C74E5-0445-4A68-A65F-B01B391DD228}"/>
    <cellStyle name="20% - Accent1 11 2_Working Capital Current" xfId="12895" xr:uid="{FD721A60-260E-424C-B3CA-EF5C82D66437}"/>
    <cellStyle name="20% - Accent1 11 3" xfId="3959" xr:uid="{132DDC78-901E-46E7-B84F-6C006691DD3D}"/>
    <cellStyle name="20% - Accent1 11 3 2" xfId="3960" xr:uid="{6FA3D23B-0223-451D-990A-C42E944373E9}"/>
    <cellStyle name="20% - Accent1 11 3_Working Capital Current" xfId="12896" xr:uid="{AC311650-8992-423C-A8C2-85CD50E614F5}"/>
    <cellStyle name="20% - Accent1 11 4" xfId="3961" xr:uid="{75EA791E-84DB-41A6-B6E2-D642FE2F5EDA}"/>
    <cellStyle name="20% - Accent1 11 5" xfId="3962" xr:uid="{1666E3DD-A72C-4AFC-813B-DDE96F5DB56F}"/>
    <cellStyle name="20% - Accent1 11_Not_for_upload_before_M4_correc" xfId="12897" xr:uid="{56AFED14-6942-4A4B-9123-47F2BC1E80F3}"/>
    <cellStyle name="20% - Accent1 12" xfId="3963" xr:uid="{8C8A1770-5E43-4EE2-A757-F2A0A46AD06C}"/>
    <cellStyle name="20% - Accent1 12 2" xfId="3964" xr:uid="{630E15AF-2E74-4BDC-9C27-929A3E72432B}"/>
    <cellStyle name="20% - Accent1 12 2 2" xfId="3965" xr:uid="{94FAE51F-CDD8-4262-81A3-DE8E79D51D70}"/>
    <cellStyle name="20% - Accent1 12 2 2 2" xfId="3966" xr:uid="{8AC08FD4-455A-4DBF-A7C0-5A3F29E711F8}"/>
    <cellStyle name="20% - Accent1 12 2 2_Working Capital Current" xfId="12898" xr:uid="{D3638A33-C2B0-4211-A05A-2D602508D044}"/>
    <cellStyle name="20% - Accent1 12 2 3" xfId="3967" xr:uid="{EEB9E83F-08B1-48FC-A816-BEC0DF0A92A9}"/>
    <cellStyle name="20% - Accent1 12 2 4" xfId="3968" xr:uid="{C498BED0-31B5-495A-B020-CD16FFED863E}"/>
    <cellStyle name="20% - Accent1 12 2_Working Capital Current" xfId="12899" xr:uid="{27F10754-942A-47FF-852F-B7DB52EA276F}"/>
    <cellStyle name="20% - Accent1 12 3" xfId="3969" xr:uid="{6CDB172D-A93C-46A2-9D25-D8F3D7C72A81}"/>
    <cellStyle name="20% - Accent1 12 3 2" xfId="3970" xr:uid="{20D6B856-8A61-46F9-8E3F-C0D171761476}"/>
    <cellStyle name="20% - Accent1 12 3_Working Capital Current" xfId="12900" xr:uid="{76C90B04-F632-477C-96CD-FB4CD34F26DD}"/>
    <cellStyle name="20% - Accent1 12 4" xfId="3971" xr:uid="{48933689-60DE-492C-A8E5-247C7A4E6401}"/>
    <cellStyle name="20% - Accent1 12 5" xfId="3972" xr:uid="{EBB9A12A-2866-4C9B-AB8D-204BC512E990}"/>
    <cellStyle name="20% - Accent1 12_Not_for_upload_before_M4_correc" xfId="12901" xr:uid="{F1906A7F-BD9F-413A-B6F2-4B1FADF3B652}"/>
    <cellStyle name="20% - Accent1 13" xfId="3973" xr:uid="{6BE745F1-2F6D-46E9-A969-CC4F98D48893}"/>
    <cellStyle name="20% - Accent1 13 2" xfId="3974" xr:uid="{375B1C2C-AEFC-4BFB-AF4F-ED50B542455E}"/>
    <cellStyle name="20% - Accent1 13 2 2" xfId="3975" xr:uid="{C500FE3D-CAC2-4D9D-9AD8-1DAE5212DE06}"/>
    <cellStyle name="20% - Accent1 13 2 2 2" xfId="3976" xr:uid="{2B973902-2C60-477F-B59D-F71C941A7B06}"/>
    <cellStyle name="20% - Accent1 13 2 2_Working Capital Current" xfId="12902" xr:uid="{FF83B013-1577-40A7-B87E-D0D899C2F490}"/>
    <cellStyle name="20% - Accent1 13 2 3" xfId="3977" xr:uid="{34C575C1-D0E7-42AE-B678-6F037052C55F}"/>
    <cellStyle name="20% - Accent1 13 2 4" xfId="3978" xr:uid="{9FE4A418-AEBA-44BA-AFC3-BC00BAAFAD46}"/>
    <cellStyle name="20% - Accent1 13 2_Working Capital Current" xfId="12903" xr:uid="{DB106732-1AF7-42C6-8AF5-CE166838030E}"/>
    <cellStyle name="20% - Accent1 13 3" xfId="3979" xr:uid="{BF422F3C-3669-4B53-A13B-3663B838E674}"/>
    <cellStyle name="20% - Accent1 13 3 2" xfId="3980" xr:uid="{558CAD22-25E8-470C-B440-786DA630D04E}"/>
    <cellStyle name="20% - Accent1 13 3_Working Capital Current" xfId="12904" xr:uid="{F13FB4CC-7572-4B66-AD34-833974144E02}"/>
    <cellStyle name="20% - Accent1 13 4" xfId="3981" xr:uid="{8D601238-9C42-4C31-8B95-E632600408A0}"/>
    <cellStyle name="20% - Accent1 13 5" xfId="3982" xr:uid="{8538D924-F799-4F7C-A5AF-1747F940F271}"/>
    <cellStyle name="20% - Accent1 13_Not_for_upload_before_M4_correc" xfId="12905" xr:uid="{0ACCFC8B-0451-4367-BB78-40DB9B7D3C30}"/>
    <cellStyle name="20% - Accent1 14" xfId="3983" xr:uid="{1EB95BC2-6A90-4384-BA57-4D3F0B087C1E}"/>
    <cellStyle name="20% - Accent1 14 2" xfId="3984" xr:uid="{CF160ADE-3BAF-48B1-A9A9-59885C2CA501}"/>
    <cellStyle name="20% - Accent1 14 2 2" xfId="3985" xr:uid="{4C424AAA-FB9F-48B5-8786-2EA9D4F388CF}"/>
    <cellStyle name="20% - Accent1 14 2 2 2" xfId="3986" xr:uid="{D23A3EEA-94B9-460D-A85B-ED505A63E3D3}"/>
    <cellStyle name="20% - Accent1 14 2 2_Working Capital Current" xfId="12906" xr:uid="{EDB89217-43B4-427E-86A9-24E91D161301}"/>
    <cellStyle name="20% - Accent1 14 2 3" xfId="3987" xr:uid="{50BFFFF3-0DE2-4F43-AAEB-04759607A1BA}"/>
    <cellStyle name="20% - Accent1 14 2 4" xfId="3988" xr:uid="{E4DB693C-3F96-4E07-90FD-D7F787B1B7F2}"/>
    <cellStyle name="20% - Accent1 14 2_Working Capital Current" xfId="12907" xr:uid="{5D9DC519-7029-4517-9930-82470572CDC8}"/>
    <cellStyle name="20% - Accent1 14 3" xfId="3989" xr:uid="{8AAC5E4D-0683-4237-A9C4-716762F32795}"/>
    <cellStyle name="20% - Accent1 14 3 2" xfId="3990" xr:uid="{B4F4C006-F55E-4288-98F9-B3883B9A9B45}"/>
    <cellStyle name="20% - Accent1 14 3_Working Capital Current" xfId="12908" xr:uid="{068C6192-5DDD-4135-86EB-46B81DCDFC03}"/>
    <cellStyle name="20% - Accent1 14 4" xfId="3991" xr:uid="{BF91A3CD-F8E6-4F37-9107-37E877B02686}"/>
    <cellStyle name="20% - Accent1 14 5" xfId="3992" xr:uid="{E14D96BD-10CA-4DD2-B54B-4D56CAAB6A31}"/>
    <cellStyle name="20% - Accent1 14_Not_for_upload_before_M4_correc" xfId="12909" xr:uid="{FCF640CB-098A-43E0-995C-426E83060B91}"/>
    <cellStyle name="20% - Accent1 15" xfId="3993" xr:uid="{E1370737-187D-4A42-809A-E4E66D7D7B98}"/>
    <cellStyle name="20% - Accent1 15 2" xfId="3994" xr:uid="{9731F2F2-C5A5-470D-8113-21079C59B2E4}"/>
    <cellStyle name="20% - Accent1 15 2 2" xfId="3995" xr:uid="{5A3AE41D-CB88-41BC-ADC4-03FCC8A81294}"/>
    <cellStyle name="20% - Accent1 15 2 2 2" xfId="3996" xr:uid="{2997E5F4-4DE5-4E81-94A8-1A78B3B5921A}"/>
    <cellStyle name="20% - Accent1 15 2 2_Working Capital Current" xfId="12910" xr:uid="{DD0B05EA-8ABE-496B-A072-1DBCA5CADAEB}"/>
    <cellStyle name="20% - Accent1 15 2 3" xfId="3997" xr:uid="{767AD5D1-A67C-4DE8-8B85-3BCC41A3FE27}"/>
    <cellStyle name="20% - Accent1 15 2 4" xfId="3998" xr:uid="{EEEDBC69-A491-415E-9803-309D7EEB871C}"/>
    <cellStyle name="20% - Accent1 15 2_Working Capital Current" xfId="12911" xr:uid="{1B5B3DDA-BE92-44CE-AE33-AFBAC4E6EA44}"/>
    <cellStyle name="20% - Accent1 15 3" xfId="3999" xr:uid="{FBD0235B-6163-4508-B205-6B1EE9EE8DEE}"/>
    <cellStyle name="20% - Accent1 15 3 2" xfId="4000" xr:uid="{BA11FF11-18BE-46FF-AD81-9296F69121B4}"/>
    <cellStyle name="20% - Accent1 15 3_Working Capital Current" xfId="12912" xr:uid="{DFD53F91-6056-4129-A7AF-BC6A32F5B48C}"/>
    <cellStyle name="20% - Accent1 15 4" xfId="4001" xr:uid="{8A5CE186-D570-4D38-B98F-D958FB5055EB}"/>
    <cellStyle name="20% - Accent1 15 5" xfId="4002" xr:uid="{0364F809-D4EF-4319-BB0F-A59548E57A7E}"/>
    <cellStyle name="20% - Accent1 15_Not_for_upload_before_M4_correc" xfId="12913" xr:uid="{9C8EF4E5-5C11-4961-8A2D-3A0063A465C0}"/>
    <cellStyle name="20% - Accent1 16" xfId="4003" xr:uid="{AA1064D2-B4FB-4283-9F1A-151B1A692EBA}"/>
    <cellStyle name="20% - Accent1 16 2" xfId="4004" xr:uid="{44EE3239-B469-41DB-B3AE-E0540E51F382}"/>
    <cellStyle name="20% - Accent1 16 2 2" xfId="4005" xr:uid="{D087FB0B-4818-4261-B588-5ECB099A1E3A}"/>
    <cellStyle name="20% - Accent1 16 2 2 2" xfId="4006" xr:uid="{98264FCA-BD11-4053-A0AB-564F07ADC840}"/>
    <cellStyle name="20% - Accent1 16 2 2_Working Capital Current" xfId="12914" xr:uid="{08FCB63B-CE13-40B9-B38E-B57B5E06615E}"/>
    <cellStyle name="20% - Accent1 16 2 3" xfId="4007" xr:uid="{633F9CC8-16DD-41DA-83B8-A7DA1CC995B8}"/>
    <cellStyle name="20% - Accent1 16 2 4" xfId="4008" xr:uid="{89BA06C3-EF0C-4700-B27D-DB1F01842823}"/>
    <cellStyle name="20% - Accent1 16 2_Working Capital Current" xfId="12915" xr:uid="{AA2E5A38-A160-4C61-9283-710C93A8C28B}"/>
    <cellStyle name="20% - Accent1 16 3" xfId="4009" xr:uid="{78DC7163-D549-4205-8104-482C46F966E6}"/>
    <cellStyle name="20% - Accent1 16 3 2" xfId="4010" xr:uid="{3BC73BB5-D039-4951-9DA9-8CEE64D23ACF}"/>
    <cellStyle name="20% - Accent1 16 3_Working Capital Current" xfId="12916" xr:uid="{AAB6FE7D-95DD-4EE2-A838-E501D2C47C48}"/>
    <cellStyle name="20% - Accent1 16 4" xfId="4011" xr:uid="{DF8278E2-D0B8-41D9-8AAD-8A7CA8EF8A24}"/>
    <cellStyle name="20% - Accent1 16 5" xfId="4012" xr:uid="{130C4242-EA6D-44F6-A301-9AA3D33C1CA2}"/>
    <cellStyle name="20% - Accent1 16_Not_for_upload_before_M4_correc" xfId="12917" xr:uid="{BE0875C3-F37C-4FD8-94A9-54E7925699C6}"/>
    <cellStyle name="20% - Accent1 17" xfId="4013" xr:uid="{7CE4CF46-9511-440C-8CFB-0F47D33DD416}"/>
    <cellStyle name="20% - Accent1 17 2" xfId="4014" xr:uid="{6D601401-15B8-4B00-B529-F1836BCF41C8}"/>
    <cellStyle name="20% - Accent1 17 2 2" xfId="4015" xr:uid="{A2D07B78-1CF8-4071-A914-A83241D56F4B}"/>
    <cellStyle name="20% - Accent1 17 2 2 2" xfId="4016" xr:uid="{2063B09C-DA0F-4E8E-B313-753BDB0AB923}"/>
    <cellStyle name="20% - Accent1 17 2 2_Working Capital Current" xfId="12918" xr:uid="{B9C4DF6F-9201-4A64-B3A3-CED44488DB0A}"/>
    <cellStyle name="20% - Accent1 17 2 3" xfId="4017" xr:uid="{3B9E0504-05FC-4D44-9C0C-F4CD19483D49}"/>
    <cellStyle name="20% - Accent1 17 2 4" xfId="4018" xr:uid="{E9F53750-A172-414D-8306-003C9AA9EC3D}"/>
    <cellStyle name="20% - Accent1 17 2_Working Capital Current" xfId="12919" xr:uid="{3F88F092-4845-47B3-B2E2-48567C8CFA26}"/>
    <cellStyle name="20% - Accent1 17 3" xfId="4019" xr:uid="{FDE6E9DB-8E2C-465E-8949-520536A913F5}"/>
    <cellStyle name="20% - Accent1 17 3 2" xfId="4020" xr:uid="{68BEE072-AB98-499D-8441-470607AF9DAB}"/>
    <cellStyle name="20% - Accent1 17 3_Working Capital Current" xfId="12920" xr:uid="{C0F8E486-61F7-4F5E-983D-9EECDE4E2ABE}"/>
    <cellStyle name="20% - Accent1 17 4" xfId="4021" xr:uid="{F3FBBAC5-E824-4D0C-81BF-65CD09AE25DD}"/>
    <cellStyle name="20% - Accent1 17 5" xfId="4022" xr:uid="{C1A3D588-3190-4178-8A35-D01E4DC3454D}"/>
    <cellStyle name="20% - Accent1 17_Not_for_upload_before_M4_correc" xfId="12921" xr:uid="{A40CE1D2-A041-4B64-A8EB-DF525D842A79}"/>
    <cellStyle name="20% - Accent1 18" xfId="4023" xr:uid="{56CE820F-D960-46F9-A543-3BFED0AD9D4E}"/>
    <cellStyle name="20% - Accent1 18 2" xfId="4024" xr:uid="{FDB1F6B6-A7ED-4070-9D4D-1A531A58B187}"/>
    <cellStyle name="20% - Accent1 18 2 2" xfId="4025" xr:uid="{4E536E76-87DE-4F0D-B1D2-83120CF0F02D}"/>
    <cellStyle name="20% - Accent1 18 2 2 2" xfId="4026" xr:uid="{16C50ADA-918D-4562-B6D5-4F1BD4DF6011}"/>
    <cellStyle name="20% - Accent1 18 2 2_Working Capital Current" xfId="12922" xr:uid="{8CCE4F85-137B-4975-8C9C-6EC52424520B}"/>
    <cellStyle name="20% - Accent1 18 2 3" xfId="4027" xr:uid="{76875E65-8881-4D50-8BC8-641FC23922C3}"/>
    <cellStyle name="20% - Accent1 18 2 4" xfId="4028" xr:uid="{21737841-F7E1-4A1F-8C33-10A32463A227}"/>
    <cellStyle name="20% - Accent1 18 2_Working Capital Current" xfId="12923" xr:uid="{D88B4A58-A012-44AE-9779-5B9056AC468F}"/>
    <cellStyle name="20% - Accent1 18 3" xfId="4029" xr:uid="{38E87BF3-87FF-4D80-9F8D-C0F83FA38A0D}"/>
    <cellStyle name="20% - Accent1 18 3 2" xfId="4030" xr:uid="{7EDD61A1-5219-4402-B963-F9A80498E449}"/>
    <cellStyle name="20% - Accent1 18 3_Working Capital Current" xfId="12924" xr:uid="{6C4BE383-8720-4C59-B5A2-1D9AA1611192}"/>
    <cellStyle name="20% - Accent1 18 4" xfId="4031" xr:uid="{77D65A1B-8AC8-4B23-8760-5E96922DB5DF}"/>
    <cellStyle name="20% - Accent1 18 5" xfId="4032" xr:uid="{CEFED944-7739-4C4F-878D-E3D79FE006E5}"/>
    <cellStyle name="20% - Accent1 18_Not_for_upload_before_M4_correc" xfId="12925" xr:uid="{8D90A891-CF1C-4D10-A891-5999F5C27B68}"/>
    <cellStyle name="20% - Accent1 19" xfId="4033" xr:uid="{EE211E33-EDFA-4EE7-8FF7-9A3C77C7B836}"/>
    <cellStyle name="20% - Accent1 19 2" xfId="4034" xr:uid="{772B91E5-775F-42AA-8ADC-F135861A4FDA}"/>
    <cellStyle name="20% - Accent1 19 2 2" xfId="4035" xr:uid="{FAC86F58-5E35-4390-A5BB-039CD69325DE}"/>
    <cellStyle name="20% - Accent1 19 2 2 2" xfId="4036" xr:uid="{8FB57EFB-2E9A-423F-8087-B83AB142FD4B}"/>
    <cellStyle name="20% - Accent1 19 2 2_Working Capital Current" xfId="12926" xr:uid="{C5EFFC5E-C198-444B-81B3-B88024DF9B1F}"/>
    <cellStyle name="20% - Accent1 19 2 3" xfId="4037" xr:uid="{3925D41A-94BA-45A9-9F58-D9087AD68239}"/>
    <cellStyle name="20% - Accent1 19 2 4" xfId="4038" xr:uid="{1954F604-4997-4BBC-90DE-7A23B0F3F953}"/>
    <cellStyle name="20% - Accent1 19 2_Working Capital Current" xfId="12927" xr:uid="{DA485F1C-7BAA-417E-A981-87293904352C}"/>
    <cellStyle name="20% - Accent1 19 3" xfId="4039" xr:uid="{5D1C7478-30CA-4CC0-B06F-416EA50D963E}"/>
    <cellStyle name="20% - Accent1 19 3 2" xfId="4040" xr:uid="{52504B47-3233-4686-A062-F6A0136800CB}"/>
    <cellStyle name="20% - Accent1 19 3_Working Capital Current" xfId="12928" xr:uid="{A515DB1A-6400-4862-A213-59862A2019F0}"/>
    <cellStyle name="20% - Accent1 19 4" xfId="4041" xr:uid="{79E3A558-C366-4805-A442-CF68E447C3D0}"/>
    <cellStyle name="20% - Accent1 19 5" xfId="4042" xr:uid="{B211E544-76F5-42FD-967F-550CADB4483F}"/>
    <cellStyle name="20% - Accent1 19_Not_for_upload_before_M4_correc" xfId="12929" xr:uid="{64C8E040-A10E-4BF0-A59A-39C255579F9D}"/>
    <cellStyle name="20% - Accent1 2" xfId="56" xr:uid="{9979A9E3-9E84-4FF4-8105-D088A5F550B9}"/>
    <cellStyle name="20% - Accent1 2 10" xfId="4043" xr:uid="{DA1926A7-F373-414B-ADE6-5D8DB3009A27}"/>
    <cellStyle name="20% - Accent1 2 11" xfId="3894" xr:uid="{CBDA07A3-0FE5-473E-882A-57956BF66B87}"/>
    <cellStyle name="20% - Accent1 2 2" xfId="57" xr:uid="{15DA6B53-42F5-49B7-BA70-07AD32D98A2D}"/>
    <cellStyle name="20% - Accent1 2 2 2" xfId="1887" xr:uid="{99CCA85B-0298-4ACA-92C9-258FBD79A9CE}"/>
    <cellStyle name="20% - Accent1 2 2 2 2" xfId="4046" xr:uid="{EF3381B0-FE90-4395-86B7-1D50BB2FD9B5}"/>
    <cellStyle name="20% - Accent1 2 2 2 2 2" xfId="4047" xr:uid="{1BDEE7D6-EF03-4676-9DDA-BC7413ED3AF9}"/>
    <cellStyle name="20% - Accent1 2 2 2 2_Working Capital Current" xfId="12930" xr:uid="{7649389E-950B-46FE-B709-17B0743A4F83}"/>
    <cellStyle name="20% - Accent1 2 2 2 3" xfId="4048" xr:uid="{70944389-06D5-4565-96AA-BCCA17AF1664}"/>
    <cellStyle name="20% - Accent1 2 2 2 4" xfId="4049" xr:uid="{06D598CE-B7BE-40AB-8F0E-B72DEE57E67A}"/>
    <cellStyle name="20% - Accent1 2 2 2 5" xfId="17617" xr:uid="{10807AF9-6C48-47B7-BE52-13FBFA359AF1}"/>
    <cellStyle name="20% - Accent1 2 2 2 6" xfId="18186" xr:uid="{79F53A69-0986-4BAF-97A8-D253BB452F96}"/>
    <cellStyle name="20% - Accent1 2 2 2 7" xfId="4045" xr:uid="{785E1EB9-FA70-45E2-8E89-0FD713996F62}"/>
    <cellStyle name="20% - Accent1 2 2 2_Working Capital Current" xfId="12931" xr:uid="{BB8EF611-5EA7-4797-9F74-A59DF196DC84}"/>
    <cellStyle name="20% - Accent1 2 2 3" xfId="4050" xr:uid="{8037DD88-2EC8-4061-B314-C4CFA7F8F70F}"/>
    <cellStyle name="20% - Accent1 2 2 3 2" xfId="4051" xr:uid="{763609DD-F1C2-47DC-AB15-56D4159103CF}"/>
    <cellStyle name="20% - Accent1 2 2 3_Working Capital Current" xfId="12932" xr:uid="{2C76F00F-9516-4F4C-AA19-781122C8E7DB}"/>
    <cellStyle name="20% - Accent1 2 2 4" xfId="4052" xr:uid="{B6F52296-3F35-483F-A50E-9F14606AD343}"/>
    <cellStyle name="20% - Accent1 2 2 5" xfId="4053" xr:uid="{0D6EB73A-613F-40C3-8074-D4A2BC2CBF69}"/>
    <cellStyle name="20% - Accent1 2 2 6" xfId="4044" xr:uid="{5596325E-02D7-4AD3-844B-FEC3BECAB6B9}"/>
    <cellStyle name="20% - Accent1 2 2 7" xfId="16507" xr:uid="{9DF4D5BE-4B55-4D88-8865-0D0519CF8BA9}"/>
    <cellStyle name="20% - Accent1 2 2 8" xfId="16980" xr:uid="{045BC24E-DD14-43F6-8759-F60643536B83}"/>
    <cellStyle name="20% - Accent1 2 2_Not_for_upload_before_M4_correc" xfId="12933" xr:uid="{C9BF13C8-AF9E-4C8B-8029-72C0F9692F3B}"/>
    <cellStyle name="20% - Accent1 2 3" xfId="58" xr:uid="{F36FA32D-819D-42C3-B370-551C48CC7CA8}"/>
    <cellStyle name="20% - Accent1 2 3 2" xfId="59" xr:uid="{C23319F1-84ED-4276-B4F0-ECA995F855FB}"/>
    <cellStyle name="20% - Accent1 2 3 2 2" xfId="895" xr:uid="{3FB8B072-F3AE-46EE-9A30-516D5425EF32}"/>
    <cellStyle name="20% - Accent1 2 3 2 2 2" xfId="4057" xr:uid="{28C5C64E-60C8-4F5F-8A72-EFCF558FD1BE}"/>
    <cellStyle name="20% - Accent1 2 3 2 2 3" xfId="17092" xr:uid="{68D24FA5-CC40-4577-97D6-9635D47EF361}"/>
    <cellStyle name="20% - Accent1 2 3 2 2 4" xfId="4056" xr:uid="{F1885C7D-A5BB-4B8B-87CD-EC52D211442C}"/>
    <cellStyle name="20% - Accent1 2 3 2 2_Working Capital Current" xfId="12934" xr:uid="{886CECFB-23E8-41AB-B093-EAE2FBE938E5}"/>
    <cellStyle name="20% - Accent1 2 3 2 3" xfId="1889" xr:uid="{F9341AE3-CE6C-4477-9FCB-850AE66BF827}"/>
    <cellStyle name="20% - Accent1 2 3 2 3 2" xfId="17619" xr:uid="{74AF5598-2CC6-4D24-A13A-E6DF77344985}"/>
    <cellStyle name="20% - Accent1 2 3 2 3 3" xfId="4058" xr:uid="{55F926A3-A2B4-497B-9CC5-E32AC89A10E6}"/>
    <cellStyle name="20% - Accent1 2 3 2 4" xfId="4059" xr:uid="{65587046-D2CA-443E-92DB-DD521D347DE4}"/>
    <cellStyle name="20% - Accent1 2 3 2 5" xfId="4055" xr:uid="{97B75126-C042-4EF9-BEF4-6CA3F69B73D8}"/>
    <cellStyle name="20% - Accent1 2 3 2 6" xfId="17802" xr:uid="{C5583200-CB3C-480D-92EE-A04885F64A7F}"/>
    <cellStyle name="20% - Accent1 2 3 2 7" xfId="17144" xr:uid="{D880ABE9-BD7D-418D-9A42-8FE76EACD6CF}"/>
    <cellStyle name="20% - Accent1 2 3 2_Working Capital Current" xfId="12935" xr:uid="{9D232564-90DC-4EFF-8D85-252225F3A191}"/>
    <cellStyle name="20% - Accent1 2 3 3" xfId="60" xr:uid="{A461A448-A796-4A7E-A48C-C78AE6CE6AC3}"/>
    <cellStyle name="20% - Accent1 2 3 3 2" xfId="1890" xr:uid="{E50E7D38-C07B-4487-B78D-EA5B1773B8C6}"/>
    <cellStyle name="20% - Accent1 2 3 3 2 2" xfId="17620" xr:uid="{9192CA41-2DAD-4CD1-9634-DC8778801A8A}"/>
    <cellStyle name="20% - Accent1 2 3 3 2 3" xfId="4061" xr:uid="{098A6F73-E4CB-45A4-9519-9911D2C75E70}"/>
    <cellStyle name="20% - Accent1 2 3 3 3" xfId="4060" xr:uid="{F81C7CA6-B6E2-4CF7-AB37-643089018B84}"/>
    <cellStyle name="20% - Accent1 2 3 3 4" xfId="16509" xr:uid="{9A25F8E1-ACD4-4762-90C2-3D5597043697}"/>
    <cellStyle name="20% - Accent1 2 3 3_Working Capital Current" xfId="12936" xr:uid="{C0A7A03F-4BDC-4E63-98B5-7D94863D908D}"/>
    <cellStyle name="20% - Accent1 2 3 4" xfId="61" xr:uid="{6C75AC0C-D6B3-4412-9B91-7A1D856EB673}"/>
    <cellStyle name="20% - Accent1 2 3 4 2" xfId="1891" xr:uid="{50F14057-389C-48E7-AB73-A94E46636B89}"/>
    <cellStyle name="20% - Accent1 2 3 4 2 2" xfId="17621" xr:uid="{627BBF80-5D0E-4FC3-8A58-6EDC6EAE113A}"/>
    <cellStyle name="20% - Accent1 2 3 4 2 3" xfId="4062" xr:uid="{585C8131-EA1D-41BF-B3D5-B1E87013978D}"/>
    <cellStyle name="20% - Accent1 2 3 5" xfId="1888" xr:uid="{7F69B349-2849-44E1-8D33-C4F9A052DA61}"/>
    <cellStyle name="20% - Accent1 2 3 5 2" xfId="17618" xr:uid="{604184EF-7D4E-4301-8B6F-D6E7E38837CE}"/>
    <cellStyle name="20% - Accent1 2 3 5 3" xfId="4063" xr:uid="{7F3ADC17-ED8C-473B-8AA1-27F6EF0B3537}"/>
    <cellStyle name="20% - Accent1 2 3 6" xfId="4054" xr:uid="{2BF70023-DA72-479E-84A6-B57AB1ECE0E9}"/>
    <cellStyle name="20% - Accent1 2 3 7" xfId="16508" xr:uid="{FC0841CC-C707-491F-B8F9-D703389E6349}"/>
    <cellStyle name="20% - Accent1 2 3 8" xfId="3893" xr:uid="{FD1AF7CF-2E11-4624-A5E0-037CE943DF5B}"/>
    <cellStyle name="20% - Accent1 2 3 9" xfId="17143" xr:uid="{A6C1B202-5871-4619-A416-A5E353137F71}"/>
    <cellStyle name="20% - Accent1 2 3_Not_for_upload_before_M4_correc" xfId="12937" xr:uid="{A8977609-F0D0-4E18-9AC8-9CA2496035A9}"/>
    <cellStyle name="20% - Accent1 2 4" xfId="1886" xr:uid="{E9C3D34F-5D45-41AF-9412-242B9AA7AD39}"/>
    <cellStyle name="20% - Accent1 2 4 2" xfId="4065" xr:uid="{6B85C9C4-73AB-4C87-8E49-71DFFA225A48}"/>
    <cellStyle name="20% - Accent1 2 4 2 2" xfId="4066" xr:uid="{7972780C-9020-4F0B-8FF9-B65682790E5F}"/>
    <cellStyle name="20% - Accent1 2 4 2 2 2" xfId="4067" xr:uid="{C988E8DC-9783-4F6F-85C9-B7F23582F0F1}"/>
    <cellStyle name="20% - Accent1 2 4 2 2_Working Capital Current" xfId="12938" xr:uid="{0E0BD8DA-E400-4707-A6DC-B5A2104B6BF2}"/>
    <cellStyle name="20% - Accent1 2 4 2 3" xfId="4068" xr:uid="{9C86CEB6-8D40-4EF3-A44E-4647185C67E7}"/>
    <cellStyle name="20% - Accent1 2 4 2 4" xfId="4069" xr:uid="{828C93C7-48AB-4739-B5EB-A8B42023BD6C}"/>
    <cellStyle name="20% - Accent1 2 4 2_Working Capital Current" xfId="12939" xr:uid="{4A438F71-BD47-46C1-8709-73C7BA6ACB92}"/>
    <cellStyle name="20% - Accent1 2 4 3" xfId="4070" xr:uid="{92992DF4-7786-43CA-BB05-21488E0D6828}"/>
    <cellStyle name="20% - Accent1 2 4 3 2" xfId="4071" xr:uid="{95E054D5-C7F5-4F48-8B54-450ADB1CB320}"/>
    <cellStyle name="20% - Accent1 2 4 3_Working Capital Current" xfId="12940" xr:uid="{45617B3F-4A6B-439C-B8DB-F5A10E7CA4BE}"/>
    <cellStyle name="20% - Accent1 2 4 4" xfId="4072" xr:uid="{D7C73E8A-65A7-4B7F-8A45-DD0682ABE695}"/>
    <cellStyle name="20% - Accent1 2 4 5" xfId="4073" xr:uid="{0F4525D4-0CF9-4F5B-BF32-6DEB28CA7D23}"/>
    <cellStyle name="20% - Accent1 2 4 6" xfId="17616" xr:uid="{49A50485-AEB2-418A-BF2D-1CDE06FE57F8}"/>
    <cellStyle name="20% - Accent1 2 4 7" xfId="18185" xr:uid="{D52FEA82-127A-434C-8E72-BF44C5A2F6B3}"/>
    <cellStyle name="20% - Accent1 2 4 8" xfId="4064" xr:uid="{30EE7875-3B23-4528-A4A2-505A106DAEDC}"/>
    <cellStyle name="20% - Accent1 2 4_Not_for_upload_before_M4_correc" xfId="12941" xr:uid="{DD5E3F60-B06C-4157-BB97-D5C897932C0A}"/>
    <cellStyle name="20% - Accent1 2 5" xfId="4074" xr:uid="{38D52D7E-F401-4301-A227-C0561661111C}"/>
    <cellStyle name="20% - Accent1 2 5 2" xfId="4075" xr:uid="{2D578ECE-5E1E-4290-AC48-8C189A8B83F6}"/>
    <cellStyle name="20% - Accent1 2 5 2 2" xfId="4076" xr:uid="{B6B86FFB-590B-4FDA-A070-489AF1F789BE}"/>
    <cellStyle name="20% - Accent1 2 5 2_Working Capital Current" xfId="12942" xr:uid="{1B219939-0E30-43FF-820E-7FB88816DBF8}"/>
    <cellStyle name="20% - Accent1 2 5 3" xfId="4077" xr:uid="{65D70455-61EA-466A-9772-D26B066E5120}"/>
    <cellStyle name="20% - Accent1 2 6" xfId="4078" xr:uid="{66EAEE20-27F6-441D-BE5B-6C0E56D4B791}"/>
    <cellStyle name="20% - Accent1 2 6 2" xfId="4079" xr:uid="{501A5A29-B38F-45FB-AB14-0F057204FD5A}"/>
    <cellStyle name="20% - Accent1 2 6_Working Capital Current" xfId="12943" xr:uid="{545DAA47-1626-4312-92C7-C640B9A58383}"/>
    <cellStyle name="20% - Accent1 2 7" xfId="4080" xr:uid="{7D1A7827-F242-4BAC-803F-95A78D357AC3}"/>
    <cellStyle name="20% - Accent1 2 7 2" xfId="4081" xr:uid="{79738864-1942-493B-8A8B-2B1C28BCFFC0}"/>
    <cellStyle name="20% - Accent1 2 7_Working Capital Current" xfId="12944" xr:uid="{5D08E681-5CB2-43DC-BB9B-1815EA7300CF}"/>
    <cellStyle name="20% - Accent1 2 8" xfId="4082" xr:uid="{1F3A1C94-398A-4479-9848-D79A8D5CA342}"/>
    <cellStyle name="20% - Accent1 2 9" xfId="4083" xr:uid="{41EAFC02-B783-4261-8114-79B48CEB9E5A}"/>
    <cellStyle name="20% - Accent1 2_Not_for_upload_before_M4_correc" xfId="12945" xr:uid="{B858F8A7-F388-4DBD-BF24-96893682A566}"/>
    <cellStyle name="20% - Accent1 20" xfId="4084" xr:uid="{B09534AD-0220-4A9D-B35F-A37907AE7F5C}"/>
    <cellStyle name="20% - Accent1 20 2" xfId="4085" xr:uid="{F961F283-3CDD-45B4-A75A-E04A43E3E925}"/>
    <cellStyle name="20% - Accent1 20 2 2" xfId="4086" xr:uid="{CBF1A7FB-7987-48A7-BFA2-C39E2152590A}"/>
    <cellStyle name="20% - Accent1 20 2 2 2" xfId="4087" xr:uid="{ECB44E17-C788-4DC7-87BB-EEABA2C65DC2}"/>
    <cellStyle name="20% - Accent1 20 2 2_Working Capital Current" xfId="12946" xr:uid="{C1221AD0-9E48-4961-85EF-922D51C2BA9F}"/>
    <cellStyle name="20% - Accent1 20 2 3" xfId="4088" xr:uid="{D2DD23DB-2C74-4562-89AA-A92CD3E20F73}"/>
    <cellStyle name="20% - Accent1 20 2 4" xfId="4089" xr:uid="{6E1D5122-A390-4AF6-84F1-F45B23482FF0}"/>
    <cellStyle name="20% - Accent1 20 2_Working Capital Current" xfId="12947" xr:uid="{B7321A52-F18A-4A44-8704-87532E0CDDD2}"/>
    <cellStyle name="20% - Accent1 20 3" xfId="4090" xr:uid="{9F69F36C-8F5D-4A96-AE59-30069CD4BA50}"/>
    <cellStyle name="20% - Accent1 20 3 2" xfId="4091" xr:uid="{F0A3AD28-5E75-4344-BAEC-B1B5B9127606}"/>
    <cellStyle name="20% - Accent1 20 3_Working Capital Current" xfId="12948" xr:uid="{4B711AC3-97A8-4C97-8904-9BD3A3339B6E}"/>
    <cellStyle name="20% - Accent1 20 4" xfId="4092" xr:uid="{4DED9B85-0267-47BD-B449-2F0787F7F89F}"/>
    <cellStyle name="20% - Accent1 20 5" xfId="4093" xr:uid="{D0928B9F-AD00-435C-914F-34DA755D67B5}"/>
    <cellStyle name="20% - Accent1 20_Not_for_upload_before_M4_correc" xfId="12949" xr:uid="{379F4B2D-CE52-4375-861F-802A5A837264}"/>
    <cellStyle name="20% - Accent1 21" xfId="4094" xr:uid="{13BB4FDA-3F4D-425E-A87E-AC2FEAA78E4E}"/>
    <cellStyle name="20% - Accent1 21 2" xfId="4095" xr:uid="{B1E06548-E892-471D-83C3-350808C87084}"/>
    <cellStyle name="20% - Accent1 21 2 2" xfId="4096" xr:uid="{B1E63DA1-8BA1-452D-B595-7C3C033C776F}"/>
    <cellStyle name="20% - Accent1 21 2 2 2" xfId="4097" xr:uid="{A137FFD0-4894-422E-B090-1DAD04DBB7B1}"/>
    <cellStyle name="20% - Accent1 21 2 2_Working Capital Current" xfId="12950" xr:uid="{010D0E68-06B6-48FA-8805-78AADEEACC4A}"/>
    <cellStyle name="20% - Accent1 21 2 3" xfId="4098" xr:uid="{E9BDDE49-0404-475B-BEDE-298C5DBEEDF1}"/>
    <cellStyle name="20% - Accent1 21 2 4" xfId="4099" xr:uid="{6892666B-8456-4BF7-BA28-5AA30DB82ADE}"/>
    <cellStyle name="20% - Accent1 21 2_Working Capital Current" xfId="12951" xr:uid="{6E57946D-D86F-4ACE-8F1C-98DC1C1DC7A3}"/>
    <cellStyle name="20% - Accent1 21 3" xfId="4100" xr:uid="{999B3A15-DE42-4FDD-B644-ADCBA325DA9F}"/>
    <cellStyle name="20% - Accent1 21 3 2" xfId="4101" xr:uid="{B90BBA34-3426-4759-B1FF-51E3A156BEC2}"/>
    <cellStyle name="20% - Accent1 21 3_Working Capital Current" xfId="12952" xr:uid="{ED1B0DB4-4C9E-4C53-9E53-D99B8BE11B26}"/>
    <cellStyle name="20% - Accent1 21 4" xfId="4102" xr:uid="{208D3B1E-4126-4E68-AA8A-5A24E68BA88F}"/>
    <cellStyle name="20% - Accent1 21 5" xfId="4103" xr:uid="{9A09A418-1334-4FBC-85AA-2CCDF5FBD8B7}"/>
    <cellStyle name="20% - Accent1 21_Not_for_upload_before_M4_correc" xfId="12953" xr:uid="{64AE7A10-792C-4AA1-9AB0-5A26D6FD3412}"/>
    <cellStyle name="20% - Accent1 22" xfId="4104" xr:uid="{4F7ABE54-F654-49B5-9419-5AF12E48C96C}"/>
    <cellStyle name="20% - Accent1 22 2" xfId="4105" xr:uid="{FB9C7F06-078B-4141-BE9C-28FADFA13569}"/>
    <cellStyle name="20% - Accent1 22 2 2" xfId="4106" xr:uid="{0C8DD34D-7A5E-49FB-AA50-CFBA43AFBF5C}"/>
    <cellStyle name="20% - Accent1 22 2 2 2" xfId="4107" xr:uid="{489520E9-F330-4DA3-A28E-C2D515E64D50}"/>
    <cellStyle name="20% - Accent1 22 2 2_Working Capital Current" xfId="12954" xr:uid="{FD0D9DA8-1A95-4F40-8ABF-06D83BD88C7F}"/>
    <cellStyle name="20% - Accent1 22 2 3" xfId="4108" xr:uid="{CCC8DDA4-024A-47C6-BDE9-3617DA941AB6}"/>
    <cellStyle name="20% - Accent1 22 2 4" xfId="4109" xr:uid="{22ED6741-B433-429F-B881-D8592596286C}"/>
    <cellStyle name="20% - Accent1 22 2_Working Capital Current" xfId="12955" xr:uid="{FBD0FBCB-CC9C-4E77-B53A-B1CDAA6CE07F}"/>
    <cellStyle name="20% - Accent1 22 3" xfId="4110" xr:uid="{CDD59F96-521F-4CC2-A7DD-17284CD6A0C4}"/>
    <cellStyle name="20% - Accent1 22 3 2" xfId="4111" xr:uid="{7768B705-0D08-4BFF-B2CD-6CA1683B9DE4}"/>
    <cellStyle name="20% - Accent1 22 3_Working Capital Current" xfId="12956" xr:uid="{75205F6A-C5AB-4083-A0D0-E86B92AF052C}"/>
    <cellStyle name="20% - Accent1 22 4" xfId="4112" xr:uid="{D6DCFEDF-C2E6-4475-BE6C-34F4A1FA1E62}"/>
    <cellStyle name="20% - Accent1 22 5" xfId="4113" xr:uid="{884AB66B-6406-419B-843C-C220DF913CB4}"/>
    <cellStyle name="20% - Accent1 22_Not_for_upload_before_M4_correc" xfId="12957" xr:uid="{A245FF49-C151-4A4B-97C6-80A4B191C373}"/>
    <cellStyle name="20% - Accent1 23" xfId="4114" xr:uid="{585E2232-126B-4F1A-BBED-E2D9489E732E}"/>
    <cellStyle name="20% - Accent1 23 2" xfId="4115" xr:uid="{8DBCB56F-B9DF-4EE1-ABF8-9A1D09692D0E}"/>
    <cellStyle name="20% - Accent1 23 2 2" xfId="4116" xr:uid="{D3502D96-204B-4B44-B0EF-EA125338D74D}"/>
    <cellStyle name="20% - Accent1 23 2 2 2" xfId="4117" xr:uid="{529891B0-6783-444F-BB0B-9423ABE27AB0}"/>
    <cellStyle name="20% - Accent1 23 2 2_Working Capital Current" xfId="12958" xr:uid="{9E5B5525-353D-49D6-A919-FDB238D1EE8C}"/>
    <cellStyle name="20% - Accent1 23 2 3" xfId="4118" xr:uid="{6F42F6F5-2403-4F17-89B9-E1E9B97809C9}"/>
    <cellStyle name="20% - Accent1 23 2 4" xfId="4119" xr:uid="{238E2569-DDAF-41EE-9CF7-3A2811BB2462}"/>
    <cellStyle name="20% - Accent1 23 2_Working Capital Current" xfId="12959" xr:uid="{9ECAD132-8310-449F-8873-551E42278924}"/>
    <cellStyle name="20% - Accent1 23 3" xfId="4120" xr:uid="{8351D47F-03A4-4261-84E2-3A93F9FCAC4A}"/>
    <cellStyle name="20% - Accent1 23 3 2" xfId="4121" xr:uid="{DA95B0F4-DD2C-4A83-A54C-C729975A360F}"/>
    <cellStyle name="20% - Accent1 23 3_Working Capital Current" xfId="12960" xr:uid="{97B39DE2-3440-4AA5-8EC9-3529B13F7A81}"/>
    <cellStyle name="20% - Accent1 23 4" xfId="4122" xr:uid="{7AB49797-734E-4F85-8D86-80C80A058875}"/>
    <cellStyle name="20% - Accent1 23 5" xfId="4123" xr:uid="{561562B3-905A-4441-AC19-62AA0EF2465D}"/>
    <cellStyle name="20% - Accent1 23_Not_for_upload_before_M4_correc" xfId="12961" xr:uid="{ABB6F164-FF12-47DA-9A90-2D80C2593F82}"/>
    <cellStyle name="20% - Accent1 24" xfId="4124" xr:uid="{EF1FF820-2339-452F-9BA6-A0C35A5065CF}"/>
    <cellStyle name="20% - Accent1 24 2" xfId="4125" xr:uid="{8930D908-8C15-4F23-8155-F50022F77B66}"/>
    <cellStyle name="20% - Accent1 24 2 2" xfId="4126" xr:uid="{32E15DD8-6812-431F-B5CC-0E6817020907}"/>
    <cellStyle name="20% - Accent1 24 2 2 2" xfId="4127" xr:uid="{82DE197E-5CDB-4531-A992-551D41D38BD3}"/>
    <cellStyle name="20% - Accent1 24 2 2_Working Capital Current" xfId="12962" xr:uid="{F2424D16-1D3A-4FE4-B48C-30B763A3162D}"/>
    <cellStyle name="20% - Accent1 24 2 3" xfId="4128" xr:uid="{B8EE685D-32DE-40BC-B12D-677CBD1ABAAE}"/>
    <cellStyle name="20% - Accent1 24 2 4" xfId="4129" xr:uid="{4D4C07AE-CA9E-4B17-88DA-AAEFA393F326}"/>
    <cellStyle name="20% - Accent1 24 2_Working Capital Current" xfId="12963" xr:uid="{9635F854-AD91-482B-8713-4CAE70AB4FA3}"/>
    <cellStyle name="20% - Accent1 24 3" xfId="4130" xr:uid="{D7D62BDC-748E-4A46-9662-5523C4843F3C}"/>
    <cellStyle name="20% - Accent1 24 3 2" xfId="4131" xr:uid="{D3BD4415-2025-44BC-8F82-F23BA0CF95AF}"/>
    <cellStyle name="20% - Accent1 24 3_Working Capital Current" xfId="12964" xr:uid="{D3674451-B5DA-481D-9C0B-C244C1F1DAAE}"/>
    <cellStyle name="20% - Accent1 24 4" xfId="4132" xr:uid="{2D417085-3998-4BC7-97CB-EFB218BCFB39}"/>
    <cellStyle name="20% - Accent1 24 5" xfId="4133" xr:uid="{B7384A5A-C4F4-4692-A810-38FBC871800B}"/>
    <cellStyle name="20% - Accent1 24_Not_for_upload_before_M4_correc" xfId="12965" xr:uid="{8D5E79EE-8167-4FB2-925C-7F83BCAEA78A}"/>
    <cellStyle name="20% - Accent1 25" xfId="4134" xr:uid="{A73DBF72-891F-462D-BE55-E1974CD541B3}"/>
    <cellStyle name="20% - Accent1 25 2" xfId="4135" xr:uid="{6AA0372A-BECF-4D37-9EE1-046CDBC494D5}"/>
    <cellStyle name="20% - Accent1 25 2 2" xfId="4136" xr:uid="{CAF20B7A-20D2-4611-8D5E-5D73253B9A92}"/>
    <cellStyle name="20% - Accent1 25 2 2 2" xfId="4137" xr:uid="{14B09044-05C0-4EEE-A73F-CF3F3319FF2C}"/>
    <cellStyle name="20% - Accent1 25 2 2_Working Capital Current" xfId="12966" xr:uid="{2F5A0DAF-1DCC-4AAB-AF28-4CFB4229D364}"/>
    <cellStyle name="20% - Accent1 25 2 3" xfId="4138" xr:uid="{E30FCDFF-20A7-4D24-864C-BE68E3CF99F1}"/>
    <cellStyle name="20% - Accent1 25 2 4" xfId="4139" xr:uid="{CF9A455E-0942-4E7C-854A-356A26D5D406}"/>
    <cellStyle name="20% - Accent1 25 2_Working Capital Current" xfId="12967" xr:uid="{DFCC0F51-926C-49DC-9E45-28098CBD0A1F}"/>
    <cellStyle name="20% - Accent1 25 3" xfId="4140" xr:uid="{75DE80E0-2C92-4F23-8A1B-357D19E00B88}"/>
    <cellStyle name="20% - Accent1 25 3 2" xfId="4141" xr:uid="{7B06FFE8-C01E-487A-8005-99118AB1F582}"/>
    <cellStyle name="20% - Accent1 25 3_Working Capital Current" xfId="12968" xr:uid="{7B23F012-4FAF-470D-BCC0-88C35B0BCA77}"/>
    <cellStyle name="20% - Accent1 25 4" xfId="4142" xr:uid="{6C5E7EBE-C423-4B62-A891-F06793B61964}"/>
    <cellStyle name="20% - Accent1 25 5" xfId="4143" xr:uid="{35C7B753-792E-49E7-91D6-418C28AF7AAA}"/>
    <cellStyle name="20% - Accent1 25_Not_for_upload_before_M4_correc" xfId="12969" xr:uid="{F0E91E4B-7062-4B67-8D21-BFC754D91C1F}"/>
    <cellStyle name="20% - Accent1 26" xfId="4144" xr:uid="{BD8756D1-8875-4CFA-A6EB-3A9D1D94BA42}"/>
    <cellStyle name="20% - Accent1 26 2" xfId="4145" xr:uid="{83D82849-F7FB-46E8-A4B8-04DB2509A5EA}"/>
    <cellStyle name="20% - Accent1 26 2 2" xfId="4146" xr:uid="{B6079802-300D-4AEF-A473-BC65A3789870}"/>
    <cellStyle name="20% - Accent1 26 2 3" xfId="4147" xr:uid="{A346F19B-D9BE-4BF3-909E-69488F70A0BD}"/>
    <cellStyle name="20% - Accent1 26 2_Working Capital Current" xfId="12970" xr:uid="{BCCF8D86-9C9F-4310-B937-713EC15DB260}"/>
    <cellStyle name="20% - Accent1 26 3" xfId="4148" xr:uid="{BCA03029-DA95-4FFD-B09B-8C87CD6D1236}"/>
    <cellStyle name="20% - Accent1 26 3 2" xfId="4149" xr:uid="{1BE065FF-C53E-4DC3-BB11-B2DECCC8933A}"/>
    <cellStyle name="20% - Accent1 26 3_Working Capital Current" xfId="12971" xr:uid="{D2AF4A9F-1D7D-4D95-BC58-EAF6A0FA147D}"/>
    <cellStyle name="20% - Accent1 26 4" xfId="4150" xr:uid="{08A8C2C0-BB78-4961-8AB4-CF491CEBA92D}"/>
    <cellStyle name="20% - Accent1 26 5" xfId="4151" xr:uid="{B6775E0D-0736-43AB-941A-81220A8FCB88}"/>
    <cellStyle name="20% - Accent1 26_Not_for_upload_before_M4_correc" xfId="12972" xr:uid="{53CC16E1-3B46-43FE-A40F-F620D430D2D3}"/>
    <cellStyle name="20% - Accent1 27" xfId="4152" xr:uid="{AC330FC0-AFB3-4CF8-9DD3-EED6F0E349F6}"/>
    <cellStyle name="20% - Accent1 27 2" xfId="4153" xr:uid="{9C0502F4-CECB-4BE5-A6F1-1EC8569D7A70}"/>
    <cellStyle name="20% - Accent1 27 2 2" xfId="4154" xr:uid="{5FFB5803-2CD0-4815-B89B-E8600415BC93}"/>
    <cellStyle name="20% - Accent1 27 2 3" xfId="4155" xr:uid="{07462E6F-A5B0-42B2-B05A-9143A354B707}"/>
    <cellStyle name="20% - Accent1 27 2_Working Capital Current" xfId="12973" xr:uid="{CA792DE0-13F6-4DD3-96DF-A2193311715B}"/>
    <cellStyle name="20% - Accent1 27 3" xfId="4156" xr:uid="{8DE36481-FA3A-4128-B5A8-19EBDE67E454}"/>
    <cellStyle name="20% - Accent1 27 3 2" xfId="4157" xr:uid="{46ABB17C-3F0C-417F-8999-CD2A9DA28AE3}"/>
    <cellStyle name="20% - Accent1 27 3_Working Capital Current" xfId="12974" xr:uid="{5B9FBBA4-575E-4C72-8E91-E7FE6D817D55}"/>
    <cellStyle name="20% - Accent1 27 4" xfId="4158" xr:uid="{0A0FE4C0-6A54-4DB7-B9B3-76F420A8E2AC}"/>
    <cellStyle name="20% - Accent1 27 5" xfId="4159" xr:uid="{8E5B312F-2B0F-45F7-AE59-334067EC2741}"/>
    <cellStyle name="20% - Accent1 27_Not_for_upload_before_M4_correc" xfId="12975" xr:uid="{F9981BD8-7622-4C05-989F-372EC057ACDA}"/>
    <cellStyle name="20% - Accent1 28" xfId="4160" xr:uid="{F1E9572C-632D-487D-9DF0-4287388162D3}"/>
    <cellStyle name="20% - Accent1 28 2" xfId="4161" xr:uid="{7D92E580-A0BA-4F4A-B095-A57A33C8301E}"/>
    <cellStyle name="20% - Accent1 28 2 2" xfId="4162" xr:uid="{5E90ED35-8174-4B67-9F66-68248252341F}"/>
    <cellStyle name="20% - Accent1 28 2 3" xfId="4163" xr:uid="{D128CE79-761D-47ED-B267-1E44886AFE5B}"/>
    <cellStyle name="20% - Accent1 28 2_Working Capital Current" xfId="12976" xr:uid="{E2E4D0F5-B157-42C9-BA0D-716E8734EC66}"/>
    <cellStyle name="20% - Accent1 28 3" xfId="4164" xr:uid="{F5421569-C6C4-4724-8920-9589EBC1BC6C}"/>
    <cellStyle name="20% - Accent1 28 3 2" xfId="4165" xr:uid="{4904ED3A-4F39-40D9-80AD-77E68CA15D1C}"/>
    <cellStyle name="20% - Accent1 28 3_Working Capital Current" xfId="12977" xr:uid="{289443B5-BB07-43CC-9298-DC880BE90E3E}"/>
    <cellStyle name="20% - Accent1 28 4" xfId="4166" xr:uid="{92321A10-C683-457E-8E92-763CD0DEAE3A}"/>
    <cellStyle name="20% - Accent1 28 5" xfId="4167" xr:uid="{0AECC8FA-14F8-4443-A63F-A79432835EC6}"/>
    <cellStyle name="20% - Accent1 28_Not_for_upload_before_M4_correc" xfId="12978" xr:uid="{A2899CC3-D211-4CAE-BA88-0A3D501EEE4B}"/>
    <cellStyle name="20% - Accent1 29" xfId="4168" xr:uid="{243F7C8D-0B31-4C5A-BCAA-E8D1CE0DB318}"/>
    <cellStyle name="20% - Accent1 29 2" xfId="4169" xr:uid="{FCEBA0C7-35BB-4466-9CCD-92043D290809}"/>
    <cellStyle name="20% - Accent1 29 2 2" xfId="4170" xr:uid="{AFA53DDE-8E9E-4F3A-987D-4E098A9DE8CE}"/>
    <cellStyle name="20% - Accent1 29 2_Working Capital Current" xfId="12979" xr:uid="{714F2A00-EFC7-48F1-B750-FF5FEDB830C7}"/>
    <cellStyle name="20% - Accent1 29 3" xfId="4171" xr:uid="{18A2D2E4-6A2B-4D62-984B-CEA18E9FBE5C}"/>
    <cellStyle name="20% - Accent1 29 4" xfId="4172" xr:uid="{B2B3080C-AFD2-4A73-A66E-68088C1B103A}"/>
    <cellStyle name="20% - Accent1 29_Not_for_upload_before_M4_correc" xfId="12980" xr:uid="{F257D63A-3D03-461A-BD18-6B35212B2BCD}"/>
    <cellStyle name="20% - Accent1 3" xfId="62" xr:uid="{07250CCC-E5B8-49F4-8E99-9F138509AE42}"/>
    <cellStyle name="20% - Accent1 3 2" xfId="1892" xr:uid="{56A51839-13D6-44D2-8910-63B9B5C97990}"/>
    <cellStyle name="20% - Accent1 3 2 2" xfId="4175" xr:uid="{785EBDC5-A277-45AC-9F22-129C0C5BCF77}"/>
    <cellStyle name="20% - Accent1 3 2 2 2" xfId="4176" xr:uid="{DC20DC4D-54CF-40AD-B26C-26A0C1296777}"/>
    <cellStyle name="20% - Accent1 3 2 2 2 2" xfId="4177" xr:uid="{3666B8FD-6EC2-4FA8-8D6A-F6C3669E0A7D}"/>
    <cellStyle name="20% - Accent1 3 2 2 2_Working Capital Current" xfId="12981" xr:uid="{CAAC689A-7933-4B16-ADCF-14074335366B}"/>
    <cellStyle name="20% - Accent1 3 2 2 3" xfId="4178" xr:uid="{5077324D-636F-413A-A31F-218B9961B389}"/>
    <cellStyle name="20% - Accent1 3 2 2 4" xfId="4179" xr:uid="{CA005309-D72C-421C-84BE-F113BA2B6F59}"/>
    <cellStyle name="20% - Accent1 3 2 2_Working Capital Current" xfId="12982" xr:uid="{CAFBE31C-4362-4A8C-97E2-20E317489AF1}"/>
    <cellStyle name="20% - Accent1 3 2 3" xfId="4180" xr:uid="{2ACA1692-0981-4FFE-92A2-19137F247CC0}"/>
    <cellStyle name="20% - Accent1 3 2 3 2" xfId="4181" xr:uid="{1C7948FF-C7DF-48DD-9389-6EC51E77D6D2}"/>
    <cellStyle name="20% - Accent1 3 2 3_Working Capital Current" xfId="12983" xr:uid="{4CB18A40-D16A-4606-B2F9-DA01E5936365}"/>
    <cellStyle name="20% - Accent1 3 2 4" xfId="4182" xr:uid="{0E65FB94-17C4-4AD0-8F17-7864EB5078FF}"/>
    <cellStyle name="20% - Accent1 3 2 5" xfId="4183" xr:uid="{1A0DC6C1-9C8C-4C60-A575-272030021A9B}"/>
    <cellStyle name="20% - Accent1 3 2 6" xfId="17622" xr:uid="{F4C21BEC-FF18-42C0-9F05-7A65AD6315F9}"/>
    <cellStyle name="20% - Accent1 3 2 7" xfId="18187" xr:uid="{3E1493D6-6A2C-438A-9EA2-159642955779}"/>
    <cellStyle name="20% - Accent1 3 2 8" xfId="4174" xr:uid="{06588BCB-64DC-4135-9206-38C3A5EFFF7B}"/>
    <cellStyle name="20% - Accent1 3 2_Not_for_upload_before_M4_correc" xfId="12984" xr:uid="{31C089A4-3E56-4EAF-A76E-1F5E2D71F3AA}"/>
    <cellStyle name="20% - Accent1 3 3" xfId="4184" xr:uid="{29104337-7710-4EF3-8626-5CEAC3A23044}"/>
    <cellStyle name="20% - Accent1 3 3 2" xfId="4185" xr:uid="{A31F3691-4CC4-443E-8E70-83056C0D2319}"/>
    <cellStyle name="20% - Accent1 3 3 2 2" xfId="4186" xr:uid="{E4741F6B-5536-4443-8BCC-72FA6023EEFC}"/>
    <cellStyle name="20% - Accent1 3 3 2 2 2" xfId="4187" xr:uid="{DC0706A4-1FF3-495B-A455-9C403E5F47D1}"/>
    <cellStyle name="20% - Accent1 3 3 2 2_Working Capital Current" xfId="12985" xr:uid="{5C656096-1363-4CED-81A6-79A4A440F363}"/>
    <cellStyle name="20% - Accent1 3 3 2 3" xfId="4188" xr:uid="{80D60F3F-4934-443C-A80C-870EC41D92D4}"/>
    <cellStyle name="20% - Accent1 3 3 2 4" xfId="4189" xr:uid="{C6850343-0D02-4503-9246-32560C16B5E7}"/>
    <cellStyle name="20% - Accent1 3 3 2_Working Capital Current" xfId="12986" xr:uid="{7E20FB53-4D83-4BDE-ADC6-1E0D11C3E104}"/>
    <cellStyle name="20% - Accent1 3 3 3" xfId="4190" xr:uid="{804F5D3C-D64D-40C5-BF9A-3DCEF42ECFE3}"/>
    <cellStyle name="20% - Accent1 3 3 3 2" xfId="4191" xr:uid="{24272F3B-7611-4B7D-A7D2-7A536DC930A8}"/>
    <cellStyle name="20% - Accent1 3 3 3_Working Capital Current" xfId="12987" xr:uid="{C8A4BDAE-0F15-4526-BD70-4946666AA017}"/>
    <cellStyle name="20% - Accent1 3 3 4" xfId="4192" xr:uid="{10673CEF-DA49-406D-AC6E-CF4DF06AD9F1}"/>
    <cellStyle name="20% - Accent1 3 3 5" xfId="4193" xr:uid="{03FBAF4F-75B7-494B-B59C-E27EB11973D5}"/>
    <cellStyle name="20% - Accent1 3 3_Not_for_upload_before_M4_correc" xfId="12988" xr:uid="{9C69F4F1-0750-4419-BD6D-F0E3065C33E5}"/>
    <cellStyle name="20% - Accent1 3 4" xfId="4194" xr:uid="{E6451951-E43F-4ADA-96CC-1B26718B64FE}"/>
    <cellStyle name="20% - Accent1 3 4 2" xfId="4195" xr:uid="{820FFAD1-B5F8-4996-9132-AFFA20C124A7}"/>
    <cellStyle name="20% - Accent1 3 4 2 2" xfId="4196" xr:uid="{83F9928D-2C7D-4521-AF07-6CD55A1AD334}"/>
    <cellStyle name="20% - Accent1 3 4 2 2 2" xfId="4197" xr:uid="{7321E616-5815-4CBE-8D83-97F589FF3A02}"/>
    <cellStyle name="20% - Accent1 3 4 2 2_Working Capital Current" xfId="12989" xr:uid="{6ED43B4F-0666-4250-8235-5D6978CD5659}"/>
    <cellStyle name="20% - Accent1 3 4 2 3" xfId="4198" xr:uid="{A3FFFDF1-3FCA-45C0-8B02-6F6ED044B063}"/>
    <cellStyle name="20% - Accent1 3 4 2 4" xfId="4199" xr:uid="{3CF98152-5E9F-4DA1-8431-8420A760FD72}"/>
    <cellStyle name="20% - Accent1 3 4 2_Working Capital Current" xfId="12990" xr:uid="{DC8B1DC1-2979-4751-9D7E-5EB56B784551}"/>
    <cellStyle name="20% - Accent1 3 4 3" xfId="4200" xr:uid="{C1F92E0F-4CC0-4DD5-8A8A-CA7A221377A3}"/>
    <cellStyle name="20% - Accent1 3 4 3 2" xfId="4201" xr:uid="{E3BF403C-A01A-4550-8040-A3DA7ADCE9AE}"/>
    <cellStyle name="20% - Accent1 3 4 3_Working Capital Current" xfId="12991" xr:uid="{717ACE9C-5122-4ED0-9262-B70AE753F563}"/>
    <cellStyle name="20% - Accent1 3 4 4" xfId="4202" xr:uid="{5EF07534-C1D3-40A4-9764-8A8097ADBE19}"/>
    <cellStyle name="20% - Accent1 3 4 5" xfId="4203" xr:uid="{E80EF0CE-753D-46B5-8AD6-DEDC75544E54}"/>
    <cellStyle name="20% - Accent1 3 4_Not_for_upload_before_M4_correc" xfId="12992" xr:uid="{F2A58804-3BF8-4C57-BC02-DD5E4FC4A0FF}"/>
    <cellStyle name="20% - Accent1 3 5" xfId="4204" xr:uid="{DAC101D8-1338-4919-96E7-534A214A546A}"/>
    <cellStyle name="20% - Accent1 3 5 2" xfId="4205" xr:uid="{2D9CC23E-FC97-41C9-B112-C787D341FA8A}"/>
    <cellStyle name="20% - Accent1 3 5 2 2" xfId="4206" xr:uid="{D45A4E9E-E3A0-4B57-A9BF-C7ED2B2E815B}"/>
    <cellStyle name="20% - Accent1 3 5 2_Working Capital Current" xfId="12993" xr:uid="{033CF224-D343-4342-993F-3098B55B2AFC}"/>
    <cellStyle name="20% - Accent1 3 5 3" xfId="4207" xr:uid="{20A1CAAF-F7A8-4238-AA0F-ED56123C38FC}"/>
    <cellStyle name="20% - Accent1 3 5 4" xfId="4208" xr:uid="{6CF4C19B-4B7B-47CD-A9AC-3AA4628FD1C4}"/>
    <cellStyle name="20% - Accent1 3 5_Working Capital Current" xfId="12994" xr:uid="{90B217AB-F45B-4193-A7DB-230E7F1930B9}"/>
    <cellStyle name="20% - Accent1 3 6" xfId="4209" xr:uid="{DAF48DC6-B329-47B2-B5AA-633444D184A6}"/>
    <cellStyle name="20% - Accent1 3 6 2" xfId="4210" xr:uid="{C9A0D913-FB92-4105-8870-B5572FCF4EA1}"/>
    <cellStyle name="20% - Accent1 3 6_Working Capital Current" xfId="12995" xr:uid="{60556A30-13B4-4A52-BC54-06CAF26ADC20}"/>
    <cellStyle name="20% - Accent1 3 7" xfId="4211" xr:uid="{2E54B41A-5110-482D-92C5-D0CCE80EED8C}"/>
    <cellStyle name="20% - Accent1 3 8" xfId="4212" xr:uid="{4F96FB66-DD0F-4132-9BFC-566EF3ED8948}"/>
    <cellStyle name="20% - Accent1 3 9" xfId="4173" xr:uid="{F589AFAC-6E83-468B-B7D5-1138C99B1AF6}"/>
    <cellStyle name="20% - Accent1 3_Not_for_upload_before_M4_correc" xfId="12996" xr:uid="{8D2F7BD6-9BE1-40BB-9882-47EDDC8F536A}"/>
    <cellStyle name="20% - Accent1 30" xfId="4213" xr:uid="{1AC3FC9D-8EAE-4D1D-80A1-40ECB8502FFE}"/>
    <cellStyle name="20% - Accent1 30 2" xfId="4214" xr:uid="{5E8E9139-4F80-4858-BAB3-9539D83BEA92}"/>
    <cellStyle name="20% - Accent1 30 2 2" xfId="4215" xr:uid="{B2A73BA9-37B7-42A5-887E-FB03CE587662}"/>
    <cellStyle name="20% - Accent1 30 2_Working Capital Current" xfId="12997" xr:uid="{11012BCC-033A-4F2A-AADB-AC04D548814B}"/>
    <cellStyle name="20% - Accent1 30 3" xfId="4216" xr:uid="{B32A0E82-E1C4-4E23-93FE-0A8ED7FB813B}"/>
    <cellStyle name="20% - Accent1 30 4" xfId="4217" xr:uid="{2D167FD8-9F3B-4BE8-8FF6-307CC4C5088A}"/>
    <cellStyle name="20% - Accent1 30_Working Capital Current" xfId="12998" xr:uid="{18260E77-05F0-4E04-8833-E1A327DE0161}"/>
    <cellStyle name="20% - Accent1 31" xfId="4218" xr:uid="{62DE9151-1C4E-4C01-943B-D3AF98387C0A}"/>
    <cellStyle name="20% - Accent1 31 2" xfId="4219" xr:uid="{8F3000E8-61D1-4B23-8AA6-5E9EC59FB197}"/>
    <cellStyle name="20% - Accent1 31 2 2" xfId="4220" xr:uid="{3FF71247-0717-472A-8F4F-F52379787D94}"/>
    <cellStyle name="20% - Accent1 31 2_Working Capital Current" xfId="12999" xr:uid="{DFB107A2-F449-4FDD-86CC-E0C1BE13D2A0}"/>
    <cellStyle name="20% - Accent1 31 3" xfId="4221" xr:uid="{3DEF313F-C71A-4CEF-BF4A-284514A33DCE}"/>
    <cellStyle name="20% - Accent1 31 4" xfId="4222" xr:uid="{89A5DA44-40DE-4282-BCCA-97E8A85C48EB}"/>
    <cellStyle name="20% - Accent1 31_Working Capital Current" xfId="13000" xr:uid="{6120708E-F476-4A38-9CA6-D4189EC854DA}"/>
    <cellStyle name="20% - Accent1 32" xfId="4223" xr:uid="{E891016A-6AF2-4FAF-A6A0-422A1A0DF771}"/>
    <cellStyle name="20% - Accent1 32 2" xfId="4224" xr:uid="{123E4780-1D0B-4CC9-AE66-9F57EAE193BF}"/>
    <cellStyle name="20% - Accent1 32 2 2" xfId="4225" xr:uid="{C79C0CB4-3503-4576-8F00-753CD457CAD1}"/>
    <cellStyle name="20% - Accent1 32 2_Working Capital Current" xfId="13001" xr:uid="{37739004-2A50-4845-8027-567D732DB2B8}"/>
    <cellStyle name="20% - Accent1 32 3" xfId="4226" xr:uid="{B35865B0-C267-443A-9749-28F23955F9D8}"/>
    <cellStyle name="20% - Accent1 32 4" xfId="4227" xr:uid="{D81C7AE0-BD9A-4854-A498-B9A904DF08B9}"/>
    <cellStyle name="20% - Accent1 32_Working Capital Current" xfId="13002" xr:uid="{477F9CCD-AC1C-495C-A9EB-1EBF33619AA8}"/>
    <cellStyle name="20% - Accent1 33" xfId="4228" xr:uid="{5396196F-160A-4053-A1B2-3223AD5AC0D3}"/>
    <cellStyle name="20% - Accent1 33 2" xfId="4229" xr:uid="{3BC6837D-0A37-46B4-8C52-E2519F2D2DC3}"/>
    <cellStyle name="20% - Accent1 33 2 2" xfId="4230" xr:uid="{376F2C2C-0FC3-4B8B-8E71-6370D284D10F}"/>
    <cellStyle name="20% - Accent1 33 2_Working Capital Current" xfId="13003" xr:uid="{43B1E23D-E205-49DA-8DDE-06155C7F2BE3}"/>
    <cellStyle name="20% - Accent1 33 3" xfId="4231" xr:uid="{C4658BEE-B612-45DD-831D-C16B6FC82C40}"/>
    <cellStyle name="20% - Accent1 33 4" xfId="4232" xr:uid="{467F8970-EC50-4829-B56D-C9779503BD45}"/>
    <cellStyle name="20% - Accent1 33_Working Capital Current" xfId="13004" xr:uid="{DE818B89-8600-45E5-B147-A747C84E0AF8}"/>
    <cellStyle name="20% - Accent1 34" xfId="4233" xr:uid="{A7068C22-D969-4D11-9A8E-736347F9B519}"/>
    <cellStyle name="20% - Accent1 34 2" xfId="4234" xr:uid="{2CC79354-18F2-4E1D-8D14-CB0ACB232092}"/>
    <cellStyle name="20% - Accent1 34 2 2" xfId="4235" xr:uid="{58541A45-1362-4FE3-BB0A-B1D2A63B23C2}"/>
    <cellStyle name="20% - Accent1 34 2_Working Capital Current" xfId="13005" xr:uid="{5FD624C7-19A6-4CA4-9FBF-166B4E09186F}"/>
    <cellStyle name="20% - Accent1 34 3" xfId="4236" xr:uid="{0AF3E1D3-09A8-48FE-BC58-F73CE864D66F}"/>
    <cellStyle name="20% - Accent1 34 4" xfId="4237" xr:uid="{64023333-184F-48D8-8B17-02092DAB75D7}"/>
    <cellStyle name="20% - Accent1 34_Working Capital Current" xfId="13006" xr:uid="{98247331-9D8D-460A-B286-CE6CDADDD589}"/>
    <cellStyle name="20% - Accent1 35" xfId="4238" xr:uid="{A5886D71-BE3A-48C6-AB13-C5B1F825A241}"/>
    <cellStyle name="20% - Accent1 35 2" xfId="4239" xr:uid="{0F10002A-3101-43CE-BBC8-31F053EA88B7}"/>
    <cellStyle name="20% - Accent1 35 2 2" xfId="4240" xr:uid="{23D17E5C-55FC-4DA4-987C-D7C935BBB62E}"/>
    <cellStyle name="20% - Accent1 35 2_Working Capital Current" xfId="13007" xr:uid="{FDAF1F18-5166-47C0-963F-583226318EC0}"/>
    <cellStyle name="20% - Accent1 35 3" xfId="4241" xr:uid="{5D580BAD-DD20-4A71-8217-B151C6C9E193}"/>
    <cellStyle name="20% - Accent1 35 4" xfId="4242" xr:uid="{40AE3580-4DEA-427A-873E-58202982AD55}"/>
    <cellStyle name="20% - Accent1 35_Working Capital Current" xfId="13008" xr:uid="{62EFE60F-05A9-4CA9-9988-9F5DD5C375A4}"/>
    <cellStyle name="20% - Accent1 36" xfId="4243" xr:uid="{F0982284-C64C-4AB3-A049-E90335502F14}"/>
    <cellStyle name="20% - Accent1 36 2" xfId="4244" xr:uid="{87865509-D3E0-4B15-B1A8-7BA6E4B2392A}"/>
    <cellStyle name="20% - Accent1 36 2 2" xfId="4245" xr:uid="{838B7052-C268-41A1-805D-E8EF8443F8E5}"/>
    <cellStyle name="20% - Accent1 36 2_Working Capital Current" xfId="13009" xr:uid="{4EDAAB51-22C7-4B85-8D05-FC735277EE5E}"/>
    <cellStyle name="20% - Accent1 36 3" xfId="4246" xr:uid="{17FF93EA-E980-4912-8BFB-C624F07B5F77}"/>
    <cellStyle name="20% - Accent1 36 4" xfId="4247" xr:uid="{155760F7-46E1-44F6-8A6C-17D29DB2F3ED}"/>
    <cellStyle name="20% - Accent1 36_Working Capital Current" xfId="13010" xr:uid="{22C96841-BA93-4F82-9709-78170A215A76}"/>
    <cellStyle name="20% - Accent1 37" xfId="4248" xr:uid="{346F9103-DD9E-4594-9B7B-9FFACD1C92FF}"/>
    <cellStyle name="20% - Accent1 37 2" xfId="4249" xr:uid="{C177A353-0E7C-4EE1-A2A8-F02134CF73F8}"/>
    <cellStyle name="20% - Accent1 37 2 2" xfId="4250" xr:uid="{A542B7C8-4A96-4014-85F3-18CE9535A836}"/>
    <cellStyle name="20% - Accent1 37 2_Working Capital Current" xfId="13011" xr:uid="{239EB27C-47C5-4551-95EE-54C50852FEB0}"/>
    <cellStyle name="20% - Accent1 37 3" xfId="4251" xr:uid="{B84D097E-64A8-4DB0-8B07-A2660542CF9C}"/>
    <cellStyle name="20% - Accent1 37 4" xfId="4252" xr:uid="{C0699187-E0F5-47D9-A17C-AA4DBE44C1D0}"/>
    <cellStyle name="20% - Accent1 37_Working Capital Current" xfId="13012" xr:uid="{754555DE-3EB3-4D03-9716-BD5921663C83}"/>
    <cellStyle name="20% - Accent1 38" xfId="4253" xr:uid="{BC93BE78-E06E-4194-A089-518537325394}"/>
    <cellStyle name="20% - Accent1 38 2" xfId="4254" xr:uid="{BAD55AF2-55BA-461C-8D5F-4D6F85BB9713}"/>
    <cellStyle name="20% - Accent1 38 2 2" xfId="4255" xr:uid="{182DE3A6-591D-42EC-9E3F-CEEF169A0D4D}"/>
    <cellStyle name="20% - Accent1 38 2_Working Capital Current" xfId="13013" xr:uid="{B65F9065-BFB2-4746-AC93-7A9234AD1D20}"/>
    <cellStyle name="20% - Accent1 38 3" xfId="4256" xr:uid="{976E8823-5D5D-4438-85D1-61F971FFAE28}"/>
    <cellStyle name="20% - Accent1 38 4" xfId="4257" xr:uid="{869D686B-0F45-40C3-AB87-6F820120E6F5}"/>
    <cellStyle name="20% - Accent1 38_Working Capital Current" xfId="13014" xr:uid="{B7CABB5C-03FA-45F8-8CDA-2FE1369A0236}"/>
    <cellStyle name="20% - Accent1 39" xfId="4258" xr:uid="{B18B2E58-AEE1-4F39-9080-729F76AC8680}"/>
    <cellStyle name="20% - Accent1 39 2" xfId="4259" xr:uid="{608A35B2-2F4A-486F-A2F2-C15AB4CD166C}"/>
    <cellStyle name="20% - Accent1 39 2 2" xfId="4260" xr:uid="{437E572F-21E7-4DD8-9994-986CDBA93F01}"/>
    <cellStyle name="20% - Accent1 39 2_Working Capital Current" xfId="13015" xr:uid="{A21AA048-B7BE-41CC-A33B-CC09EADD934F}"/>
    <cellStyle name="20% - Accent1 39 3" xfId="4261" xr:uid="{2807FFD3-976A-4279-A61F-2D8BAC47C89F}"/>
    <cellStyle name="20% - Accent1 39 4" xfId="4262" xr:uid="{B9CCEC76-4ABB-4D31-ABE6-2B534EC18143}"/>
    <cellStyle name="20% - Accent1 39_Working Capital Current" xfId="13016" xr:uid="{A921FC1D-7F41-41DB-863D-2A4BA0A20ABC}"/>
    <cellStyle name="20% - Accent1 4" xfId="1865" xr:uid="{B1564F4F-9F95-4905-BF53-F98DE5781B43}"/>
    <cellStyle name="20% - Accent1 4 2" xfId="4264" xr:uid="{FBD5EF83-6619-4F8A-B9A7-D0CFC1BA0562}"/>
    <cellStyle name="20% - Accent1 4 2 2" xfId="4265" xr:uid="{5015399B-535C-44CB-BF7C-7066DF2D48B8}"/>
    <cellStyle name="20% - Accent1 4 2 2 2" xfId="4266" xr:uid="{2BC317BC-9DDF-43A8-8864-C3F241CE7286}"/>
    <cellStyle name="20% - Accent1 4 2 2_Working Capital Current" xfId="13017" xr:uid="{0B8774F9-5F9E-4610-ACF1-2053AB3799C6}"/>
    <cellStyle name="20% - Accent1 4 2 3" xfId="4267" xr:uid="{AF5E610F-119A-4783-B37D-F7649C4B0FCB}"/>
    <cellStyle name="20% - Accent1 4 2 4" xfId="4268" xr:uid="{7B80AED1-0ADF-4BE7-B95F-A88F67FDFE53}"/>
    <cellStyle name="20% - Accent1 4 2_Working Capital Current" xfId="13018" xr:uid="{41C958EC-6147-44A6-889E-AB43CDD754F6}"/>
    <cellStyle name="20% - Accent1 4 3" xfId="4269" xr:uid="{4D7612F3-FB98-45EC-819A-066930198D17}"/>
    <cellStyle name="20% - Accent1 4 3 2" xfId="4270" xr:uid="{F2934448-CE66-43A7-8631-0487CAF8A109}"/>
    <cellStyle name="20% - Accent1 4 3_Working Capital Current" xfId="13019" xr:uid="{EC6AA022-A5C4-4F0A-87F7-3885B2525C80}"/>
    <cellStyle name="20% - Accent1 4 4" xfId="4271" xr:uid="{8E6747DA-D163-4543-9985-5936210E0278}"/>
    <cellStyle name="20% - Accent1 4 5" xfId="4272" xr:uid="{3353DCC9-3140-49D1-BBBD-8E8730451CA4}"/>
    <cellStyle name="20% - Accent1 4 6" xfId="17604" xr:uid="{D054CA26-2C0D-40F7-9CE2-20D4442412BF}"/>
    <cellStyle name="20% - Accent1 4 7" xfId="18173" xr:uid="{B12E98D1-27AD-414B-8AE7-7A56A89D99DD}"/>
    <cellStyle name="20% - Accent1 4 8" xfId="4263" xr:uid="{C24182BE-E994-4DEF-BAB7-1D99127F75EF}"/>
    <cellStyle name="20% - Accent1 4_Not_for_upload_before_M4_correc" xfId="13020" xr:uid="{1ABFCBCB-CBCD-4776-A05F-809541A96E57}"/>
    <cellStyle name="20% - Accent1 40" xfId="4273" xr:uid="{4EA60387-BF43-447D-8658-F1D4D74F46FA}"/>
    <cellStyle name="20% - Accent1 40 2" xfId="4274" xr:uid="{7B0EB031-D208-4B3F-B919-0A619DBDFA92}"/>
    <cellStyle name="20% - Accent1 40 2 2" xfId="4275" xr:uid="{8494251D-6AB3-43B4-8A7C-166A27E96CE7}"/>
    <cellStyle name="20% - Accent1 40 2_Working Capital Current" xfId="13021" xr:uid="{4EF6F2DD-FEAE-4D4A-88E4-B60177A98CA6}"/>
    <cellStyle name="20% - Accent1 40 3" xfId="4276" xr:uid="{8E14ABA9-87BC-4AF4-B218-15740711E546}"/>
    <cellStyle name="20% - Accent1 40 4" xfId="4277" xr:uid="{3D496E78-0D49-43F8-B6D6-2E1CB0A49BB6}"/>
    <cellStyle name="20% - Accent1 40_Working Capital Current" xfId="13022" xr:uid="{ACEE94AB-5ADD-410E-A732-9105AE812452}"/>
    <cellStyle name="20% - Accent1 41" xfId="4278" xr:uid="{3C7707B0-D21B-4AF7-A716-B7BA09A911E8}"/>
    <cellStyle name="20% - Accent1 41 2" xfId="4279" xr:uid="{AC6882F9-8930-4204-86E6-0CF8F8A5D11A}"/>
    <cellStyle name="20% - Accent1 41 2 2" xfId="4280" xr:uid="{4F33C06E-1AB1-43CC-B8BA-BE34AAD28EDA}"/>
    <cellStyle name="20% - Accent1 41 2_Working Capital Current" xfId="13023" xr:uid="{41D6CFC8-0D1C-47B9-84CD-69B4A9997FB6}"/>
    <cellStyle name="20% - Accent1 41 3" xfId="4281" xr:uid="{7BFEB2B8-8D35-4463-97C7-C541C6CC9327}"/>
    <cellStyle name="20% - Accent1 41 4" xfId="4282" xr:uid="{3B82B598-4E9A-47EB-924F-8AE560600760}"/>
    <cellStyle name="20% - Accent1 41_Working Capital Current" xfId="13024" xr:uid="{83414607-E325-4543-A4EB-820583F77481}"/>
    <cellStyle name="20% - Accent1 42" xfId="4283" xr:uid="{30CC1A34-A115-45C7-9378-222413C3DD59}"/>
    <cellStyle name="20% - Accent1 42 2" xfId="4284" xr:uid="{F3C433D7-51E4-4CE9-BF5C-D6CC0961D230}"/>
    <cellStyle name="20% - Accent1 42 2 2" xfId="4285" xr:uid="{099F6C14-9BD6-48A8-8AF0-9CB62B41BDAE}"/>
    <cellStyle name="20% - Accent1 42 2_Working Capital Current" xfId="13025" xr:uid="{42F08477-B941-4ABE-9E14-CBBD92D9B246}"/>
    <cellStyle name="20% - Accent1 42 3" xfId="4286" xr:uid="{2CDE8975-E125-4B15-A876-A32D32FCC171}"/>
    <cellStyle name="20% - Accent1 42 4" xfId="4287" xr:uid="{220FBCBE-CC2E-449B-965E-C72C41820FE2}"/>
    <cellStyle name="20% - Accent1 42_Working Capital Current" xfId="13026" xr:uid="{FDF4B97A-1A5E-4FE5-8366-087763D467BA}"/>
    <cellStyle name="20% - Accent1 43" xfId="4288" xr:uid="{82F972B4-E8BA-4213-A7EE-1355502844B7}"/>
    <cellStyle name="20% - Accent1 43 2" xfId="4289" xr:uid="{6BEE819A-D9C1-4035-A234-E7692DFBE3B4}"/>
    <cellStyle name="20% - Accent1 43 2 2" xfId="4290" xr:uid="{86293B9C-3E9D-4E14-8A19-EE31A2DDEC6A}"/>
    <cellStyle name="20% - Accent1 43 2_Working Capital Current" xfId="13027" xr:uid="{938C4B7A-7F2A-42B2-B27E-968707C82F38}"/>
    <cellStyle name="20% - Accent1 43 3" xfId="4291" xr:uid="{8A24591D-7461-4948-A916-5C4D5DD77C99}"/>
    <cellStyle name="20% - Accent1 43 4" xfId="4292" xr:uid="{8022AA55-6ACA-418E-9C72-7B7310F3DF06}"/>
    <cellStyle name="20% - Accent1 43_Working Capital Current" xfId="13028" xr:uid="{265B4419-C501-42B2-B8C7-E1FD389AB6E1}"/>
    <cellStyle name="20% - Accent1 44" xfId="4293" xr:uid="{F25E291F-D51F-4F5D-8074-3C2B93177D38}"/>
    <cellStyle name="20% - Accent1 44 2" xfId="4294" xr:uid="{F1D1572B-1FA3-41C1-AD3F-E66854C73CD5}"/>
    <cellStyle name="20% - Accent1 44 2 2" xfId="4295" xr:uid="{B997B913-93EC-4A83-9FA3-62CB68F79B2B}"/>
    <cellStyle name="20% - Accent1 44 2_Working Capital Current" xfId="13029" xr:uid="{8E6ABFE6-ED9F-480A-9D63-763EBED857D1}"/>
    <cellStyle name="20% - Accent1 44 3" xfId="4296" xr:uid="{DA1D52C8-0311-4161-871C-B0B8C8E76F42}"/>
    <cellStyle name="20% - Accent1 44 4" xfId="4297" xr:uid="{357D9DEF-5657-4334-A93F-B078BAEEC8FD}"/>
    <cellStyle name="20% - Accent1 44_Working Capital Current" xfId="13030" xr:uid="{BA8CB01A-8C8E-48F4-AF55-2E7D1A201032}"/>
    <cellStyle name="20% - Accent1 45" xfId="4298" xr:uid="{AF693A6F-B612-403A-9648-66971D9313FD}"/>
    <cellStyle name="20% - Accent1 45 2" xfId="4299" xr:uid="{22D34808-8495-4320-BF22-29C910F83C31}"/>
    <cellStyle name="20% - Accent1 45 2 2" xfId="4300" xr:uid="{71FE07C1-7C90-4C2C-899E-F7F2855223B7}"/>
    <cellStyle name="20% - Accent1 45 2_Working Capital Current" xfId="13031" xr:uid="{E3989493-7520-4560-9695-1790F6A7CD3C}"/>
    <cellStyle name="20% - Accent1 45 3" xfId="4301" xr:uid="{39BF9F6B-CB53-4878-B813-728267D72177}"/>
    <cellStyle name="20% - Accent1 45 4" xfId="4302" xr:uid="{37067B74-1040-446E-8BCD-21538548EB5F}"/>
    <cellStyle name="20% - Accent1 45_Working Capital Current" xfId="13032" xr:uid="{BAC77FDC-3417-4BE8-86D1-FC785761A493}"/>
    <cellStyle name="20% - Accent1 46" xfId="4303" xr:uid="{36A8DCB2-3D60-4E37-BCB2-445CE15FC51C}"/>
    <cellStyle name="20% - Accent1 46 2" xfId="4304" xr:uid="{89A16C80-BF93-492F-90FE-881185065A67}"/>
    <cellStyle name="20% - Accent1 46 2 2" xfId="4305" xr:uid="{CC9C8FC9-0BB5-4408-9BAF-FC6BAAD07DC8}"/>
    <cellStyle name="20% - Accent1 46 2_Working Capital Current" xfId="13033" xr:uid="{C9182D57-B8CB-4588-A2C6-3966454E922C}"/>
    <cellStyle name="20% - Accent1 46 3" xfId="4306" xr:uid="{1FA743E9-C47A-40F5-9531-CCD4FA7A79DA}"/>
    <cellStyle name="20% - Accent1 46 4" xfId="4307" xr:uid="{73F3C703-E0EF-4C95-AA07-320BF6B704B0}"/>
    <cellStyle name="20% - Accent1 46_Working Capital Current" xfId="13034" xr:uid="{C23913E5-C6D4-46B9-A519-BB0D3F9774BF}"/>
    <cellStyle name="20% - Accent1 47" xfId="4308" xr:uid="{086870F4-792A-4FF5-A5DB-B1820A4D80E6}"/>
    <cellStyle name="20% - Accent1 47 2" xfId="4309" xr:uid="{AE8CB491-4820-45F1-95B3-1B6A48294344}"/>
    <cellStyle name="20% - Accent1 47 2 2" xfId="4310" xr:uid="{9C1373BB-87CA-47E9-A654-C41A0D77324C}"/>
    <cellStyle name="20% - Accent1 47 2_Working Capital Current" xfId="13035" xr:uid="{DA06CD84-9F34-4206-AF29-D4D12D16AFA5}"/>
    <cellStyle name="20% - Accent1 47 3" xfId="4311" xr:uid="{7701657D-02DD-43B2-A13B-E1C865D4BFDE}"/>
    <cellStyle name="20% - Accent1 47 4" xfId="4312" xr:uid="{8BB46353-4B3D-4056-9BD7-2447761022A0}"/>
    <cellStyle name="20% - Accent1 47_Working Capital Current" xfId="13036" xr:uid="{EEA6FEAD-8AC0-4A7F-919F-08EA373ECA43}"/>
    <cellStyle name="20% - Accent1 48" xfId="4313" xr:uid="{918444E1-C71C-42A1-9963-03818D886A23}"/>
    <cellStyle name="20% - Accent1 48 2" xfId="4314" xr:uid="{AEA89C34-65C5-4940-B82B-5E1628A1DFF8}"/>
    <cellStyle name="20% - Accent1 48 2 2" xfId="4315" xr:uid="{E7758CDD-2683-4388-8785-824CADF20501}"/>
    <cellStyle name="20% - Accent1 48 2_Working Capital Current" xfId="13037" xr:uid="{62CD5F90-62E7-4256-85A9-AD5BE955D8F8}"/>
    <cellStyle name="20% - Accent1 48 3" xfId="4316" xr:uid="{8247A6F1-9F06-4679-AF13-9E00F08DAC00}"/>
    <cellStyle name="20% - Accent1 48 4" xfId="4317" xr:uid="{440614DD-3CE4-4196-A033-D9587A4DE8E7}"/>
    <cellStyle name="20% - Accent1 48_Working Capital Current" xfId="13038" xr:uid="{DF0E4937-2E95-4D50-B662-698DD2CD280C}"/>
    <cellStyle name="20% - Accent1 49" xfId="4318" xr:uid="{4ACEF84D-67E7-4874-9E43-447B1C642BB8}"/>
    <cellStyle name="20% - Accent1 49 2" xfId="4319" xr:uid="{AA182DB4-2844-4A80-A580-57AF1F9113F2}"/>
    <cellStyle name="20% - Accent1 49 2 2" xfId="4320" xr:uid="{C5903ECE-3D07-4713-BC03-E7CF172D8D1D}"/>
    <cellStyle name="20% - Accent1 49 2_Working Capital Current" xfId="13039" xr:uid="{B6E227EB-899C-4413-BB7F-F1663D64330C}"/>
    <cellStyle name="20% - Accent1 49 3" xfId="4321" xr:uid="{37CCF0FD-3C27-443C-9EE3-37E82A572437}"/>
    <cellStyle name="20% - Accent1 49 4" xfId="4322" xr:uid="{6EF43174-61F4-4C92-8D73-7E11C9905BD2}"/>
    <cellStyle name="20% - Accent1 49_Working Capital Current" xfId="13040" xr:uid="{F34850A9-BDAD-42D5-804B-9DB2FD468D97}"/>
    <cellStyle name="20% - Accent1 5" xfId="4323" xr:uid="{99E72DF0-4809-442C-90F3-BFC2DC9D6525}"/>
    <cellStyle name="20% - Accent1 5 2" xfId="4324" xr:uid="{1462CAFA-0469-417E-A8DC-ADF262D4473C}"/>
    <cellStyle name="20% - Accent1 5 2 2" xfId="4325" xr:uid="{53F1225F-8C27-493F-A334-14892FA7794C}"/>
    <cellStyle name="20% - Accent1 5 2 2 2" xfId="4326" xr:uid="{262EE588-2EC4-4DC9-AB25-A8E32ED31721}"/>
    <cellStyle name="20% - Accent1 5 2 2_Working Capital Current" xfId="13041" xr:uid="{94DAF845-B9B9-47FD-AF90-99B9B943B3DF}"/>
    <cellStyle name="20% - Accent1 5 2 3" xfId="4327" xr:uid="{403D1EC4-B7F7-45EC-B3F1-55567118155E}"/>
    <cellStyle name="20% - Accent1 5 2 4" xfId="4328" xr:uid="{52BC91F8-82C3-4BC2-A80A-D3D62C5284F0}"/>
    <cellStyle name="20% - Accent1 5 2_Working Capital Current" xfId="13042" xr:uid="{8D1D0213-AD27-4FF6-B8C2-0AC9CD9BB69C}"/>
    <cellStyle name="20% - Accent1 5 3" xfId="4329" xr:uid="{9B778683-85C5-4135-9942-9B006D96A065}"/>
    <cellStyle name="20% - Accent1 5 3 2" xfId="4330" xr:uid="{73F23483-1CD8-4732-95BE-471C3C91B314}"/>
    <cellStyle name="20% - Accent1 5 3_Working Capital Current" xfId="13043" xr:uid="{576EE74F-B09E-4258-8233-6ADEBAC0AAE9}"/>
    <cellStyle name="20% - Accent1 5 4" xfId="4331" xr:uid="{6E8E530A-5E03-4EE3-B642-EEE0EE9BEBEB}"/>
    <cellStyle name="20% - Accent1 5 5" xfId="4332" xr:uid="{7F35402E-EC57-4704-A1EC-C5A13545F551}"/>
    <cellStyle name="20% - Accent1 5_Not_for_upload_before_M4_correc" xfId="13044" xr:uid="{A52DE4C6-CE8C-4843-B544-D911CB1AF079}"/>
    <cellStyle name="20% - Accent1 50" xfId="4333" xr:uid="{7465206D-5CA9-482D-B6D7-C8AC4B22C09F}"/>
    <cellStyle name="20% - Accent1 50 2" xfId="4334" xr:uid="{0A7931FF-7D34-47E1-9C28-A372A0B3F02B}"/>
    <cellStyle name="20% - Accent1 50 2 2" xfId="4335" xr:uid="{9AACC33F-6B67-46D0-9CD4-D9C1857AE2BB}"/>
    <cellStyle name="20% - Accent1 50 2_Working Capital Current" xfId="13045" xr:uid="{EB47C2DE-26FA-41ED-B1E1-8AD46E1DED1B}"/>
    <cellStyle name="20% - Accent1 50 3" xfId="4336" xr:uid="{7D44C6AB-BD28-4132-91A0-CF1B17141C94}"/>
    <cellStyle name="20% - Accent1 50 4" xfId="4337" xr:uid="{533C90D7-517E-4456-AA7E-246B18B46464}"/>
    <cellStyle name="20% - Accent1 50_Working Capital Current" xfId="13046" xr:uid="{8FEBA9D8-AEA4-4B7C-A690-399B1A6AE47D}"/>
    <cellStyle name="20% - Accent1 51" xfId="4338" xr:uid="{FD71D033-4ED2-4C14-9D89-C638E108789B}"/>
    <cellStyle name="20% - Accent1 51 2" xfId="4339" xr:uid="{43FF9B13-481B-4EEB-9138-D6C9AE24A16F}"/>
    <cellStyle name="20% - Accent1 51 2 2" xfId="4340" xr:uid="{B65870BB-FC3D-4C60-8803-1397336BD411}"/>
    <cellStyle name="20% - Accent1 51 2_Working Capital Current" xfId="13047" xr:uid="{A7360639-AA43-43EB-9271-94609814E4D7}"/>
    <cellStyle name="20% - Accent1 51 3" xfId="4341" xr:uid="{D8632DD1-0DAF-4EAB-9B3F-E72A9ADEBC46}"/>
    <cellStyle name="20% - Accent1 51 4" xfId="4342" xr:uid="{738B7337-896C-47C5-B369-EBA14DD9AC8F}"/>
    <cellStyle name="20% - Accent1 51_Working Capital Current" xfId="13048" xr:uid="{AA25CD19-9FF1-4293-8172-824D0EE53D19}"/>
    <cellStyle name="20% - Accent1 52" xfId="4343" xr:uid="{5F1AC43C-09B5-42AD-828D-D7BE2245C7DE}"/>
    <cellStyle name="20% - Accent1 52 2" xfId="4344" xr:uid="{58235158-4F83-49D4-8FBF-4AEFA07AD0DD}"/>
    <cellStyle name="20% - Accent1 52 2 2" xfId="4345" xr:uid="{FDC7F818-2417-4C67-BF05-FFFCB844B974}"/>
    <cellStyle name="20% - Accent1 52 2_Working Capital Current" xfId="13049" xr:uid="{7F7D86E6-04A2-4516-88D4-73E285C2C928}"/>
    <cellStyle name="20% - Accent1 52 3" xfId="4346" xr:uid="{C474CD47-6A74-44DE-B8B1-5D970EF3F59E}"/>
    <cellStyle name="20% - Accent1 52 4" xfId="4347" xr:uid="{038A58A5-BD04-4A30-85D3-D11631D97E66}"/>
    <cellStyle name="20% - Accent1 52_Working Capital Current" xfId="13050" xr:uid="{AFAD09BB-5DF9-4579-9C47-D6EA5148F978}"/>
    <cellStyle name="20% - Accent1 53" xfId="4348" xr:uid="{57187B4D-224E-43BA-8AD4-126F82FFF8DE}"/>
    <cellStyle name="20% - Accent1 53 2" xfId="4349" xr:uid="{F940364A-9BAC-412A-BAA8-8D4F29B35B7C}"/>
    <cellStyle name="20% - Accent1 53 2 2" xfId="4350" xr:uid="{9A360D00-2B7C-4E05-95CD-D7D62F67D79A}"/>
    <cellStyle name="20% - Accent1 53 2_Working Capital Current" xfId="13051" xr:uid="{B53D90AD-387D-424C-940E-8C5F4BB89886}"/>
    <cellStyle name="20% - Accent1 53 3" xfId="4351" xr:uid="{FDBD4151-3D1D-4A6B-AE81-DCBC9A4EE0D9}"/>
    <cellStyle name="20% - Accent1 53 4" xfId="4352" xr:uid="{4D419E5C-2B1E-448B-A358-4B74C48A0B98}"/>
    <cellStyle name="20% - Accent1 53_Working Capital Current" xfId="13052" xr:uid="{D5E8C337-0C5A-46B8-B2E1-843B42E3407C}"/>
    <cellStyle name="20% - Accent1 54" xfId="4353" xr:uid="{AC11CE76-E24C-47AC-84D2-9BB05E12A3BA}"/>
    <cellStyle name="20% - Accent1 54 2" xfId="4354" xr:uid="{D9390AAA-4F77-4E32-BD95-4F0C37258AB3}"/>
    <cellStyle name="20% - Accent1 54 2 2" xfId="4355" xr:uid="{B9EEF455-8DF4-4AE8-8B61-115BCE1DEDE0}"/>
    <cellStyle name="20% - Accent1 54 2_Working Capital Current" xfId="13053" xr:uid="{3E9B7998-58AA-456F-81A7-832BB5FC6BBC}"/>
    <cellStyle name="20% - Accent1 54 3" xfId="4356" xr:uid="{22660C0E-73C5-4245-90FB-75657B23F9CD}"/>
    <cellStyle name="20% - Accent1 54 4" xfId="4357" xr:uid="{65740978-B2A7-463C-A139-9FB0F1AD53AA}"/>
    <cellStyle name="20% - Accent1 54_Working Capital Current" xfId="13054" xr:uid="{DA3CF2EF-4D62-4E7E-B3E6-B719E0CF047A}"/>
    <cellStyle name="20% - Accent1 55" xfId="4358" xr:uid="{93A47B8A-299B-4872-8DA7-626D98F3DDB0}"/>
    <cellStyle name="20% - Accent1 55 2" xfId="4359" xr:uid="{C6586066-A87D-47A9-A3C3-D149211B1965}"/>
    <cellStyle name="20% - Accent1 55 2 2" xfId="4360" xr:uid="{BDE22EBE-7A74-4A6A-B127-77803667A5B6}"/>
    <cellStyle name="20% - Accent1 55 2_Working Capital Current" xfId="13055" xr:uid="{89E5CE0E-5D70-409D-B4DA-A491A7585721}"/>
    <cellStyle name="20% - Accent1 55 3" xfId="4361" xr:uid="{3AE78C24-D454-45C9-8663-89CDC1F1AC21}"/>
    <cellStyle name="20% - Accent1 55 4" xfId="4362" xr:uid="{0DA1C951-3F29-449B-A4CB-5F915B794C59}"/>
    <cellStyle name="20% - Accent1 55_Working Capital Current" xfId="13056" xr:uid="{9AA72CD6-A450-43F4-A431-0D82ABBA27FD}"/>
    <cellStyle name="20% - Accent1 56" xfId="4363" xr:uid="{1B83DE9B-7D8E-4FF5-8066-325FAED3AF86}"/>
    <cellStyle name="20% - Accent1 56 2" xfId="4364" xr:uid="{50CA004E-47E7-4F0F-A8AE-C9E57C6A2A5A}"/>
    <cellStyle name="20% - Accent1 56 2 2" xfId="4365" xr:uid="{F8AD9171-897D-4323-920C-9B5C7C514B6A}"/>
    <cellStyle name="20% - Accent1 56 2_Working Capital Current" xfId="13057" xr:uid="{633362EE-694E-4E12-96DD-4D645181799E}"/>
    <cellStyle name="20% - Accent1 56 3" xfId="4366" xr:uid="{7CB56D99-7F90-419C-81D0-45EAFCF01923}"/>
    <cellStyle name="20% - Accent1 56 4" xfId="4367" xr:uid="{FDE7BDC6-A805-4CDA-8AC3-299126B7D89E}"/>
    <cellStyle name="20% - Accent1 56_Working Capital Current" xfId="13058" xr:uid="{36988865-7B84-4296-B337-0839426AF0F8}"/>
    <cellStyle name="20% - Accent1 57" xfId="4368" xr:uid="{5F6B34A2-69E1-435E-B7C6-2A26A1FC6F61}"/>
    <cellStyle name="20% - Accent1 57 2" xfId="4369" xr:uid="{DB14DBF8-5E74-4CEB-8195-D3ACA043678C}"/>
    <cellStyle name="20% - Accent1 57 2 2" xfId="4370" xr:uid="{EADE124D-EA1A-4407-9A70-F2BCE98C3D8E}"/>
    <cellStyle name="20% - Accent1 57 2_Working Capital Current" xfId="13059" xr:uid="{B05AA262-137C-4301-96C8-9E3FF787CC26}"/>
    <cellStyle name="20% - Accent1 57 3" xfId="4371" xr:uid="{A138FF8F-C23A-4FAC-BB87-1306ED07CAAB}"/>
    <cellStyle name="20% - Accent1 57 4" xfId="4372" xr:uid="{D1A3D0E0-9F2A-4F67-AD02-14537A2BFAD7}"/>
    <cellStyle name="20% - Accent1 57_Working Capital Current" xfId="13060" xr:uid="{D35A59BD-B85F-40F2-ADB9-C6AE9748462C}"/>
    <cellStyle name="20% - Accent1 58" xfId="4373" xr:uid="{9B7CC7E2-CD23-4AD1-A294-3D4684512945}"/>
    <cellStyle name="20% - Accent1 58 2" xfId="4374" xr:uid="{6BBFDF59-277E-43C7-B00C-3F8AC313585B}"/>
    <cellStyle name="20% - Accent1 58 2 2" xfId="4375" xr:uid="{670C509F-B7C4-42FB-949F-79A36CAF44AF}"/>
    <cellStyle name="20% - Accent1 58 2_Working Capital Current" xfId="13061" xr:uid="{4F350683-1BA5-45AF-9337-9F5DB5F4B3EE}"/>
    <cellStyle name="20% - Accent1 58 3" xfId="4376" xr:uid="{71060721-2BD2-4CC9-A899-5B059C4B639A}"/>
    <cellStyle name="20% - Accent1 58 4" xfId="4377" xr:uid="{2473783F-F57F-4E68-ACD9-4DED47BBB84E}"/>
    <cellStyle name="20% - Accent1 58_Working Capital Current" xfId="13062" xr:uid="{04BEAB68-40FC-4C92-8448-2A7B3DEA46BC}"/>
    <cellStyle name="20% - Accent1 59" xfId="4378" xr:uid="{8C93ED59-C0DD-4839-9F43-BEAE4A6EE5DD}"/>
    <cellStyle name="20% - Accent1 59 2" xfId="4379" xr:uid="{D4D92E3E-0E95-475F-967B-7F5E01DCE591}"/>
    <cellStyle name="20% - Accent1 59 2 2" xfId="4380" xr:uid="{0416A179-3836-4C1B-B9EA-544EEE1D7F04}"/>
    <cellStyle name="20% - Accent1 59 2_Working Capital Current" xfId="13063" xr:uid="{DB12FD0A-FE27-441D-A688-ABF019E518BC}"/>
    <cellStyle name="20% - Accent1 59 3" xfId="4381" xr:uid="{64C4F646-D0D7-4D73-8B8D-08142C6B3153}"/>
    <cellStyle name="20% - Accent1 59 4" xfId="4382" xr:uid="{45F208FF-0188-40F9-9959-D37C96497F31}"/>
    <cellStyle name="20% - Accent1 59_Working Capital Current" xfId="13064" xr:uid="{49AE5916-3E33-4B9A-9142-EFBEFA9FE6B8}"/>
    <cellStyle name="20% - Accent1 6" xfId="4383" xr:uid="{12BF5EB7-37BA-4E38-AD5A-1F505C07C618}"/>
    <cellStyle name="20% - Accent1 6 2" xfId="4384" xr:uid="{E5E34ECC-D16E-4E0D-A07C-286CCD5B5430}"/>
    <cellStyle name="20% - Accent1 6 2 2" xfId="4385" xr:uid="{DB8E53BA-735A-4B5B-B4E6-BDD6D9F8876F}"/>
    <cellStyle name="20% - Accent1 6 2 2 2" xfId="4386" xr:uid="{4B47BF2D-30AE-4948-A798-616F549995AA}"/>
    <cellStyle name="20% - Accent1 6 2 2_Working Capital Current" xfId="13065" xr:uid="{C3FC4C47-48FD-4A1E-8AAE-9AD88B8B4E47}"/>
    <cellStyle name="20% - Accent1 6 2 3" xfId="4387" xr:uid="{FBCEDB56-AA86-4EFF-B5C6-64F4B3D7BAE6}"/>
    <cellStyle name="20% - Accent1 6 2 4" xfId="4388" xr:uid="{8223C9D0-796E-4DE9-872F-ACDF5CFF5869}"/>
    <cellStyle name="20% - Accent1 6 2_Working Capital Current" xfId="13066" xr:uid="{CA33837F-35B4-485F-82AD-99C7802AE95C}"/>
    <cellStyle name="20% - Accent1 6 3" xfId="4389" xr:uid="{9198E4A7-E006-42A6-A54A-E49DB408872E}"/>
    <cellStyle name="20% - Accent1 6 3 2" xfId="4390" xr:uid="{0FCDC500-CAD4-4BB4-A145-8B0A70EB71FD}"/>
    <cellStyle name="20% - Accent1 6 3_Working Capital Current" xfId="13067" xr:uid="{E0D8AA8F-9790-4435-AEDB-131375FCA9C5}"/>
    <cellStyle name="20% - Accent1 6 4" xfId="4391" xr:uid="{3C2DDAA5-364D-47B2-A0C9-261F64F355BB}"/>
    <cellStyle name="20% - Accent1 6 5" xfId="4392" xr:uid="{6F5C042A-03BD-4B94-A34F-6C5C90A90616}"/>
    <cellStyle name="20% - Accent1 6_Not_for_upload_before_M4_correc" xfId="13068" xr:uid="{4367CF80-94DE-4BF5-8E63-2FC33D21DF73}"/>
    <cellStyle name="20% - Accent1 60" xfId="4393" xr:uid="{4AD2F8A1-E839-4939-845F-206915448E47}"/>
    <cellStyle name="20% - Accent1 60 2" xfId="4394" xr:uid="{82FBAFBA-65FB-4CD0-B108-862832027A4C}"/>
    <cellStyle name="20% - Accent1 60 2 2" xfId="4395" xr:uid="{EDC7E01E-41D1-4E02-A6B2-3FBAE4F089B6}"/>
    <cellStyle name="20% - Accent1 60 2_Working Capital Current" xfId="13069" xr:uid="{A1B0CC44-C4AD-4C8F-9F85-DFB6C407FC4A}"/>
    <cellStyle name="20% - Accent1 60 3" xfId="4396" xr:uid="{8E989C96-4A67-4670-96A1-DB2F1AAF8E56}"/>
    <cellStyle name="20% - Accent1 60 4" xfId="4397" xr:uid="{12C6EFBA-43FD-4776-A375-244AD7C28A20}"/>
    <cellStyle name="20% - Accent1 60_Working Capital Current" xfId="13070" xr:uid="{7E8556D7-32F4-49F2-99F6-F225D278895B}"/>
    <cellStyle name="20% - Accent1 61" xfId="4398" xr:uid="{6029220E-428B-4938-ACE3-BA5BE276CCD0}"/>
    <cellStyle name="20% - Accent1 61 2" xfId="4399" xr:uid="{4C0E48A1-4327-4093-9FF6-5160CEBC099A}"/>
    <cellStyle name="20% - Accent1 61 2 2" xfId="4400" xr:uid="{906876EB-807E-4F44-87C9-E3C81EA4A14E}"/>
    <cellStyle name="20% - Accent1 61 2_Working Capital Current" xfId="13071" xr:uid="{E5B913A3-A607-43EE-8351-E64FEC473EC7}"/>
    <cellStyle name="20% - Accent1 61 3" xfId="4401" xr:uid="{587590D0-D99E-4B2B-A97D-B98ED115C088}"/>
    <cellStyle name="20% - Accent1 61 4" xfId="4402" xr:uid="{4F99AFEF-2D5E-4514-BCED-51EBAA57A6C8}"/>
    <cellStyle name="20% - Accent1 61_Working Capital Current" xfId="13072" xr:uid="{3ABB63B7-DBDC-4CC6-BAA6-107DAA29F100}"/>
    <cellStyle name="20% - Accent1 62" xfId="4403" xr:uid="{7E0B5DAC-CD15-4391-B6DA-84CB086C302C}"/>
    <cellStyle name="20% - Accent1 62 2" xfId="4404" xr:uid="{2B809677-4CA9-4505-BED7-8D1076202671}"/>
    <cellStyle name="20% - Accent1 62 2 2" xfId="4405" xr:uid="{9FCB4C41-81FD-4651-9EBC-EA6A476AE11D}"/>
    <cellStyle name="20% - Accent1 62 2_Working Capital Current" xfId="13073" xr:uid="{5CF3FDD7-5F00-46EA-9319-5F9D493ED302}"/>
    <cellStyle name="20% - Accent1 62 3" xfId="4406" xr:uid="{0F0769E1-9E6C-4962-B771-4518E0653703}"/>
    <cellStyle name="20% - Accent1 62 4" xfId="4407" xr:uid="{7117AFE5-B4F3-41F6-9E97-8629E3DBB2FF}"/>
    <cellStyle name="20% - Accent1 62_Working Capital Current" xfId="13074" xr:uid="{B3D82A6D-0948-4335-96B2-6506D0BD1B1A}"/>
    <cellStyle name="20% - Accent1 63" xfId="4408" xr:uid="{3A6AFD40-C7B5-4E71-A669-91ED9CE5F09D}"/>
    <cellStyle name="20% - Accent1 63 2" xfId="4409" xr:uid="{056D2911-E671-47C4-BE3E-E5B0DC03D93F}"/>
    <cellStyle name="20% - Accent1 63 2 2" xfId="4410" xr:uid="{44441F1B-721B-473C-91A3-D55B0F1346D5}"/>
    <cellStyle name="20% - Accent1 63 2_Working Capital Current" xfId="13075" xr:uid="{41E5111D-815F-4955-ACEA-6C6218656492}"/>
    <cellStyle name="20% - Accent1 63 3" xfId="4411" xr:uid="{54FA08C8-38F6-47BA-A6F9-66F1328F12C7}"/>
    <cellStyle name="20% - Accent1 63 4" xfId="4412" xr:uid="{3364171E-0C42-466C-B5FD-C937764D1D15}"/>
    <cellStyle name="20% - Accent1 63_Working Capital Current" xfId="13076" xr:uid="{7E7E200E-9D4E-4019-8B8B-4DEFB75591EB}"/>
    <cellStyle name="20% - Accent1 64" xfId="4413" xr:uid="{30AAECE5-4337-4177-BF6F-02AA73AF3AEC}"/>
    <cellStyle name="20% - Accent1 64 2" xfId="4414" xr:uid="{DB0A48AA-D1F1-4ED6-8815-B08B72F67AE4}"/>
    <cellStyle name="20% - Accent1 64 2 2" xfId="4415" xr:uid="{46FFDAF0-198D-442C-8EE4-233F234EAC52}"/>
    <cellStyle name="20% - Accent1 64 2_Working Capital Current" xfId="13077" xr:uid="{056FC174-1A17-4B57-901E-73B8ED3D8F1F}"/>
    <cellStyle name="20% - Accent1 64 3" xfId="4416" xr:uid="{E4DE6E9A-13E2-4E38-853E-7959DC49F55D}"/>
    <cellStyle name="20% - Accent1 64 4" xfId="4417" xr:uid="{921D8F50-37D3-4D53-BA82-5D2DAEF4B19B}"/>
    <cellStyle name="20% - Accent1 64_Working Capital Current" xfId="13078" xr:uid="{A9FE1666-D877-49F8-898B-FB5621404A5D}"/>
    <cellStyle name="20% - Accent1 65" xfId="4418" xr:uid="{38E8E729-A1B4-43F0-9C1B-080DBA75C001}"/>
    <cellStyle name="20% - Accent1 65 2" xfId="4419" xr:uid="{7DFF7118-50B7-4FAF-8AF1-92F63DCEAB9A}"/>
    <cellStyle name="20% - Accent1 65 2 2" xfId="4420" xr:uid="{899514FF-8176-4C98-A37C-90FE621861A5}"/>
    <cellStyle name="20% - Accent1 65 2_Working Capital Current" xfId="13079" xr:uid="{1B15611E-7328-4A3E-9522-47BE36AC4BA0}"/>
    <cellStyle name="20% - Accent1 65 3" xfId="4421" xr:uid="{2B480AC4-6FA2-4DE2-8E37-945991CB6367}"/>
    <cellStyle name="20% - Accent1 65 4" xfId="4422" xr:uid="{151413EB-C2A1-41B5-AEF5-DA226B54F588}"/>
    <cellStyle name="20% - Accent1 65_Working Capital Current" xfId="13080" xr:uid="{06666630-CE73-46BF-864E-35298E66825A}"/>
    <cellStyle name="20% - Accent1 66" xfId="4423" xr:uid="{D4D9D1EE-0171-426E-9D9B-E7A0F20F0BAB}"/>
    <cellStyle name="20% - Accent1 66 2" xfId="4424" xr:uid="{87032DB7-E4D7-43FB-B884-2568E8035CE7}"/>
    <cellStyle name="20% - Accent1 66 2 2" xfId="4425" xr:uid="{506F1450-E2F2-4F2C-9F7D-02274CA1C47A}"/>
    <cellStyle name="20% - Accent1 66 2_Working Capital Current" xfId="13081" xr:uid="{53578B48-5FC9-4765-9A54-E3A39AB3E007}"/>
    <cellStyle name="20% - Accent1 66 3" xfId="4426" xr:uid="{17A9C9F7-8C34-4D41-A4DE-C6954A43909E}"/>
    <cellStyle name="20% - Accent1 66 4" xfId="4427" xr:uid="{72470D8F-1D95-463C-8826-8B72C21FDB2C}"/>
    <cellStyle name="20% - Accent1 66_Working Capital Current" xfId="13082" xr:uid="{23D72884-EA28-4258-8732-EC64A4909211}"/>
    <cellStyle name="20% - Accent1 67" xfId="4428" xr:uid="{ABAA6D80-FDCD-4E64-B474-8710CC1287A0}"/>
    <cellStyle name="20% - Accent1 67 2" xfId="4429" xr:uid="{D5875FBA-B6F6-4B56-97E3-CE2EF5F0A8FE}"/>
    <cellStyle name="20% - Accent1 67 2 2" xfId="4430" xr:uid="{27A0339A-3B59-45D8-A4C3-5966BA465511}"/>
    <cellStyle name="20% - Accent1 67 2_Working Capital Current" xfId="13083" xr:uid="{F5F50BAD-C2B1-4FF6-B046-80BCD06B342D}"/>
    <cellStyle name="20% - Accent1 67 3" xfId="4431" xr:uid="{4B904911-77D3-4964-8AAE-44EBD2F53445}"/>
    <cellStyle name="20% - Accent1 67 4" xfId="4432" xr:uid="{ABF7E189-1ECE-455A-88FD-37D494CEAC0A}"/>
    <cellStyle name="20% - Accent1 67_Working Capital Current" xfId="13084" xr:uid="{91342E92-20A7-4B11-8C4A-42318226E2B2}"/>
    <cellStyle name="20% - Accent1 68" xfId="4433" xr:uid="{A65528B9-B6E8-41D5-9CC8-42F7823DA9EE}"/>
    <cellStyle name="20% - Accent1 68 2" xfId="4434" xr:uid="{93194B82-8361-4394-9851-5D08672D339D}"/>
    <cellStyle name="20% - Accent1 68 2 2" xfId="4435" xr:uid="{8C7781EB-18F2-46BD-915B-236BD605A564}"/>
    <cellStyle name="20% - Accent1 68 2_Working Capital Current" xfId="13085" xr:uid="{C43C34CC-D8C0-42E8-862D-DBDED0D17C3E}"/>
    <cellStyle name="20% - Accent1 68 3" xfId="4436" xr:uid="{FEE07EC1-832B-4C54-A823-04C57D3F26BB}"/>
    <cellStyle name="20% - Accent1 68 4" xfId="4437" xr:uid="{3708B859-81B1-4D2A-BCCF-3966843E8F75}"/>
    <cellStyle name="20% - Accent1 68_Working Capital Current" xfId="13086" xr:uid="{DC1C820F-D5BE-411A-BAEE-8825E230B333}"/>
    <cellStyle name="20% - Accent1 69" xfId="4438" xr:uid="{ECDCEFE6-54EC-4789-A6BF-BA72E4A8FE3B}"/>
    <cellStyle name="20% - Accent1 69 2" xfId="4439" xr:uid="{2F866864-C184-4CEF-A13F-612F85DF7E0F}"/>
    <cellStyle name="20% - Accent1 69 2 2" xfId="4440" xr:uid="{2BCEF029-37E4-43C2-A236-98287EC7C0AE}"/>
    <cellStyle name="20% - Accent1 69 2_Working Capital Current" xfId="13087" xr:uid="{C7A85763-585D-49CE-917B-E1137F3604B3}"/>
    <cellStyle name="20% - Accent1 69 3" xfId="4441" xr:uid="{B6E4090C-F1A2-438F-BF6E-BCF773A0FB98}"/>
    <cellStyle name="20% - Accent1 69 4" xfId="4442" xr:uid="{E4ED4B6C-5A6F-4B7A-B81E-5076D6F318DA}"/>
    <cellStyle name="20% - Accent1 69_Working Capital Current" xfId="13088" xr:uid="{5ABD91CF-4D53-49B3-895D-791AFF2E3D4B}"/>
    <cellStyle name="20% - Accent1 7" xfId="4443" xr:uid="{5203E2AA-FFE2-4F41-B2A2-39034BCD1E23}"/>
    <cellStyle name="20% - Accent1 7 2" xfId="4444" xr:uid="{80A22C36-68EC-43E0-B082-5B90137ADEBD}"/>
    <cellStyle name="20% - Accent1 7 2 2" xfId="4445" xr:uid="{03851042-A5D7-4621-B7E9-08B2855245D8}"/>
    <cellStyle name="20% - Accent1 7 2 2 2" xfId="4446" xr:uid="{9647AA1B-B8CA-40DC-AAC3-0F80144621F8}"/>
    <cellStyle name="20% - Accent1 7 2 2_Working Capital Current" xfId="13089" xr:uid="{44FCE7FE-6672-4D50-9C48-D2FEB66F1571}"/>
    <cellStyle name="20% - Accent1 7 2 3" xfId="4447" xr:uid="{AF8B3C0D-EB44-4D15-9813-8F33722635CE}"/>
    <cellStyle name="20% - Accent1 7 2 4" xfId="4448" xr:uid="{21BE69D1-88CE-4737-BFBF-AC0ACB9B384C}"/>
    <cellStyle name="20% - Accent1 7 2_Working Capital Current" xfId="13090" xr:uid="{F54C7DBE-79C8-49F3-BCBE-F124A51516D7}"/>
    <cellStyle name="20% - Accent1 7 3" xfId="4449" xr:uid="{DF37A19E-86C9-4E9D-8485-5D2DBC4B1454}"/>
    <cellStyle name="20% - Accent1 7 3 2" xfId="4450" xr:uid="{BAA5A63B-AE6C-4D4B-A4DB-84918D88D9A6}"/>
    <cellStyle name="20% - Accent1 7 3_Working Capital Current" xfId="13091" xr:uid="{337B4A27-D637-414C-B0CA-693EB931C6A7}"/>
    <cellStyle name="20% - Accent1 7 4" xfId="4451" xr:uid="{8F50A04B-741A-4364-9125-572815E07400}"/>
    <cellStyle name="20% - Accent1 7 5" xfId="4452" xr:uid="{763CD5C3-6A1D-4DC9-B145-0B2B23105AE6}"/>
    <cellStyle name="20% - Accent1 7_Not_for_upload_before_M4_correc" xfId="13092" xr:uid="{B1B9EC1E-4F94-4E87-B727-1550BB093571}"/>
    <cellStyle name="20% - Accent1 70" xfId="4453" xr:uid="{6D72D1B2-AD24-49CF-B16D-6AB873D95609}"/>
    <cellStyle name="20% - Accent1 70 2" xfId="4454" xr:uid="{2BD69875-F1C5-4858-80FE-EA68EF004FE1}"/>
    <cellStyle name="20% - Accent1 70 2 2" xfId="4455" xr:uid="{35A0B4E7-3F19-4277-92E8-12FC4D9F3DC3}"/>
    <cellStyle name="20% - Accent1 70 2_Working Capital Current" xfId="13093" xr:uid="{BABE5433-B0DF-4139-9B20-E9C8A386FEC1}"/>
    <cellStyle name="20% - Accent1 70 3" xfId="4456" xr:uid="{70A4DE61-F607-4F4B-95EE-5D32CDA15022}"/>
    <cellStyle name="20% - Accent1 70 4" xfId="4457" xr:uid="{71A5A657-4F61-4A66-AF2A-74B51C7A8B83}"/>
    <cellStyle name="20% - Accent1 70_Working Capital Current" xfId="13094" xr:uid="{A4B61AE4-7384-4B60-B8EA-BE92DD7E3DFA}"/>
    <cellStyle name="20% - Accent1 71" xfId="4458" xr:uid="{C87FB4F6-162D-437B-A76F-B5215FF5D490}"/>
    <cellStyle name="20% - Accent1 71 2" xfId="4459" xr:uid="{92727ECB-1F1F-46B8-B5DE-97274CC58A4C}"/>
    <cellStyle name="20% - Accent1 71 2 2" xfId="4460" xr:uid="{710B376D-D34B-49D5-8930-2A58FC166702}"/>
    <cellStyle name="20% - Accent1 71 2_Working Capital Current" xfId="13095" xr:uid="{DEBA8BCC-8A88-416E-87FE-8DFF007A94E2}"/>
    <cellStyle name="20% - Accent1 71 3" xfId="4461" xr:uid="{BDD677B1-D64A-44A4-A8FB-7A9D3EE47EAB}"/>
    <cellStyle name="20% - Accent1 71 4" xfId="4462" xr:uid="{E4264125-4B3F-4F35-BE77-BF30BA623C63}"/>
    <cellStyle name="20% - Accent1 71_Working Capital Current" xfId="13096" xr:uid="{64E5DCD1-7E7E-4505-A6A0-FAAE0A377700}"/>
    <cellStyle name="20% - Accent1 72" xfId="4463" xr:uid="{37A284E9-83F2-45F3-B7ED-6A0C3F6D5DAD}"/>
    <cellStyle name="20% - Accent1 72 2" xfId="4464" xr:uid="{C308EFFB-5D44-4D1E-A6A2-0FE90DC98547}"/>
    <cellStyle name="20% - Accent1 72 2 2" xfId="4465" xr:uid="{F6FEA036-196F-46ED-A907-7392737EC8DC}"/>
    <cellStyle name="20% - Accent1 72 2_Working Capital Current" xfId="13097" xr:uid="{2D85310D-605A-4F83-8CDA-EB4EC13BA2A0}"/>
    <cellStyle name="20% - Accent1 72 3" xfId="4466" xr:uid="{935D5CFF-A397-4044-9811-651BDA5DE2F5}"/>
    <cellStyle name="20% - Accent1 72 4" xfId="4467" xr:uid="{90E9F40E-698A-4021-80F0-4BB4D1F20E42}"/>
    <cellStyle name="20% - Accent1 72_Working Capital Current" xfId="13098" xr:uid="{762F6BEF-B9A1-4729-B444-E340AD299663}"/>
    <cellStyle name="20% - Accent1 73" xfId="4468" xr:uid="{729BCB1E-0521-4984-AFE1-C45E544E8640}"/>
    <cellStyle name="20% - Accent1 73 2" xfId="4469" xr:uid="{3511DD5E-BFEB-4200-9D13-7245E4184503}"/>
    <cellStyle name="20% - Accent1 73 2 2" xfId="4470" xr:uid="{0980302F-AC51-4908-B6EC-F0023EE76263}"/>
    <cellStyle name="20% - Accent1 73 2_Working Capital Current" xfId="13099" xr:uid="{96B8C47D-B247-436C-B10C-07343643E923}"/>
    <cellStyle name="20% - Accent1 73 3" xfId="4471" xr:uid="{7DDF16FA-43AC-4CEE-ADB1-7DD9B65283D4}"/>
    <cellStyle name="20% - Accent1 73 4" xfId="4472" xr:uid="{8A4FE0FB-7078-4353-B1BE-D4AD6D276B65}"/>
    <cellStyle name="20% - Accent1 73_Working Capital Current" xfId="13100" xr:uid="{DECB7A58-BD4B-4308-928C-02E7E6B8FD86}"/>
    <cellStyle name="20% - Accent1 74" xfId="4473" xr:uid="{47B25C67-4779-48DD-979C-5FADFC1ED8DD}"/>
    <cellStyle name="20% - Accent1 74 2" xfId="4474" xr:uid="{1E940E19-4C1C-4B7A-B698-4214188BE1B4}"/>
    <cellStyle name="20% - Accent1 74 2 2" xfId="4475" xr:uid="{35B28170-8C3E-443A-844A-CAD04116662D}"/>
    <cellStyle name="20% - Accent1 74 2_Working Capital Current" xfId="13101" xr:uid="{7FE41CD2-EC9E-4DEF-9CCC-7D9796FBD4E5}"/>
    <cellStyle name="20% - Accent1 74 3" xfId="4476" xr:uid="{9368592A-D014-4566-8D93-D76B689AC56C}"/>
    <cellStyle name="20% - Accent1 74 4" xfId="4477" xr:uid="{E9696B14-740A-440A-9B54-42B0CA13B041}"/>
    <cellStyle name="20% - Accent1 74_Working Capital Current" xfId="13102" xr:uid="{FF66301E-5818-4CF4-B491-66563D7F95F8}"/>
    <cellStyle name="20% - Accent1 75" xfId="4478" xr:uid="{B0E853F6-7A07-48DF-9808-C4D62C0A94C7}"/>
    <cellStyle name="20% - Accent1 75 2" xfId="4479" xr:uid="{5E943C8B-81FF-4DF9-84EB-C0792D3447A4}"/>
    <cellStyle name="20% - Accent1 75 2 2" xfId="4480" xr:uid="{469CB3DF-8846-4BA2-BCDA-E6990A8EA108}"/>
    <cellStyle name="20% - Accent1 75 2_Working Capital Current" xfId="13103" xr:uid="{9E71E271-CD87-4E9D-ABAB-E2DF1F2AFBDA}"/>
    <cellStyle name="20% - Accent1 75 3" xfId="4481" xr:uid="{A6D6CC46-FBEB-4A08-96D5-F3A469360571}"/>
    <cellStyle name="20% - Accent1 75 4" xfId="4482" xr:uid="{CE3E88EA-A409-49BF-941F-4D60B7DBC1BD}"/>
    <cellStyle name="20% - Accent1 75_Working Capital Current" xfId="13104" xr:uid="{2344DD0D-9369-47BE-8883-FBA7211EA339}"/>
    <cellStyle name="20% - Accent1 76" xfId="4483" xr:uid="{9DABBAEA-49A0-414D-9776-362CE04A2661}"/>
    <cellStyle name="20% - Accent1 76 2" xfId="4484" xr:uid="{73EFE043-D2BB-4D32-9252-33591434E823}"/>
    <cellStyle name="20% - Accent1 76 2 2" xfId="4485" xr:uid="{05B09A9A-7F2B-4621-BA61-BB189B3D8305}"/>
    <cellStyle name="20% - Accent1 76 2_Working Capital Current" xfId="13105" xr:uid="{D0B2B95F-CC64-49BC-B7D1-18AAAAAAAE66}"/>
    <cellStyle name="20% - Accent1 76 3" xfId="4486" xr:uid="{3FB0EBF7-CCB6-4944-9280-CED7D8B63AC9}"/>
    <cellStyle name="20% - Accent1 76 4" xfId="4487" xr:uid="{B65D9F79-53FA-43D5-9434-280EE3A02BE6}"/>
    <cellStyle name="20% - Accent1 76_Working Capital Current" xfId="13106" xr:uid="{56F0D750-2632-456C-B771-DD6B5B8D98E4}"/>
    <cellStyle name="20% - Accent1 77" xfId="4488" xr:uid="{EFE6A37F-6CC4-4B6E-B3BC-25745B0F0C83}"/>
    <cellStyle name="20% - Accent1 77 2" xfId="4489" xr:uid="{9A8BDE15-3FF4-48AC-A7BD-3A73C335F884}"/>
    <cellStyle name="20% - Accent1 77 2 2" xfId="4490" xr:uid="{A1E25CFD-1E70-41E5-8EF5-D3C483F64C30}"/>
    <cellStyle name="20% - Accent1 77 2_Working Capital Current" xfId="13107" xr:uid="{7A551B5F-8922-411D-9C18-A47DAAB18E15}"/>
    <cellStyle name="20% - Accent1 77 3" xfId="4491" xr:uid="{62913E26-C611-43AD-BDC5-0A620A343903}"/>
    <cellStyle name="20% - Accent1 77 4" xfId="4492" xr:uid="{62F08C5E-BF46-4FFE-895D-18A6EA8F98DA}"/>
    <cellStyle name="20% - Accent1 77_Working Capital Current" xfId="13108" xr:uid="{ADDCD594-A79C-4209-A81B-4A6E2D58B4A4}"/>
    <cellStyle name="20% - Accent1 78" xfId="4493" xr:uid="{F4776E65-7EC1-48A8-AB27-772B07C98F24}"/>
    <cellStyle name="20% - Accent1 78 2" xfId="4494" xr:uid="{CCFE4DB9-9383-415B-A116-E0383FF507CC}"/>
    <cellStyle name="20% - Accent1 78 2 2" xfId="4495" xr:uid="{2EA52061-FE8A-4652-B5FC-B06789023D42}"/>
    <cellStyle name="20% - Accent1 78 2_Working Capital Current" xfId="13109" xr:uid="{9DB61178-B64E-4D89-9EEE-CB0A73E31B16}"/>
    <cellStyle name="20% - Accent1 78 3" xfId="4496" xr:uid="{5EB30201-144E-466D-9192-3887C1BA5471}"/>
    <cellStyle name="20% - Accent1 78 4" xfId="4497" xr:uid="{81D2B247-D5DF-4608-AE14-80419A29E88E}"/>
    <cellStyle name="20% - Accent1 78_Working Capital Current" xfId="13110" xr:uid="{94843FA9-FBC3-49FC-BE71-06A72696975B}"/>
    <cellStyle name="20% - Accent1 79" xfId="4498" xr:uid="{CC311F1D-CA70-48E2-BD63-067FC43D773A}"/>
    <cellStyle name="20% - Accent1 79 2" xfId="4499" xr:uid="{01BC5D66-7718-4472-9C5B-736D153B35BB}"/>
    <cellStyle name="20% - Accent1 79 2 2" xfId="4500" xr:uid="{8D34D8B0-5741-4613-83D9-B5771CF30645}"/>
    <cellStyle name="20% - Accent1 79 2_Working Capital Current" xfId="13111" xr:uid="{C1042D88-3976-4EBD-9FD4-C3DD74B7E4D2}"/>
    <cellStyle name="20% - Accent1 79 3" xfId="4501" xr:uid="{2DD18F28-7514-4A05-8DC3-B1CF9386EF1D}"/>
    <cellStyle name="20% - Accent1 79 4" xfId="4502" xr:uid="{932CE3A4-A525-41A9-A77E-F89A84CBFC76}"/>
    <cellStyle name="20% - Accent1 79_Working Capital Current" xfId="13112" xr:uid="{EA543C76-9076-4DD5-BC8A-D849752FCD17}"/>
    <cellStyle name="20% - Accent1 8" xfId="4503" xr:uid="{0ABF2474-C850-4CB5-B753-A038453836CA}"/>
    <cellStyle name="20% - Accent1 8 2" xfId="4504" xr:uid="{6BF67BB5-D487-4C4C-9D9D-D02A5B0A03F7}"/>
    <cellStyle name="20% - Accent1 8 2 2" xfId="4505" xr:uid="{83C633EB-4A4A-4D7B-B4AF-4B8385724E9B}"/>
    <cellStyle name="20% - Accent1 8 2 2 2" xfId="4506" xr:uid="{00BDAC7A-B4BB-4B1F-9B4D-6CBC13E0E74E}"/>
    <cellStyle name="20% - Accent1 8 2 2_Working Capital Current" xfId="13113" xr:uid="{8E275B7E-97B7-4DEF-8E16-EB64C239DDC2}"/>
    <cellStyle name="20% - Accent1 8 2 3" xfId="4507" xr:uid="{6A9EF121-F25D-4959-8629-63BCEB042BFB}"/>
    <cellStyle name="20% - Accent1 8 2 4" xfId="4508" xr:uid="{A4F41E58-4CA8-40A5-B618-A5319C42BA6D}"/>
    <cellStyle name="20% - Accent1 8 2_Working Capital Current" xfId="13114" xr:uid="{84DC66FC-3E97-4475-A56C-45BCE2788484}"/>
    <cellStyle name="20% - Accent1 8 3" xfId="4509" xr:uid="{6130695C-4EAF-48F1-A6A0-B01021A4FCE6}"/>
    <cellStyle name="20% - Accent1 8 3 2" xfId="4510" xr:uid="{55E744A4-50A8-4EAC-A5E3-DE16D3520255}"/>
    <cellStyle name="20% - Accent1 8 3_Working Capital Current" xfId="13115" xr:uid="{B92CD6ED-8A7E-497B-A4EA-A727C3C25A05}"/>
    <cellStyle name="20% - Accent1 8 4" xfId="4511" xr:uid="{7B0E855D-1C0D-49FA-A4D1-3FD016DA3B8F}"/>
    <cellStyle name="20% - Accent1 8 5" xfId="4512" xr:uid="{B40DB510-C845-46C8-8ED3-81EA4A7EF801}"/>
    <cellStyle name="20% - Accent1 8_Not_for_upload_before_M4_correc" xfId="13116" xr:uid="{F7910F73-7F07-4100-AA8C-3862E6215E65}"/>
    <cellStyle name="20% - Accent1 80" xfId="4513" xr:uid="{BCB20682-75E4-4CD7-97CC-85BFB73AEFFA}"/>
    <cellStyle name="20% - Accent1 80 2" xfId="4514" xr:uid="{395D06E2-F6DA-4EC7-9BC5-860B5837B6E0}"/>
    <cellStyle name="20% - Accent1 80 2 2" xfId="4515" xr:uid="{43A67410-9A41-4D46-B08B-71499F011CED}"/>
    <cellStyle name="20% - Accent1 80 2_Working Capital Current" xfId="13117" xr:uid="{037BD559-8F84-4883-8CA1-A2B956A5F019}"/>
    <cellStyle name="20% - Accent1 80 3" xfId="4516" xr:uid="{1B0CBF66-B017-4DEF-8A91-AB133D45832E}"/>
    <cellStyle name="20% - Accent1 80 4" xfId="4517" xr:uid="{604D7314-52B4-44DC-9F77-C87B77635DD3}"/>
    <cellStyle name="20% - Accent1 80_Working Capital Current" xfId="13118" xr:uid="{31E6C488-F42D-4D04-A95D-0810156B07B7}"/>
    <cellStyle name="20% - Accent1 81" xfId="4518" xr:uid="{3D6DD2AE-20B1-43F4-9777-872A55F91885}"/>
    <cellStyle name="20% - Accent1 81 2" xfId="4519" xr:uid="{DEF3FA1C-FB91-4322-8644-B7F835AD8AB2}"/>
    <cellStyle name="20% - Accent1 81 2 2" xfId="4520" xr:uid="{231AAE3E-B807-4462-B7A5-2161BBEC61F7}"/>
    <cellStyle name="20% - Accent1 81 2_Working Capital Current" xfId="13119" xr:uid="{E7F2F417-D66E-4E4D-AACA-94121BA005B2}"/>
    <cellStyle name="20% - Accent1 81 3" xfId="4521" xr:uid="{994E2B77-169F-480A-932D-249AB25E4682}"/>
    <cellStyle name="20% - Accent1 81 4" xfId="4522" xr:uid="{59360013-11F9-41FA-83A7-BE6015A2AAA6}"/>
    <cellStyle name="20% - Accent1 81_Working Capital Current" xfId="13120" xr:uid="{08788C15-C9A0-4ED7-8A7E-C7FD985C78FB}"/>
    <cellStyle name="20% - Accent1 82" xfId="4523" xr:uid="{A18C3D0A-C895-4B61-9104-0BEBA08A4745}"/>
    <cellStyle name="20% - Accent1 82 2" xfId="4524" xr:uid="{CB0D1133-F194-4354-9D59-BE0C243C442A}"/>
    <cellStyle name="20% - Accent1 82 2 2" xfId="4525" xr:uid="{EA1B7F57-A09E-4E0D-967C-D1E68820CE67}"/>
    <cellStyle name="20% - Accent1 82 2_Working Capital Current" xfId="13121" xr:uid="{09F9A281-5E42-4C3B-ACEA-5EE8B9AD0769}"/>
    <cellStyle name="20% - Accent1 82 3" xfId="4526" xr:uid="{ED463B2E-B1A3-4692-AC0A-52A76D0F9E39}"/>
    <cellStyle name="20% - Accent1 82 4" xfId="4527" xr:uid="{810F28D4-3FF0-4E3F-B4AE-375E58DC9E9B}"/>
    <cellStyle name="20% - Accent1 82_Working Capital Current" xfId="13122" xr:uid="{6AC3D010-B15D-4DD8-A372-83419BD36C04}"/>
    <cellStyle name="20% - Accent1 83" xfId="4528" xr:uid="{DB691246-6A09-4A4B-BC6C-BE489750B3F4}"/>
    <cellStyle name="20% - Accent1 83 2" xfId="4529" xr:uid="{295CFE76-574E-4F20-B9CD-D28184FECFE7}"/>
    <cellStyle name="20% - Accent1 83 2 2" xfId="4530" xr:uid="{F285DB27-3272-43F8-A509-8411F36DB343}"/>
    <cellStyle name="20% - Accent1 83 2_Working Capital Current" xfId="13123" xr:uid="{48485911-41B8-4B5B-89BB-D85F09233071}"/>
    <cellStyle name="20% - Accent1 83 3" xfId="4531" xr:uid="{85ED3107-AB4C-45F7-9B75-4F80B07FBC61}"/>
    <cellStyle name="20% - Accent1 83 4" xfId="4532" xr:uid="{CDB01B7D-66DB-4A6D-B5F5-FAECCFFDE2A9}"/>
    <cellStyle name="20% - Accent1 83_Working Capital Current" xfId="13124" xr:uid="{569AB66D-6322-43B3-ABFB-ACFED1512008}"/>
    <cellStyle name="20% - Accent1 84" xfId="4533" xr:uid="{A32B047D-4866-4650-A8DA-9FBBFCB8B605}"/>
    <cellStyle name="20% - Accent1 84 2" xfId="4534" xr:uid="{CB8CFB50-A765-442B-8B17-766538E6A27F}"/>
    <cellStyle name="20% - Accent1 84 2 2" xfId="4535" xr:uid="{1C71B544-CA62-45BB-AD5D-53A3D28D1891}"/>
    <cellStyle name="20% - Accent1 84 2_Working Capital Current" xfId="13125" xr:uid="{60B01DDC-3497-4D95-9784-1B167490D281}"/>
    <cellStyle name="20% - Accent1 84 3" xfId="4536" xr:uid="{05E9DCF2-BCE2-4705-BF19-6491CEA6DE20}"/>
    <cellStyle name="20% - Accent1 84 4" xfId="4537" xr:uid="{A219DC52-B87C-47DC-BDCD-DDDA0A984D13}"/>
    <cellStyle name="20% - Accent1 84_Working Capital Current" xfId="13126" xr:uid="{3B027A97-3944-4859-864C-1A4DB16F4A65}"/>
    <cellStyle name="20% - Accent1 85" xfId="4538" xr:uid="{0CF4AAF9-D20D-4878-B9EC-AC861E22F4FD}"/>
    <cellStyle name="20% - Accent1 85 2" xfId="4539" xr:uid="{48396DDA-955B-4E34-9C56-0EACD77A753C}"/>
    <cellStyle name="20% - Accent1 85 2 2" xfId="4540" xr:uid="{9A83E8AD-D33A-4936-8461-6D2B9ACC04B1}"/>
    <cellStyle name="20% - Accent1 85 2_Working Capital Current" xfId="13127" xr:uid="{95DCDA8C-695A-4222-BD40-BD4EB081F4F3}"/>
    <cellStyle name="20% - Accent1 85 3" xfId="4541" xr:uid="{AB11A820-93E2-4597-8FB2-97472935ACF9}"/>
    <cellStyle name="20% - Accent1 85 4" xfId="4542" xr:uid="{FDBD9DE0-C0DE-4CF0-A045-D344B3F03AF5}"/>
    <cellStyle name="20% - Accent1 85_Working Capital Current" xfId="13128" xr:uid="{3E219EA4-D6B4-4316-B749-26D2CD2996AB}"/>
    <cellStyle name="20% - Accent1 86" xfId="4543" xr:uid="{B5061625-33D5-4779-BF35-A0BE2C0E049B}"/>
    <cellStyle name="20% - Accent1 86 2" xfId="4544" xr:uid="{87556CFE-5114-40C3-A196-DA59317805D4}"/>
    <cellStyle name="20% - Accent1 86 2 2" xfId="4545" xr:uid="{B6ADC4E0-B75F-43D1-BA91-907AD5B08F22}"/>
    <cellStyle name="20% - Accent1 86 2_Working Capital Current" xfId="13129" xr:uid="{A4F16705-670C-4CB2-9EE7-D0BD39D170AB}"/>
    <cellStyle name="20% - Accent1 86 3" xfId="4546" xr:uid="{A880F09C-6C02-4E29-B70A-49265F4FCE31}"/>
    <cellStyle name="20% - Accent1 86 4" xfId="4547" xr:uid="{E641E5E9-A342-40DC-A532-67F86BC97987}"/>
    <cellStyle name="20% - Accent1 86_Working Capital Current" xfId="13130" xr:uid="{6B42C592-6B9E-43C8-B988-C6D7166A2D66}"/>
    <cellStyle name="20% - Accent1 87" xfId="4548" xr:uid="{59F202D6-3C69-4704-9EC4-180E0AB5D7FF}"/>
    <cellStyle name="20% - Accent1 87 2" xfId="4549" xr:uid="{ABEBFE1C-F0C6-4990-9FDC-AA25DC12CA8B}"/>
    <cellStyle name="20% - Accent1 87 2 2" xfId="4550" xr:uid="{BA022C70-EBE7-489C-B692-F601963A8627}"/>
    <cellStyle name="20% - Accent1 87 2_Working Capital Current" xfId="13131" xr:uid="{DDDFC7DC-7A3C-4B86-A34C-6C785F595D28}"/>
    <cellStyle name="20% - Accent1 87 3" xfId="4551" xr:uid="{ACE4A317-B13D-46A6-963E-D9FC5A0450B2}"/>
    <cellStyle name="20% - Accent1 87 4" xfId="4552" xr:uid="{3EA6343A-68C6-48C3-A961-76D478C345DE}"/>
    <cellStyle name="20% - Accent1 87_Working Capital Current" xfId="13132" xr:uid="{CA2D8FCB-B3C8-4AD8-9EAA-4BA72505C1F3}"/>
    <cellStyle name="20% - Accent1 88" xfId="4553" xr:uid="{7DF91AE7-004C-4BA1-8431-D1FC3B23B539}"/>
    <cellStyle name="20% - Accent1 88 2" xfId="4554" xr:uid="{08B53E2E-8DA2-43E2-82B5-641EA650A8E5}"/>
    <cellStyle name="20% - Accent1 88 2 2" xfId="4555" xr:uid="{73F030F1-8586-4F5C-A092-A4B2E2AD1B7C}"/>
    <cellStyle name="20% - Accent1 88 2_Working Capital Current" xfId="13133" xr:uid="{674EB0AE-A47B-452E-A5B3-441DAFAD428D}"/>
    <cellStyle name="20% - Accent1 88 3" xfId="4556" xr:uid="{5AC1EDF2-1641-462D-A285-157CE00E8B22}"/>
    <cellStyle name="20% - Accent1 88 4" xfId="4557" xr:uid="{B643A896-2EAB-4121-9FD8-6248A4F9C9B4}"/>
    <cellStyle name="20% - Accent1 88_Working Capital Current" xfId="13134" xr:uid="{C5B44AFA-1E1E-49A1-945D-A6B4990DE37A}"/>
    <cellStyle name="20% - Accent1 89" xfId="4558" xr:uid="{9C3CD207-4109-4A96-A381-B341F8AD113B}"/>
    <cellStyle name="20% - Accent1 89 2" xfId="4559" xr:uid="{5F9C7889-618F-470B-A050-6DA4DAF090EC}"/>
    <cellStyle name="20% - Accent1 89 2 2" xfId="4560" xr:uid="{5532A6E7-1FEE-4422-A7F3-71D4E03E4A25}"/>
    <cellStyle name="20% - Accent1 89 2_Working Capital Current" xfId="13135" xr:uid="{CACDA4CE-3716-420E-96CF-5950369202C6}"/>
    <cellStyle name="20% - Accent1 89 3" xfId="4561" xr:uid="{5200E598-423A-4D80-A09D-2E12C051A544}"/>
    <cellStyle name="20% - Accent1 89 4" xfId="4562" xr:uid="{0EB4CC0A-9929-46CD-AF1C-5E63D7C6C0CE}"/>
    <cellStyle name="20% - Accent1 89_Working Capital Current" xfId="13136" xr:uid="{97577AB0-EE90-43F4-BAA5-395E9B2A360E}"/>
    <cellStyle name="20% - Accent1 9" xfId="4563" xr:uid="{F3A6BFE8-5FE7-477B-9AA1-D139ABDE9F0B}"/>
    <cellStyle name="20% - Accent1 9 2" xfId="4564" xr:uid="{9A8F9DBF-F57A-4B60-8D77-ACB914E7E898}"/>
    <cellStyle name="20% - Accent1 9 2 2" xfId="4565" xr:uid="{45F38175-23AC-460D-9103-F6F161B00B05}"/>
    <cellStyle name="20% - Accent1 9 2 2 2" xfId="4566" xr:uid="{73A29DBF-A752-486A-8148-259F8807DCAF}"/>
    <cellStyle name="20% - Accent1 9 2 2_Working Capital Current" xfId="13137" xr:uid="{03915FE8-290A-4B77-9044-028C7AB34EB3}"/>
    <cellStyle name="20% - Accent1 9 2 3" xfId="4567" xr:uid="{6C4265AA-8E10-426C-B06E-6264D5E69DE9}"/>
    <cellStyle name="20% - Accent1 9 2 4" xfId="4568" xr:uid="{68B279F9-C95D-4F52-9A73-864AAC500C15}"/>
    <cellStyle name="20% - Accent1 9 2_Working Capital Current" xfId="13138" xr:uid="{8E4CA42D-D39E-4CC2-8C06-64FEA7913F3A}"/>
    <cellStyle name="20% - Accent1 9 3" xfId="4569" xr:uid="{87DCAF18-4EF1-41AA-BBC7-A8043DBF32FC}"/>
    <cellStyle name="20% - Accent1 9 3 2" xfId="4570" xr:uid="{47354D9F-9BAF-477C-8AC9-F00F133A44CB}"/>
    <cellStyle name="20% - Accent1 9 3_Working Capital Current" xfId="13139" xr:uid="{2B13024D-BCA4-44B5-B759-FD9C6B387E68}"/>
    <cellStyle name="20% - Accent1 9 4" xfId="4571" xr:uid="{967394CF-2DAC-4FF3-985F-CBE619C3C262}"/>
    <cellStyle name="20% - Accent1 9 5" xfId="4572" xr:uid="{544FABD2-C52C-4C59-853B-DF0A1CA49444}"/>
    <cellStyle name="20% - Accent1 9_Not_for_upload_before_M4_correc" xfId="13140" xr:uid="{E4DE450E-1B28-4943-AB8C-9CC6CC0695FB}"/>
    <cellStyle name="20% - Accent1 90" xfId="4573" xr:uid="{1F154543-722E-4A81-80B5-23FD97A9D7BC}"/>
    <cellStyle name="20% - Accent1 90 2" xfId="4574" xr:uid="{22153F90-FF43-4AC8-A019-FFDC706048BD}"/>
    <cellStyle name="20% - Accent1 90 2 2" xfId="4575" xr:uid="{FBCCDE75-B54E-4733-9053-61B84C0822AF}"/>
    <cellStyle name="20% - Accent1 90 2_Working Capital Current" xfId="13141" xr:uid="{469469FB-39FB-4AB0-A1E9-B9FBDAA55CCF}"/>
    <cellStyle name="20% - Accent1 90 3" xfId="4576" xr:uid="{387A3758-2427-40BC-BCF1-2181780ADAB2}"/>
    <cellStyle name="20% - Accent1 90 4" xfId="4577" xr:uid="{622FCC5B-80C2-44E3-A54C-AE254CA16590}"/>
    <cellStyle name="20% - Accent1 90_Working Capital Current" xfId="13142" xr:uid="{8066E241-CE88-4DD3-8EB3-8EC8EB25B30C}"/>
    <cellStyle name="20% - Accent1 91" xfId="4578" xr:uid="{600EC37B-FAC8-45A5-A1AB-152BBB3F5C51}"/>
    <cellStyle name="20% - Accent1 91 2" xfId="4579" xr:uid="{833D5C3E-A09A-4A36-A863-7337B7AA379D}"/>
    <cellStyle name="20% - Accent1 91 2 2" xfId="4580" xr:uid="{AC44840E-53E7-42A9-9980-E788DDE1201A}"/>
    <cellStyle name="20% - Accent1 91 2_Working Capital Current" xfId="13143" xr:uid="{88918118-E1E9-44DB-A987-7AF6C1EEBE8A}"/>
    <cellStyle name="20% - Accent1 91 3" xfId="4581" xr:uid="{5D4B2FCF-A1A6-455C-92D9-048FB9066A3E}"/>
    <cellStyle name="20% - Accent1 91 4" xfId="4582" xr:uid="{69554DE7-3532-4084-838B-983C12652130}"/>
    <cellStyle name="20% - Accent1 91_Working Capital Current" xfId="13144" xr:uid="{EB10C3F0-A24A-4FF7-982A-69CBDE06C725}"/>
    <cellStyle name="20% - Accent1 92" xfId="4583" xr:uid="{BDA57BA1-0127-4C5B-B6D7-D481A7F56944}"/>
    <cellStyle name="20% - Accent1 92 2" xfId="4584" xr:uid="{13154098-5ED8-499A-8FB4-84324DF418D4}"/>
    <cellStyle name="20% - Accent1 92 2 2" xfId="4585" xr:uid="{BB32F634-38BC-4E8B-BF28-CD2359B779A8}"/>
    <cellStyle name="20% - Accent1 92 2_Working Capital Current" xfId="13145" xr:uid="{DB3E1E89-867F-4B6A-B939-3BA279FA1B07}"/>
    <cellStyle name="20% - Accent1 92 3" xfId="4586" xr:uid="{F1814619-C2BD-45F6-B422-02D222AFC978}"/>
    <cellStyle name="20% - Accent1 92 4" xfId="4587" xr:uid="{9232DF21-40EA-45E2-8CA0-A01B3D26C8C8}"/>
    <cellStyle name="20% - Accent1 92_Working Capital Current" xfId="13146" xr:uid="{1FA95DAF-4AAA-49E4-9201-0B47841DDF11}"/>
    <cellStyle name="20% - Accent1 93" xfId="4588" xr:uid="{B5F7D543-87CD-4386-858D-0B61553C2AD0}"/>
    <cellStyle name="20% - Accent1 93 2" xfId="4589" xr:uid="{9849EB00-0F54-49F5-867A-3FB325AB1558}"/>
    <cellStyle name="20% - Accent1 93 2 2" xfId="4590" xr:uid="{B555EBBC-08C9-48D5-82C6-7E7C0C8CE37E}"/>
    <cellStyle name="20% - Accent1 93 2_Working Capital Current" xfId="13147" xr:uid="{69E85E37-DBA2-4D43-B8C2-8DC38B4EDA2C}"/>
    <cellStyle name="20% - Accent1 93 3" xfId="4591" xr:uid="{D0911720-BEE2-4221-B43F-23B8E5F515B5}"/>
    <cellStyle name="20% - Accent1 93 4" xfId="4592" xr:uid="{F3CD7B7C-68F2-4984-9116-7DF0E454E779}"/>
    <cellStyle name="20% - Accent1 93_Working Capital Current" xfId="13148" xr:uid="{01D4B900-E76F-4012-8DEC-EC6F7364610E}"/>
    <cellStyle name="20% - Accent1 94" xfId="4593" xr:uid="{5AA644EF-AB29-4F53-AD84-30CA16385445}"/>
    <cellStyle name="20% - Accent1 94 2" xfId="4594" xr:uid="{E6F4A5D8-6A1F-490F-9367-ED3941B7BD76}"/>
    <cellStyle name="20% - Accent1 94 2 2" xfId="4595" xr:uid="{0F59943B-86BF-412A-84BC-59207BA90B04}"/>
    <cellStyle name="20% - Accent1 94 2_Working Capital Current" xfId="13149" xr:uid="{0A025397-5725-4AF2-932B-A468842A11C0}"/>
    <cellStyle name="20% - Accent1 94 3" xfId="4596" xr:uid="{DC1AB4F9-87ED-4781-8E7E-D909256E7B6F}"/>
    <cellStyle name="20% - Accent1 94 4" xfId="4597" xr:uid="{74EB5E5E-BA00-4DB0-909B-D403C410FDED}"/>
    <cellStyle name="20% - Accent1 94_Working Capital Current" xfId="13150" xr:uid="{D919FF3D-88E8-422F-806B-3D2C729F9E23}"/>
    <cellStyle name="20% - Accent1 95" xfId="4598" xr:uid="{25DB54C0-75E5-4EDA-9BF6-D81E2CFBF1F4}"/>
    <cellStyle name="20% - Accent1 95 2" xfId="4599" xr:uid="{E16E43D9-616F-4C92-8C95-E3805BC30A7D}"/>
    <cellStyle name="20% - Accent1 95 2 2" xfId="4600" xr:uid="{1D20D2D8-7F79-4F75-8B7C-0FF869C2E898}"/>
    <cellStyle name="20% - Accent1 95 2_Working Capital Current" xfId="13151" xr:uid="{C728AD50-6ECA-4F0B-A27F-7C0A52D4618B}"/>
    <cellStyle name="20% - Accent1 95 3" xfId="4601" xr:uid="{DC647AAF-0FBB-4C8E-BF7C-3D5743DABDC9}"/>
    <cellStyle name="20% - Accent1 95 4" xfId="4602" xr:uid="{84E456AB-20A9-4148-8179-22F258EBAE59}"/>
    <cellStyle name="20% - Accent1 95_Working Capital Current" xfId="13152" xr:uid="{219C080F-96E0-4BE4-ACC1-53252C4C198E}"/>
    <cellStyle name="20% - Accent1 96" xfId="4603" xr:uid="{267ECF13-62E6-4C58-B04E-611FD6120C1D}"/>
    <cellStyle name="20% - Accent1 96 2" xfId="4604" xr:uid="{6702669E-65E2-4778-90BB-6C70A97D58D3}"/>
    <cellStyle name="20% - Accent1 96 2 2" xfId="4605" xr:uid="{DCFE51D0-294B-4D53-B2CF-3A2616382E31}"/>
    <cellStyle name="20% - Accent1 96 2_Working Capital Current" xfId="13153" xr:uid="{9E6281C9-BB6C-403C-B191-7A64B1BBEA69}"/>
    <cellStyle name="20% - Accent1 96 3" xfId="4606" xr:uid="{57A29910-4399-4694-810A-6B0D7A8F8BCC}"/>
    <cellStyle name="20% - Accent1 96 4" xfId="4607" xr:uid="{B034F8C4-1441-4ADB-B2BA-030282F1A09F}"/>
    <cellStyle name="20% - Accent1 96_Working Capital Current" xfId="13154" xr:uid="{8463F6F6-1413-42C5-A3FE-C0DB21C55DF1}"/>
    <cellStyle name="20% - Accent1 97" xfId="4608" xr:uid="{8F65388E-E418-4A06-88D6-7F8F882E594D}"/>
    <cellStyle name="20% - Accent1 97 2" xfId="4609" xr:uid="{415036DE-E53C-4952-B048-0884CF1FD93A}"/>
    <cellStyle name="20% - Accent1 97 2 2" xfId="4610" xr:uid="{D65125FC-7342-4052-A04E-C418C1E673C6}"/>
    <cellStyle name="20% - Accent1 97 2_Working Capital Current" xfId="13155" xr:uid="{7DEA2059-FCD4-40E2-A1ED-44C4B6FFA3E7}"/>
    <cellStyle name="20% - Accent1 97 3" xfId="4611" xr:uid="{AFD7358D-CD92-46BF-854F-46B8931FD8F8}"/>
    <cellStyle name="20% - Accent1 97 4" xfId="4612" xr:uid="{63C944FB-C941-431F-9C8A-D5ABB1CA12F8}"/>
    <cellStyle name="20% - Accent1 97_Working Capital Current" xfId="13156" xr:uid="{674C985F-F7E6-4AD7-9872-A1C2C587A669}"/>
    <cellStyle name="20% - Accent1 98" xfId="4613" xr:uid="{90630350-DBAD-4D6D-95FD-5F33FB88F1D7}"/>
    <cellStyle name="20% - Accent1 98 2" xfId="4614" xr:uid="{94F31A40-0C2A-48F5-ADE4-7824DB51CBC4}"/>
    <cellStyle name="20% - Accent1 98 2 2" xfId="4615" xr:uid="{6D3A8481-9CC5-4450-B12E-144C9F30D222}"/>
    <cellStyle name="20% - Accent1 98 2_Working Capital Current" xfId="13157" xr:uid="{2B459E65-C2F7-4EF4-BD25-23818E657C54}"/>
    <cellStyle name="20% - Accent1 98 3" xfId="4616" xr:uid="{CCF17EC1-BDCA-4847-92FA-C1A7BF2B5E55}"/>
    <cellStyle name="20% - Accent1 98 4" xfId="4617" xr:uid="{FFB8180E-1641-4DE4-A66B-A71CDC218999}"/>
    <cellStyle name="20% - Accent1 98_Working Capital Current" xfId="13158" xr:uid="{080C7EC1-BBAD-43E1-8917-72268074D7B5}"/>
    <cellStyle name="20% - Accent1 99" xfId="4618" xr:uid="{2EC508A9-59E8-43A1-BC43-0FE7322BB64C}"/>
    <cellStyle name="20% - Accent1 99 2" xfId="4619" xr:uid="{47EAC0E3-899E-4272-B59B-37435EFE603E}"/>
    <cellStyle name="20% - Accent1 99 2 2" xfId="4620" xr:uid="{CF2D8B87-11A8-40C6-9525-152B28A53399}"/>
    <cellStyle name="20% - Accent1 99 2_Working Capital Current" xfId="13159" xr:uid="{67CD0C53-D1BE-4EAD-82A6-29E9EE261579}"/>
    <cellStyle name="20% - Accent1 99 3" xfId="4621" xr:uid="{03742B64-6A3F-462B-8758-1B0AB75A5843}"/>
    <cellStyle name="20% - Accent1 99 4" xfId="4622" xr:uid="{B1FAE38D-7A96-41A6-8737-E332C366DC65}"/>
    <cellStyle name="20% - Accent1 99_Working Capital Current" xfId="13160" xr:uid="{CB6D7752-39A3-4C0B-9D2D-9606BF3B082F}"/>
    <cellStyle name="20% - Accent2" xfId="27" builtinId="34" customBuiltin="1"/>
    <cellStyle name="20% - Accent2 10" xfId="4623" xr:uid="{CC1DD712-E8E4-42EF-A080-64C095D1727C}"/>
    <cellStyle name="20% - Accent2 10 2" xfId="4624" xr:uid="{CE122F3B-6B25-41B2-86CE-3F945A35EBC8}"/>
    <cellStyle name="20% - Accent2 10 2 2" xfId="4625" xr:uid="{1413B51D-18E9-4343-9925-B55471137703}"/>
    <cellStyle name="20% - Accent2 10 2 2 2" xfId="4626" xr:uid="{C933C433-562E-4636-A6DA-70F182563AB5}"/>
    <cellStyle name="20% - Accent2 10 2 2_Working Capital Current" xfId="13161" xr:uid="{D0A239C8-269A-49D3-8A53-A2B4558EC3F2}"/>
    <cellStyle name="20% - Accent2 10 2 3" xfId="4627" xr:uid="{EF69CB0F-85EE-4053-ACDF-03C3C0504ACE}"/>
    <cellStyle name="20% - Accent2 10 2 4" xfId="4628" xr:uid="{A47B1824-8C55-4607-884A-5FCE3840D3A8}"/>
    <cellStyle name="20% - Accent2 10 2_Working Capital Current" xfId="13162" xr:uid="{5D0F020A-9DCB-41FF-84ED-DE073F6648CC}"/>
    <cellStyle name="20% - Accent2 10 3" xfId="4629" xr:uid="{6CE887E8-6B04-42C0-B5BA-7B26ED7EFE44}"/>
    <cellStyle name="20% - Accent2 10 3 2" xfId="4630" xr:uid="{339639CE-82CC-4513-94BD-10E9DD8DC097}"/>
    <cellStyle name="20% - Accent2 10 3_Working Capital Current" xfId="13163" xr:uid="{70AFB201-CADC-4002-B27F-3D35FE22E235}"/>
    <cellStyle name="20% - Accent2 10 4" xfId="4631" xr:uid="{DF6DD49A-0EF3-4D85-804F-644A409A60F3}"/>
    <cellStyle name="20% - Accent2 10 5" xfId="4632" xr:uid="{BC7C2409-D4C1-4957-A697-FD0284D82DA8}"/>
    <cellStyle name="20% - Accent2 10_Not_for_upload_before_M4_correc" xfId="13164" xr:uid="{837340FE-2115-4F87-85D2-40675CC1066A}"/>
    <cellStyle name="20% - Accent2 100" xfId="4633" xr:uid="{75F77504-7F61-4726-A308-9600D4B00E4F}"/>
    <cellStyle name="20% - Accent2 100 2" xfId="4634" xr:uid="{E6901A4D-3EF2-482A-8D29-B24C9DE95A8C}"/>
    <cellStyle name="20% - Accent2 100 2 2" xfId="4635" xr:uid="{5F2369D2-4837-484A-A45C-F06ECFFBDAFA}"/>
    <cellStyle name="20% - Accent2 100 2_Working Capital Current" xfId="13165" xr:uid="{8C374C2D-3283-4CDF-A012-6C80F8DF77AC}"/>
    <cellStyle name="20% - Accent2 100 3" xfId="4636" xr:uid="{F201F949-B7CB-429E-B277-26FA5DD7D852}"/>
    <cellStyle name="20% - Accent2 100 4" xfId="4637" xr:uid="{6AE84770-C471-4E4E-AF85-E696F6EA1123}"/>
    <cellStyle name="20% - Accent2 100_Working Capital Current" xfId="13166" xr:uid="{5B49293E-9409-4B19-BB42-19F6E08E1DC9}"/>
    <cellStyle name="20% - Accent2 101" xfId="4638" xr:uid="{9EB61380-6507-469A-AA45-8A3E01D4F2BD}"/>
    <cellStyle name="20% - Accent2 101 2" xfId="4639" xr:uid="{C877BC3F-2179-4373-B40C-4F0D3A436C17}"/>
    <cellStyle name="20% - Accent2 101 3" xfId="4640" xr:uid="{3E116DC0-BE99-4B96-B271-F5F4A461D28C}"/>
    <cellStyle name="20% - Accent2 101_Working Capital Current" xfId="13167" xr:uid="{5113CBF8-79B6-4427-9584-6261F316D017}"/>
    <cellStyle name="20% - Accent2 102" xfId="4641" xr:uid="{FD25ECC9-939A-4D7C-8186-194AFBD5D97F}"/>
    <cellStyle name="20% - Accent2 102 2" xfId="4642" xr:uid="{571ACEFF-E4B5-48FC-9A17-CCB29BC53064}"/>
    <cellStyle name="20% - Accent2 102 3" xfId="4643" xr:uid="{1141342B-7C9C-4A96-856A-9E3A51D58B4B}"/>
    <cellStyle name="20% - Accent2 102_Working Capital Current" xfId="13168" xr:uid="{23443EB5-4661-4414-9E84-74A1193D6DD0}"/>
    <cellStyle name="20% - Accent2 103" xfId="4644" xr:uid="{09E8654C-2B76-47D1-9917-7A6B6CA9E758}"/>
    <cellStyle name="20% - Accent2 104" xfId="4645" xr:uid="{8972EE00-C878-4DC9-9C29-CB75C3FE4E4C}"/>
    <cellStyle name="20% - Accent2 105" xfId="13169" xr:uid="{A194D8BF-87C1-4EC0-BE2E-3CAE671BC378}"/>
    <cellStyle name="20% - Accent2 106" xfId="16489" xr:uid="{F266DE78-34C4-4939-956B-249F15FFF402}"/>
    <cellStyle name="20% - Accent2 107" xfId="16994" xr:uid="{3506270A-2D94-4C91-A564-0704D14133C0}"/>
    <cellStyle name="20% - Accent2 108" xfId="3908" xr:uid="{FF48750C-FFB5-4CE3-84A7-1624DB352568}"/>
    <cellStyle name="20% - Accent2 109" xfId="18245" xr:uid="{920C685E-8A60-4FC6-8213-A5F6464B2E68}"/>
    <cellStyle name="20% - Accent2 11" xfId="4646" xr:uid="{441423A0-8E97-40A1-806A-538D0B4CEF66}"/>
    <cellStyle name="20% - Accent2 11 2" xfId="4647" xr:uid="{B81F7BE4-E5F5-4666-8435-05AD3C295309}"/>
    <cellStyle name="20% - Accent2 11 2 2" xfId="4648" xr:uid="{31947C1D-3D08-4241-BCDF-9A017B145276}"/>
    <cellStyle name="20% - Accent2 11 2 2 2" xfId="4649" xr:uid="{BE2F9CAC-8709-4396-AC68-EF45A9F3BA69}"/>
    <cellStyle name="20% - Accent2 11 2 2_Working Capital Current" xfId="13170" xr:uid="{68036526-1367-4A5B-B290-85CA5F93D75B}"/>
    <cellStyle name="20% - Accent2 11 2 3" xfId="4650" xr:uid="{6FB6EEAD-99FE-471E-9999-D52B756EFF49}"/>
    <cellStyle name="20% - Accent2 11 2 4" xfId="4651" xr:uid="{38A81905-A43B-4D80-9E1D-B122CB49C6B0}"/>
    <cellStyle name="20% - Accent2 11 2_Working Capital Current" xfId="13171" xr:uid="{E5E48BCF-34EA-40D7-A62D-F9B36B4FDCAE}"/>
    <cellStyle name="20% - Accent2 11 3" xfId="4652" xr:uid="{77196AFB-31ED-454B-97BA-9CDFDA615A68}"/>
    <cellStyle name="20% - Accent2 11 3 2" xfId="4653" xr:uid="{60071EB3-A394-432C-9DCD-6E49299D2051}"/>
    <cellStyle name="20% - Accent2 11 3_Working Capital Current" xfId="13172" xr:uid="{C3690140-14A5-4FB3-B94B-CA0429A58947}"/>
    <cellStyle name="20% - Accent2 11 4" xfId="4654" xr:uid="{3B069A33-8A9C-4562-A936-CED1014387F7}"/>
    <cellStyle name="20% - Accent2 11 5" xfId="4655" xr:uid="{0AD1C6AE-E131-4531-9992-7CCB9F7481B0}"/>
    <cellStyle name="20% - Accent2 11_Not_for_upload_before_M4_correc" xfId="13173" xr:uid="{B6276288-C124-48EF-A4CC-B59085CD8B16}"/>
    <cellStyle name="20% - Accent2 12" xfId="4656" xr:uid="{558834A3-AC8B-415E-AF5A-C61796BD8645}"/>
    <cellStyle name="20% - Accent2 12 2" xfId="4657" xr:uid="{36FBA9DF-CFA1-4B21-B100-CE305C9DA8F7}"/>
    <cellStyle name="20% - Accent2 12 2 2" xfId="4658" xr:uid="{F1913A30-F3F7-41C6-985E-4039CA138251}"/>
    <cellStyle name="20% - Accent2 12 2 2 2" xfId="4659" xr:uid="{0C264346-0286-47D3-8365-8B79DDF7B4FA}"/>
    <cellStyle name="20% - Accent2 12 2 2_Working Capital Current" xfId="13174" xr:uid="{36E92D47-EEAE-483A-B411-2A182171533A}"/>
    <cellStyle name="20% - Accent2 12 2 3" xfId="4660" xr:uid="{38E77FDA-AC66-4DE5-B6A8-EB9A61F842F2}"/>
    <cellStyle name="20% - Accent2 12 2 4" xfId="4661" xr:uid="{D54BD4EA-B77E-447B-A131-CB7F93B88A77}"/>
    <cellStyle name="20% - Accent2 12 2_Working Capital Current" xfId="13175" xr:uid="{5E19D879-84C6-4927-9C94-BD0836B353A1}"/>
    <cellStyle name="20% - Accent2 12 3" xfId="4662" xr:uid="{2A982B6E-2D93-4DE0-AB78-0170472BB242}"/>
    <cellStyle name="20% - Accent2 12 3 2" xfId="4663" xr:uid="{54E555B6-CCC1-4D0D-A0ED-1523140A34A9}"/>
    <cellStyle name="20% - Accent2 12 3_Working Capital Current" xfId="13176" xr:uid="{1D2EC0D3-B783-4690-BA3A-86616449BF76}"/>
    <cellStyle name="20% - Accent2 12 4" xfId="4664" xr:uid="{CF3A5EA1-4BCE-4B46-A8ED-794FE3FACED4}"/>
    <cellStyle name="20% - Accent2 12 5" xfId="4665" xr:uid="{CD498450-987C-48EA-BBC6-3A86C22DEFDD}"/>
    <cellStyle name="20% - Accent2 12_Not_for_upload_before_M4_correc" xfId="13177" xr:uid="{E5EC2BB5-A00E-4554-B0F6-6C925614BDEE}"/>
    <cellStyle name="20% - Accent2 13" xfId="4666" xr:uid="{C58D8728-6CEE-4C16-B402-2359C5F77DC4}"/>
    <cellStyle name="20% - Accent2 13 2" xfId="4667" xr:uid="{4D2B2785-8E21-4744-B74D-04EC5C2953CE}"/>
    <cellStyle name="20% - Accent2 13 2 2" xfId="4668" xr:uid="{530A3B79-A222-4DB4-BACA-F7BF71005853}"/>
    <cellStyle name="20% - Accent2 13 2 2 2" xfId="4669" xr:uid="{2E7CFF6F-5683-4687-AA46-62FBAD11EA59}"/>
    <cellStyle name="20% - Accent2 13 2 2_Working Capital Current" xfId="13178" xr:uid="{B2FC819D-3A17-4841-BAB1-48A1018C00BF}"/>
    <cellStyle name="20% - Accent2 13 2 3" xfId="4670" xr:uid="{E08F4728-DA11-4649-AFD5-5DF02F6A8F64}"/>
    <cellStyle name="20% - Accent2 13 2 4" xfId="4671" xr:uid="{85EFF662-D94E-4CD7-8367-3CC3AE1FFF50}"/>
    <cellStyle name="20% - Accent2 13 2_Working Capital Current" xfId="13179" xr:uid="{50753251-6C1F-4B52-B5BF-2BF45290F541}"/>
    <cellStyle name="20% - Accent2 13 3" xfId="4672" xr:uid="{C8A6D35C-8710-47A5-997C-E4923C2B4C7B}"/>
    <cellStyle name="20% - Accent2 13 3 2" xfId="4673" xr:uid="{1AD16881-7E33-46BE-B624-2127D4CE28F5}"/>
    <cellStyle name="20% - Accent2 13 3_Working Capital Current" xfId="13180" xr:uid="{96980689-EC7E-4A2F-9432-653EDD675AF8}"/>
    <cellStyle name="20% - Accent2 13 4" xfId="4674" xr:uid="{A30B7C34-A401-459F-A474-59CE2A2BEDB6}"/>
    <cellStyle name="20% - Accent2 13 5" xfId="4675" xr:uid="{A912485C-96B5-486E-8DE5-397720C1307A}"/>
    <cellStyle name="20% - Accent2 13_Not_for_upload_before_M4_correc" xfId="13181" xr:uid="{9F3B7D46-ABC6-4403-855C-078B7E8DD433}"/>
    <cellStyle name="20% - Accent2 14" xfId="4676" xr:uid="{C3DC6A50-A799-409D-BDA7-6BC7ECB79941}"/>
    <cellStyle name="20% - Accent2 14 2" xfId="4677" xr:uid="{3659B5D0-22D2-43AC-8FB1-23CA960B7C59}"/>
    <cellStyle name="20% - Accent2 14 2 2" xfId="4678" xr:uid="{8FE09F10-0CF5-460E-A5DF-08502DE5E8B0}"/>
    <cellStyle name="20% - Accent2 14 2 2 2" xfId="4679" xr:uid="{D8818645-76E8-45DB-B227-FE92CB7C25CC}"/>
    <cellStyle name="20% - Accent2 14 2 2_Working Capital Current" xfId="13182" xr:uid="{9E4F1E75-A5D2-412E-A48C-12A87F2D0A78}"/>
    <cellStyle name="20% - Accent2 14 2 3" xfId="4680" xr:uid="{6B082592-895E-4F4B-8A0C-4286C0B3275D}"/>
    <cellStyle name="20% - Accent2 14 2 4" xfId="4681" xr:uid="{40CF17B8-B89D-4660-8438-85E0D75E1678}"/>
    <cellStyle name="20% - Accent2 14 2_Working Capital Current" xfId="13183" xr:uid="{284F3EA9-1525-4FF1-8957-B5EE1AAC2941}"/>
    <cellStyle name="20% - Accent2 14 3" xfId="4682" xr:uid="{D4130BAB-3C4C-4EC7-A630-9ED4A95495BD}"/>
    <cellStyle name="20% - Accent2 14 3 2" xfId="4683" xr:uid="{C8221E8F-38E2-450C-92AB-B4934053ECA6}"/>
    <cellStyle name="20% - Accent2 14 3_Working Capital Current" xfId="13184" xr:uid="{11415619-2558-4588-A953-A2524AD24A19}"/>
    <cellStyle name="20% - Accent2 14 4" xfId="4684" xr:uid="{B68DB74D-54BC-46FA-B3C8-103F1FCC188E}"/>
    <cellStyle name="20% - Accent2 14 5" xfId="4685" xr:uid="{91997707-CE72-4A0A-9DB7-FD82BA2AA87E}"/>
    <cellStyle name="20% - Accent2 14_Not_for_upload_before_M4_correc" xfId="13185" xr:uid="{8ECF68B3-6E96-4D9D-B1F9-A4A5EC035A40}"/>
    <cellStyle name="20% - Accent2 15" xfId="4686" xr:uid="{46B42090-2D9A-4C7F-8346-2E85FCB4DEBB}"/>
    <cellStyle name="20% - Accent2 15 2" xfId="4687" xr:uid="{7BB0D4D5-FC1B-4FC5-8833-DB8822A6054F}"/>
    <cellStyle name="20% - Accent2 15 2 2" xfId="4688" xr:uid="{8A4AF325-6265-4C63-96BA-1EF2DB479BAA}"/>
    <cellStyle name="20% - Accent2 15 2 2 2" xfId="4689" xr:uid="{65D4A5D3-BE3A-461E-80EE-CBCC8ADEB82B}"/>
    <cellStyle name="20% - Accent2 15 2 2_Working Capital Current" xfId="13186" xr:uid="{349E7F76-47C3-4C44-A000-438F7825F08A}"/>
    <cellStyle name="20% - Accent2 15 2 3" xfId="4690" xr:uid="{39AF3295-7E89-4E49-B8D0-CBA26CE48125}"/>
    <cellStyle name="20% - Accent2 15 2 4" xfId="4691" xr:uid="{1C9A9694-4CE7-413A-A5FA-D285794BCAD7}"/>
    <cellStyle name="20% - Accent2 15 2_Working Capital Current" xfId="13187" xr:uid="{D8888034-DCD5-4005-884C-51E163161165}"/>
    <cellStyle name="20% - Accent2 15 3" xfId="4692" xr:uid="{A45603CF-B595-4FE5-8536-A38CC13026D8}"/>
    <cellStyle name="20% - Accent2 15 3 2" xfId="4693" xr:uid="{F08D147A-8983-4706-8239-C69D8CF7EA53}"/>
    <cellStyle name="20% - Accent2 15 3_Working Capital Current" xfId="13188" xr:uid="{B0C4BEA1-C4C3-42A7-B43C-8B6B01396F48}"/>
    <cellStyle name="20% - Accent2 15 4" xfId="4694" xr:uid="{CD6AE041-AC4A-471D-B6C1-0370A8964B82}"/>
    <cellStyle name="20% - Accent2 15 5" xfId="4695" xr:uid="{F9E28093-F2A7-4D07-8730-8865540FB1CF}"/>
    <cellStyle name="20% - Accent2 15_Not_for_upload_before_M4_correc" xfId="13189" xr:uid="{697CA695-C012-4887-93AC-34C962124307}"/>
    <cellStyle name="20% - Accent2 16" xfId="4696" xr:uid="{7B2679FE-D167-4F48-B82D-2268424AE23A}"/>
    <cellStyle name="20% - Accent2 16 2" xfId="4697" xr:uid="{3C27A03A-16BF-4455-AA70-BE94BA2A5C9A}"/>
    <cellStyle name="20% - Accent2 16 2 2" xfId="4698" xr:uid="{59407EC7-F7DD-4EE2-BC52-4B9D8F44D661}"/>
    <cellStyle name="20% - Accent2 16 2 2 2" xfId="4699" xr:uid="{51F697E3-0150-4A05-8AC2-F7F179C12547}"/>
    <cellStyle name="20% - Accent2 16 2 2_Working Capital Current" xfId="13190" xr:uid="{F7AF994D-9F07-4260-8729-36AF3BC54FF0}"/>
    <cellStyle name="20% - Accent2 16 2 3" xfId="4700" xr:uid="{1B57FF2E-AE40-4C34-86EE-333043DE2CDA}"/>
    <cellStyle name="20% - Accent2 16 2 4" xfId="4701" xr:uid="{7A994FCF-1E50-4E47-A1BB-FCCA8B7F98EC}"/>
    <cellStyle name="20% - Accent2 16 2_Working Capital Current" xfId="13191" xr:uid="{C242D40C-22D2-426E-953D-728D79F83658}"/>
    <cellStyle name="20% - Accent2 16 3" xfId="4702" xr:uid="{D649DA10-6CA6-428A-AAE1-3F4BD4CE2047}"/>
    <cellStyle name="20% - Accent2 16 3 2" xfId="4703" xr:uid="{272F7A54-99CD-455D-9204-30A8DE165FD2}"/>
    <cellStyle name="20% - Accent2 16 3_Working Capital Current" xfId="13192" xr:uid="{F7AD86CF-820B-47AD-99C1-ADF71463CD7F}"/>
    <cellStyle name="20% - Accent2 16 4" xfId="4704" xr:uid="{E6786620-5F8A-4101-B712-6A2BD234B917}"/>
    <cellStyle name="20% - Accent2 16 5" xfId="4705" xr:uid="{38EE4439-54CB-4A28-84A1-3191A28A0394}"/>
    <cellStyle name="20% - Accent2 16_Not_for_upload_before_M4_correc" xfId="13193" xr:uid="{452D7263-1DF5-4EEA-88B4-AC172A233602}"/>
    <cellStyle name="20% - Accent2 17" xfId="4706" xr:uid="{8382949C-EEA5-4744-8611-DF5E1452F867}"/>
    <cellStyle name="20% - Accent2 17 2" xfId="4707" xr:uid="{C09B1CB9-7D12-43F5-8ECD-358832D98C51}"/>
    <cellStyle name="20% - Accent2 17 2 2" xfId="4708" xr:uid="{D68AB200-BC2C-4745-84E9-EF247D46D10A}"/>
    <cellStyle name="20% - Accent2 17 2 2 2" xfId="4709" xr:uid="{175C8877-69A8-489D-A206-1A2057B05297}"/>
    <cellStyle name="20% - Accent2 17 2 2_Working Capital Current" xfId="13194" xr:uid="{9EF4936C-3F16-4653-8586-E3D671DF7DFA}"/>
    <cellStyle name="20% - Accent2 17 2 3" xfId="4710" xr:uid="{48AD2D2F-9F01-4279-ADF2-E78FD51CC331}"/>
    <cellStyle name="20% - Accent2 17 2 4" xfId="4711" xr:uid="{BF4E5188-734C-43A5-93AD-8C4658DCED95}"/>
    <cellStyle name="20% - Accent2 17 2_Working Capital Current" xfId="13195" xr:uid="{7D6FD075-AC7E-4041-A685-69CA7C658E7C}"/>
    <cellStyle name="20% - Accent2 17 3" xfId="4712" xr:uid="{A8879580-E743-4473-9830-4B20D431B319}"/>
    <cellStyle name="20% - Accent2 17 3 2" xfId="4713" xr:uid="{E5F7A29C-B994-41D6-9C79-3E56B47AD2AA}"/>
    <cellStyle name="20% - Accent2 17 3_Working Capital Current" xfId="13196" xr:uid="{EF217507-D463-4F32-9367-FFFD68B95209}"/>
    <cellStyle name="20% - Accent2 17 4" xfId="4714" xr:uid="{788F9B31-908F-4E28-9C72-B7387747D473}"/>
    <cellStyle name="20% - Accent2 17 5" xfId="4715" xr:uid="{8F7118C9-AA32-4D54-9B10-D023FFA979DA}"/>
    <cellStyle name="20% - Accent2 17_Not_for_upload_before_M4_correc" xfId="13197" xr:uid="{75609BED-4EA0-4357-95D4-E0B1FEC12F29}"/>
    <cellStyle name="20% - Accent2 18" xfId="4716" xr:uid="{CE88A002-3342-4A1E-B571-0B3DF59D1015}"/>
    <cellStyle name="20% - Accent2 18 2" xfId="4717" xr:uid="{B1CC3319-6CBB-4136-8F1C-FCEFD6A5DF20}"/>
    <cellStyle name="20% - Accent2 18 2 2" xfId="4718" xr:uid="{A252340B-1B48-4FE8-8B6D-C197D58DA994}"/>
    <cellStyle name="20% - Accent2 18 2 2 2" xfId="4719" xr:uid="{06955A3B-96E9-429D-939B-97059ABA6C28}"/>
    <cellStyle name="20% - Accent2 18 2 2_Working Capital Current" xfId="13198" xr:uid="{02F309FD-0C7D-4565-B49B-0304886DFF15}"/>
    <cellStyle name="20% - Accent2 18 2 3" xfId="4720" xr:uid="{28A4DFF0-DD0D-44FA-BF97-26F57B3104B4}"/>
    <cellStyle name="20% - Accent2 18 2 4" xfId="4721" xr:uid="{264E5CC9-51FF-4212-A3C3-562E2EB6840F}"/>
    <cellStyle name="20% - Accent2 18 2_Working Capital Current" xfId="13199" xr:uid="{FC7AC658-032C-4E6C-AA5B-3A8FA0BE6C50}"/>
    <cellStyle name="20% - Accent2 18 3" xfId="4722" xr:uid="{0C45CD89-A119-4CE0-95AC-2F4AD3B814A9}"/>
    <cellStyle name="20% - Accent2 18 3 2" xfId="4723" xr:uid="{276DECC1-1A00-497F-83A2-2FA16E688B25}"/>
    <cellStyle name="20% - Accent2 18 3_Working Capital Current" xfId="13200" xr:uid="{AE06EF60-0650-4E03-9DBD-5BB0DDF10DB1}"/>
    <cellStyle name="20% - Accent2 18 4" xfId="4724" xr:uid="{3BD1BD5E-BF86-42A9-8922-26F5CC6A11C5}"/>
    <cellStyle name="20% - Accent2 18 5" xfId="4725" xr:uid="{5A8C9D8E-A603-4238-9982-301F3756F248}"/>
    <cellStyle name="20% - Accent2 18_Not_for_upload_before_M4_correc" xfId="13201" xr:uid="{7C2C208A-1F03-46B6-ADBB-54A6D8173636}"/>
    <cellStyle name="20% - Accent2 19" xfId="4726" xr:uid="{7B164316-E5B9-4DC3-B115-B357ECE96B8B}"/>
    <cellStyle name="20% - Accent2 19 2" xfId="4727" xr:uid="{E19ACA9E-7E81-4F16-B753-392B5F24818A}"/>
    <cellStyle name="20% - Accent2 19 2 2" xfId="4728" xr:uid="{85E15596-E911-4726-BEDD-6EBBAB1B0EE7}"/>
    <cellStyle name="20% - Accent2 19 2 2 2" xfId="4729" xr:uid="{2F82ED46-761B-4131-9129-819F22C1B8B7}"/>
    <cellStyle name="20% - Accent2 19 2 2_Working Capital Current" xfId="13202" xr:uid="{50FCED13-2F90-4B87-A815-A6A891512320}"/>
    <cellStyle name="20% - Accent2 19 2 3" xfId="4730" xr:uid="{645A7BBF-80B6-43FF-A590-40E0F0AF4DEC}"/>
    <cellStyle name="20% - Accent2 19 2 4" xfId="4731" xr:uid="{1FCD13EC-DCD7-4F18-B4BF-7094B25141A5}"/>
    <cellStyle name="20% - Accent2 19 2_Working Capital Current" xfId="13203" xr:uid="{39832CBC-8146-4064-B002-7EEC70F7FCAC}"/>
    <cellStyle name="20% - Accent2 19 3" xfId="4732" xr:uid="{ECDFE0D0-EC4D-4448-97F9-5CB65A2C7201}"/>
    <cellStyle name="20% - Accent2 19 3 2" xfId="4733" xr:uid="{EC0F90DA-3195-4264-8B3F-F540745C3F49}"/>
    <cellStyle name="20% - Accent2 19 3_Working Capital Current" xfId="13204" xr:uid="{EAC14FA7-536C-4F25-BCD9-E1A6F9420FE0}"/>
    <cellStyle name="20% - Accent2 19 4" xfId="4734" xr:uid="{02C4AC39-4D86-43B0-8323-82E8626ED75C}"/>
    <cellStyle name="20% - Accent2 19 5" xfId="4735" xr:uid="{E855330B-735A-46C6-8515-621A2E834B1F}"/>
    <cellStyle name="20% - Accent2 19_Not_for_upload_before_M4_correc" xfId="13205" xr:uid="{CEF637E2-2417-437D-9AC1-963604CE0A2E}"/>
    <cellStyle name="20% - Accent2 2" xfId="63" xr:uid="{D0C0B5C0-F8C8-44A1-9800-5025F21CE7A2}"/>
    <cellStyle name="20% - Accent2 2 10" xfId="4736" xr:uid="{2295BE98-B0CD-437E-A91F-E38F550687E9}"/>
    <cellStyle name="20% - Accent2 2 11" xfId="17178" xr:uid="{86F0F46F-575A-469B-8665-5D25F672F947}"/>
    <cellStyle name="20% - Accent2 2 2" xfId="64" xr:uid="{6D7FB6FC-B178-41F5-8E1D-B7AD5C796C29}"/>
    <cellStyle name="20% - Accent2 2 2 2" xfId="1894" xr:uid="{C2C38FB6-8CAE-4A16-BF2F-700516997CF9}"/>
    <cellStyle name="20% - Accent2 2 2 2 2" xfId="4739" xr:uid="{9AE8D654-F155-4259-BD68-B45A70EFBC10}"/>
    <cellStyle name="20% - Accent2 2 2 2 2 2" xfId="4740" xr:uid="{1620E278-9AE5-45E6-B3F8-939BC92DF014}"/>
    <cellStyle name="20% - Accent2 2 2 2 2_Working Capital Current" xfId="13206" xr:uid="{A123FA0C-250E-42CC-BAEB-6FC25CF5D34A}"/>
    <cellStyle name="20% - Accent2 2 2 2 3" xfId="4741" xr:uid="{4207B3F1-58AC-488B-B7F2-690AEE73A240}"/>
    <cellStyle name="20% - Accent2 2 2 2 4" xfId="4742" xr:uid="{BCBF343A-FFAD-4A1B-9ED1-CDEBD5E5D835}"/>
    <cellStyle name="20% - Accent2 2 2 2 5" xfId="17624" xr:uid="{D3429B9D-A763-4B55-A64F-23F3D9D141A0}"/>
    <cellStyle name="20% - Accent2 2 2 2 6" xfId="18189" xr:uid="{D7FEE426-236A-4F88-91B9-A3066221784A}"/>
    <cellStyle name="20% - Accent2 2 2 2 7" xfId="4738" xr:uid="{7A995B69-42E2-4A27-AE5F-DBBDC4198504}"/>
    <cellStyle name="20% - Accent2 2 2 2_Working Capital Current" xfId="13207" xr:uid="{27334E71-D971-499B-A45E-9D64F97840BB}"/>
    <cellStyle name="20% - Accent2 2 2 3" xfId="4743" xr:uid="{DAF1A19A-D42E-4F58-9C1A-F320AB7E571C}"/>
    <cellStyle name="20% - Accent2 2 2 3 2" xfId="4744" xr:uid="{8CE30CDE-A233-48AD-A272-CB39FFC59561}"/>
    <cellStyle name="20% - Accent2 2 2 3_Working Capital Current" xfId="13208" xr:uid="{F35590AB-B634-4912-96EC-64A6D8FADD9F}"/>
    <cellStyle name="20% - Accent2 2 2 4" xfId="4745" xr:uid="{229431A0-5364-409F-8DD3-8C916044DE79}"/>
    <cellStyle name="20% - Accent2 2 2 5" xfId="4746" xr:uid="{0EEDF861-03BD-45B4-9F8A-BBA14A950F5A}"/>
    <cellStyle name="20% - Accent2 2 2 6" xfId="4737" xr:uid="{F526E28C-86D8-4945-9D2B-7C76AE2D57E5}"/>
    <cellStyle name="20% - Accent2 2 2 7" xfId="16510" xr:uid="{19F14FEE-5371-48E7-8460-98240114659D}"/>
    <cellStyle name="20% - Accent2 2 2 8" xfId="16979" xr:uid="{C4679310-4184-4D5D-A8ED-87CA05D6A19B}"/>
    <cellStyle name="20% - Accent2 2 2_Not_for_upload_before_M4_correc" xfId="13209" xr:uid="{41BAA81F-2C73-4566-80EC-84DC164FB602}"/>
    <cellStyle name="20% - Accent2 2 3" xfId="65" xr:uid="{609CB06C-46FF-47C1-9B9F-2BC6BAD0352E}"/>
    <cellStyle name="20% - Accent2 2 3 2" xfId="66" xr:uid="{C6445F28-1017-4740-BDA9-2179D3511D90}"/>
    <cellStyle name="20% - Accent2 2 3 2 2" xfId="896" xr:uid="{43DBF1C2-DD7F-46FA-AD2D-683F42F5E236}"/>
    <cellStyle name="20% - Accent2 2 3 2 2 2" xfId="4750" xr:uid="{49B2A041-58AB-419C-ADA7-E49F79936F28}"/>
    <cellStyle name="20% - Accent2 2 3 2 2 3" xfId="17093" xr:uid="{292D5797-E952-4D42-9323-156026093A10}"/>
    <cellStyle name="20% - Accent2 2 3 2 2 4" xfId="4749" xr:uid="{0522E756-9C6A-4083-A6BF-516914BBAFDD}"/>
    <cellStyle name="20% - Accent2 2 3 2 2_Working Capital Current" xfId="13210" xr:uid="{627C3F07-4D76-4032-812F-8375511616FD}"/>
    <cellStyle name="20% - Accent2 2 3 2 3" xfId="1896" xr:uid="{7FD4FF1F-9988-45DC-BA17-E321C894397B}"/>
    <cellStyle name="20% - Accent2 2 3 2 3 2" xfId="17626" xr:uid="{944AB39E-9D97-4E51-B7A8-46E57F3644B5}"/>
    <cellStyle name="20% - Accent2 2 3 2 3 3" xfId="4751" xr:uid="{4A8DB93E-F82F-4729-813D-CC2577FBFF15}"/>
    <cellStyle name="20% - Accent2 2 3 2 4" xfId="4752" xr:uid="{ECE214DD-4461-40CB-9F0D-51E3128D0C08}"/>
    <cellStyle name="20% - Accent2 2 3 2 5" xfId="4748" xr:uid="{C9FBB1FB-8897-4452-8F3C-40E4F1479569}"/>
    <cellStyle name="20% - Accent2 2 3 2 6" xfId="3891" xr:uid="{D98BDBD9-0BA7-46A3-9CAB-AD058690A323}"/>
    <cellStyle name="20% - Accent2 2 3 2 7" xfId="17776" xr:uid="{FD65937B-0D31-4B67-8098-D84F78C7F85D}"/>
    <cellStyle name="20% - Accent2 2 3 2_Working Capital Current" xfId="13211" xr:uid="{2AEFA1E7-7A57-429C-B769-2C2ADD5DAAA6}"/>
    <cellStyle name="20% - Accent2 2 3 3" xfId="67" xr:uid="{23507F62-DB48-42A9-86A4-C9244704A71C}"/>
    <cellStyle name="20% - Accent2 2 3 3 2" xfId="1897" xr:uid="{85B8A38A-8222-401C-B840-C71962A29D2D}"/>
    <cellStyle name="20% - Accent2 2 3 3 2 2" xfId="17627" xr:uid="{A9D9A6A8-12EA-488E-B9F0-8CD0BB9BE5DE}"/>
    <cellStyle name="20% - Accent2 2 3 3 2 3" xfId="4754" xr:uid="{619B4D4A-D6DC-4E9A-86E0-5491C27F4A6F}"/>
    <cellStyle name="20% - Accent2 2 3 3 3" xfId="4753" xr:uid="{602FA155-3970-4001-9F1F-3AF6A4CB3B02}"/>
    <cellStyle name="20% - Accent2 2 3 3 4" xfId="16512" xr:uid="{63C70943-B1D1-4506-B65F-6DB0C54CC793}"/>
    <cellStyle name="20% - Accent2 2 3 3_Working Capital Current" xfId="13212" xr:uid="{E3DFAF25-D9D1-4386-91B5-639FDB49A31E}"/>
    <cellStyle name="20% - Accent2 2 3 4" xfId="68" xr:uid="{A5C18384-A4CE-4559-BF10-CDA0444CC739}"/>
    <cellStyle name="20% - Accent2 2 3 4 2" xfId="1898" xr:uid="{B22A0A40-033D-4920-8A37-CD683EBDEF56}"/>
    <cellStyle name="20% - Accent2 2 3 4 2 2" xfId="17628" xr:uid="{CFC50050-81A7-4FAE-B4DA-72D44C915EFB}"/>
    <cellStyle name="20% - Accent2 2 3 4 2 3" xfId="4755" xr:uid="{2377A689-B222-4AD0-93C3-DA446A6315EB}"/>
    <cellStyle name="20% - Accent2 2 3 5" xfId="1895" xr:uid="{EF8E6F6E-C4C4-4EF8-A829-21FC698D62A2}"/>
    <cellStyle name="20% - Accent2 2 3 5 2" xfId="17625" xr:uid="{5579BD46-0586-4BAE-92E9-DF105A176D5F}"/>
    <cellStyle name="20% - Accent2 2 3 5 3" xfId="4756" xr:uid="{A1B0893C-A5F8-4E85-A2BD-B2E25559FADB}"/>
    <cellStyle name="20% - Accent2 2 3 6" xfId="4747" xr:uid="{4C249F1D-5F81-4145-9087-FD498168D80A}"/>
    <cellStyle name="20% - Accent2 2 3 7" xfId="16511" xr:uid="{9B59CCCB-A237-4DD6-80C7-585D36B08945}"/>
    <cellStyle name="20% - Accent2 2 3 8" xfId="3892" xr:uid="{02213D50-8956-410C-B8B1-6B9A635C8A4D}"/>
    <cellStyle name="20% - Accent2 2 3 9" xfId="3873" xr:uid="{0AE4E651-44C7-49B8-9BF8-CA38154FA51A}"/>
    <cellStyle name="20% - Accent2 2 3_Not_for_upload_before_M4_correc" xfId="13213" xr:uid="{B4E33264-6505-4810-9E07-64BF076F3ADA}"/>
    <cellStyle name="20% - Accent2 2 4" xfId="1893" xr:uid="{9237E3F4-5570-4671-A290-BEA2EFD773C4}"/>
    <cellStyle name="20% - Accent2 2 4 2" xfId="4758" xr:uid="{125A9032-0A0D-45DE-935A-EA72FF167DBA}"/>
    <cellStyle name="20% - Accent2 2 4 2 2" xfId="4759" xr:uid="{E6147F44-7101-4660-8A18-80691B12F3C9}"/>
    <cellStyle name="20% - Accent2 2 4 2 2 2" xfId="4760" xr:uid="{E4080B63-F0AF-4968-8C0F-0A920F539609}"/>
    <cellStyle name="20% - Accent2 2 4 2 2_Working Capital Current" xfId="13214" xr:uid="{A2E4F4C4-155A-49DB-9977-57158C1D8E56}"/>
    <cellStyle name="20% - Accent2 2 4 2 3" xfId="4761" xr:uid="{6AC790ED-3147-49D9-9515-828999CA7165}"/>
    <cellStyle name="20% - Accent2 2 4 2 4" xfId="4762" xr:uid="{F948E705-590C-489A-90EA-ABA6113F8173}"/>
    <cellStyle name="20% - Accent2 2 4 2_Working Capital Current" xfId="13215" xr:uid="{88947CBB-6379-4899-A411-817C8AD301EA}"/>
    <cellStyle name="20% - Accent2 2 4 3" xfId="4763" xr:uid="{8307F100-8845-4DDA-A3F2-9D291EA69541}"/>
    <cellStyle name="20% - Accent2 2 4 3 2" xfId="4764" xr:uid="{EE270B88-342B-4867-BD47-1C3C55E43C6C}"/>
    <cellStyle name="20% - Accent2 2 4 3_Working Capital Current" xfId="13216" xr:uid="{DBCCCF92-35DC-46A2-9F08-DA23EE8ADB54}"/>
    <cellStyle name="20% - Accent2 2 4 4" xfId="4765" xr:uid="{611149A3-6C51-4624-801A-63E32A58D914}"/>
    <cellStyle name="20% - Accent2 2 4 5" xfId="4766" xr:uid="{C0E5CFAC-F02B-465C-80CC-85B428A70217}"/>
    <cellStyle name="20% - Accent2 2 4 6" xfId="17623" xr:uid="{611A2E32-9E3A-486B-A37A-3523619250EC}"/>
    <cellStyle name="20% - Accent2 2 4 7" xfId="18188" xr:uid="{44D83DF8-4A81-409F-B537-A19348822233}"/>
    <cellStyle name="20% - Accent2 2 4 8" xfId="4757" xr:uid="{F5FAD4EF-443E-45FF-BBA5-A80158C8BD44}"/>
    <cellStyle name="20% - Accent2 2 4_Not_for_upload_before_M4_correc" xfId="13217" xr:uid="{94826BB9-1A54-459C-9578-CF47CCD2BDE1}"/>
    <cellStyle name="20% - Accent2 2 5" xfId="4767" xr:uid="{354270D1-F85C-4355-966B-ACD46BF2F84B}"/>
    <cellStyle name="20% - Accent2 2 5 2" xfId="4768" xr:uid="{9632D61A-B6E2-4D28-B657-1CB428C9DBBA}"/>
    <cellStyle name="20% - Accent2 2 5 2 2" xfId="4769" xr:uid="{6435F0AA-9D5D-409E-B412-0880AF935ACD}"/>
    <cellStyle name="20% - Accent2 2 5 2_Working Capital Current" xfId="13218" xr:uid="{63E3AD26-C11E-4614-A9FD-930ABD39D314}"/>
    <cellStyle name="20% - Accent2 2 5 3" xfId="4770" xr:uid="{CA2558DF-B2BE-4D2A-9EA3-EA54E94597EA}"/>
    <cellStyle name="20% - Accent2 2 6" xfId="4771" xr:uid="{9B429C39-4939-4A1E-8249-6DFA420C92E6}"/>
    <cellStyle name="20% - Accent2 2 6 2" xfId="4772" xr:uid="{DE473349-1308-4C13-A0E8-0B6DE2E7E2A8}"/>
    <cellStyle name="20% - Accent2 2 6_Working Capital Current" xfId="13219" xr:uid="{A38F6458-4AB0-4386-97EA-5FACDD1BFF26}"/>
    <cellStyle name="20% - Accent2 2 7" xfId="4773" xr:uid="{E0C01785-AEDB-42BF-8490-43166CFEE189}"/>
    <cellStyle name="20% - Accent2 2 7 2" xfId="4774" xr:uid="{73908B2D-717A-4504-995A-6042860AC9E8}"/>
    <cellStyle name="20% - Accent2 2 7_Working Capital Current" xfId="13220" xr:uid="{1DBF4D18-0AED-4493-A522-4D69012B8A83}"/>
    <cellStyle name="20% - Accent2 2 8" xfId="4775" xr:uid="{66B8B43B-5BB5-42CB-B8DE-E943A85E76C0}"/>
    <cellStyle name="20% - Accent2 2 9" xfId="4776" xr:uid="{C90F03BB-4F5C-4B96-B895-784978F343F1}"/>
    <cellStyle name="20% - Accent2 2_Not_for_upload_before_M4_correc" xfId="13221" xr:uid="{D0D26717-9386-420C-A271-183FAE42BE68}"/>
    <cellStyle name="20% - Accent2 20" xfId="4777" xr:uid="{121D93FA-5061-4626-8A88-4AE377CB7E64}"/>
    <cellStyle name="20% - Accent2 20 2" xfId="4778" xr:uid="{080C0FBA-B4A5-4EB9-AF80-73317AD04BCE}"/>
    <cellStyle name="20% - Accent2 20 2 2" xfId="4779" xr:uid="{535FBC72-9D3B-4FBE-AD30-53672BBF037B}"/>
    <cellStyle name="20% - Accent2 20 2 2 2" xfId="4780" xr:uid="{A5F143EA-91BC-47E6-AE3A-17AE29934EEE}"/>
    <cellStyle name="20% - Accent2 20 2 2_Working Capital Current" xfId="13222" xr:uid="{BA72B5B1-D4BC-4E62-80D7-B9143A15D38A}"/>
    <cellStyle name="20% - Accent2 20 2 3" xfId="4781" xr:uid="{29010B5E-23D9-4A9A-A0FF-5BD93DC62DFD}"/>
    <cellStyle name="20% - Accent2 20 2 4" xfId="4782" xr:uid="{7C4B6CCD-41DF-4287-B444-E63507ADFBBD}"/>
    <cellStyle name="20% - Accent2 20 2_Working Capital Current" xfId="13223" xr:uid="{E38F662A-049C-462C-A724-ACAF17DDF015}"/>
    <cellStyle name="20% - Accent2 20 3" xfId="4783" xr:uid="{B299FB4C-E68F-4A4B-8368-9F2AA3D17FDB}"/>
    <cellStyle name="20% - Accent2 20 3 2" xfId="4784" xr:uid="{4BEEF81D-600F-4058-BBCB-175C29258F44}"/>
    <cellStyle name="20% - Accent2 20 3_Working Capital Current" xfId="13224" xr:uid="{E2A9BF73-DE75-47B2-BB10-C97D96F424DD}"/>
    <cellStyle name="20% - Accent2 20 4" xfId="4785" xr:uid="{F05B1489-8966-42BC-90AB-9BF76A23102C}"/>
    <cellStyle name="20% - Accent2 20 5" xfId="4786" xr:uid="{D12E31F3-AC81-4C4C-8B1D-9624E4352F85}"/>
    <cellStyle name="20% - Accent2 20_Not_for_upload_before_M4_correc" xfId="13225" xr:uid="{B17A3EF2-734C-4C1E-9EB8-35882A7D1511}"/>
    <cellStyle name="20% - Accent2 21" xfId="4787" xr:uid="{EFA87332-73C1-4B17-9BF8-E28BF60C1E2B}"/>
    <cellStyle name="20% - Accent2 21 2" xfId="4788" xr:uid="{E0B295F1-F4CB-495C-953C-ED39A63E2A81}"/>
    <cellStyle name="20% - Accent2 21 2 2" xfId="4789" xr:uid="{F4AD546A-251C-46B9-BF24-B06BD26333F0}"/>
    <cellStyle name="20% - Accent2 21 2 2 2" xfId="4790" xr:uid="{194EB0AA-D492-42B1-A2DB-828C0DD07657}"/>
    <cellStyle name="20% - Accent2 21 2 2_Working Capital Current" xfId="13226" xr:uid="{CC5B2E50-6636-4E93-9E51-0727FF946D9C}"/>
    <cellStyle name="20% - Accent2 21 2 3" xfId="4791" xr:uid="{BFB356F8-6EF6-4075-BA96-484B267ACB9E}"/>
    <cellStyle name="20% - Accent2 21 2 4" xfId="4792" xr:uid="{6BCCAE86-4E95-4377-BB6D-B9D49F101717}"/>
    <cellStyle name="20% - Accent2 21 2_Working Capital Current" xfId="13227" xr:uid="{48CFC0FF-6E4E-42D8-A8AA-693E46B1A624}"/>
    <cellStyle name="20% - Accent2 21 3" xfId="4793" xr:uid="{00BEAE0C-3BBA-47EB-8E6F-9166997AF007}"/>
    <cellStyle name="20% - Accent2 21 3 2" xfId="4794" xr:uid="{BAE9A670-16F2-41C0-BF33-12816FC685B0}"/>
    <cellStyle name="20% - Accent2 21 3_Working Capital Current" xfId="13228" xr:uid="{DC9D2035-BCA0-40AA-B04E-FDB2388F57D3}"/>
    <cellStyle name="20% - Accent2 21 4" xfId="4795" xr:uid="{537A3EF1-54FD-4B4F-A47B-C53E6A389B5C}"/>
    <cellStyle name="20% - Accent2 21 5" xfId="4796" xr:uid="{21DD2276-02B6-4908-A1D0-7A10AE118E57}"/>
    <cellStyle name="20% - Accent2 21_Not_for_upload_before_M4_correc" xfId="13229" xr:uid="{C17DC1F1-6B41-4A8E-BBC5-177D61696B3D}"/>
    <cellStyle name="20% - Accent2 22" xfId="4797" xr:uid="{92C0D79E-BCD3-452F-8859-A976E0199E5B}"/>
    <cellStyle name="20% - Accent2 22 2" xfId="4798" xr:uid="{4D89329F-981A-474B-9AF8-3CDA79A40575}"/>
    <cellStyle name="20% - Accent2 22 2 2" xfId="4799" xr:uid="{443C3AF0-D64C-4B08-B8F8-60192CF2D4D6}"/>
    <cellStyle name="20% - Accent2 22 2 2 2" xfId="4800" xr:uid="{6A557A94-4EC0-4C7F-90CD-CA83BA05F797}"/>
    <cellStyle name="20% - Accent2 22 2 2_Working Capital Current" xfId="13230" xr:uid="{5DCF020B-C6B1-4A02-A9C7-493FB7FC84B6}"/>
    <cellStyle name="20% - Accent2 22 2 3" xfId="4801" xr:uid="{B5DA5164-FE0F-4C03-AB82-0B04566B989C}"/>
    <cellStyle name="20% - Accent2 22 2 4" xfId="4802" xr:uid="{350B69EC-B554-4F37-B582-D6B924FE2957}"/>
    <cellStyle name="20% - Accent2 22 2_Working Capital Current" xfId="13231" xr:uid="{9D05AA0B-B50F-4002-A4A1-8551CBF3872A}"/>
    <cellStyle name="20% - Accent2 22 3" xfId="4803" xr:uid="{5DB8BB2B-ED52-40C5-AD34-BA01C9E5CDF8}"/>
    <cellStyle name="20% - Accent2 22 3 2" xfId="4804" xr:uid="{D04FB1D2-626F-4437-B1AF-F67A6D5A1D9B}"/>
    <cellStyle name="20% - Accent2 22 3_Working Capital Current" xfId="13232" xr:uid="{310EF4CB-C45A-41BD-A7FA-6AA452F2594D}"/>
    <cellStyle name="20% - Accent2 22 4" xfId="4805" xr:uid="{299FE667-2E43-4BDB-A0E9-BD57BE1D6D3C}"/>
    <cellStyle name="20% - Accent2 22 5" xfId="4806" xr:uid="{6221CF01-3DAA-4DDE-A013-3A89D54A7ACA}"/>
    <cellStyle name="20% - Accent2 22_Not_for_upload_before_M4_correc" xfId="13233" xr:uid="{87158D92-7E7A-4B88-B088-60C6ACB629D6}"/>
    <cellStyle name="20% - Accent2 23" xfId="4807" xr:uid="{861A09F7-D623-4581-A464-2DDE58C276B3}"/>
    <cellStyle name="20% - Accent2 23 2" xfId="4808" xr:uid="{DD7E77D8-7EFC-4A81-BCAD-A0DDE3C4D07A}"/>
    <cellStyle name="20% - Accent2 23 2 2" xfId="4809" xr:uid="{0F805936-33C3-45A3-B039-F60EDD0F43F5}"/>
    <cellStyle name="20% - Accent2 23 2 2 2" xfId="4810" xr:uid="{059DFCD0-D881-4B7F-8A27-9D3FFF12BCC3}"/>
    <cellStyle name="20% - Accent2 23 2 2_Working Capital Current" xfId="13234" xr:uid="{745121FF-BAD7-4423-A426-25A8FB64ABE5}"/>
    <cellStyle name="20% - Accent2 23 2 3" xfId="4811" xr:uid="{FE89531D-2AA2-4131-A8F0-B423F9FB1F8A}"/>
    <cellStyle name="20% - Accent2 23 2 4" xfId="4812" xr:uid="{8A0BD8BA-DE69-4168-9265-DAAD3589B961}"/>
    <cellStyle name="20% - Accent2 23 2_Working Capital Current" xfId="13235" xr:uid="{8A34C839-86E7-4815-8924-D3F0590AD3AE}"/>
    <cellStyle name="20% - Accent2 23 3" xfId="4813" xr:uid="{68BF9141-5951-4E6D-AD9D-FCC0CC2D7C29}"/>
    <cellStyle name="20% - Accent2 23 3 2" xfId="4814" xr:uid="{6E4F4511-061A-45C1-B696-6CFCF461E210}"/>
    <cellStyle name="20% - Accent2 23 3_Working Capital Current" xfId="13236" xr:uid="{E1A7300A-6CFF-4A54-86EA-8F7897754AD0}"/>
    <cellStyle name="20% - Accent2 23 4" xfId="4815" xr:uid="{BB847DAA-86CB-4B7F-A0E4-C266D64056CE}"/>
    <cellStyle name="20% - Accent2 23 5" xfId="4816" xr:uid="{E326B3BE-EDAD-41CD-9616-86A945751B34}"/>
    <cellStyle name="20% - Accent2 23_Not_for_upload_before_M4_correc" xfId="13237" xr:uid="{5B1CFA3D-7917-44AA-91C6-E41339437946}"/>
    <cellStyle name="20% - Accent2 24" xfId="4817" xr:uid="{82078559-F4E8-45EF-AFD8-FB698C0B8828}"/>
    <cellStyle name="20% - Accent2 24 2" xfId="4818" xr:uid="{1A5E55DC-4CA6-40D3-8985-4614578E3BD6}"/>
    <cellStyle name="20% - Accent2 24 2 2" xfId="4819" xr:uid="{754E1768-54DE-4A53-A5A0-EF200B63D054}"/>
    <cellStyle name="20% - Accent2 24 2 2 2" xfId="4820" xr:uid="{59A59A20-AB19-49AC-817E-E2CD10E7D1FD}"/>
    <cellStyle name="20% - Accent2 24 2 2_Working Capital Current" xfId="13238" xr:uid="{F5A516F4-A5CC-463C-B8F9-E73B40E1771B}"/>
    <cellStyle name="20% - Accent2 24 2 3" xfId="4821" xr:uid="{160CC9A1-BF0F-4D32-9C9A-9BF22899CAFB}"/>
    <cellStyle name="20% - Accent2 24 2 4" xfId="4822" xr:uid="{092DDF2B-C485-49E9-AECD-B6E56DFAB1B3}"/>
    <cellStyle name="20% - Accent2 24 2_Working Capital Current" xfId="13239" xr:uid="{7DF871F4-1E61-4873-A7DB-C3BCECFF7348}"/>
    <cellStyle name="20% - Accent2 24 3" xfId="4823" xr:uid="{FF2D2C52-7AF7-4CB1-80C9-B7F071F2F9B8}"/>
    <cellStyle name="20% - Accent2 24 3 2" xfId="4824" xr:uid="{53444190-89B7-450F-826C-DD65D8A3B77F}"/>
    <cellStyle name="20% - Accent2 24 3_Working Capital Current" xfId="13240" xr:uid="{637BCD29-EC58-4B74-B862-886FD87643C4}"/>
    <cellStyle name="20% - Accent2 24 4" xfId="4825" xr:uid="{8FF26439-D45A-4143-A461-9A851CCEF54A}"/>
    <cellStyle name="20% - Accent2 24 5" xfId="4826" xr:uid="{C6066276-87A6-4F35-A61D-95D8BC4B3DA0}"/>
    <cellStyle name="20% - Accent2 24_Not_for_upload_before_M4_correc" xfId="13241" xr:uid="{8C34082A-7723-4EDF-9891-D396A01EB199}"/>
    <cellStyle name="20% - Accent2 25" xfId="4827" xr:uid="{84649301-A09C-4EC1-86A2-168B609E4FA2}"/>
    <cellStyle name="20% - Accent2 25 2" xfId="4828" xr:uid="{9771ECC6-95B7-4C7F-BD70-697613B886EF}"/>
    <cellStyle name="20% - Accent2 25 2 2" xfId="4829" xr:uid="{AD7089C1-9C1B-404E-8B2F-9467153CDCBB}"/>
    <cellStyle name="20% - Accent2 25 2 2 2" xfId="4830" xr:uid="{B22756E3-907C-40D3-B6B1-1DD6F6AB50B3}"/>
    <cellStyle name="20% - Accent2 25 2 2_Working Capital Current" xfId="13242" xr:uid="{491A1DAF-8C72-46B6-96C5-EFF7155B8EB5}"/>
    <cellStyle name="20% - Accent2 25 2 3" xfId="4831" xr:uid="{41D72596-A6AF-4101-AFA1-85A1157D9A52}"/>
    <cellStyle name="20% - Accent2 25 2 4" xfId="4832" xr:uid="{E058FF2B-B0F8-40B0-9CC0-5185F2B187DA}"/>
    <cellStyle name="20% - Accent2 25 2_Working Capital Current" xfId="13243" xr:uid="{40FBD803-BAFC-489D-9DD1-11D4258EDEF2}"/>
    <cellStyle name="20% - Accent2 25 3" xfId="4833" xr:uid="{9ACFED71-A91B-4E7A-80E7-ABC18BD3BF50}"/>
    <cellStyle name="20% - Accent2 25 3 2" xfId="4834" xr:uid="{C2AAEF50-AF81-46E0-93A8-C4E525745096}"/>
    <cellStyle name="20% - Accent2 25 3_Working Capital Current" xfId="13244" xr:uid="{73CA629C-0DCA-407C-8DE4-418EDCDB97A6}"/>
    <cellStyle name="20% - Accent2 25 4" xfId="4835" xr:uid="{B958E5D3-0C11-46ED-BF0F-F7D8200222EC}"/>
    <cellStyle name="20% - Accent2 25 5" xfId="4836" xr:uid="{21771373-105C-4FAF-B704-5744785E86EB}"/>
    <cellStyle name="20% - Accent2 25_Not_for_upload_before_M4_correc" xfId="13245" xr:uid="{A60C4D71-C831-470E-A46E-9991AC82E20B}"/>
    <cellStyle name="20% - Accent2 26" xfId="4837" xr:uid="{7BFC2995-454F-43FA-935D-74407B448F8E}"/>
    <cellStyle name="20% - Accent2 26 2" xfId="4838" xr:uid="{1F365300-6BA6-485E-9087-3B69B948841E}"/>
    <cellStyle name="20% - Accent2 26 2 2" xfId="4839" xr:uid="{5EF89F73-F951-4AB3-BDA9-30EF4E88BAE7}"/>
    <cellStyle name="20% - Accent2 26 2 3" xfId="4840" xr:uid="{9E4975E0-389E-4F1C-80C8-1C36EDEC404E}"/>
    <cellStyle name="20% - Accent2 26 2_Working Capital Current" xfId="13246" xr:uid="{229617F2-A08C-4D40-9052-6DB40E0B648E}"/>
    <cellStyle name="20% - Accent2 26 3" xfId="4841" xr:uid="{4FC8D385-EDE6-4DF0-88B0-B94BE09CC304}"/>
    <cellStyle name="20% - Accent2 26 3 2" xfId="4842" xr:uid="{3EB5D7E0-153E-4D0B-A962-8665D79B82DE}"/>
    <cellStyle name="20% - Accent2 26 3_Working Capital Current" xfId="13247" xr:uid="{638733E7-C58A-42E1-A09E-A8FFA74AC4F6}"/>
    <cellStyle name="20% - Accent2 26 4" xfId="4843" xr:uid="{9BB8246C-3F9C-4484-8397-93494E60F060}"/>
    <cellStyle name="20% - Accent2 26 5" xfId="4844" xr:uid="{25750ABF-8DCD-4A53-A0F8-27D2C081840B}"/>
    <cellStyle name="20% - Accent2 26_Not_for_upload_before_M4_correc" xfId="13248" xr:uid="{E56946F1-EA5D-4576-8E7C-A1C2598EA658}"/>
    <cellStyle name="20% - Accent2 27" xfId="4845" xr:uid="{F10AF3D3-FA3A-43F9-BC5A-17241892A85B}"/>
    <cellStyle name="20% - Accent2 27 2" xfId="4846" xr:uid="{0596A280-77FB-461E-925A-03B9991669E3}"/>
    <cellStyle name="20% - Accent2 27 2 2" xfId="4847" xr:uid="{162EC304-2960-4B35-9D43-543A5B68E123}"/>
    <cellStyle name="20% - Accent2 27 2 3" xfId="4848" xr:uid="{310E7629-35CB-4CEB-89D0-022BD3F40416}"/>
    <cellStyle name="20% - Accent2 27 2_Working Capital Current" xfId="13249" xr:uid="{B905B1F1-69B4-4823-AD4A-AC8A54E34ECF}"/>
    <cellStyle name="20% - Accent2 27 3" xfId="4849" xr:uid="{08203B65-6D33-4E81-BB80-C940A55085B1}"/>
    <cellStyle name="20% - Accent2 27 3 2" xfId="4850" xr:uid="{AA6F49A0-F9C3-4B86-9B5C-76BCB4318673}"/>
    <cellStyle name="20% - Accent2 27 3_Working Capital Current" xfId="13250" xr:uid="{BCAE1EEC-A672-4D9F-9D26-843C291BAE22}"/>
    <cellStyle name="20% - Accent2 27 4" xfId="4851" xr:uid="{E8C0861C-C955-4C2D-834E-D5FAE6DDE403}"/>
    <cellStyle name="20% - Accent2 27 5" xfId="4852" xr:uid="{CAD6E8AA-E8B8-4C99-AB79-897EE7DC1D1B}"/>
    <cellStyle name="20% - Accent2 27_Not_for_upload_before_M4_correc" xfId="13251" xr:uid="{9CD712C3-B54C-4437-B165-2F938AE9E646}"/>
    <cellStyle name="20% - Accent2 28" xfId="4853" xr:uid="{A31AB291-5018-4926-B4E0-52445756B669}"/>
    <cellStyle name="20% - Accent2 28 2" xfId="4854" xr:uid="{00C46A7A-8CAA-4D29-A6DA-8511E21E85B7}"/>
    <cellStyle name="20% - Accent2 28 2 2" xfId="4855" xr:uid="{B2522C84-3F13-4764-B19A-6E8836485BA3}"/>
    <cellStyle name="20% - Accent2 28 2 3" xfId="4856" xr:uid="{86431747-5A2C-4AC8-AA36-BC17E5C7B624}"/>
    <cellStyle name="20% - Accent2 28 2_Working Capital Current" xfId="13252" xr:uid="{44E008F1-C597-4B6D-8229-B7E72614BBE8}"/>
    <cellStyle name="20% - Accent2 28 3" xfId="4857" xr:uid="{D838DC18-565B-49A5-AB84-D0C029771B2F}"/>
    <cellStyle name="20% - Accent2 28 3 2" xfId="4858" xr:uid="{EF2FB276-0856-40F2-AF3B-D374475F4C6E}"/>
    <cellStyle name="20% - Accent2 28 3_Working Capital Current" xfId="13253" xr:uid="{0AEB73DC-FF40-48E4-B4F8-93F7352B7F92}"/>
    <cellStyle name="20% - Accent2 28 4" xfId="4859" xr:uid="{BC16EE21-0D85-40C2-9F2D-A2EDD26B8D18}"/>
    <cellStyle name="20% - Accent2 28 5" xfId="4860" xr:uid="{8EA1EF00-5BA9-439A-BF3F-98FF45C47F9A}"/>
    <cellStyle name="20% - Accent2 28_Not_for_upload_before_M4_correc" xfId="13254" xr:uid="{90C325B9-CCFB-4DD2-B8FB-F5B922C1D922}"/>
    <cellStyle name="20% - Accent2 29" xfId="4861" xr:uid="{0FE6A92B-53FB-4EBE-A36B-8DAC6FA49D73}"/>
    <cellStyle name="20% - Accent2 29 2" xfId="4862" xr:uid="{F5AEC90E-A434-45BC-85A7-1BAF71E33749}"/>
    <cellStyle name="20% - Accent2 29 2 2" xfId="4863" xr:uid="{C3651C3D-21BD-470E-A791-7C9FD1D716FD}"/>
    <cellStyle name="20% - Accent2 29 2_Working Capital Current" xfId="13255" xr:uid="{FE4E4690-829A-4354-A98F-A8DC042CB40D}"/>
    <cellStyle name="20% - Accent2 29 3" xfId="4864" xr:uid="{8A311946-E0C0-4B27-9FBE-B48484DA6316}"/>
    <cellStyle name="20% - Accent2 29 4" xfId="4865" xr:uid="{4749B7D7-76F7-4ED1-8722-2B1C8EE9C0B8}"/>
    <cellStyle name="20% - Accent2 29_Not_for_upload_before_M4_correc" xfId="13256" xr:uid="{29E76CA2-5817-4168-82E2-F14DD1504444}"/>
    <cellStyle name="20% - Accent2 3" xfId="69" xr:uid="{D234736D-0A2C-4DE1-8484-1C9E18AA9C88}"/>
    <cellStyle name="20% - Accent2 3 2" xfId="1899" xr:uid="{98C47748-6692-46DC-95DA-BA434EDA01E3}"/>
    <cellStyle name="20% - Accent2 3 2 2" xfId="4868" xr:uid="{64F9A8C1-54FB-48A7-93E2-F31946BC8137}"/>
    <cellStyle name="20% - Accent2 3 2 2 2" xfId="4869" xr:uid="{0BD385A8-2D78-44CF-9DFD-984B95FA33CF}"/>
    <cellStyle name="20% - Accent2 3 2 2 2 2" xfId="4870" xr:uid="{82C3DC78-F59E-46CA-9766-CF380B7529AB}"/>
    <cellStyle name="20% - Accent2 3 2 2 2_Working Capital Current" xfId="13257" xr:uid="{FFB18754-CFFD-43A9-8682-38DD36FE6651}"/>
    <cellStyle name="20% - Accent2 3 2 2 3" xfId="4871" xr:uid="{B82B1ACE-3440-47C4-A468-49D8119AFB80}"/>
    <cellStyle name="20% - Accent2 3 2 2 4" xfId="4872" xr:uid="{6CBAACF8-0BB0-4F31-98C1-66CCF3EB320B}"/>
    <cellStyle name="20% - Accent2 3 2 2_Working Capital Current" xfId="13258" xr:uid="{BEBE2E28-9DD9-4B2A-BDE8-65B816BA001F}"/>
    <cellStyle name="20% - Accent2 3 2 3" xfId="4873" xr:uid="{F485EFC2-82C6-4A6B-B0B7-9DDF9EFA7A9A}"/>
    <cellStyle name="20% - Accent2 3 2 3 2" xfId="4874" xr:uid="{36F3DE89-1406-4858-B65F-5C67A99819FD}"/>
    <cellStyle name="20% - Accent2 3 2 3_Working Capital Current" xfId="13259" xr:uid="{89F57EDA-F75A-4FF1-B3E4-B611616FC4A5}"/>
    <cellStyle name="20% - Accent2 3 2 4" xfId="4875" xr:uid="{F69F979E-74AD-4BED-882B-3B8CA42D2DC1}"/>
    <cellStyle name="20% - Accent2 3 2 5" xfId="4876" xr:uid="{B4FEF97C-72B4-4650-981C-5BC201D219AB}"/>
    <cellStyle name="20% - Accent2 3 2 6" xfId="17629" xr:uid="{BC088F48-73B0-48D8-95AC-6C91E0169C22}"/>
    <cellStyle name="20% - Accent2 3 2 7" xfId="18190" xr:uid="{F089E50F-E480-4116-9894-4773875B6991}"/>
    <cellStyle name="20% - Accent2 3 2 8" xfId="4867" xr:uid="{D8755E5A-F8EB-4A7E-ABEA-E9DCD4CD0077}"/>
    <cellStyle name="20% - Accent2 3 2_Not_for_upload_before_M4_correc" xfId="13260" xr:uid="{51B58476-B736-4848-AD41-01D7C2C70857}"/>
    <cellStyle name="20% - Accent2 3 3" xfId="4877" xr:uid="{85657528-DA25-4726-B594-3C4B3DDAA97C}"/>
    <cellStyle name="20% - Accent2 3 3 2" xfId="4878" xr:uid="{329E3BD5-BCE9-47FB-A10C-9F4E810FCFED}"/>
    <cellStyle name="20% - Accent2 3 3 2 2" xfId="4879" xr:uid="{DE34EB4B-FBC0-47F5-870E-0EDC16C2D602}"/>
    <cellStyle name="20% - Accent2 3 3 2 2 2" xfId="4880" xr:uid="{32957E6D-971F-417F-958C-B5BE30CE42A3}"/>
    <cellStyle name="20% - Accent2 3 3 2 2_Working Capital Current" xfId="13261" xr:uid="{28874B49-0727-41E9-9DC7-544246EE7E68}"/>
    <cellStyle name="20% - Accent2 3 3 2 3" xfId="4881" xr:uid="{3901C528-7491-48FB-BF04-D537BC9D08B1}"/>
    <cellStyle name="20% - Accent2 3 3 2 4" xfId="4882" xr:uid="{B65FEE6B-75E3-49EA-B6FC-B1C053F2F31F}"/>
    <cellStyle name="20% - Accent2 3 3 2_Working Capital Current" xfId="13262" xr:uid="{122CC2F1-1888-4BEA-814E-5E2953B23816}"/>
    <cellStyle name="20% - Accent2 3 3 3" xfId="4883" xr:uid="{AB076916-E4B0-4D76-8164-3259ABB02C5C}"/>
    <cellStyle name="20% - Accent2 3 3 3 2" xfId="4884" xr:uid="{6958A05C-7A38-42F1-893C-8F8CC6B1C33D}"/>
    <cellStyle name="20% - Accent2 3 3 3_Working Capital Current" xfId="13263" xr:uid="{2A7E5299-0A13-40A1-A9BB-A792B913632C}"/>
    <cellStyle name="20% - Accent2 3 3 4" xfId="4885" xr:uid="{796C6282-FB3B-4059-AD32-966E756A49E9}"/>
    <cellStyle name="20% - Accent2 3 3 5" xfId="4886" xr:uid="{A53F5FA4-84DB-4E3E-93AC-B66A8C4764D2}"/>
    <cellStyle name="20% - Accent2 3 3_Not_for_upload_before_M4_correc" xfId="13264" xr:uid="{E3B9230E-474F-47E8-A03A-891E4EB13815}"/>
    <cellStyle name="20% - Accent2 3 4" xfId="4887" xr:uid="{04412CE5-7CD0-4362-9873-A4FC2F2227B7}"/>
    <cellStyle name="20% - Accent2 3 4 2" xfId="4888" xr:uid="{95AD7C92-56B0-42AD-852A-D884B968C09C}"/>
    <cellStyle name="20% - Accent2 3 4 2 2" xfId="4889" xr:uid="{94D1D72E-8E5C-4922-ACC8-5B160FAA273C}"/>
    <cellStyle name="20% - Accent2 3 4 2 2 2" xfId="4890" xr:uid="{897405FA-0CC4-4AB0-892F-4471102115C1}"/>
    <cellStyle name="20% - Accent2 3 4 2 2_Working Capital Current" xfId="13265" xr:uid="{4549FCC6-49DD-45F2-BA13-84B9CA3829CC}"/>
    <cellStyle name="20% - Accent2 3 4 2 3" xfId="4891" xr:uid="{D865F951-68EB-4AFB-94A7-1A4EB1B4D667}"/>
    <cellStyle name="20% - Accent2 3 4 2 4" xfId="4892" xr:uid="{38C5211B-9AC4-4987-A095-ABB1A4DADB92}"/>
    <cellStyle name="20% - Accent2 3 4 2_Working Capital Current" xfId="13266" xr:uid="{C203281A-CB98-4F13-B821-FC157B890E0E}"/>
    <cellStyle name="20% - Accent2 3 4 3" xfId="4893" xr:uid="{0860F43E-6C9F-49D1-B75C-30993AC3C869}"/>
    <cellStyle name="20% - Accent2 3 4 3 2" xfId="4894" xr:uid="{C2708861-CBF6-4EE7-A643-DF529FE3AF39}"/>
    <cellStyle name="20% - Accent2 3 4 3_Working Capital Current" xfId="13267" xr:uid="{A7F0D69E-218B-48F0-BCE5-E520E32BA4B1}"/>
    <cellStyle name="20% - Accent2 3 4 4" xfId="4895" xr:uid="{1CD55011-BE5E-4456-9214-1F35A353BE44}"/>
    <cellStyle name="20% - Accent2 3 4 5" xfId="4896" xr:uid="{2BC42847-276A-4EF4-A38E-2A3A79A4F096}"/>
    <cellStyle name="20% - Accent2 3 4_Not_for_upload_before_M4_correc" xfId="13268" xr:uid="{E67891C0-3827-45C1-88B1-A03B37C76195}"/>
    <cellStyle name="20% - Accent2 3 5" xfId="4897" xr:uid="{7AEBC0C7-1B1D-48DC-BB5F-0DCF3CD2AAFA}"/>
    <cellStyle name="20% - Accent2 3 5 2" xfId="4898" xr:uid="{612047D0-111F-4D9E-8B65-CA3ACF604305}"/>
    <cellStyle name="20% - Accent2 3 5 2 2" xfId="4899" xr:uid="{7C689A77-0E89-442D-8AB0-57C1329B77F7}"/>
    <cellStyle name="20% - Accent2 3 5 2_Working Capital Current" xfId="13269" xr:uid="{5622B427-0CF9-4A92-93CD-F083C37C1C7D}"/>
    <cellStyle name="20% - Accent2 3 5 3" xfId="4900" xr:uid="{52E9D2AB-7D0A-4B30-A37A-1722E2AF2409}"/>
    <cellStyle name="20% - Accent2 3 5 4" xfId="4901" xr:uid="{08948DBF-1F3A-40EE-8E3B-0A8D44D79955}"/>
    <cellStyle name="20% - Accent2 3 5_Working Capital Current" xfId="13270" xr:uid="{B393D76B-7156-4484-B8E3-0E3A6DCBAEF4}"/>
    <cellStyle name="20% - Accent2 3 6" xfId="4902" xr:uid="{CFCD6E9D-A843-40FB-9BCD-A5E7E69AA6D7}"/>
    <cellStyle name="20% - Accent2 3 6 2" xfId="4903" xr:uid="{252D2E32-1ADD-46CF-9809-5E89FEBAFE77}"/>
    <cellStyle name="20% - Accent2 3 6_Working Capital Current" xfId="13271" xr:uid="{91B65436-756E-4EAF-B9AB-9F6D316FF835}"/>
    <cellStyle name="20% - Accent2 3 7" xfId="4904" xr:uid="{4DB29734-C8BA-40E7-A5B3-E856DDCB8E57}"/>
    <cellStyle name="20% - Accent2 3 8" xfId="4905" xr:uid="{8F960CEA-5185-400E-84D8-68D61A049B7A}"/>
    <cellStyle name="20% - Accent2 3 9" xfId="4866" xr:uid="{4ADDEF35-84F8-4A48-9026-F06EEDF974AA}"/>
    <cellStyle name="20% - Accent2 3_Not_for_upload_before_M4_correc" xfId="13272" xr:uid="{3876E8A3-9783-4B43-A38F-977CF8511EB5}"/>
    <cellStyle name="20% - Accent2 30" xfId="4906" xr:uid="{2E9121AA-E228-4F35-9A2B-08BBD34EC53E}"/>
    <cellStyle name="20% - Accent2 30 2" xfId="4907" xr:uid="{F35F4055-E1EB-423F-8C3B-71C073EEB85C}"/>
    <cellStyle name="20% - Accent2 30 2 2" xfId="4908" xr:uid="{DA7D3A4A-03FB-4D37-A4B2-0CED3A1465C2}"/>
    <cellStyle name="20% - Accent2 30 2_Working Capital Current" xfId="13273" xr:uid="{0D2ED339-7877-4BC8-A16B-13B8549BB842}"/>
    <cellStyle name="20% - Accent2 30 3" xfId="4909" xr:uid="{9FFBF75D-A612-4B1F-A761-3A08261EE67E}"/>
    <cellStyle name="20% - Accent2 30 4" xfId="4910" xr:uid="{31EA40B6-BE6D-4069-89DD-403EF3D06708}"/>
    <cellStyle name="20% - Accent2 30_Working Capital Current" xfId="13274" xr:uid="{3777129F-1ED4-45B1-A93D-380ABB9CE64D}"/>
    <cellStyle name="20% - Accent2 31" xfId="4911" xr:uid="{3BD9614E-45A4-43B2-8CF4-7001F2C2B063}"/>
    <cellStyle name="20% - Accent2 31 2" xfId="4912" xr:uid="{6B7A89E2-1684-47F6-8DE3-BFB1E3FF1747}"/>
    <cellStyle name="20% - Accent2 31 2 2" xfId="4913" xr:uid="{51E6D789-2865-4317-90DA-985B9C1F87B1}"/>
    <cellStyle name="20% - Accent2 31 2_Working Capital Current" xfId="13275" xr:uid="{DDFA9742-BCCE-4A34-A2AD-A0BBA7D945A9}"/>
    <cellStyle name="20% - Accent2 31 3" xfId="4914" xr:uid="{E9BB1CBC-A8B9-4E6F-8463-6FA367B84815}"/>
    <cellStyle name="20% - Accent2 31 4" xfId="4915" xr:uid="{BEA49FF8-1C10-45C8-9DDA-F8E32B8BDD14}"/>
    <cellStyle name="20% - Accent2 31_Working Capital Current" xfId="13276" xr:uid="{BC6527A1-E116-42C9-85CD-4E6D3F621660}"/>
    <cellStyle name="20% - Accent2 32" xfId="4916" xr:uid="{C0E7FCA4-E087-485C-B643-DE234A0D1345}"/>
    <cellStyle name="20% - Accent2 32 2" xfId="4917" xr:uid="{7763AF53-ED3E-459D-9460-CB80AC6A50BD}"/>
    <cellStyle name="20% - Accent2 32 2 2" xfId="4918" xr:uid="{3D3FD44A-BFC1-44DF-9F87-92F2876316CE}"/>
    <cellStyle name="20% - Accent2 32 2_Working Capital Current" xfId="13277" xr:uid="{5944CE7E-D659-4FEA-99E2-6AD1F727D4EC}"/>
    <cellStyle name="20% - Accent2 32 3" xfId="4919" xr:uid="{0802B42D-407A-4D8D-BB84-C53189922521}"/>
    <cellStyle name="20% - Accent2 32 4" xfId="4920" xr:uid="{8A19375A-41F8-43F1-B763-1C329FAEB700}"/>
    <cellStyle name="20% - Accent2 32_Working Capital Current" xfId="13278" xr:uid="{3C5E1833-4490-43B8-9033-CD76E6B35850}"/>
    <cellStyle name="20% - Accent2 33" xfId="4921" xr:uid="{680E015F-B032-4DB9-9627-8828968C4C1E}"/>
    <cellStyle name="20% - Accent2 33 2" xfId="4922" xr:uid="{D8143005-C931-47AE-B17E-E9BC483E7B02}"/>
    <cellStyle name="20% - Accent2 33 2 2" xfId="4923" xr:uid="{CC60E81F-90C2-44E7-A395-D4B4DBB994E1}"/>
    <cellStyle name="20% - Accent2 33 2_Working Capital Current" xfId="13279" xr:uid="{D91A55D9-16E9-4E10-BDA8-0C8BAD6C9E38}"/>
    <cellStyle name="20% - Accent2 33 3" xfId="4924" xr:uid="{1E9311EA-470E-4FF3-9FCD-8EBF7B6CCD09}"/>
    <cellStyle name="20% - Accent2 33 4" xfId="4925" xr:uid="{D2D9DA73-3049-48DB-9701-565432775B1F}"/>
    <cellStyle name="20% - Accent2 33_Working Capital Current" xfId="13280" xr:uid="{6C8575FF-F6BD-4902-B677-0E4110E30A38}"/>
    <cellStyle name="20% - Accent2 34" xfId="4926" xr:uid="{ECA48A29-0CE6-422D-B184-CC84549A7C14}"/>
    <cellStyle name="20% - Accent2 34 2" xfId="4927" xr:uid="{4A11BA66-E82F-467E-BF76-28B82D7C1E88}"/>
    <cellStyle name="20% - Accent2 34 2 2" xfId="4928" xr:uid="{0B935BA3-FD76-4448-9D2D-56467F1FBB44}"/>
    <cellStyle name="20% - Accent2 34 2_Working Capital Current" xfId="13281" xr:uid="{0E78ACEC-F579-4613-AC57-2518DA698C0B}"/>
    <cellStyle name="20% - Accent2 34 3" xfId="4929" xr:uid="{44FF6AA3-C3AC-4CE6-991E-17FBCB4098E3}"/>
    <cellStyle name="20% - Accent2 34 4" xfId="4930" xr:uid="{8A2EC1A4-F617-4464-9929-41D9A38CD858}"/>
    <cellStyle name="20% - Accent2 34_Working Capital Current" xfId="13282" xr:uid="{CC399653-72C3-41EA-833E-107BD2BAAE5F}"/>
    <cellStyle name="20% - Accent2 35" xfId="4931" xr:uid="{AF9F24A2-985A-4ECB-ACF8-F378001B96DC}"/>
    <cellStyle name="20% - Accent2 35 2" xfId="4932" xr:uid="{74C11A3C-C468-4E24-813A-4074A0DECCCE}"/>
    <cellStyle name="20% - Accent2 35 2 2" xfId="4933" xr:uid="{446E3B11-83E0-43FB-9ECB-9A6A4385298C}"/>
    <cellStyle name="20% - Accent2 35 2_Working Capital Current" xfId="13283" xr:uid="{20D71A1D-C263-4E48-8100-3E6D9F931029}"/>
    <cellStyle name="20% - Accent2 35 3" xfId="4934" xr:uid="{E0C80613-8717-4F14-A80B-AEBD9C5F7FCD}"/>
    <cellStyle name="20% - Accent2 35 4" xfId="4935" xr:uid="{917EB003-3425-460D-95AC-E7175CDCC04E}"/>
    <cellStyle name="20% - Accent2 35_Working Capital Current" xfId="13284" xr:uid="{1A1E54AE-10E5-4AA3-928A-A2829AC0BB4B}"/>
    <cellStyle name="20% - Accent2 36" xfId="4936" xr:uid="{706A5EE5-0F2D-44E6-A818-E246E7DF9937}"/>
    <cellStyle name="20% - Accent2 36 2" xfId="4937" xr:uid="{D057C7A8-153B-4FAA-93A9-0B831C6CAF20}"/>
    <cellStyle name="20% - Accent2 36 2 2" xfId="4938" xr:uid="{2823BEB8-C0CB-4746-A5E1-0AB211A5A266}"/>
    <cellStyle name="20% - Accent2 36 2_Working Capital Current" xfId="13285" xr:uid="{2DB22074-E516-4D57-A1B9-815673650655}"/>
    <cellStyle name="20% - Accent2 36 3" xfId="4939" xr:uid="{26D94F2F-3DA0-418E-851A-9D1DA88D2A51}"/>
    <cellStyle name="20% - Accent2 36 4" xfId="4940" xr:uid="{0CCDC625-9A00-4809-9274-980B519950D5}"/>
    <cellStyle name="20% - Accent2 36_Working Capital Current" xfId="13286" xr:uid="{6C269E38-0FE4-43A3-9293-FC24B3B51604}"/>
    <cellStyle name="20% - Accent2 37" xfId="4941" xr:uid="{B04B7829-F836-498C-945C-FDF1F421F38C}"/>
    <cellStyle name="20% - Accent2 37 2" xfId="4942" xr:uid="{A920CFF9-6597-48F6-AAD8-FC69909CF0E2}"/>
    <cellStyle name="20% - Accent2 37 2 2" xfId="4943" xr:uid="{C08D7975-4812-451B-A4F2-E40B1428B583}"/>
    <cellStyle name="20% - Accent2 37 2_Working Capital Current" xfId="13287" xr:uid="{DE093FC3-C730-44DE-9502-7FBDC6D0E17F}"/>
    <cellStyle name="20% - Accent2 37 3" xfId="4944" xr:uid="{5772CDAB-2EBC-414E-941D-F53F6756BD66}"/>
    <cellStyle name="20% - Accent2 37 4" xfId="4945" xr:uid="{2ABCADEF-C02F-4321-9F60-FA82E37A1B97}"/>
    <cellStyle name="20% - Accent2 37_Working Capital Current" xfId="13288" xr:uid="{6425066D-BF13-4121-AB5E-5D53ADA85436}"/>
    <cellStyle name="20% - Accent2 38" xfId="4946" xr:uid="{5B53AB7E-1233-42CC-B8D3-29A3984DEAC6}"/>
    <cellStyle name="20% - Accent2 38 2" xfId="4947" xr:uid="{A819DAA0-C4B6-4851-83B7-0C47A783A8EB}"/>
    <cellStyle name="20% - Accent2 38 2 2" xfId="4948" xr:uid="{F27FCCDA-50C6-40C9-BEA5-E79F7F0A46A3}"/>
    <cellStyle name="20% - Accent2 38 2_Working Capital Current" xfId="13289" xr:uid="{9CF5BBF0-7660-4133-821B-B30C00D71C7B}"/>
    <cellStyle name="20% - Accent2 38 3" xfId="4949" xr:uid="{4C75CCD2-512A-4166-8D23-778F71F741B4}"/>
    <cellStyle name="20% - Accent2 38 4" xfId="4950" xr:uid="{98DB1866-E3B1-461A-8C63-F5D4E443CB4E}"/>
    <cellStyle name="20% - Accent2 38_Working Capital Current" xfId="13290" xr:uid="{0911F5C7-FF9E-4E1F-BBC4-8350D9C78274}"/>
    <cellStyle name="20% - Accent2 39" xfId="4951" xr:uid="{F8FCA359-B8ED-4983-AC97-8FEC6C88186F}"/>
    <cellStyle name="20% - Accent2 39 2" xfId="4952" xr:uid="{33670448-B2AD-40F6-92D7-B48AA1E7873C}"/>
    <cellStyle name="20% - Accent2 39 2 2" xfId="4953" xr:uid="{E6B3F9E3-0468-471F-AA42-6446CCE2661A}"/>
    <cellStyle name="20% - Accent2 39 2_Working Capital Current" xfId="13291" xr:uid="{95097810-6F45-4ADC-AC18-3D2A9E872B02}"/>
    <cellStyle name="20% - Accent2 39 3" xfId="4954" xr:uid="{735F6A47-4E3B-4D20-9B62-EE0EE26A0A64}"/>
    <cellStyle name="20% - Accent2 39 4" xfId="4955" xr:uid="{A33604D5-8E9F-43C7-A6AF-D13B7DC086F2}"/>
    <cellStyle name="20% - Accent2 39_Working Capital Current" xfId="13292" xr:uid="{E3B683BC-E7DC-4351-992B-09E05A16C9CF}"/>
    <cellStyle name="20% - Accent2 4" xfId="1868" xr:uid="{33064A66-4908-4662-A640-FCD701DD94A8}"/>
    <cellStyle name="20% - Accent2 4 2" xfId="4957" xr:uid="{F5126F40-2936-4651-A832-E93DD01D2D1D}"/>
    <cellStyle name="20% - Accent2 4 2 2" xfId="4958" xr:uid="{B8681559-896B-4B8D-8BB6-C9F4655128F9}"/>
    <cellStyle name="20% - Accent2 4 2 2 2" xfId="4959" xr:uid="{7F4FF95A-EB03-49D4-9FCB-12C9BCEAD0AE}"/>
    <cellStyle name="20% - Accent2 4 2 2_Working Capital Current" xfId="13293" xr:uid="{38D0315F-985F-4BE7-9C53-0165162902D8}"/>
    <cellStyle name="20% - Accent2 4 2 3" xfId="4960" xr:uid="{C9213B70-4BB8-4CD3-88E6-70EE944E6139}"/>
    <cellStyle name="20% - Accent2 4 2 4" xfId="4961" xr:uid="{85274D14-5FD8-46F2-9EF5-7394619397D6}"/>
    <cellStyle name="20% - Accent2 4 2_Working Capital Current" xfId="13294" xr:uid="{92FE4E0E-5E66-49AC-B208-CBDD6A87CDA0}"/>
    <cellStyle name="20% - Accent2 4 3" xfId="4962" xr:uid="{454F6448-A08E-49E7-AC32-1F27AFC3598E}"/>
    <cellStyle name="20% - Accent2 4 3 2" xfId="4963" xr:uid="{AE326ADA-0289-4C4C-8BD9-2D9BEC1C13BD}"/>
    <cellStyle name="20% - Accent2 4 3_Working Capital Current" xfId="13295" xr:uid="{E7CE17B8-F6E0-45EB-971D-7A451EDA6603}"/>
    <cellStyle name="20% - Accent2 4 4" xfId="4964" xr:uid="{D93AB3A2-1F33-414C-99D4-6756859BE697}"/>
    <cellStyle name="20% - Accent2 4 5" xfId="4965" xr:uid="{AE56A130-9A7D-4AB4-9CA6-F600E138D432}"/>
    <cellStyle name="20% - Accent2 4 6" xfId="17606" xr:uid="{55D3B0EA-B308-4BC5-B4CA-054AB3F658FA}"/>
    <cellStyle name="20% - Accent2 4 7" xfId="18175" xr:uid="{CDCB69AF-16AA-4288-B2EC-4E22A13FF288}"/>
    <cellStyle name="20% - Accent2 4 8" xfId="4956" xr:uid="{7580A6B1-504D-4CE9-A2BA-138A86E0A17A}"/>
    <cellStyle name="20% - Accent2 4_Not_for_upload_before_M4_correc" xfId="13296" xr:uid="{96E47CE8-ABE0-45E4-9734-C7EBB87CBB77}"/>
    <cellStyle name="20% - Accent2 40" xfId="4966" xr:uid="{0768402C-BB61-4F9E-B851-3530082B7D34}"/>
    <cellStyle name="20% - Accent2 40 2" xfId="4967" xr:uid="{29421744-2F80-451C-A79F-638173FC5DD3}"/>
    <cellStyle name="20% - Accent2 40 2 2" xfId="4968" xr:uid="{2EDB34AE-112B-4837-9EED-40C18D679F0C}"/>
    <cellStyle name="20% - Accent2 40 2_Working Capital Current" xfId="13297" xr:uid="{79EF127C-758D-40CB-AAA4-F21E4DDF29F2}"/>
    <cellStyle name="20% - Accent2 40 3" xfId="4969" xr:uid="{DBFA9422-F699-41B4-A50C-278298CEE2F0}"/>
    <cellStyle name="20% - Accent2 40 4" xfId="4970" xr:uid="{51FB0F94-A5DF-4B24-AC1C-0EB65EA7C3CE}"/>
    <cellStyle name="20% - Accent2 40_Working Capital Current" xfId="13298" xr:uid="{E2AC6036-9BBF-46BE-830A-3C25BF17D961}"/>
    <cellStyle name="20% - Accent2 41" xfId="4971" xr:uid="{E4E39C8F-10A1-4389-ABC1-DD3C24818727}"/>
    <cellStyle name="20% - Accent2 41 2" xfId="4972" xr:uid="{093551D1-4100-41FC-A1D1-B75070D49B0D}"/>
    <cellStyle name="20% - Accent2 41 2 2" xfId="4973" xr:uid="{5F6207F8-B41D-4C88-922A-63F572256564}"/>
    <cellStyle name="20% - Accent2 41 2_Working Capital Current" xfId="13299" xr:uid="{813767DA-352F-4771-91E0-A75AB69E2110}"/>
    <cellStyle name="20% - Accent2 41 3" xfId="4974" xr:uid="{F56362AE-05E5-43DC-BC7E-680DFD376636}"/>
    <cellStyle name="20% - Accent2 41 4" xfId="4975" xr:uid="{99099D07-280C-44B4-B769-3B6B3E6A6553}"/>
    <cellStyle name="20% - Accent2 41_Working Capital Current" xfId="13300" xr:uid="{6340D3B9-4BC4-4D13-A5E9-C31EFEC78FC2}"/>
    <cellStyle name="20% - Accent2 42" xfId="4976" xr:uid="{4CD06B69-CFDD-49CC-9341-211F9C1290AC}"/>
    <cellStyle name="20% - Accent2 42 2" xfId="4977" xr:uid="{7328E4BA-E395-4952-A0E6-3EB86F622EEE}"/>
    <cellStyle name="20% - Accent2 42 2 2" xfId="4978" xr:uid="{449B933F-0335-4C73-8627-84E6868B0EC3}"/>
    <cellStyle name="20% - Accent2 42 2_Working Capital Current" xfId="13301" xr:uid="{662FCCB9-16DD-4B35-888A-062231A2F63F}"/>
    <cellStyle name="20% - Accent2 42 3" xfId="4979" xr:uid="{3B23B2B5-F413-40C0-974A-23F2ABDAE506}"/>
    <cellStyle name="20% - Accent2 42 4" xfId="4980" xr:uid="{D3190E1C-4A42-4312-9A47-B14958A94239}"/>
    <cellStyle name="20% - Accent2 42_Working Capital Current" xfId="13302" xr:uid="{4889E3B7-FA3B-4848-97DE-62A33081559C}"/>
    <cellStyle name="20% - Accent2 43" xfId="4981" xr:uid="{05D3F1AE-3117-45F8-8FFA-87F64A6ECFDB}"/>
    <cellStyle name="20% - Accent2 43 2" xfId="4982" xr:uid="{C55FC677-5092-41D1-8230-BBBB009987B4}"/>
    <cellStyle name="20% - Accent2 43 2 2" xfId="4983" xr:uid="{99B213B5-43A4-4B08-B88E-9F242E3E284D}"/>
    <cellStyle name="20% - Accent2 43 2_Working Capital Current" xfId="13303" xr:uid="{70B67A4C-ABDE-4ECA-A1C1-EBB78689B6F7}"/>
    <cellStyle name="20% - Accent2 43 3" xfId="4984" xr:uid="{27DD2155-5D3A-4DF1-8F3A-B1C5F6D2ED4B}"/>
    <cellStyle name="20% - Accent2 43 4" xfId="4985" xr:uid="{9746D806-623D-4570-8318-CAA2FF8CB2C2}"/>
    <cellStyle name="20% - Accent2 43_Working Capital Current" xfId="13304" xr:uid="{7BEE39F6-0D6E-4C54-968E-CE833109C2A3}"/>
    <cellStyle name="20% - Accent2 44" xfId="4986" xr:uid="{DE32BCE6-07AF-4BEA-9AF8-433D540A7196}"/>
    <cellStyle name="20% - Accent2 44 2" xfId="4987" xr:uid="{BC4AF8ED-A731-435E-BD8A-222B751F124B}"/>
    <cellStyle name="20% - Accent2 44 2 2" xfId="4988" xr:uid="{9CEEB8DF-F99A-46E7-9757-7AD65876F80E}"/>
    <cellStyle name="20% - Accent2 44 2_Working Capital Current" xfId="13305" xr:uid="{D534A8BC-B4E3-4F0B-95D7-58FE1731067F}"/>
    <cellStyle name="20% - Accent2 44 3" xfId="4989" xr:uid="{99EF7B38-0694-48FF-BEDC-962D0E4D7E70}"/>
    <cellStyle name="20% - Accent2 44 4" xfId="4990" xr:uid="{3F71DB89-8F34-4EFB-94DD-898461CFF7E6}"/>
    <cellStyle name="20% - Accent2 44_Working Capital Current" xfId="13306" xr:uid="{802116A2-AC75-4926-AB89-DA757048587C}"/>
    <cellStyle name="20% - Accent2 45" xfId="4991" xr:uid="{3575A8D9-9ECA-4E65-A4E3-42AE5F66EF5A}"/>
    <cellStyle name="20% - Accent2 45 2" xfId="4992" xr:uid="{5EC34312-1B1A-4495-8A51-59A9E53EE593}"/>
    <cellStyle name="20% - Accent2 45 2 2" xfId="4993" xr:uid="{993BBBD9-D11E-42D1-94A2-EBC9BDE408DC}"/>
    <cellStyle name="20% - Accent2 45 2_Working Capital Current" xfId="13307" xr:uid="{C7A667CB-EF7D-4552-AE14-1A6621B5F9CE}"/>
    <cellStyle name="20% - Accent2 45 3" xfId="4994" xr:uid="{40F317D4-F739-4EBE-80E5-87821E17243A}"/>
    <cellStyle name="20% - Accent2 45 4" xfId="4995" xr:uid="{51471721-022B-4136-BF02-B0B2BCA7164A}"/>
    <cellStyle name="20% - Accent2 45_Working Capital Current" xfId="13308" xr:uid="{AE2D16D4-1B81-4E8E-9ED1-1EDBA048CC9C}"/>
    <cellStyle name="20% - Accent2 46" xfId="4996" xr:uid="{2F14E7FE-6186-4D45-8D48-1C1E62F6CA6A}"/>
    <cellStyle name="20% - Accent2 46 2" xfId="4997" xr:uid="{DD50FF14-EF24-4B6C-A19B-E683E30D3130}"/>
    <cellStyle name="20% - Accent2 46 2 2" xfId="4998" xr:uid="{F9A26315-7A51-4BA0-90D6-E8FAD0CD0442}"/>
    <cellStyle name="20% - Accent2 46 2_Working Capital Current" xfId="13309" xr:uid="{1E26522A-1293-4ABD-A686-A262FB61E941}"/>
    <cellStyle name="20% - Accent2 46 3" xfId="4999" xr:uid="{40A9046D-C277-476A-AEB4-2EA00A37B7E9}"/>
    <cellStyle name="20% - Accent2 46 4" xfId="5000" xr:uid="{7443DFD2-C770-4F2D-9171-68D6390A7329}"/>
    <cellStyle name="20% - Accent2 46_Working Capital Current" xfId="13310" xr:uid="{BB4BB12E-2752-4B6A-8D82-998243259D4D}"/>
    <cellStyle name="20% - Accent2 47" xfId="5001" xr:uid="{C92FEBEC-8ACB-4A8A-9CEF-591FB55C0615}"/>
    <cellStyle name="20% - Accent2 47 2" xfId="5002" xr:uid="{4746CA6F-FFD7-41D2-917D-025EBD4DFFCB}"/>
    <cellStyle name="20% - Accent2 47 2 2" xfId="5003" xr:uid="{C1CAEDB4-42E1-4462-A1F6-5308964550BD}"/>
    <cellStyle name="20% - Accent2 47 2_Working Capital Current" xfId="13311" xr:uid="{005F3088-C171-4466-BA62-FE6F1BA3F765}"/>
    <cellStyle name="20% - Accent2 47 3" xfId="5004" xr:uid="{7162855F-9554-4A71-BF79-BE68E7DD5CD7}"/>
    <cellStyle name="20% - Accent2 47 4" xfId="5005" xr:uid="{781683DB-1CDB-4895-8CC9-213D64D14623}"/>
    <cellStyle name="20% - Accent2 47_Working Capital Current" xfId="13312" xr:uid="{77AA1FA9-D6AF-417B-AFE1-78B167CF2346}"/>
    <cellStyle name="20% - Accent2 48" xfId="5006" xr:uid="{A8A18542-E719-4883-9BB9-60CDF6793E21}"/>
    <cellStyle name="20% - Accent2 48 2" xfId="5007" xr:uid="{ED50A767-3AB0-475D-9893-ECDF5D8338FF}"/>
    <cellStyle name="20% - Accent2 48 2 2" xfId="5008" xr:uid="{1BE5B349-562B-4DAD-9FBF-E93BDA94A3A7}"/>
    <cellStyle name="20% - Accent2 48 2_Working Capital Current" xfId="13313" xr:uid="{F6494AE2-3606-41F1-8709-4487FBE012C4}"/>
    <cellStyle name="20% - Accent2 48 3" xfId="5009" xr:uid="{44123EAE-7D1C-4388-A150-94D6C02F9E3F}"/>
    <cellStyle name="20% - Accent2 48 4" xfId="5010" xr:uid="{46EBC8DC-9318-4CA7-8044-B5B90C40BFE1}"/>
    <cellStyle name="20% - Accent2 48_Working Capital Current" xfId="13314" xr:uid="{64AC8F55-AFB2-446D-A889-7E1F0CD3907A}"/>
    <cellStyle name="20% - Accent2 49" xfId="5011" xr:uid="{8E28F0D0-C617-4F44-8E4C-21F46AE19D4A}"/>
    <cellStyle name="20% - Accent2 49 2" xfId="5012" xr:uid="{A30CA70D-6879-4746-BE1C-A39F7D7AF15A}"/>
    <cellStyle name="20% - Accent2 49 2 2" xfId="5013" xr:uid="{9171EE5D-8C88-4A12-8AFC-ECE393A4FCAB}"/>
    <cellStyle name="20% - Accent2 49 2_Working Capital Current" xfId="13315" xr:uid="{F8F4801A-140E-4CBE-A512-FE54C307D4DA}"/>
    <cellStyle name="20% - Accent2 49 3" xfId="5014" xr:uid="{B4EFA1A5-2F8A-428C-B3FD-AD6E3DB18556}"/>
    <cellStyle name="20% - Accent2 49 4" xfId="5015" xr:uid="{4442A92C-6721-46CC-93AC-34C2DB37362E}"/>
    <cellStyle name="20% - Accent2 49_Working Capital Current" xfId="13316" xr:uid="{D3DF3ACD-FDF6-431D-B854-0C6AE8FE13BD}"/>
    <cellStyle name="20% - Accent2 5" xfId="5016" xr:uid="{2215B59A-7FF0-42FF-89D7-FAF1A500E0D2}"/>
    <cellStyle name="20% - Accent2 5 2" xfId="5017" xr:uid="{E9E4E7A4-E609-4809-AAF3-203C2DB8D02F}"/>
    <cellStyle name="20% - Accent2 5 2 2" xfId="5018" xr:uid="{F132BFBE-CE5F-4E86-B9A2-C668F007CBEA}"/>
    <cellStyle name="20% - Accent2 5 2 2 2" xfId="5019" xr:uid="{5FC721FE-B2DE-4793-9E70-6C985C98A4BA}"/>
    <cellStyle name="20% - Accent2 5 2 2_Working Capital Current" xfId="13317" xr:uid="{680786CE-888A-42BA-A1EC-A3260873FDC5}"/>
    <cellStyle name="20% - Accent2 5 2 3" xfId="5020" xr:uid="{8F31B8BB-1063-4716-9222-E830A69625E5}"/>
    <cellStyle name="20% - Accent2 5 2 4" xfId="5021" xr:uid="{232C013E-1CEA-46FB-9317-B3CFE5FEA5A2}"/>
    <cellStyle name="20% - Accent2 5 2_Working Capital Current" xfId="13318" xr:uid="{489246FB-1813-490A-B95A-6D1D0974276E}"/>
    <cellStyle name="20% - Accent2 5 3" xfId="5022" xr:uid="{5B800A31-F07A-4F06-B729-1800C595EC6C}"/>
    <cellStyle name="20% - Accent2 5 3 2" xfId="5023" xr:uid="{FF583D7A-DCA2-4F58-947C-21326FDB8073}"/>
    <cellStyle name="20% - Accent2 5 3_Working Capital Current" xfId="13319" xr:uid="{DAA1EAAB-1676-4B56-B16A-537760A3B5E0}"/>
    <cellStyle name="20% - Accent2 5 4" xfId="5024" xr:uid="{B6FFA1C0-E6FC-4D03-824F-BAD0A3BA2063}"/>
    <cellStyle name="20% - Accent2 5 5" xfId="5025" xr:uid="{99CFF830-6407-42B4-8B21-7A8E6997F9A8}"/>
    <cellStyle name="20% - Accent2 5_Not_for_upload_before_M4_correc" xfId="13320" xr:uid="{F1F9DCEA-53B7-45BF-BCE2-0AA12E6E4277}"/>
    <cellStyle name="20% - Accent2 50" xfId="5026" xr:uid="{C0FB818D-5A4D-42F4-BCE2-67599451D9C5}"/>
    <cellStyle name="20% - Accent2 50 2" xfId="5027" xr:uid="{6E76BFDF-306B-4864-9223-9AC3C95AEBB5}"/>
    <cellStyle name="20% - Accent2 50 2 2" xfId="5028" xr:uid="{ECD8447A-F426-4DA8-8FCA-929BE4AFAC58}"/>
    <cellStyle name="20% - Accent2 50 2_Working Capital Current" xfId="13321" xr:uid="{174DFBCC-6859-4F0D-9AE6-965D1EBBAC26}"/>
    <cellStyle name="20% - Accent2 50 3" xfId="5029" xr:uid="{A1FFB982-CFF9-49E8-97F6-F95DB1469167}"/>
    <cellStyle name="20% - Accent2 50 4" xfId="5030" xr:uid="{D282EA11-CBD3-4A7C-B283-5EBE96FBFB1D}"/>
    <cellStyle name="20% - Accent2 50_Working Capital Current" xfId="13322" xr:uid="{378F882A-57A3-4689-9023-024B63ABE66F}"/>
    <cellStyle name="20% - Accent2 51" xfId="5031" xr:uid="{E0112128-CCB5-4040-AC00-E1D006E3C4B0}"/>
    <cellStyle name="20% - Accent2 51 2" xfId="5032" xr:uid="{7E965AC0-6187-45EE-BDB4-BA26533BCCEC}"/>
    <cellStyle name="20% - Accent2 51 2 2" xfId="5033" xr:uid="{D759DDDB-344B-4BF8-9E8E-E539BE97C107}"/>
    <cellStyle name="20% - Accent2 51 2_Working Capital Current" xfId="13323" xr:uid="{227A3041-8786-4FCC-896B-3F94C9D1A88A}"/>
    <cellStyle name="20% - Accent2 51 3" xfId="5034" xr:uid="{198B9050-3492-47D9-B7E3-1CDDA8507A4D}"/>
    <cellStyle name="20% - Accent2 51 4" xfId="5035" xr:uid="{47100B97-0A32-4031-A470-089625A793C3}"/>
    <cellStyle name="20% - Accent2 51_Working Capital Current" xfId="13324" xr:uid="{52882735-1E9D-40F5-802F-FADD70FA3098}"/>
    <cellStyle name="20% - Accent2 52" xfId="5036" xr:uid="{ABB724F8-03BF-4838-9C4D-D9BA8859EDDD}"/>
    <cellStyle name="20% - Accent2 52 2" xfId="5037" xr:uid="{4B7922CC-6E63-4392-A1B6-2830FAA66218}"/>
    <cellStyle name="20% - Accent2 52 2 2" xfId="5038" xr:uid="{1CC6DA46-0FA9-42B5-B3C1-C1ECE0AFABD5}"/>
    <cellStyle name="20% - Accent2 52 2_Working Capital Current" xfId="13325" xr:uid="{65DF90D5-E6A7-4C5D-A5E7-A85376A173F8}"/>
    <cellStyle name="20% - Accent2 52 3" xfId="5039" xr:uid="{1BE83EF1-700C-41E2-BBF1-2BA7AD72E909}"/>
    <cellStyle name="20% - Accent2 52 4" xfId="5040" xr:uid="{5C276735-A4DD-42C0-8B64-7CCBC4C378F5}"/>
    <cellStyle name="20% - Accent2 52_Working Capital Current" xfId="13326" xr:uid="{E7D02668-0CCB-4676-B26A-573270962AF7}"/>
    <cellStyle name="20% - Accent2 53" xfId="5041" xr:uid="{220B4609-EFEA-4229-BA7F-8FBAEA5EDE51}"/>
    <cellStyle name="20% - Accent2 53 2" xfId="5042" xr:uid="{28FB4DEE-6D5A-4C86-BF65-F17CEC37A8F3}"/>
    <cellStyle name="20% - Accent2 53 2 2" xfId="5043" xr:uid="{387FB358-BC24-4A0E-AF18-F0944E928EDD}"/>
    <cellStyle name="20% - Accent2 53 2_Working Capital Current" xfId="13327" xr:uid="{CAE0A20E-063A-40ED-9817-E431DB655FA2}"/>
    <cellStyle name="20% - Accent2 53 3" xfId="5044" xr:uid="{AB6068A5-18E6-41AC-B309-48FB21487247}"/>
    <cellStyle name="20% - Accent2 53 4" xfId="5045" xr:uid="{F7D76B41-97EE-4303-ADC1-BEEBE5DA0FF4}"/>
    <cellStyle name="20% - Accent2 53_Working Capital Current" xfId="13328" xr:uid="{9161D64D-02F7-41DF-8956-96627E6D112E}"/>
    <cellStyle name="20% - Accent2 54" xfId="5046" xr:uid="{1E58768D-7196-40C4-9543-1D03577C8B5A}"/>
    <cellStyle name="20% - Accent2 54 2" xfId="5047" xr:uid="{268BCD28-A336-4703-8E64-FCEBB682D4B8}"/>
    <cellStyle name="20% - Accent2 54 2 2" xfId="5048" xr:uid="{D079950D-14B6-401F-840F-DFC9110B9DB9}"/>
    <cellStyle name="20% - Accent2 54 2_Working Capital Current" xfId="13329" xr:uid="{13685CE4-2EC9-4A3F-91BB-CB808F30C992}"/>
    <cellStyle name="20% - Accent2 54 3" xfId="5049" xr:uid="{2D4B563D-1D5E-467F-8BA1-CEA84517CEB9}"/>
    <cellStyle name="20% - Accent2 54 4" xfId="5050" xr:uid="{BC716B0B-9C3A-4CB1-83B4-B68DD360DA0A}"/>
    <cellStyle name="20% - Accent2 54_Working Capital Current" xfId="13330" xr:uid="{1108A0DA-7B48-4143-B35B-6EF990A6DAF8}"/>
    <cellStyle name="20% - Accent2 55" xfId="5051" xr:uid="{874C8E75-EE73-4803-8C7F-D8EBD80E1228}"/>
    <cellStyle name="20% - Accent2 55 2" xfId="5052" xr:uid="{FF0AB95C-9D76-4548-80A9-1CA0C06F652E}"/>
    <cellStyle name="20% - Accent2 55 2 2" xfId="5053" xr:uid="{3EC459BB-3ECD-480F-AC49-CE207EC842ED}"/>
    <cellStyle name="20% - Accent2 55 2_Working Capital Current" xfId="13331" xr:uid="{E4F2B7F6-01D1-421A-8DA8-132F7FC50EDA}"/>
    <cellStyle name="20% - Accent2 55 3" xfId="5054" xr:uid="{11A0B0F2-79A2-4061-8DB7-20BF7A1929CC}"/>
    <cellStyle name="20% - Accent2 55 4" xfId="5055" xr:uid="{51D6592F-4DF2-46B8-ADFB-0C72CB9C92A1}"/>
    <cellStyle name="20% - Accent2 55_Working Capital Current" xfId="13332" xr:uid="{FCAE0942-26E2-45C5-ADFB-D976F5A6DC5D}"/>
    <cellStyle name="20% - Accent2 56" xfId="5056" xr:uid="{4D19F615-B4B8-43B6-8FA3-66E3F3EF1EC1}"/>
    <cellStyle name="20% - Accent2 56 2" xfId="5057" xr:uid="{6110D6E1-0372-4044-8389-06B59D6D9724}"/>
    <cellStyle name="20% - Accent2 56 2 2" xfId="5058" xr:uid="{35EC5B92-B9C5-4109-A0DB-8658E9578BE5}"/>
    <cellStyle name="20% - Accent2 56 2_Working Capital Current" xfId="13333" xr:uid="{D2E1D92F-FDB2-4004-BC5F-DAEBEF065FEA}"/>
    <cellStyle name="20% - Accent2 56 3" xfId="5059" xr:uid="{DEC72D0C-B467-446E-AC2F-A27D5BEF3596}"/>
    <cellStyle name="20% - Accent2 56 4" xfId="5060" xr:uid="{93ABCBAC-0811-4B31-8F80-2F9B8A073037}"/>
    <cellStyle name="20% - Accent2 56_Working Capital Current" xfId="13334" xr:uid="{7A4C5397-89F4-4BB8-AB97-9E578E72F1F3}"/>
    <cellStyle name="20% - Accent2 57" xfId="5061" xr:uid="{F675F3AA-7E00-440A-A69B-F9E615DC9C5A}"/>
    <cellStyle name="20% - Accent2 57 2" xfId="5062" xr:uid="{B548397B-7523-4C21-8F88-F2342ED0919C}"/>
    <cellStyle name="20% - Accent2 57 2 2" xfId="5063" xr:uid="{7CC1EF8C-B83B-4907-8299-B2738B8AD8BD}"/>
    <cellStyle name="20% - Accent2 57 2_Working Capital Current" xfId="13335" xr:uid="{4559C915-D8FC-4DA0-8B6E-920F5721B6A9}"/>
    <cellStyle name="20% - Accent2 57 3" xfId="5064" xr:uid="{F8FD7628-72AE-409E-8E59-CF44E860FAE6}"/>
    <cellStyle name="20% - Accent2 57 4" xfId="5065" xr:uid="{5E1E58EA-6060-49A0-9165-0BC5AA09D7C8}"/>
    <cellStyle name="20% - Accent2 57_Working Capital Current" xfId="13336" xr:uid="{71D46673-5BE7-4BB6-91F9-28612D0627CF}"/>
    <cellStyle name="20% - Accent2 58" xfId="5066" xr:uid="{526F3457-C374-48F7-B6E5-C867265BD98C}"/>
    <cellStyle name="20% - Accent2 58 2" xfId="5067" xr:uid="{709D0075-BFD1-444B-B5DD-B1E62CB126F4}"/>
    <cellStyle name="20% - Accent2 58 2 2" xfId="5068" xr:uid="{7F80E8C3-7296-40D7-B4AA-63814EE1AE46}"/>
    <cellStyle name="20% - Accent2 58 2_Working Capital Current" xfId="13337" xr:uid="{41DCC7D4-7628-4E41-B651-FE123EEC6AA9}"/>
    <cellStyle name="20% - Accent2 58 3" xfId="5069" xr:uid="{DDCDC6A0-4DD8-4500-913A-1597732361AE}"/>
    <cellStyle name="20% - Accent2 58 4" xfId="5070" xr:uid="{D22E2BC2-1114-457B-9DCA-E9A092C2CC62}"/>
    <cellStyle name="20% - Accent2 58_Working Capital Current" xfId="13338" xr:uid="{E7E8DCF3-1DA1-42D8-B476-9DA8D4968072}"/>
    <cellStyle name="20% - Accent2 59" xfId="5071" xr:uid="{A35586AF-4526-47A8-87F1-B3FDD48FC8AC}"/>
    <cellStyle name="20% - Accent2 59 2" xfId="5072" xr:uid="{EE116D0D-CD60-406C-91E8-AAB57342D4C0}"/>
    <cellStyle name="20% - Accent2 59 2 2" xfId="5073" xr:uid="{C08E7DAD-26E1-4C76-9095-37DFC970C858}"/>
    <cellStyle name="20% - Accent2 59 2_Working Capital Current" xfId="13339" xr:uid="{A9FE2D62-A63D-48B3-82E7-266233D62C80}"/>
    <cellStyle name="20% - Accent2 59 3" xfId="5074" xr:uid="{B169E5FD-17D0-41E8-82FF-E9E142A526DE}"/>
    <cellStyle name="20% - Accent2 59 4" xfId="5075" xr:uid="{4E32940D-7F41-4C3C-B871-2B3629C03EF4}"/>
    <cellStyle name="20% - Accent2 59_Working Capital Current" xfId="13340" xr:uid="{11DE677C-D370-4809-9040-E31A4F557DD8}"/>
    <cellStyle name="20% - Accent2 6" xfId="5076" xr:uid="{815D9E9E-B6B2-423B-A9F8-25A8CD2D07AA}"/>
    <cellStyle name="20% - Accent2 6 2" xfId="5077" xr:uid="{6FEF2BE5-F283-41A4-9F80-A2DF86B29344}"/>
    <cellStyle name="20% - Accent2 6 2 2" xfId="5078" xr:uid="{42F1B57E-C544-44E1-A68B-B0ACC7B6C822}"/>
    <cellStyle name="20% - Accent2 6 2 2 2" xfId="5079" xr:uid="{A757D173-DEFB-40C2-A6FF-926265F6559B}"/>
    <cellStyle name="20% - Accent2 6 2 2_Working Capital Current" xfId="13341" xr:uid="{28431DE3-D7A7-4323-9FE4-299826B0754B}"/>
    <cellStyle name="20% - Accent2 6 2 3" xfId="5080" xr:uid="{C9D94D79-802E-4199-96CA-4CB9698DB86B}"/>
    <cellStyle name="20% - Accent2 6 2 4" xfId="5081" xr:uid="{EA03246B-81FB-49AB-88C9-39268EABB083}"/>
    <cellStyle name="20% - Accent2 6 2_Working Capital Current" xfId="13342" xr:uid="{47D2E0BE-D492-456B-9E25-BBBC27D05197}"/>
    <cellStyle name="20% - Accent2 6 3" xfId="5082" xr:uid="{FFE0928C-D357-4D73-B0F2-E6EC568E31B8}"/>
    <cellStyle name="20% - Accent2 6 3 2" xfId="5083" xr:uid="{232A3969-F54C-401A-8651-B2C2729385FB}"/>
    <cellStyle name="20% - Accent2 6 3_Working Capital Current" xfId="13343" xr:uid="{E0655C59-4BAF-4F3E-AC72-6735E60FBEEC}"/>
    <cellStyle name="20% - Accent2 6 4" xfId="5084" xr:uid="{486849DD-4007-403C-82F9-1572BDE82155}"/>
    <cellStyle name="20% - Accent2 6 5" xfId="5085" xr:uid="{0077C172-BE7C-4FBC-8F24-E39981377395}"/>
    <cellStyle name="20% - Accent2 6_Not_for_upload_before_M4_correc" xfId="13344" xr:uid="{4BD2D169-A899-47DE-BAE4-9700FEDD86AC}"/>
    <cellStyle name="20% - Accent2 60" xfId="5086" xr:uid="{219AAC2F-4049-4A3F-B317-FAEF486BD821}"/>
    <cellStyle name="20% - Accent2 60 2" xfId="5087" xr:uid="{C64F52BF-5A88-487E-BDA9-A623C2F25460}"/>
    <cellStyle name="20% - Accent2 60 2 2" xfId="5088" xr:uid="{D934782F-6B65-42AE-9361-A81A3C6A5896}"/>
    <cellStyle name="20% - Accent2 60 2_Working Capital Current" xfId="13345" xr:uid="{6C316CF7-2B11-40A6-A6C6-073258447811}"/>
    <cellStyle name="20% - Accent2 60 3" xfId="5089" xr:uid="{F2890373-CC0E-4283-93C7-D73747C41C09}"/>
    <cellStyle name="20% - Accent2 60 4" xfId="5090" xr:uid="{E22F837F-CF28-4DBA-896A-4AA254AF5064}"/>
    <cellStyle name="20% - Accent2 60_Working Capital Current" xfId="13346" xr:uid="{E749A1BE-038A-4564-B32F-861235DCD446}"/>
    <cellStyle name="20% - Accent2 61" xfId="5091" xr:uid="{F5F82366-085C-4788-8261-AEDF8F4BA42F}"/>
    <cellStyle name="20% - Accent2 61 2" xfId="5092" xr:uid="{CA41DC7E-7267-4EC8-99F9-0C67A191DAF3}"/>
    <cellStyle name="20% - Accent2 61 2 2" xfId="5093" xr:uid="{D78B4FF4-1355-4C69-AC3B-53C21F58DD59}"/>
    <cellStyle name="20% - Accent2 61 2_Working Capital Current" xfId="13347" xr:uid="{A1ECA72A-6EA4-4479-80DD-BE449F8712EA}"/>
    <cellStyle name="20% - Accent2 61 3" xfId="5094" xr:uid="{2CA3DC26-7812-4B3B-BC8F-D48982CC7FDD}"/>
    <cellStyle name="20% - Accent2 61 4" xfId="5095" xr:uid="{075C184C-9887-4F67-8E3D-A7E386F8029D}"/>
    <cellStyle name="20% - Accent2 61_Working Capital Current" xfId="13348" xr:uid="{37267DA2-10C1-4515-AFAD-EB12A80B2B71}"/>
    <cellStyle name="20% - Accent2 62" xfId="5096" xr:uid="{77442D40-1AAB-4BD4-8772-89BBB89831D5}"/>
    <cellStyle name="20% - Accent2 62 2" xfId="5097" xr:uid="{0524AE84-4815-4576-A1D0-56C03AFA5132}"/>
    <cellStyle name="20% - Accent2 62 2 2" xfId="5098" xr:uid="{75D3AAA3-0AF5-438B-B270-14F5A411108D}"/>
    <cellStyle name="20% - Accent2 62 2_Working Capital Current" xfId="13349" xr:uid="{9FA506A8-A769-42F0-8E70-1E004A17F325}"/>
    <cellStyle name="20% - Accent2 62 3" xfId="5099" xr:uid="{FC853950-6C16-497A-9661-5A69C0132D86}"/>
    <cellStyle name="20% - Accent2 62 4" xfId="5100" xr:uid="{AF561ACE-ACAD-4A3C-A510-DCC2829C1109}"/>
    <cellStyle name="20% - Accent2 62_Working Capital Current" xfId="13350" xr:uid="{13D6ED2D-9874-4C81-9277-06E36604ECE6}"/>
    <cellStyle name="20% - Accent2 63" xfId="5101" xr:uid="{126A42D4-CA88-472B-B58F-74608BA534CE}"/>
    <cellStyle name="20% - Accent2 63 2" xfId="5102" xr:uid="{9E89CC4D-1114-4467-96F5-2B6756A45BDB}"/>
    <cellStyle name="20% - Accent2 63 2 2" xfId="5103" xr:uid="{4790D5FA-4837-421E-8857-1D8E03CD49D4}"/>
    <cellStyle name="20% - Accent2 63 2_Working Capital Current" xfId="13351" xr:uid="{84223A1C-6EA6-4ADB-A482-F37130CFB3AD}"/>
    <cellStyle name="20% - Accent2 63 3" xfId="5104" xr:uid="{CA182ED0-B1AD-4642-AD22-7B2904717A86}"/>
    <cellStyle name="20% - Accent2 63 4" xfId="5105" xr:uid="{414DB85A-8659-4C70-B7BF-EF9F3E65C943}"/>
    <cellStyle name="20% - Accent2 63_Working Capital Current" xfId="13352" xr:uid="{2D9A6323-BEDC-4CEE-AD22-1A0DEB94D4D0}"/>
    <cellStyle name="20% - Accent2 64" xfId="5106" xr:uid="{FEE37B42-0918-4453-813F-8F2E0D621695}"/>
    <cellStyle name="20% - Accent2 64 2" xfId="5107" xr:uid="{1D9B7C94-626F-4501-B35B-99455F10B620}"/>
    <cellStyle name="20% - Accent2 64 2 2" xfId="5108" xr:uid="{99ECB92E-36F5-40C2-9938-9B647E0396C5}"/>
    <cellStyle name="20% - Accent2 64 2_Working Capital Current" xfId="13353" xr:uid="{B307C0C5-C472-4520-AA64-C8248E45C31D}"/>
    <cellStyle name="20% - Accent2 64 3" xfId="5109" xr:uid="{7C1A7E54-3D06-48CF-BBE0-B23760F37F05}"/>
    <cellStyle name="20% - Accent2 64 4" xfId="5110" xr:uid="{4A936DAB-52A8-44C6-B45A-4A6A94F1A6A8}"/>
    <cellStyle name="20% - Accent2 64_Working Capital Current" xfId="13354" xr:uid="{DC035857-6C28-4864-A66E-0A2E3878224F}"/>
    <cellStyle name="20% - Accent2 65" xfId="5111" xr:uid="{270AF98D-57BD-4810-B49D-1A2EFED1161F}"/>
    <cellStyle name="20% - Accent2 65 2" xfId="5112" xr:uid="{9C072748-EE4E-4282-B628-BFE759FAA58B}"/>
    <cellStyle name="20% - Accent2 65 2 2" xfId="5113" xr:uid="{8FC2E580-E19B-498D-AEA3-02BDB02FA8CD}"/>
    <cellStyle name="20% - Accent2 65 2_Working Capital Current" xfId="13355" xr:uid="{B4D077A4-C068-4BEE-9C2B-0AA093A51ACF}"/>
    <cellStyle name="20% - Accent2 65 3" xfId="5114" xr:uid="{4AD0EFB2-61A7-4C50-9902-00DE896B916B}"/>
    <cellStyle name="20% - Accent2 65 4" xfId="5115" xr:uid="{3C08CCAE-EB93-4599-BAC7-29C477BACAD2}"/>
    <cellStyle name="20% - Accent2 65_Working Capital Current" xfId="13356" xr:uid="{0668FA24-B3BF-4AE6-B363-0BE9DEA54612}"/>
    <cellStyle name="20% - Accent2 66" xfId="5116" xr:uid="{EF199118-6AC3-41B1-BE64-3296EFA4CBA8}"/>
    <cellStyle name="20% - Accent2 66 2" xfId="5117" xr:uid="{8760FF7A-CC22-4BDA-A70C-9306DFA539E4}"/>
    <cellStyle name="20% - Accent2 66 2 2" xfId="5118" xr:uid="{033C41BC-54F9-467C-BC91-6330AA218176}"/>
    <cellStyle name="20% - Accent2 66 2_Working Capital Current" xfId="13357" xr:uid="{00E5BD13-C832-4E8A-B76F-616BB661C2BB}"/>
    <cellStyle name="20% - Accent2 66 3" xfId="5119" xr:uid="{0345983F-C372-48EB-8C42-934CFF29A80C}"/>
    <cellStyle name="20% - Accent2 66 4" xfId="5120" xr:uid="{FF7EAE37-7F22-4B38-BF05-6310A5656808}"/>
    <cellStyle name="20% - Accent2 66_Working Capital Current" xfId="13358" xr:uid="{9F9CF0E8-6538-4F77-BD93-BBBEFBB36001}"/>
    <cellStyle name="20% - Accent2 67" xfId="5121" xr:uid="{951676EB-41C7-44DE-B200-6D13178A11AC}"/>
    <cellStyle name="20% - Accent2 67 2" xfId="5122" xr:uid="{933EE928-AC4F-43D2-990C-99521A8E4E44}"/>
    <cellStyle name="20% - Accent2 67 2 2" xfId="5123" xr:uid="{C036D334-B7A7-450C-86F8-4898F19B17A4}"/>
    <cellStyle name="20% - Accent2 67 2_Working Capital Current" xfId="13359" xr:uid="{6F715D05-AD74-4EE1-8FA5-EC17CFE13240}"/>
    <cellStyle name="20% - Accent2 67 3" xfId="5124" xr:uid="{C819D6A2-07E8-4534-905A-777719EF7F02}"/>
    <cellStyle name="20% - Accent2 67 4" xfId="5125" xr:uid="{668FC027-1935-4B92-B88D-381997CF82E8}"/>
    <cellStyle name="20% - Accent2 67_Working Capital Current" xfId="13360" xr:uid="{D614510C-D600-432A-8B49-2B6B0FE97E07}"/>
    <cellStyle name="20% - Accent2 68" xfId="5126" xr:uid="{E86119B2-CA0B-4A2C-8807-FFF0A5A5C1FD}"/>
    <cellStyle name="20% - Accent2 68 2" xfId="5127" xr:uid="{4592B0FB-FF0A-47EC-AA68-7787FB228757}"/>
    <cellStyle name="20% - Accent2 68 2 2" xfId="5128" xr:uid="{B65819A4-3558-4649-A604-898C506C64DA}"/>
    <cellStyle name="20% - Accent2 68 2_Working Capital Current" xfId="13361" xr:uid="{35E6E969-C304-44A5-AB46-D82C4A6E8441}"/>
    <cellStyle name="20% - Accent2 68 3" xfId="5129" xr:uid="{F398FD63-E5E2-4A89-A312-5935782F9DB0}"/>
    <cellStyle name="20% - Accent2 68 4" xfId="5130" xr:uid="{DFA813C7-0F0B-45A3-95E9-482D2CEA4EA6}"/>
    <cellStyle name="20% - Accent2 68_Working Capital Current" xfId="13362" xr:uid="{F500D07C-978C-41C1-8C98-34AA04D22C1B}"/>
    <cellStyle name="20% - Accent2 69" xfId="5131" xr:uid="{AD403D61-9D38-4874-8F01-E76AF0BE190B}"/>
    <cellStyle name="20% - Accent2 69 2" xfId="5132" xr:uid="{1A14903B-0E2E-4128-B752-6352678B82ED}"/>
    <cellStyle name="20% - Accent2 69 2 2" xfId="5133" xr:uid="{DF08089F-8932-4418-8CDF-8AC8CDD6971C}"/>
    <cellStyle name="20% - Accent2 69 2_Working Capital Current" xfId="13363" xr:uid="{5BEB7F35-A662-4E0B-ADBF-6631EBE2492E}"/>
    <cellStyle name="20% - Accent2 69 3" xfId="5134" xr:uid="{078C9A38-6ADF-42E5-B4C3-9BA5813B6BAB}"/>
    <cellStyle name="20% - Accent2 69 4" xfId="5135" xr:uid="{82DA98A8-C71A-4819-BF05-17438348C157}"/>
    <cellStyle name="20% - Accent2 69_Working Capital Current" xfId="13364" xr:uid="{EBB58EE8-123F-44B4-B535-FB55602E386C}"/>
    <cellStyle name="20% - Accent2 7" xfId="5136" xr:uid="{CE835249-CBC8-467F-9984-F06990B12583}"/>
    <cellStyle name="20% - Accent2 7 2" xfId="5137" xr:uid="{D68FDF37-453D-441F-835B-30B7B5847419}"/>
    <cellStyle name="20% - Accent2 7 2 2" xfId="5138" xr:uid="{322DE7FE-81BE-4A11-865F-C837BE30DAD3}"/>
    <cellStyle name="20% - Accent2 7 2 2 2" xfId="5139" xr:uid="{758AAF74-A45A-427F-9F83-0AB4EA7304A6}"/>
    <cellStyle name="20% - Accent2 7 2 2_Working Capital Current" xfId="13365" xr:uid="{0FA53945-6B32-4380-BED7-E24F3E467995}"/>
    <cellStyle name="20% - Accent2 7 2 3" xfId="5140" xr:uid="{A0DA6432-282E-481B-B15E-5C8FA47E169D}"/>
    <cellStyle name="20% - Accent2 7 2 4" xfId="5141" xr:uid="{0DEDC92B-DD87-4218-9E0D-96DBD0D1B9FA}"/>
    <cellStyle name="20% - Accent2 7 2_Working Capital Current" xfId="13366" xr:uid="{2C088F3E-1DC0-4119-9002-B12D6F707C26}"/>
    <cellStyle name="20% - Accent2 7 3" xfId="5142" xr:uid="{AB3BB9F1-21A5-45DC-8666-A02401F72BAC}"/>
    <cellStyle name="20% - Accent2 7 3 2" xfId="5143" xr:uid="{338D22BD-CFD1-4868-98D0-F2D739C4E2F4}"/>
    <cellStyle name="20% - Accent2 7 3_Working Capital Current" xfId="13367" xr:uid="{B2224716-8ABB-45C2-9939-4F0EA2A3A3CC}"/>
    <cellStyle name="20% - Accent2 7 4" xfId="5144" xr:uid="{EFB85769-361E-4A00-96E1-F089BA4A18F0}"/>
    <cellStyle name="20% - Accent2 7 5" xfId="5145" xr:uid="{A3C542A2-5F8D-48C5-82F1-CD329E15393D}"/>
    <cellStyle name="20% - Accent2 7_Not_for_upload_before_M4_correc" xfId="13368" xr:uid="{C36CB716-16C0-4E95-BFD2-9D6501FBDB45}"/>
    <cellStyle name="20% - Accent2 70" xfId="5146" xr:uid="{C01661F3-BBBC-4137-BB4D-A418EE2F5891}"/>
    <cellStyle name="20% - Accent2 70 2" xfId="5147" xr:uid="{563678FE-4909-4E96-8D12-F5CF75E73B9A}"/>
    <cellStyle name="20% - Accent2 70 2 2" xfId="5148" xr:uid="{5C478803-F3BC-4BDC-9991-A26FB21567FF}"/>
    <cellStyle name="20% - Accent2 70 2_Working Capital Current" xfId="13369" xr:uid="{07FBA8F6-7ACA-4DE8-9413-704447ECFA32}"/>
    <cellStyle name="20% - Accent2 70 3" xfId="5149" xr:uid="{D20B7FEF-EEAD-4B0E-A552-0D8B78F128DE}"/>
    <cellStyle name="20% - Accent2 70 4" xfId="5150" xr:uid="{F3D4C3BD-0A62-4734-90CF-3CF7EDD8282F}"/>
    <cellStyle name="20% - Accent2 70_Working Capital Current" xfId="13370" xr:uid="{569ED687-6C96-406C-8A2C-2DFB95081C78}"/>
    <cellStyle name="20% - Accent2 71" xfId="5151" xr:uid="{616789E8-C62E-40E8-80F2-28030511EA86}"/>
    <cellStyle name="20% - Accent2 71 2" xfId="5152" xr:uid="{634669BF-927D-402C-9B77-20E9D55C3F53}"/>
    <cellStyle name="20% - Accent2 71 2 2" xfId="5153" xr:uid="{5142D724-95F5-416D-88D1-D79F4227208D}"/>
    <cellStyle name="20% - Accent2 71 2_Working Capital Current" xfId="13371" xr:uid="{3C6910BE-B297-4637-B8D9-8FACE969A3BF}"/>
    <cellStyle name="20% - Accent2 71 3" xfId="5154" xr:uid="{D667F2B6-6750-43E9-9AFF-2ECB1386CFF4}"/>
    <cellStyle name="20% - Accent2 71 4" xfId="5155" xr:uid="{00899BB0-12D2-4E50-AAD6-A443F016AAA4}"/>
    <cellStyle name="20% - Accent2 71_Working Capital Current" xfId="13372" xr:uid="{4C96BECC-54DF-429A-BA4A-D44488AA508E}"/>
    <cellStyle name="20% - Accent2 72" xfId="5156" xr:uid="{655BBD36-E100-4FAF-9F08-E358A372C662}"/>
    <cellStyle name="20% - Accent2 72 2" xfId="5157" xr:uid="{BF6361DC-D848-461E-AC93-EA4D8F2276A0}"/>
    <cellStyle name="20% - Accent2 72 2 2" xfId="5158" xr:uid="{F507CF32-9C15-4E28-80F6-D9BCF9D8FA30}"/>
    <cellStyle name="20% - Accent2 72 2_Working Capital Current" xfId="13373" xr:uid="{F9D31EFE-F409-4B42-9B0A-9658EEBFA705}"/>
    <cellStyle name="20% - Accent2 72 3" xfId="5159" xr:uid="{919BB7BF-6032-4397-A05C-4447B2608B60}"/>
    <cellStyle name="20% - Accent2 72 4" xfId="5160" xr:uid="{6B7F5E49-A914-4E9E-AC0F-E675D2B2BC99}"/>
    <cellStyle name="20% - Accent2 72_Working Capital Current" xfId="13374" xr:uid="{3A7804A3-F839-4C12-8CE8-B3E17A6F2500}"/>
    <cellStyle name="20% - Accent2 73" xfId="5161" xr:uid="{BD32CC71-4963-4BCA-B494-471350AF0885}"/>
    <cellStyle name="20% - Accent2 73 2" xfId="5162" xr:uid="{F83CBE84-E31D-41E1-9ECF-20FE1E39061D}"/>
    <cellStyle name="20% - Accent2 73 2 2" xfId="5163" xr:uid="{69F5400B-9497-4AAD-91DB-4990CB9443B5}"/>
    <cellStyle name="20% - Accent2 73 2_Working Capital Current" xfId="13375" xr:uid="{65151C5D-2933-4509-B789-FD9DB67A4532}"/>
    <cellStyle name="20% - Accent2 73 3" xfId="5164" xr:uid="{FA46A299-1BD3-44E5-839B-D3CAFD2EBD0F}"/>
    <cellStyle name="20% - Accent2 73 4" xfId="5165" xr:uid="{3DFFA4C5-C9E8-4F5C-8B46-D9952A2574F5}"/>
    <cellStyle name="20% - Accent2 73_Working Capital Current" xfId="13376" xr:uid="{7CD09E28-26DC-4778-B7C1-69B1180278C9}"/>
    <cellStyle name="20% - Accent2 74" xfId="5166" xr:uid="{E018F4E8-2CB3-4DF6-A33B-C86526919F7E}"/>
    <cellStyle name="20% - Accent2 74 2" xfId="5167" xr:uid="{FF7A1F71-0352-4607-8631-5C326495D0DE}"/>
    <cellStyle name="20% - Accent2 74 2 2" xfId="5168" xr:uid="{0617DBFC-CCC9-45CE-A803-AD7E55DBDA9E}"/>
    <cellStyle name="20% - Accent2 74 2_Working Capital Current" xfId="13377" xr:uid="{873B2342-418E-40CA-842A-93C33F3F3CB0}"/>
    <cellStyle name="20% - Accent2 74 3" xfId="5169" xr:uid="{5A0BC4D7-735B-4C91-9FA5-5857121D055B}"/>
    <cellStyle name="20% - Accent2 74 4" xfId="5170" xr:uid="{8E5A647B-4D82-4BE0-A9F5-D68015613F2D}"/>
    <cellStyle name="20% - Accent2 74_Working Capital Current" xfId="13378" xr:uid="{704842FA-C271-493E-8110-765BE3A59BAB}"/>
    <cellStyle name="20% - Accent2 75" xfId="5171" xr:uid="{D9D8F9AD-E9F9-49D3-9395-59A50B2C846B}"/>
    <cellStyle name="20% - Accent2 75 2" xfId="5172" xr:uid="{8693C447-2C36-4FAB-A24C-BF0ABB61BEC2}"/>
    <cellStyle name="20% - Accent2 75 2 2" xfId="5173" xr:uid="{42F4C1EA-05E8-45A8-8C70-9637D7722B4D}"/>
    <cellStyle name="20% - Accent2 75 2_Working Capital Current" xfId="13379" xr:uid="{A33FCAB4-87D3-4C45-9F62-8668B17CB71E}"/>
    <cellStyle name="20% - Accent2 75 3" xfId="5174" xr:uid="{2FF3631A-8406-4AD6-B9E2-77A637038B36}"/>
    <cellStyle name="20% - Accent2 75 4" xfId="5175" xr:uid="{19BCC81E-13B9-4220-BB08-F301FD3A7F6F}"/>
    <cellStyle name="20% - Accent2 75_Working Capital Current" xfId="13380" xr:uid="{893839A7-AFD2-4230-A97F-960A7582EF69}"/>
    <cellStyle name="20% - Accent2 76" xfId="5176" xr:uid="{FF997DA8-3798-4CA8-B4B3-A7829AD3C5AE}"/>
    <cellStyle name="20% - Accent2 76 2" xfId="5177" xr:uid="{4F1C7968-C5AC-428E-9816-880EEA35DCDE}"/>
    <cellStyle name="20% - Accent2 76 2 2" xfId="5178" xr:uid="{F4FF576B-587E-4A17-8446-00E464A25AC4}"/>
    <cellStyle name="20% - Accent2 76 2_Working Capital Current" xfId="13381" xr:uid="{ACB5795A-B432-46BE-A1EB-26802BE3E9EA}"/>
    <cellStyle name="20% - Accent2 76 3" xfId="5179" xr:uid="{C56B08BB-A3C7-4131-BA56-E45E2D5FA4EE}"/>
    <cellStyle name="20% - Accent2 76 4" xfId="5180" xr:uid="{5D65464A-759B-428A-BAFC-504B55458CE3}"/>
    <cellStyle name="20% - Accent2 76_Working Capital Current" xfId="13382" xr:uid="{B6FDBEDF-F512-4A71-B0C7-4ED1B1E2C49C}"/>
    <cellStyle name="20% - Accent2 77" xfId="5181" xr:uid="{8E9B619E-F29E-46FF-9B63-BED334D5F7C4}"/>
    <cellStyle name="20% - Accent2 77 2" xfId="5182" xr:uid="{081FB8EC-BB93-4FF9-80C5-79D0FB864006}"/>
    <cellStyle name="20% - Accent2 77 2 2" xfId="5183" xr:uid="{9A0B175F-AEB9-49F7-9333-16A374F72568}"/>
    <cellStyle name="20% - Accent2 77 2_Working Capital Current" xfId="13383" xr:uid="{4EB9316C-FC90-42DB-9ABD-B9CB80F7468A}"/>
    <cellStyle name="20% - Accent2 77 3" xfId="5184" xr:uid="{BE113BB8-CD06-439A-B816-E2ED39EA8AFD}"/>
    <cellStyle name="20% - Accent2 77 4" xfId="5185" xr:uid="{2790944C-7A15-4026-87E7-406721B658E0}"/>
    <cellStyle name="20% - Accent2 77_Working Capital Current" xfId="13384" xr:uid="{C4368B5F-DBB0-4F7A-9EB4-2E2DA5FA26AE}"/>
    <cellStyle name="20% - Accent2 78" xfId="5186" xr:uid="{969A2216-1FAB-4D54-9ECD-F8659D1759CD}"/>
    <cellStyle name="20% - Accent2 78 2" xfId="5187" xr:uid="{3D3F5C2F-0929-4F5E-A431-7C1FEFF9F952}"/>
    <cellStyle name="20% - Accent2 78 2 2" xfId="5188" xr:uid="{5660B5FC-F5E1-4AB8-BB4F-E583C7724299}"/>
    <cellStyle name="20% - Accent2 78 2_Working Capital Current" xfId="13385" xr:uid="{552EA0D3-0737-4D1A-9275-61FED252DC7A}"/>
    <cellStyle name="20% - Accent2 78 3" xfId="5189" xr:uid="{3E7E65B1-FCC2-4C0E-8794-9D76E2968BDD}"/>
    <cellStyle name="20% - Accent2 78 4" xfId="5190" xr:uid="{B3A61307-9865-488B-BB1D-900186BEB994}"/>
    <cellStyle name="20% - Accent2 78_Working Capital Current" xfId="13386" xr:uid="{54E27A65-8281-4F7E-98B4-FAC96BA59DC6}"/>
    <cellStyle name="20% - Accent2 79" xfId="5191" xr:uid="{DB9E44E6-5975-494D-B823-7CE410429560}"/>
    <cellStyle name="20% - Accent2 79 2" xfId="5192" xr:uid="{03E6332A-A3EA-41FF-85CF-3330CD6BDB13}"/>
    <cellStyle name="20% - Accent2 79 2 2" xfId="5193" xr:uid="{9EC17B6D-1DC8-4BE4-9724-28ECFB62FED3}"/>
    <cellStyle name="20% - Accent2 79 2_Working Capital Current" xfId="13387" xr:uid="{0788C0C9-7EA8-4664-8564-A7982F0DAC71}"/>
    <cellStyle name="20% - Accent2 79 3" xfId="5194" xr:uid="{3ED065B4-E6DE-47E2-9BED-F04882F39819}"/>
    <cellStyle name="20% - Accent2 79 4" xfId="5195" xr:uid="{EFF6B90E-01B2-4A5C-B6DF-091D5C72DE35}"/>
    <cellStyle name="20% - Accent2 79_Working Capital Current" xfId="13388" xr:uid="{1FFEEC44-FA45-4FBF-81DC-A8C15F19F98F}"/>
    <cellStyle name="20% - Accent2 8" xfId="5196" xr:uid="{D96A224E-1514-416E-BC1F-4D5289B88005}"/>
    <cellStyle name="20% - Accent2 8 2" xfId="5197" xr:uid="{221F8A7F-5CAA-41AE-BB72-717BACC0CDC0}"/>
    <cellStyle name="20% - Accent2 8 2 2" xfId="5198" xr:uid="{79AE9B1A-75C8-4E86-A12C-880CA895E540}"/>
    <cellStyle name="20% - Accent2 8 2 2 2" xfId="5199" xr:uid="{08528D6D-B8D0-4A54-A5B0-03F99907F2A3}"/>
    <cellStyle name="20% - Accent2 8 2 2_Working Capital Current" xfId="13389" xr:uid="{85F0E68B-3C96-4AEE-98A9-5292C292039F}"/>
    <cellStyle name="20% - Accent2 8 2 3" xfId="5200" xr:uid="{CAC6C99B-2D5A-4218-A19B-C8B195794E4D}"/>
    <cellStyle name="20% - Accent2 8 2 4" xfId="5201" xr:uid="{4BA2BE0F-D710-45AD-A8B5-EC799533EB0C}"/>
    <cellStyle name="20% - Accent2 8 2_Working Capital Current" xfId="13390" xr:uid="{447A54EE-F42B-4423-B999-E818B303A95A}"/>
    <cellStyle name="20% - Accent2 8 3" xfId="5202" xr:uid="{FB0D1642-97A5-469C-96F1-8C8143D90664}"/>
    <cellStyle name="20% - Accent2 8 3 2" xfId="5203" xr:uid="{9F1B7168-E5F7-442C-BEDF-E12AAF645C8C}"/>
    <cellStyle name="20% - Accent2 8 3_Working Capital Current" xfId="13391" xr:uid="{FB94B84B-8DFC-4C71-A2CB-295E62AC0AE9}"/>
    <cellStyle name="20% - Accent2 8 4" xfId="5204" xr:uid="{C40CF123-6FAD-43D3-811A-5765CF6ECEA2}"/>
    <cellStyle name="20% - Accent2 8 5" xfId="5205" xr:uid="{72C5EBF1-4970-4BFC-BE6B-611244315A0B}"/>
    <cellStyle name="20% - Accent2 8_Not_for_upload_before_M4_correc" xfId="13392" xr:uid="{38002DC0-F338-42BF-AF82-47E6ED5E6BCB}"/>
    <cellStyle name="20% - Accent2 80" xfId="5206" xr:uid="{508616F3-F753-4BF3-A75C-022B26AD6857}"/>
    <cellStyle name="20% - Accent2 80 2" xfId="5207" xr:uid="{F19F702B-2BC6-498B-B19D-676CA4BC89A1}"/>
    <cellStyle name="20% - Accent2 80 2 2" xfId="5208" xr:uid="{1557ACC0-181E-469C-8286-0F73C94F202C}"/>
    <cellStyle name="20% - Accent2 80 2_Working Capital Current" xfId="13393" xr:uid="{EC4A7515-6E80-4CEB-ADC2-E047FEEF2BB7}"/>
    <cellStyle name="20% - Accent2 80 3" xfId="5209" xr:uid="{4293B613-2CB9-4D3C-B9F8-D1410A058D34}"/>
    <cellStyle name="20% - Accent2 80 4" xfId="5210" xr:uid="{CB429FF9-3758-4410-8E59-394E120FEED5}"/>
    <cellStyle name="20% - Accent2 80_Working Capital Current" xfId="13394" xr:uid="{1830E45D-BE7E-4443-A188-59E7F237674E}"/>
    <cellStyle name="20% - Accent2 81" xfId="5211" xr:uid="{416874D3-49A1-454D-98B6-4313DE094EED}"/>
    <cellStyle name="20% - Accent2 81 2" xfId="5212" xr:uid="{9DE1ED6C-D695-44C4-B74A-6331C882ACE3}"/>
    <cellStyle name="20% - Accent2 81 2 2" xfId="5213" xr:uid="{E6239D74-905F-4CEF-8E2B-D92CD304F47F}"/>
    <cellStyle name="20% - Accent2 81 2_Working Capital Current" xfId="13395" xr:uid="{44379A91-C9B6-4D7A-A492-D8A0D3863A2A}"/>
    <cellStyle name="20% - Accent2 81 3" xfId="5214" xr:uid="{F4D24557-BB47-4860-AFFE-560EF5F6C885}"/>
    <cellStyle name="20% - Accent2 81 4" xfId="5215" xr:uid="{F5532EB7-81A8-4E8E-9AA9-09458ECE3CA7}"/>
    <cellStyle name="20% - Accent2 81_Working Capital Current" xfId="13396" xr:uid="{656ED74A-DAC9-4A5A-8708-C3E10627D44B}"/>
    <cellStyle name="20% - Accent2 82" xfId="5216" xr:uid="{96FEB326-2775-4E48-A40B-0483B07C100D}"/>
    <cellStyle name="20% - Accent2 82 2" xfId="5217" xr:uid="{436013AA-C151-40EC-AB1D-DC4200B7E27C}"/>
    <cellStyle name="20% - Accent2 82 2 2" xfId="5218" xr:uid="{E7478D4B-CC38-4C53-B10E-8834E1A6E073}"/>
    <cellStyle name="20% - Accent2 82 2_Working Capital Current" xfId="13397" xr:uid="{B9B5CFD1-4E8D-4EFD-8CC4-6951CA2E3CA6}"/>
    <cellStyle name="20% - Accent2 82 3" xfId="5219" xr:uid="{070D5386-DB9D-42AB-B27F-A8F180FF2A38}"/>
    <cellStyle name="20% - Accent2 82 4" xfId="5220" xr:uid="{7032D0DB-14E1-4CE8-A402-E23282570927}"/>
    <cellStyle name="20% - Accent2 82_Working Capital Current" xfId="13398" xr:uid="{289FB34B-B2CF-4CA4-98DA-B49BE1119BFC}"/>
    <cellStyle name="20% - Accent2 83" xfId="5221" xr:uid="{7B6D32D9-0AC9-4E53-9010-360E85CA4FB9}"/>
    <cellStyle name="20% - Accent2 83 2" xfId="5222" xr:uid="{4F8DAA11-B104-4D7D-94B3-3CA0747D354C}"/>
    <cellStyle name="20% - Accent2 83 2 2" xfId="5223" xr:uid="{5ECA63CF-4396-4915-A190-D4E00DEF39D9}"/>
    <cellStyle name="20% - Accent2 83 2_Working Capital Current" xfId="13399" xr:uid="{32B0B8C4-A978-4AEA-9DB1-239F3E77DAAC}"/>
    <cellStyle name="20% - Accent2 83 3" xfId="5224" xr:uid="{2DD0F8C0-99C4-440A-89CA-6A75B7145080}"/>
    <cellStyle name="20% - Accent2 83 4" xfId="5225" xr:uid="{84C1CF25-8D51-468D-A0A1-502943111590}"/>
    <cellStyle name="20% - Accent2 83_Working Capital Current" xfId="13400" xr:uid="{8214F22A-9F7C-4F4B-A38E-CEB996EC163E}"/>
    <cellStyle name="20% - Accent2 84" xfId="5226" xr:uid="{C15F4B60-7788-4CEB-AAD0-23EA60FD94B8}"/>
    <cellStyle name="20% - Accent2 84 2" xfId="5227" xr:uid="{2B399A38-8072-42E6-A047-13A98B86D241}"/>
    <cellStyle name="20% - Accent2 84 2 2" xfId="5228" xr:uid="{C393B101-C0FE-4475-9791-0E20C9F725C8}"/>
    <cellStyle name="20% - Accent2 84 2_Working Capital Current" xfId="13401" xr:uid="{6C4B8E21-0CA5-4C2A-A772-09CD6F82EC32}"/>
    <cellStyle name="20% - Accent2 84 3" xfId="5229" xr:uid="{2E57DF2C-DCC2-47AC-AEA3-C538202BED64}"/>
    <cellStyle name="20% - Accent2 84 4" xfId="5230" xr:uid="{B5DE11A9-1578-44CC-8FC1-AE66239ED0CD}"/>
    <cellStyle name="20% - Accent2 84_Working Capital Current" xfId="13402" xr:uid="{696FF752-1427-4FEC-9975-37465A402678}"/>
    <cellStyle name="20% - Accent2 85" xfId="5231" xr:uid="{44DFF45D-6499-4C90-B98F-4F64A8BCFE10}"/>
    <cellStyle name="20% - Accent2 85 2" xfId="5232" xr:uid="{ED337DBE-C583-47E8-81FB-8FC702DF2954}"/>
    <cellStyle name="20% - Accent2 85 2 2" xfId="5233" xr:uid="{AA786EEF-9977-4DA4-8E61-BB6C094FD966}"/>
    <cellStyle name="20% - Accent2 85 2_Working Capital Current" xfId="13403" xr:uid="{62E29DD4-1919-4DBC-A13C-BD19279C39CC}"/>
    <cellStyle name="20% - Accent2 85 3" xfId="5234" xr:uid="{85A461C1-03DC-4FC0-AF1D-CFC876D0A07F}"/>
    <cellStyle name="20% - Accent2 85 4" xfId="5235" xr:uid="{E352B59F-87DC-4A49-A451-0189004C5927}"/>
    <cellStyle name="20% - Accent2 85_Working Capital Current" xfId="13404" xr:uid="{2F031DFD-9E73-4935-8073-AE665CEB7AE5}"/>
    <cellStyle name="20% - Accent2 86" xfId="5236" xr:uid="{7497ADD5-C524-4596-9AC4-94C6361CA6D8}"/>
    <cellStyle name="20% - Accent2 86 2" xfId="5237" xr:uid="{7D5991A9-9E79-4047-B515-87690A0E6D64}"/>
    <cellStyle name="20% - Accent2 86 2 2" xfId="5238" xr:uid="{9253B195-2979-4718-A98F-B3B3AE0D2891}"/>
    <cellStyle name="20% - Accent2 86 2_Working Capital Current" xfId="13405" xr:uid="{88A7BCE4-25E2-4EAA-959F-6EC8C1214973}"/>
    <cellStyle name="20% - Accent2 86 3" xfId="5239" xr:uid="{2B64A590-1D00-48B1-95B1-D0233BC8C9A2}"/>
    <cellStyle name="20% - Accent2 86 4" xfId="5240" xr:uid="{D46F17B2-5E57-490B-B125-8F2DC5047F85}"/>
    <cellStyle name="20% - Accent2 86_Working Capital Current" xfId="13406" xr:uid="{652A1E28-E535-46BF-BADF-DBCC519D0343}"/>
    <cellStyle name="20% - Accent2 87" xfId="5241" xr:uid="{7BBD0D52-4F30-4971-812F-68A0A17FFF4E}"/>
    <cellStyle name="20% - Accent2 87 2" xfId="5242" xr:uid="{98F0CAE6-94C0-40A7-9215-1BB62C98263E}"/>
    <cellStyle name="20% - Accent2 87 2 2" xfId="5243" xr:uid="{C4379264-7194-490C-9007-52CBFFCEB1AD}"/>
    <cellStyle name="20% - Accent2 87 2_Working Capital Current" xfId="13407" xr:uid="{B8FBAAAD-214D-4EDA-8F77-47E899B1DFC6}"/>
    <cellStyle name="20% - Accent2 87 3" xfId="5244" xr:uid="{F95AE4F6-7E61-44FB-9FD6-D55D48BDCAFE}"/>
    <cellStyle name="20% - Accent2 87 4" xfId="5245" xr:uid="{74D666E9-40B5-4119-A2EE-63FF5368C4BB}"/>
    <cellStyle name="20% - Accent2 87_Working Capital Current" xfId="13408" xr:uid="{E44A5B34-B171-4DEE-8812-4E72045598F3}"/>
    <cellStyle name="20% - Accent2 88" xfId="5246" xr:uid="{257F8495-5FED-46AA-8A22-465F4DA60944}"/>
    <cellStyle name="20% - Accent2 88 2" xfId="5247" xr:uid="{F5DFA55C-8B37-42A1-9DE6-A6B7A11B2EE0}"/>
    <cellStyle name="20% - Accent2 88 2 2" xfId="5248" xr:uid="{41DB25F9-36B2-480D-8E13-0A574C782BC2}"/>
    <cellStyle name="20% - Accent2 88 2_Working Capital Current" xfId="13409" xr:uid="{6DC54B21-2149-413F-9081-A9E703EDDB5B}"/>
    <cellStyle name="20% - Accent2 88 3" xfId="5249" xr:uid="{85C4B1E1-3654-4A18-A1C3-32609B58BD23}"/>
    <cellStyle name="20% - Accent2 88 4" xfId="5250" xr:uid="{4ABE283F-EC52-431F-9A9A-2007B4D7060A}"/>
    <cellStyle name="20% - Accent2 88_Working Capital Current" xfId="13410" xr:uid="{9FFB0704-884D-433D-B511-5E914671A8A5}"/>
    <cellStyle name="20% - Accent2 89" xfId="5251" xr:uid="{2A0F3A28-3BAC-4503-BD8D-976369E5BD1E}"/>
    <cellStyle name="20% - Accent2 89 2" xfId="5252" xr:uid="{DD551843-1316-4E6E-AC07-C26D24804045}"/>
    <cellStyle name="20% - Accent2 89 2 2" xfId="5253" xr:uid="{E1FEC17E-5E10-4D68-BC78-E9678D56DB58}"/>
    <cellStyle name="20% - Accent2 89 2_Working Capital Current" xfId="13411" xr:uid="{9BD22668-CB25-4C3F-AF54-9B2369F6A424}"/>
    <cellStyle name="20% - Accent2 89 3" xfId="5254" xr:uid="{C50851E4-F284-4101-B8B3-E29B131E69F2}"/>
    <cellStyle name="20% - Accent2 89 4" xfId="5255" xr:uid="{4CE0A58E-11B8-40EF-B268-1D6181533241}"/>
    <cellStyle name="20% - Accent2 89_Working Capital Current" xfId="13412" xr:uid="{394CA903-A849-4038-9513-464434551FAE}"/>
    <cellStyle name="20% - Accent2 9" xfId="5256" xr:uid="{48ECF93B-AC08-47CE-A1F8-430392C6CF39}"/>
    <cellStyle name="20% - Accent2 9 2" xfId="5257" xr:uid="{40955F23-FAB2-4032-9016-74005AA97D2B}"/>
    <cellStyle name="20% - Accent2 9 2 2" xfId="5258" xr:uid="{0204FC2A-8135-47F5-A401-6CEAEBD70D12}"/>
    <cellStyle name="20% - Accent2 9 2 2 2" xfId="5259" xr:uid="{7EEB3F0C-ED02-45E6-B236-8D389D3F817F}"/>
    <cellStyle name="20% - Accent2 9 2 2_Working Capital Current" xfId="13413" xr:uid="{C79BBBC1-9F25-489A-923E-B451847C3A2D}"/>
    <cellStyle name="20% - Accent2 9 2 3" xfId="5260" xr:uid="{69D948C3-89AF-42A0-A9E6-EC5CB1D89086}"/>
    <cellStyle name="20% - Accent2 9 2 4" xfId="5261" xr:uid="{B85082A5-2D96-4C1C-AEAE-A668D3CCA8D7}"/>
    <cellStyle name="20% - Accent2 9 2_Working Capital Current" xfId="13414" xr:uid="{7BBEAFFA-51B0-4F2D-A18B-8034F2A284E0}"/>
    <cellStyle name="20% - Accent2 9 3" xfId="5262" xr:uid="{F21582D1-230B-441B-8102-C9045C6D6C80}"/>
    <cellStyle name="20% - Accent2 9 3 2" xfId="5263" xr:uid="{7FDA140B-6233-4361-B1FF-04F93641DABD}"/>
    <cellStyle name="20% - Accent2 9 3_Working Capital Current" xfId="13415" xr:uid="{FD66E386-58CF-45F1-A866-7E65AD71EEA6}"/>
    <cellStyle name="20% - Accent2 9 4" xfId="5264" xr:uid="{0F9747AF-6358-471F-B7EC-ADBB70BF2992}"/>
    <cellStyle name="20% - Accent2 9 5" xfId="5265" xr:uid="{B74A7436-1ECB-4A9D-B82F-CF368A8C37BC}"/>
    <cellStyle name="20% - Accent2 9_Not_for_upload_before_M4_correc" xfId="13416" xr:uid="{C36B4736-72A8-45E1-B580-9CF790AF41EC}"/>
    <cellStyle name="20% - Accent2 90" xfId="5266" xr:uid="{2AD98F36-A25A-4184-B454-6C73C38A7D02}"/>
    <cellStyle name="20% - Accent2 90 2" xfId="5267" xr:uid="{43E8E24E-34A9-477C-9FE4-EDA55E5071D8}"/>
    <cellStyle name="20% - Accent2 90 2 2" xfId="5268" xr:uid="{BF201A09-9F97-488E-920A-E543F9EA9AEC}"/>
    <cellStyle name="20% - Accent2 90 2_Working Capital Current" xfId="13417" xr:uid="{90BFE157-4364-41B0-B2AF-1F55C5A2E95F}"/>
    <cellStyle name="20% - Accent2 90 3" xfId="5269" xr:uid="{0803A336-93A3-4124-B71C-C90558D5D614}"/>
    <cellStyle name="20% - Accent2 90 4" xfId="5270" xr:uid="{60285A98-3B12-474B-BAD5-C6FB599DB60E}"/>
    <cellStyle name="20% - Accent2 90_Working Capital Current" xfId="13418" xr:uid="{598A41BA-F7EA-46FC-A58B-3D13BB03685B}"/>
    <cellStyle name="20% - Accent2 91" xfId="5271" xr:uid="{7D97998D-A159-4411-AEAC-A568A21AF208}"/>
    <cellStyle name="20% - Accent2 91 2" xfId="5272" xr:uid="{2049FE6B-2EC1-4417-88F8-FBC2AD22F8C5}"/>
    <cellStyle name="20% - Accent2 91 2 2" xfId="5273" xr:uid="{4C66170A-90A4-4601-8FC4-8C5AD796FCB2}"/>
    <cellStyle name="20% - Accent2 91 2_Working Capital Current" xfId="13419" xr:uid="{66245FE2-8B11-4472-B1C8-8F9BD693FA5D}"/>
    <cellStyle name="20% - Accent2 91 3" xfId="5274" xr:uid="{A92D74B5-6312-47CC-8875-A0DB0E0B1A9B}"/>
    <cellStyle name="20% - Accent2 91 4" xfId="5275" xr:uid="{170FEF5B-4FB7-40B7-8B6A-0D7EBBDAAE10}"/>
    <cellStyle name="20% - Accent2 91_Working Capital Current" xfId="13420" xr:uid="{4E688B55-05BC-425D-9883-8C1DF7FBD067}"/>
    <cellStyle name="20% - Accent2 92" xfId="5276" xr:uid="{294C25EF-1ED9-4A3F-AE17-C4D86890655C}"/>
    <cellStyle name="20% - Accent2 92 2" xfId="5277" xr:uid="{54E203A6-D373-4917-B903-0D501602FDA2}"/>
    <cellStyle name="20% - Accent2 92 2 2" xfId="5278" xr:uid="{FC6FA1EB-F46F-4E0E-833A-9B46F6AD47F7}"/>
    <cellStyle name="20% - Accent2 92 2_Working Capital Current" xfId="13421" xr:uid="{68D5995F-D9F9-4A5A-A23C-D298A7EE5F52}"/>
    <cellStyle name="20% - Accent2 92 3" xfId="5279" xr:uid="{46998318-34CC-4450-9B22-F2E41CE51FCA}"/>
    <cellStyle name="20% - Accent2 92 4" xfId="5280" xr:uid="{AFF4D935-E989-4F28-A9FF-D2D5EDA47F98}"/>
    <cellStyle name="20% - Accent2 92_Working Capital Current" xfId="13422" xr:uid="{C5E039F0-E94C-4B29-BDF1-0F31506A5977}"/>
    <cellStyle name="20% - Accent2 93" xfId="5281" xr:uid="{8BD02FB2-EED5-4EE1-81F3-0C87C1A1E542}"/>
    <cellStyle name="20% - Accent2 93 2" xfId="5282" xr:uid="{60005242-1868-47DF-B811-BF9D349ECFE2}"/>
    <cellStyle name="20% - Accent2 93 2 2" xfId="5283" xr:uid="{00ED9B91-5B48-487A-AEFB-FAD6A1EFCE1B}"/>
    <cellStyle name="20% - Accent2 93 2_Working Capital Current" xfId="13423" xr:uid="{CD36DB2E-7006-4CD9-A025-F71FBD4044D2}"/>
    <cellStyle name="20% - Accent2 93 3" xfId="5284" xr:uid="{440F168D-48BE-429C-BECD-2A4826CFB68D}"/>
    <cellStyle name="20% - Accent2 93 4" xfId="5285" xr:uid="{F4A23368-D67D-401A-8E61-DC84FC2A2D2D}"/>
    <cellStyle name="20% - Accent2 93_Working Capital Current" xfId="13424" xr:uid="{0EFD0329-BA20-4504-85B8-7F1E9625B77E}"/>
    <cellStyle name="20% - Accent2 94" xfId="5286" xr:uid="{6EDD3AC4-D06D-48E1-8EF3-C954DBE48B50}"/>
    <cellStyle name="20% - Accent2 94 2" xfId="5287" xr:uid="{F3ED65EE-0C89-4070-AB71-C571A56D1207}"/>
    <cellStyle name="20% - Accent2 94 2 2" xfId="5288" xr:uid="{AD550239-A785-4AA4-9877-379F59FF9837}"/>
    <cellStyle name="20% - Accent2 94 2_Working Capital Current" xfId="13425" xr:uid="{20E8F745-4A84-4C67-8E89-2C82ADB80DF0}"/>
    <cellStyle name="20% - Accent2 94 3" xfId="5289" xr:uid="{522DD936-7F22-4700-B238-07244876CA54}"/>
    <cellStyle name="20% - Accent2 94 4" xfId="5290" xr:uid="{FFA2A729-6B23-4CEA-9D1F-8CE7A97B447B}"/>
    <cellStyle name="20% - Accent2 94_Working Capital Current" xfId="13426" xr:uid="{E8ED5A44-237C-4242-ADD8-2BACA2B1F47F}"/>
    <cellStyle name="20% - Accent2 95" xfId="5291" xr:uid="{248FB3FC-9671-4E9E-B5F8-AB1B2B983A4E}"/>
    <cellStyle name="20% - Accent2 95 2" xfId="5292" xr:uid="{7F968965-4B2D-4790-A548-F9F2A7D6AC88}"/>
    <cellStyle name="20% - Accent2 95 2 2" xfId="5293" xr:uid="{EBF229E2-FD31-4C7E-928E-2A73C6400509}"/>
    <cellStyle name="20% - Accent2 95 2_Working Capital Current" xfId="13427" xr:uid="{C9744AA6-8712-477B-9AA0-769E2E73897C}"/>
    <cellStyle name="20% - Accent2 95 3" xfId="5294" xr:uid="{F91D3FB2-FC84-42EC-8A8B-822E7C0A7D8A}"/>
    <cellStyle name="20% - Accent2 95 4" xfId="5295" xr:uid="{209E535A-F2A4-4770-8020-E7CA41633D7D}"/>
    <cellStyle name="20% - Accent2 95_Working Capital Current" xfId="13428" xr:uid="{F9D116D3-57BA-4FBE-97F2-492B35A70621}"/>
    <cellStyle name="20% - Accent2 96" xfId="5296" xr:uid="{5941BEB6-54E0-40FF-BC22-683A95A08977}"/>
    <cellStyle name="20% - Accent2 96 2" xfId="5297" xr:uid="{ABF224A2-622D-4120-A1FE-F5D13EF16942}"/>
    <cellStyle name="20% - Accent2 96 2 2" xfId="5298" xr:uid="{E63467E7-EF46-476D-90BD-A2A50914F629}"/>
    <cellStyle name="20% - Accent2 96 2_Working Capital Current" xfId="13429" xr:uid="{508E68E7-E5B7-4D2D-9F4C-53EFC1D93DF5}"/>
    <cellStyle name="20% - Accent2 96 3" xfId="5299" xr:uid="{9B1EC669-00A9-45FA-B0E7-BCC3D16540B7}"/>
    <cellStyle name="20% - Accent2 96 4" xfId="5300" xr:uid="{DF40AA79-6596-4E0C-80C5-311417A80514}"/>
    <cellStyle name="20% - Accent2 96_Working Capital Current" xfId="13430" xr:uid="{4A738A90-943B-4708-812D-18C910836AC2}"/>
    <cellStyle name="20% - Accent2 97" xfId="5301" xr:uid="{3BC202D4-49FE-4785-B433-28981C0496FB}"/>
    <cellStyle name="20% - Accent2 97 2" xfId="5302" xr:uid="{F54F6BE9-DF50-41F7-83A7-3A50F4F588D8}"/>
    <cellStyle name="20% - Accent2 97 2 2" xfId="5303" xr:uid="{47841A4F-14BE-41BA-9BE7-F622267EDDDE}"/>
    <cellStyle name="20% - Accent2 97 2_Working Capital Current" xfId="13431" xr:uid="{4798B08D-65E0-4F2E-B2D6-2E9103DD3D62}"/>
    <cellStyle name="20% - Accent2 97 3" xfId="5304" xr:uid="{1A9D96C2-1684-42F0-9B16-84CC657E3524}"/>
    <cellStyle name="20% - Accent2 97 4" xfId="5305" xr:uid="{269071A6-1691-45EB-BAEA-69A472309674}"/>
    <cellStyle name="20% - Accent2 97_Working Capital Current" xfId="13432" xr:uid="{C90FC0E6-7E72-415B-9522-86F7698021E5}"/>
    <cellStyle name="20% - Accent2 98" xfId="5306" xr:uid="{66B8D17D-2223-4266-BB6A-0E5CDA0226F1}"/>
    <cellStyle name="20% - Accent2 98 2" xfId="5307" xr:uid="{13A2D331-052E-45F3-88A3-59300DFC18C8}"/>
    <cellStyle name="20% - Accent2 98 2 2" xfId="5308" xr:uid="{796F1494-BF65-489F-965A-97866BE2D0AB}"/>
    <cellStyle name="20% - Accent2 98 2_Working Capital Current" xfId="13433" xr:uid="{81F290F2-E2FF-41D0-B06C-821CD65863EE}"/>
    <cellStyle name="20% - Accent2 98 3" xfId="5309" xr:uid="{96B6B495-BDA0-442F-8B0C-1F28C86D146D}"/>
    <cellStyle name="20% - Accent2 98 4" xfId="5310" xr:uid="{70821C57-D68E-4CEA-B6D2-4C9970627F58}"/>
    <cellStyle name="20% - Accent2 98_Working Capital Current" xfId="13434" xr:uid="{FA3770BB-F2B1-4DCA-9F2A-160C3B9F3EED}"/>
    <cellStyle name="20% - Accent2 99" xfId="5311" xr:uid="{EF616976-D898-4AAD-AB0B-D6398FA47454}"/>
    <cellStyle name="20% - Accent2 99 2" xfId="5312" xr:uid="{3324790C-A708-4F0F-8956-68C9385D55CE}"/>
    <cellStyle name="20% - Accent2 99 2 2" xfId="5313" xr:uid="{990757F2-9961-4FB3-8FB2-985AA489EA48}"/>
    <cellStyle name="20% - Accent2 99 2_Working Capital Current" xfId="13435" xr:uid="{3DD744D6-3B4C-4290-B1DB-80955E7E93C2}"/>
    <cellStyle name="20% - Accent2 99 3" xfId="5314" xr:uid="{FABD59EA-D6FA-4457-A625-021A9C81AC6D}"/>
    <cellStyle name="20% - Accent2 99 4" xfId="5315" xr:uid="{36E7A1E7-64CA-4BC5-83E4-66E78A3D0EA3}"/>
    <cellStyle name="20% - Accent2 99_Working Capital Current" xfId="13436" xr:uid="{AE397087-A179-458A-8B56-7547226693ED}"/>
    <cellStyle name="20% - Accent3" xfId="31" builtinId="38" customBuiltin="1"/>
    <cellStyle name="20% - Accent3 10" xfId="5316" xr:uid="{6C8386D7-F8A5-485F-A393-AF540D5FCE58}"/>
    <cellStyle name="20% - Accent3 10 2" xfId="5317" xr:uid="{B5E374EC-E445-45D0-B25D-806558742307}"/>
    <cellStyle name="20% - Accent3 10 2 2" xfId="5318" xr:uid="{6045D72B-2AE9-4914-8D98-9A1BFA382E57}"/>
    <cellStyle name="20% - Accent3 10 2 2 2" xfId="5319" xr:uid="{8E5FAA45-8090-4C52-A003-689319F7C66E}"/>
    <cellStyle name="20% - Accent3 10 2 2_Working Capital Current" xfId="13437" xr:uid="{476513A6-6C47-4717-A8E6-AE9421AE1B2F}"/>
    <cellStyle name="20% - Accent3 10 2 3" xfId="5320" xr:uid="{8BDB66A8-6DA9-4DBB-ABE6-2274070B0C68}"/>
    <cellStyle name="20% - Accent3 10 2 4" xfId="5321" xr:uid="{E3D8A194-B968-4CFD-B2D3-B5C284010AC1}"/>
    <cellStyle name="20% - Accent3 10 2_Working Capital Current" xfId="13438" xr:uid="{8582FBB1-C78C-4D30-AF67-7C3E37A2F481}"/>
    <cellStyle name="20% - Accent3 10 3" xfId="5322" xr:uid="{79D15F0E-C14A-4C24-A386-872886335451}"/>
    <cellStyle name="20% - Accent3 10 3 2" xfId="5323" xr:uid="{9350B930-DC44-484C-84D4-2F7A6ED41592}"/>
    <cellStyle name="20% - Accent3 10 3_Working Capital Current" xfId="13439" xr:uid="{D88B3F94-C80C-4C00-82E8-BE844D1EF02E}"/>
    <cellStyle name="20% - Accent3 10 4" xfId="5324" xr:uid="{E5688561-3CF6-4CD3-9D6C-9ED2E9E446EC}"/>
    <cellStyle name="20% - Accent3 10 5" xfId="5325" xr:uid="{00E0F372-B692-47F8-A529-9343FD9FABE2}"/>
    <cellStyle name="20% - Accent3 10_Not_for_upload_before_M4_correc" xfId="13440" xr:uid="{034EF66D-141D-4C48-AE44-BF878568D21D}"/>
    <cellStyle name="20% - Accent3 100" xfId="5326" xr:uid="{F3DD8950-38E0-42CF-B1E0-64BF69712858}"/>
    <cellStyle name="20% - Accent3 100 2" xfId="5327" xr:uid="{04C3EB5E-C261-4B5C-B853-679462CC19C2}"/>
    <cellStyle name="20% - Accent3 100 2 2" xfId="5328" xr:uid="{2937886F-37C0-45A1-B5D9-9087EF7385E2}"/>
    <cellStyle name="20% - Accent3 100 2_Working Capital Current" xfId="13441" xr:uid="{477A771E-B73D-4CC7-ADC6-BF37447B3B76}"/>
    <cellStyle name="20% - Accent3 100 3" xfId="5329" xr:uid="{CA153D82-7BDF-4F4A-A52E-966127A7CDC4}"/>
    <cellStyle name="20% - Accent3 100 4" xfId="5330" xr:uid="{CE4F238B-4728-4577-A612-78685778E6BB}"/>
    <cellStyle name="20% - Accent3 100_Working Capital Current" xfId="13442" xr:uid="{EB930DFC-693C-4AE5-9ABC-592B773E2DA3}"/>
    <cellStyle name="20% - Accent3 101" xfId="5331" xr:uid="{55F54224-5BD7-49F3-B5D4-49801AC2BC4B}"/>
    <cellStyle name="20% - Accent3 101 2" xfId="5332" xr:uid="{49BAFE70-89DD-4533-9040-13A523B7538A}"/>
    <cellStyle name="20% - Accent3 101 3" xfId="5333" xr:uid="{81D9F7CD-B30D-4FC4-AFF8-BECD64BC2A6B}"/>
    <cellStyle name="20% - Accent3 101_Working Capital Current" xfId="13443" xr:uid="{A0D4BE2D-88C8-4810-B58E-6DDCE9EACCEF}"/>
    <cellStyle name="20% - Accent3 102" xfId="5334" xr:uid="{F8703323-0024-4570-9B7D-265CE5A4B0C7}"/>
    <cellStyle name="20% - Accent3 102 2" xfId="5335" xr:uid="{7DA15B50-7332-46BC-A17A-A7A64EB9642A}"/>
    <cellStyle name="20% - Accent3 102 3" xfId="5336" xr:uid="{BE3495CF-166B-46CE-AD07-F336A6A2FDF6}"/>
    <cellStyle name="20% - Accent3 102_Working Capital Current" xfId="13444" xr:uid="{011C9F13-ED37-4E92-80B6-93AD1FCBA38F}"/>
    <cellStyle name="20% - Accent3 103" xfId="5337" xr:uid="{9462E9B2-2F45-4469-AD4F-6D681A55DD32}"/>
    <cellStyle name="20% - Accent3 104" xfId="5338" xr:uid="{C3C6920C-79FB-425F-94A4-AFC87DAD2C83}"/>
    <cellStyle name="20% - Accent3 105" xfId="13445" xr:uid="{EA529A5F-79B2-4A49-A3F4-F88D0C6D1898}"/>
    <cellStyle name="20% - Accent3 106" xfId="16492" xr:uid="{0CBB4047-A08C-48F1-94BF-4DC6C591D5DE}"/>
    <cellStyle name="20% - Accent3 107" xfId="16991" xr:uid="{124E0318-2310-428C-A94D-DE29A0D588A8}"/>
    <cellStyle name="20% - Accent3 108" xfId="3905" xr:uid="{06C67C3C-9503-4F81-8E3D-64D4066E78DC}"/>
    <cellStyle name="20% - Accent3 109" xfId="18289" xr:uid="{59ECD4D7-D223-4066-BE71-BA27B7EC7516}"/>
    <cellStyle name="20% - Accent3 11" xfId="5339" xr:uid="{0682CFF9-261A-45BC-B693-ACA710BA66AC}"/>
    <cellStyle name="20% - Accent3 11 2" xfId="5340" xr:uid="{F0840D8F-EC09-41BB-B6F6-BD383E0E32DF}"/>
    <cellStyle name="20% - Accent3 11 2 2" xfId="5341" xr:uid="{D1FFA830-C130-4DC0-8107-40EB44AF4BA5}"/>
    <cellStyle name="20% - Accent3 11 2 2 2" xfId="5342" xr:uid="{CD51E634-6BC8-421C-931B-22F345D72F8B}"/>
    <cellStyle name="20% - Accent3 11 2 2_Working Capital Current" xfId="13446" xr:uid="{95F97143-BECA-4CA2-B77D-BD76E4750813}"/>
    <cellStyle name="20% - Accent3 11 2 3" xfId="5343" xr:uid="{7A130662-6B51-4169-B237-6DD8153B14F1}"/>
    <cellStyle name="20% - Accent3 11 2 4" xfId="5344" xr:uid="{B4B355F2-0AFD-4A9B-8FFA-8B9721798592}"/>
    <cellStyle name="20% - Accent3 11 2_Working Capital Current" xfId="13447" xr:uid="{12F6AC57-D4BE-4780-86E3-5008F952289E}"/>
    <cellStyle name="20% - Accent3 11 3" xfId="5345" xr:uid="{67C83933-0990-437F-998B-367A52490A81}"/>
    <cellStyle name="20% - Accent3 11 3 2" xfId="5346" xr:uid="{5B189A3C-C1AD-49AC-9217-6E186E0F70A2}"/>
    <cellStyle name="20% - Accent3 11 3_Working Capital Current" xfId="13448" xr:uid="{DF40A524-8D9D-40BE-8AD6-226446E12993}"/>
    <cellStyle name="20% - Accent3 11 4" xfId="5347" xr:uid="{CFFCB1B0-C090-4514-B3E8-4D28C4069F2C}"/>
    <cellStyle name="20% - Accent3 11 5" xfId="5348" xr:uid="{C6FC1950-8BF2-4B0B-A95F-6C43BA42F7CC}"/>
    <cellStyle name="20% - Accent3 11_Not_for_upload_before_M4_correc" xfId="13449" xr:uid="{ECCD9C04-E11A-455C-833D-7EEDD8770E6A}"/>
    <cellStyle name="20% - Accent3 12" xfId="5349" xr:uid="{193A180F-42C9-418C-B201-7B6F59A095B2}"/>
    <cellStyle name="20% - Accent3 12 2" xfId="5350" xr:uid="{4B60F247-6857-47E7-87EE-8CE8F5964EFA}"/>
    <cellStyle name="20% - Accent3 12 2 2" xfId="5351" xr:uid="{AD940F52-17C6-4903-B056-76613403202A}"/>
    <cellStyle name="20% - Accent3 12 2 2 2" xfId="5352" xr:uid="{A8D15911-ABD8-4931-BFE6-6D6E2C49BC4F}"/>
    <cellStyle name="20% - Accent3 12 2 2_Working Capital Current" xfId="13450" xr:uid="{0E353645-DC2B-4398-B95A-EEFC546E6EE3}"/>
    <cellStyle name="20% - Accent3 12 2 3" xfId="5353" xr:uid="{E0270491-A11F-450B-90C5-A4C2A0F4063C}"/>
    <cellStyle name="20% - Accent3 12 2 4" xfId="5354" xr:uid="{5A141F42-C8FF-4EE2-8570-726FD5534E6E}"/>
    <cellStyle name="20% - Accent3 12 2_Working Capital Current" xfId="13451" xr:uid="{68A6862E-D1F1-43AA-949D-FB2D9D9FA26C}"/>
    <cellStyle name="20% - Accent3 12 3" xfId="5355" xr:uid="{AD8425BB-4496-4699-90F0-DD2DB871A61F}"/>
    <cellStyle name="20% - Accent3 12 3 2" xfId="5356" xr:uid="{3204063C-2284-44DB-82B5-69510CF0D326}"/>
    <cellStyle name="20% - Accent3 12 3_Working Capital Current" xfId="13452" xr:uid="{713CE4EF-7303-4F05-A0BD-3B0FED2B0CCB}"/>
    <cellStyle name="20% - Accent3 12 4" xfId="5357" xr:uid="{FDA03A3D-4447-4EF7-8232-78417E73DBB1}"/>
    <cellStyle name="20% - Accent3 12 5" xfId="5358" xr:uid="{6AD59D98-EF81-4DF0-AC89-B6BAF4913802}"/>
    <cellStyle name="20% - Accent3 12_Not_for_upload_before_M4_correc" xfId="13453" xr:uid="{DCCC2E5D-5F25-4A72-8DFA-08266DFB485C}"/>
    <cellStyle name="20% - Accent3 13" xfId="5359" xr:uid="{FEC7D6E3-E446-492E-BE66-3A69DAD80668}"/>
    <cellStyle name="20% - Accent3 13 2" xfId="5360" xr:uid="{54A207A9-29EE-478D-9DAD-45721809AF60}"/>
    <cellStyle name="20% - Accent3 13 2 2" xfId="5361" xr:uid="{50F13C6A-92FA-4F8F-BA1F-3A21983C4C6C}"/>
    <cellStyle name="20% - Accent3 13 2 2 2" xfId="5362" xr:uid="{40DD755C-5EC9-4DF5-B04B-CC32A734DB38}"/>
    <cellStyle name="20% - Accent3 13 2 2_Working Capital Current" xfId="13454" xr:uid="{93D3B19E-43B0-4675-AEB1-AC15D885FB84}"/>
    <cellStyle name="20% - Accent3 13 2 3" xfId="5363" xr:uid="{7C031C06-2196-4E0E-97C4-27E70FC24D5B}"/>
    <cellStyle name="20% - Accent3 13 2 4" xfId="5364" xr:uid="{7FF9F652-E7BD-4E08-945B-66D736FE5625}"/>
    <cellStyle name="20% - Accent3 13 2_Working Capital Current" xfId="13455" xr:uid="{BEB5DA97-B577-4EF3-88B4-0657FA11BCC6}"/>
    <cellStyle name="20% - Accent3 13 3" xfId="5365" xr:uid="{5DBE4C18-73F8-48E8-A7A6-F19E62600017}"/>
    <cellStyle name="20% - Accent3 13 3 2" xfId="5366" xr:uid="{4EDF60B1-A5E7-4272-BE36-C6C90E4334BF}"/>
    <cellStyle name="20% - Accent3 13 3_Working Capital Current" xfId="13456" xr:uid="{64EEAF41-50D3-4169-B85F-3F32EC36ECDD}"/>
    <cellStyle name="20% - Accent3 13 4" xfId="5367" xr:uid="{A5E291BC-8AFF-48BA-B938-2853A2E248A1}"/>
    <cellStyle name="20% - Accent3 13 5" xfId="5368" xr:uid="{01512740-154E-4BA5-94BE-F789C460A0D2}"/>
    <cellStyle name="20% - Accent3 13_Not_for_upload_before_M4_correc" xfId="13457" xr:uid="{842A226E-67B0-449F-A100-ED568E8F2A42}"/>
    <cellStyle name="20% - Accent3 14" xfId="5369" xr:uid="{AA8AE11C-B3E0-40AD-8031-EAB0E205BDCE}"/>
    <cellStyle name="20% - Accent3 14 2" xfId="5370" xr:uid="{ACE0DFDC-2E4D-4240-923A-2314D1D658C1}"/>
    <cellStyle name="20% - Accent3 14 2 2" xfId="5371" xr:uid="{EBD5FE7E-BAF0-4344-BB1E-EE68089C395D}"/>
    <cellStyle name="20% - Accent3 14 2 2 2" xfId="5372" xr:uid="{9771D9E0-D028-4942-8320-32E1AFF25792}"/>
    <cellStyle name="20% - Accent3 14 2 2_Working Capital Current" xfId="13458" xr:uid="{BE3532F0-104A-4359-9132-6B290BB88A6D}"/>
    <cellStyle name="20% - Accent3 14 2 3" xfId="5373" xr:uid="{08685093-04A2-4080-A5E3-AADBD315DCE3}"/>
    <cellStyle name="20% - Accent3 14 2 4" xfId="5374" xr:uid="{8F19F11B-D419-4F5C-B0C1-CB6D9E7E583B}"/>
    <cellStyle name="20% - Accent3 14 2_Working Capital Current" xfId="13459" xr:uid="{0D734C84-80BC-4942-97A7-540895EE68A6}"/>
    <cellStyle name="20% - Accent3 14 3" xfId="5375" xr:uid="{C7D108F8-B492-4FAB-988C-387C8E099103}"/>
    <cellStyle name="20% - Accent3 14 3 2" xfId="5376" xr:uid="{334FC658-0C1A-4858-B41A-A132A39E7D98}"/>
    <cellStyle name="20% - Accent3 14 3_Working Capital Current" xfId="13460" xr:uid="{7A924899-56BB-4883-99B0-A3FD4572EAE8}"/>
    <cellStyle name="20% - Accent3 14 4" xfId="5377" xr:uid="{5822BCB7-68D8-4CEC-84DE-5BD8EC05E23B}"/>
    <cellStyle name="20% - Accent3 14 5" xfId="5378" xr:uid="{6838948D-7A47-441A-9A57-0F56C26BC87E}"/>
    <cellStyle name="20% - Accent3 14_Not_for_upload_before_M4_correc" xfId="13461" xr:uid="{FC24B2CB-7849-422F-BD9E-302204FDECD3}"/>
    <cellStyle name="20% - Accent3 15" xfId="5379" xr:uid="{C946DB66-A011-4E10-A25E-C9A6EF56CA57}"/>
    <cellStyle name="20% - Accent3 15 2" xfId="5380" xr:uid="{815E5CDF-6397-4D9A-9621-026015E70345}"/>
    <cellStyle name="20% - Accent3 15 2 2" xfId="5381" xr:uid="{DEDC1EE0-1F4B-4CD2-8463-7709D5E69920}"/>
    <cellStyle name="20% - Accent3 15 2 2 2" xfId="5382" xr:uid="{9AD9F96B-C321-4FDA-8D59-71AEABE3818B}"/>
    <cellStyle name="20% - Accent3 15 2 2_Working Capital Current" xfId="13462" xr:uid="{6B4A5717-4CB9-4CD9-BA09-003C80BD1B7A}"/>
    <cellStyle name="20% - Accent3 15 2 3" xfId="5383" xr:uid="{EEF5D6A6-1853-4158-ABA6-8C59E6AFD49D}"/>
    <cellStyle name="20% - Accent3 15 2 4" xfId="5384" xr:uid="{BC94A9A6-0E02-4624-B050-528F45AA5760}"/>
    <cellStyle name="20% - Accent3 15 2_Working Capital Current" xfId="13463" xr:uid="{43226BAB-3E2E-459A-A09E-4F39687ADEDA}"/>
    <cellStyle name="20% - Accent3 15 3" xfId="5385" xr:uid="{2B11497D-CFF3-46BF-A98A-E1AC49EA305C}"/>
    <cellStyle name="20% - Accent3 15 3 2" xfId="5386" xr:uid="{5C51DC98-3021-4210-BE4B-C0B58F41F32D}"/>
    <cellStyle name="20% - Accent3 15 3_Working Capital Current" xfId="13464" xr:uid="{39E5B15A-3E7A-4A92-84B9-9DC8396E9DCB}"/>
    <cellStyle name="20% - Accent3 15 4" xfId="5387" xr:uid="{1D3C286A-FE1D-4C1D-8CAE-FD074DF5CF2E}"/>
    <cellStyle name="20% - Accent3 15 5" xfId="5388" xr:uid="{62D578C0-8738-48E4-91B6-A7C1806F2C49}"/>
    <cellStyle name="20% - Accent3 15_Not_for_upload_before_M4_correc" xfId="13465" xr:uid="{7B6BBB6B-C89D-4D32-8B08-6C2790ABE0D9}"/>
    <cellStyle name="20% - Accent3 16" xfId="5389" xr:uid="{D466F63E-8F44-4C64-9329-DA5EF2981E13}"/>
    <cellStyle name="20% - Accent3 16 2" xfId="5390" xr:uid="{DCE5C9F4-47DC-42C8-986D-B4A1D1FAC758}"/>
    <cellStyle name="20% - Accent3 16 2 2" xfId="5391" xr:uid="{20A99433-753F-4803-8C92-D3132F7B3870}"/>
    <cellStyle name="20% - Accent3 16 2 2 2" xfId="5392" xr:uid="{C5B289DD-FD9B-4735-AA09-5E26B9B27125}"/>
    <cellStyle name="20% - Accent3 16 2 2_Working Capital Current" xfId="13466" xr:uid="{3F9918F9-38AD-4CFF-835D-79158786D60D}"/>
    <cellStyle name="20% - Accent3 16 2 3" xfId="5393" xr:uid="{470D00E2-0830-4EB5-925A-485579A7EE8B}"/>
    <cellStyle name="20% - Accent3 16 2 4" xfId="5394" xr:uid="{D87D5DF6-F7FD-4983-82BB-40F0EC3C395F}"/>
    <cellStyle name="20% - Accent3 16 2_Working Capital Current" xfId="13467" xr:uid="{E7DC1DFE-E2F0-4082-964E-90EDD18C5EFF}"/>
    <cellStyle name="20% - Accent3 16 3" xfId="5395" xr:uid="{F2AB8EF6-4EAF-407E-94A3-B40D68FBE55B}"/>
    <cellStyle name="20% - Accent3 16 3 2" xfId="5396" xr:uid="{BF2DD277-D01F-4165-993B-3DF0B0708A2B}"/>
    <cellStyle name="20% - Accent3 16 3_Working Capital Current" xfId="13468" xr:uid="{77DD4E8B-2AB5-4AAA-B83C-CBC6D1BEFC09}"/>
    <cellStyle name="20% - Accent3 16 4" xfId="5397" xr:uid="{4422F84F-90E3-40B0-8A84-3A992846FE15}"/>
    <cellStyle name="20% - Accent3 16 5" xfId="5398" xr:uid="{B565DDDC-D081-4A2B-8C23-90E1A16655DA}"/>
    <cellStyle name="20% - Accent3 16_Not_for_upload_before_M4_correc" xfId="13469" xr:uid="{B8A62E89-8E38-43AF-8534-BFB20F3EA718}"/>
    <cellStyle name="20% - Accent3 17" xfId="5399" xr:uid="{0BEAC1D8-7E39-4621-BD90-8C4C592CEE88}"/>
    <cellStyle name="20% - Accent3 17 2" xfId="5400" xr:uid="{939C3B53-5E79-4C88-8AED-4E9AEECE16D0}"/>
    <cellStyle name="20% - Accent3 17 2 2" xfId="5401" xr:uid="{5C92CCE2-F7B9-4474-875E-028DA642790E}"/>
    <cellStyle name="20% - Accent3 17 2 2 2" xfId="5402" xr:uid="{8FEA08DE-E511-489B-8A11-93FB59979748}"/>
    <cellStyle name="20% - Accent3 17 2 2_Working Capital Current" xfId="13470" xr:uid="{32C3AE6C-0ADB-4EDF-9052-1BF3174FF0DE}"/>
    <cellStyle name="20% - Accent3 17 2 3" xfId="5403" xr:uid="{04835B5D-BE4B-404B-B8B8-9A4E2A988445}"/>
    <cellStyle name="20% - Accent3 17 2 4" xfId="5404" xr:uid="{265129D1-450F-42E2-8F05-7C4105782695}"/>
    <cellStyle name="20% - Accent3 17 2_Working Capital Current" xfId="13471" xr:uid="{D70AF9DD-373D-4C56-BE4D-42D1C482B631}"/>
    <cellStyle name="20% - Accent3 17 3" xfId="5405" xr:uid="{50DA4836-8116-4267-AF99-5DC281B43FDB}"/>
    <cellStyle name="20% - Accent3 17 3 2" xfId="5406" xr:uid="{A6C32587-6753-4DC7-8D37-7979D1A2FD67}"/>
    <cellStyle name="20% - Accent3 17 3_Working Capital Current" xfId="13472" xr:uid="{A7DAE6CA-39FF-4CFC-A6B0-7DC618547DB1}"/>
    <cellStyle name="20% - Accent3 17 4" xfId="5407" xr:uid="{49D07436-2FE2-45B5-A743-FAE6C2AB7167}"/>
    <cellStyle name="20% - Accent3 17 5" xfId="5408" xr:uid="{1F19E799-77D7-425C-9DA9-B9B48DF0D704}"/>
    <cellStyle name="20% - Accent3 17_Not_for_upload_before_M4_correc" xfId="13473" xr:uid="{929591FA-5B4F-41CB-9B07-7DB99C34BA23}"/>
    <cellStyle name="20% - Accent3 18" xfId="5409" xr:uid="{B33FE700-F14E-412E-BEA7-550732DBBDF5}"/>
    <cellStyle name="20% - Accent3 18 2" xfId="5410" xr:uid="{943B1F28-6890-4BE6-84F0-49524F2378A0}"/>
    <cellStyle name="20% - Accent3 18 2 2" xfId="5411" xr:uid="{7F5774D0-3439-4DEA-84BB-ADABFA088020}"/>
    <cellStyle name="20% - Accent3 18 2 2 2" xfId="5412" xr:uid="{66FCC2E4-07EB-4FD2-8C30-E8AA694AC8E8}"/>
    <cellStyle name="20% - Accent3 18 2 2_Working Capital Current" xfId="13474" xr:uid="{2B1149C2-45A7-4B11-ACFE-F787C88E976B}"/>
    <cellStyle name="20% - Accent3 18 2 3" xfId="5413" xr:uid="{6DDF7754-DEEE-4DB1-8E4D-2FA5A13F8094}"/>
    <cellStyle name="20% - Accent3 18 2 4" xfId="5414" xr:uid="{B1D3C541-A931-467F-BAC5-B98808C25D4B}"/>
    <cellStyle name="20% - Accent3 18 2_Working Capital Current" xfId="13475" xr:uid="{1118FD4B-B564-4B14-8AB4-504BF74BABC6}"/>
    <cellStyle name="20% - Accent3 18 3" xfId="5415" xr:uid="{30CF5A72-5E6E-4D1E-85EE-328DB2CB920A}"/>
    <cellStyle name="20% - Accent3 18 3 2" xfId="5416" xr:uid="{747ED966-C19D-4E31-B6F4-D9E7EEA23294}"/>
    <cellStyle name="20% - Accent3 18 3_Working Capital Current" xfId="13476" xr:uid="{0F969E04-30F7-44CC-8686-9E7B1B18B6C6}"/>
    <cellStyle name="20% - Accent3 18 4" xfId="5417" xr:uid="{FC1E8393-34D2-4D5E-A73D-38F46E9CE74B}"/>
    <cellStyle name="20% - Accent3 18 5" xfId="5418" xr:uid="{F7BF5F49-D234-4D81-8756-0268E2861227}"/>
    <cellStyle name="20% - Accent3 18_Not_for_upload_before_M4_correc" xfId="13477" xr:uid="{77FBCC3B-EC52-4646-B3A6-0F73203E602D}"/>
    <cellStyle name="20% - Accent3 19" xfId="5419" xr:uid="{E405B302-4134-4C62-84B0-2390FCEFE22D}"/>
    <cellStyle name="20% - Accent3 19 2" xfId="5420" xr:uid="{A7BD109C-7438-4E8C-A3EB-F31B47607586}"/>
    <cellStyle name="20% - Accent3 19 2 2" xfId="5421" xr:uid="{4D22FDDD-82C4-4AA4-828F-65CF83B8DF79}"/>
    <cellStyle name="20% - Accent3 19 2 2 2" xfId="5422" xr:uid="{8828C47C-C4E1-45F3-B7EF-52EDC30E544B}"/>
    <cellStyle name="20% - Accent3 19 2 2_Working Capital Current" xfId="13478" xr:uid="{CA411FB9-1AEF-495D-A7FB-548093F8003D}"/>
    <cellStyle name="20% - Accent3 19 2 3" xfId="5423" xr:uid="{3BC092F5-8A74-43F8-AF44-3B769CB2D382}"/>
    <cellStyle name="20% - Accent3 19 2 4" xfId="5424" xr:uid="{54FF45BF-4DC8-4A37-84B0-6C30C255F8C2}"/>
    <cellStyle name="20% - Accent3 19 2_Working Capital Current" xfId="13479" xr:uid="{5097936D-F8D2-4FA7-96CE-CF4CD75D563A}"/>
    <cellStyle name="20% - Accent3 19 3" xfId="5425" xr:uid="{F2C9A524-B324-48D1-89B6-C620FA0A641B}"/>
    <cellStyle name="20% - Accent3 19 3 2" xfId="5426" xr:uid="{0FDF79C4-2C0B-4881-B46A-8C4947E6C3E4}"/>
    <cellStyle name="20% - Accent3 19 3_Working Capital Current" xfId="13480" xr:uid="{09F50864-64D8-4ACC-82C2-1D589379C4E9}"/>
    <cellStyle name="20% - Accent3 19 4" xfId="5427" xr:uid="{D29BD565-12C1-44FA-A734-46DC0F3BB029}"/>
    <cellStyle name="20% - Accent3 19 5" xfId="5428" xr:uid="{6C86225A-7D3C-4440-B40C-99552B8E357A}"/>
    <cellStyle name="20% - Accent3 19_Not_for_upload_before_M4_correc" xfId="13481" xr:uid="{C08A9F0C-CEFD-403F-909D-8FD617D7982D}"/>
    <cellStyle name="20% - Accent3 2" xfId="70" xr:uid="{1FFF4DBB-3095-40D9-8859-B06317EA4774}"/>
    <cellStyle name="20% - Accent3 2 10" xfId="5429" xr:uid="{FF87F490-BD3D-4E4B-A282-FCC7C681A1BA}"/>
    <cellStyle name="20% - Accent3 2 11" xfId="17177" xr:uid="{E5D471ED-0A25-4248-BF2D-8BFA2A7C8014}"/>
    <cellStyle name="20% - Accent3 2 2" xfId="71" xr:uid="{CB6C21AF-3E9A-4A50-A745-2DE821653BCA}"/>
    <cellStyle name="20% - Accent3 2 2 2" xfId="1901" xr:uid="{0846F3C5-C295-4217-B78A-8B1EDB44F71B}"/>
    <cellStyle name="20% - Accent3 2 2 2 2" xfId="5432" xr:uid="{F4ADC174-2304-48CB-B7A7-C443CB681B3E}"/>
    <cellStyle name="20% - Accent3 2 2 2 2 2" xfId="5433" xr:uid="{6E283D45-BFE7-4C3A-BE68-AA4E9E717ECF}"/>
    <cellStyle name="20% - Accent3 2 2 2 2_Working Capital Current" xfId="13482" xr:uid="{410D9441-EC12-4721-B1BB-21040711CDE0}"/>
    <cellStyle name="20% - Accent3 2 2 2 3" xfId="5434" xr:uid="{8B9CA3D2-BFA4-4006-A9F8-AA370D0009B9}"/>
    <cellStyle name="20% - Accent3 2 2 2 4" xfId="5435" xr:uid="{7918E297-D778-45AB-9293-D18F67473008}"/>
    <cellStyle name="20% - Accent3 2 2 2 5" xfId="17631" xr:uid="{71A18B4F-8837-4B9B-A013-32A1EF5127CC}"/>
    <cellStyle name="20% - Accent3 2 2 2 6" xfId="18192" xr:uid="{01FD602C-737E-4C53-B449-EDC96ABC8FA7}"/>
    <cellStyle name="20% - Accent3 2 2 2 7" xfId="5431" xr:uid="{3DF9EACA-24FF-432A-914E-F5048A4D3D13}"/>
    <cellStyle name="20% - Accent3 2 2 2_Working Capital Current" xfId="13483" xr:uid="{152EDEB1-D62F-4C29-A25F-AB6E083A02E6}"/>
    <cellStyle name="20% - Accent3 2 2 3" xfId="5436" xr:uid="{4EA59500-E677-4765-9829-D3FD1D0D4B39}"/>
    <cellStyle name="20% - Accent3 2 2 3 2" xfId="5437" xr:uid="{5494969B-E017-4DF0-9777-ADB5AEAA3F6E}"/>
    <cellStyle name="20% - Accent3 2 2 3_Working Capital Current" xfId="13484" xr:uid="{9CB55406-56C8-4A92-B824-DB17EF3C0FFE}"/>
    <cellStyle name="20% - Accent3 2 2 4" xfId="5438" xr:uid="{5C14120E-A6FB-4E73-B36C-C7ADA49907BE}"/>
    <cellStyle name="20% - Accent3 2 2 5" xfId="5439" xr:uid="{1BC5316E-7DC1-4402-8AD0-47AD8DE52597}"/>
    <cellStyle name="20% - Accent3 2 2 6" xfId="5430" xr:uid="{0A38EAB9-1988-4876-A8BA-A941F8E68DD5}"/>
    <cellStyle name="20% - Accent3 2 2 7" xfId="16513" xr:uid="{D2F78C86-F825-498B-AC67-B51E44E84AEC}"/>
    <cellStyle name="20% - Accent3 2 2 8" xfId="16978" xr:uid="{100D88A3-18A8-450D-A6EE-9D165B05F629}"/>
    <cellStyle name="20% - Accent3 2 2_Not_for_upload_before_M4_correc" xfId="13485" xr:uid="{43A15CD7-1285-4083-A59B-B5CAA5670C15}"/>
    <cellStyle name="20% - Accent3 2 3" xfId="72" xr:uid="{F3C03375-B505-4F59-9A49-1F02ED8BA82A}"/>
    <cellStyle name="20% - Accent3 2 3 2" xfId="73" xr:uid="{3AF44551-FD44-4D89-9F00-39F2FB6AAC2F}"/>
    <cellStyle name="20% - Accent3 2 3 2 2" xfId="897" xr:uid="{2100CB98-AC30-400D-9F46-8C49778674F5}"/>
    <cellStyle name="20% - Accent3 2 3 2 2 2" xfId="5443" xr:uid="{E462079D-C6C4-4935-9029-3B5A71422E3C}"/>
    <cellStyle name="20% - Accent3 2 3 2 2 3" xfId="17094" xr:uid="{9C363570-AF8B-48A9-AB13-C67DD1F83DC8}"/>
    <cellStyle name="20% - Accent3 2 3 2 2 4" xfId="5442" xr:uid="{B6236881-8C51-4B66-8D80-3C4C45E4E945}"/>
    <cellStyle name="20% - Accent3 2 3 2 2_Working Capital Current" xfId="13486" xr:uid="{D29EEE8B-852E-44D9-A19F-1489A28EB4FC}"/>
    <cellStyle name="20% - Accent3 2 3 2 3" xfId="1903" xr:uid="{50E6EEA6-CA4D-46B4-A5A8-B47BAC7B1925}"/>
    <cellStyle name="20% - Accent3 2 3 2 3 2" xfId="17633" xr:uid="{59E7735D-0420-4C63-B1DF-39AD4F4594C8}"/>
    <cellStyle name="20% - Accent3 2 3 2 3 3" xfId="5444" xr:uid="{31322287-3116-4011-82FC-EC31F40E0A07}"/>
    <cellStyle name="20% - Accent3 2 3 2 4" xfId="5445" xr:uid="{59ED4D02-B2CB-4CA4-A0A6-185767DF3FA0}"/>
    <cellStyle name="20% - Accent3 2 3 2 5" xfId="5441" xr:uid="{D7974EDD-BB1C-4F4F-92A8-4518ECC01366}"/>
    <cellStyle name="20% - Accent3 2 3 2 6" xfId="17175" xr:uid="{AB976E3A-EE9D-4CCA-9CF5-AE666FC29FF6}"/>
    <cellStyle name="20% - Accent3 2 3 2 7" xfId="18241" xr:uid="{E48BEB82-077F-4AB8-BF27-05F57712545A}"/>
    <cellStyle name="20% - Accent3 2 3 2_Working Capital Current" xfId="13487" xr:uid="{C6615A12-D8C5-462A-A2B9-14B91A103C01}"/>
    <cellStyle name="20% - Accent3 2 3 3" xfId="74" xr:uid="{EF89AC57-67AA-4E12-8A1B-6A3603CA81CA}"/>
    <cellStyle name="20% - Accent3 2 3 3 2" xfId="1904" xr:uid="{EB834804-5F4B-4B7B-B6AA-844A8AC3A103}"/>
    <cellStyle name="20% - Accent3 2 3 3 2 2" xfId="17634" xr:uid="{0E6C6F72-C790-4608-ADA9-0F447C93D352}"/>
    <cellStyle name="20% - Accent3 2 3 3 2 3" xfId="5447" xr:uid="{32127FDA-0561-4DA6-9D61-AA759EE5267C}"/>
    <cellStyle name="20% - Accent3 2 3 3 3" xfId="5446" xr:uid="{97C068A7-19F3-4D59-B34F-F99048AFBA63}"/>
    <cellStyle name="20% - Accent3 2 3 3 4" xfId="16515" xr:uid="{4E41DD62-20F3-44BF-9546-79A06CAFA739}"/>
    <cellStyle name="20% - Accent3 2 3 3_Working Capital Current" xfId="13488" xr:uid="{7B5110FB-7578-4816-A21F-66E2CD9448DC}"/>
    <cellStyle name="20% - Accent3 2 3 4" xfId="75" xr:uid="{17104572-F6EE-4366-B889-67D3EE67E7F9}"/>
    <cellStyle name="20% - Accent3 2 3 4 2" xfId="1905" xr:uid="{A621ACAD-2EA4-45C1-B258-B3C274F7BE22}"/>
    <cellStyle name="20% - Accent3 2 3 4 2 2" xfId="17635" xr:uid="{93DB3278-8D8E-4C5E-90A9-EBA64B37776E}"/>
    <cellStyle name="20% - Accent3 2 3 4 2 3" xfId="5448" xr:uid="{0421B8A4-BCA1-4D71-99E0-3BA47F9011D3}"/>
    <cellStyle name="20% - Accent3 2 3 5" xfId="1902" xr:uid="{AA31F849-DE9C-4E9D-AAE7-1EFB928AAB91}"/>
    <cellStyle name="20% - Accent3 2 3 5 2" xfId="17632" xr:uid="{6DD64AB5-A602-4516-AF36-4973EE8E6C81}"/>
    <cellStyle name="20% - Accent3 2 3 5 3" xfId="5449" xr:uid="{D6F3478E-F149-40FF-B630-653EF329F8E5}"/>
    <cellStyle name="20% - Accent3 2 3 6" xfId="5440" xr:uid="{AD133013-7270-4C79-8E80-D055C4F1E6F2}"/>
    <cellStyle name="20% - Accent3 2 3 7" xfId="16514" xr:uid="{613B8EDA-9871-416D-8CA4-41ED7126020D}"/>
    <cellStyle name="20% - Accent3 2 3 8" xfId="17176" xr:uid="{C294E2A9-5E78-4F3D-8A0C-003D52F32966}"/>
    <cellStyle name="20% - Accent3 2 3 9" xfId="18242" xr:uid="{650CC325-BEF0-4A67-A548-8433C0D261BE}"/>
    <cellStyle name="20% - Accent3 2 3_Not_for_upload_before_M4_correc" xfId="13489" xr:uid="{6FF4C262-F917-4EC8-8FA2-589C2A1EA4AC}"/>
    <cellStyle name="20% - Accent3 2 4" xfId="1900" xr:uid="{4D02C57C-B89F-4763-AF5F-2B635CC2CF9A}"/>
    <cellStyle name="20% - Accent3 2 4 2" xfId="5451" xr:uid="{28231EC8-15F0-43F2-8854-CEC6A04D7BCE}"/>
    <cellStyle name="20% - Accent3 2 4 2 2" xfId="5452" xr:uid="{B56008D7-87C7-49CF-8593-2D19130A21A3}"/>
    <cellStyle name="20% - Accent3 2 4 2 2 2" xfId="5453" xr:uid="{19ED038D-D66D-4E36-B334-4265344AA098}"/>
    <cellStyle name="20% - Accent3 2 4 2 2_Working Capital Current" xfId="13490" xr:uid="{C5D3EBE0-7034-4AA4-948A-158B0754C0AA}"/>
    <cellStyle name="20% - Accent3 2 4 2 3" xfId="5454" xr:uid="{4789B2DB-1B0C-4909-A11C-4048D5C7EBEE}"/>
    <cellStyle name="20% - Accent3 2 4 2 4" xfId="5455" xr:uid="{B9FB4399-A69A-4AC0-BE2A-1629152B7D18}"/>
    <cellStyle name="20% - Accent3 2 4 2_Working Capital Current" xfId="13491" xr:uid="{210F7773-C7F0-433A-B2AD-570C99ED654D}"/>
    <cellStyle name="20% - Accent3 2 4 3" xfId="5456" xr:uid="{D7DD2E90-C518-4C09-AC57-2741C45EA164}"/>
    <cellStyle name="20% - Accent3 2 4 3 2" xfId="5457" xr:uid="{9E9FC8D5-A9C9-46C5-BB50-B9DEC528F417}"/>
    <cellStyle name="20% - Accent3 2 4 3_Working Capital Current" xfId="13492" xr:uid="{1AC61C14-11FD-4FBB-8B39-B76229843B33}"/>
    <cellStyle name="20% - Accent3 2 4 4" xfId="5458" xr:uid="{9935972C-8ECD-4DA5-AF1F-412DE501052B}"/>
    <cellStyle name="20% - Accent3 2 4 5" xfId="5459" xr:uid="{B3BE6AB8-3869-4BEE-9C78-FD290BF03548}"/>
    <cellStyle name="20% - Accent3 2 4 6" xfId="17630" xr:uid="{BCAD3FDC-E230-457E-89C9-75CCEE6B3B33}"/>
    <cellStyle name="20% - Accent3 2 4 7" xfId="18191" xr:uid="{F8476D2F-2899-4E77-AC37-7CC7F9ECBD94}"/>
    <cellStyle name="20% - Accent3 2 4 8" xfId="5450" xr:uid="{41A4F3B5-10AC-4259-A160-25189FC8D89B}"/>
    <cellStyle name="20% - Accent3 2 4_Not_for_upload_before_M4_correc" xfId="13493" xr:uid="{3C41DD89-5D15-4309-A25E-0786EFDD122C}"/>
    <cellStyle name="20% - Accent3 2 5" xfId="5460" xr:uid="{79EBCE86-50A9-4D99-A31E-B45A0550EB14}"/>
    <cellStyle name="20% - Accent3 2 5 2" xfId="5461" xr:uid="{4E4E256B-B4CE-4529-99FA-EA426D0F10FF}"/>
    <cellStyle name="20% - Accent3 2 5 2 2" xfId="5462" xr:uid="{01BD9271-05C0-4E56-93DD-4A373A631C81}"/>
    <cellStyle name="20% - Accent3 2 5 2_Working Capital Current" xfId="13494" xr:uid="{5B0F1689-13A6-41AF-9728-33EF8ECBD873}"/>
    <cellStyle name="20% - Accent3 2 5 3" xfId="5463" xr:uid="{C005C66A-8D60-44F5-B62A-87240BE67F7D}"/>
    <cellStyle name="20% - Accent3 2 6" xfId="5464" xr:uid="{FAB5099B-20AF-4503-9168-D8F5726436E5}"/>
    <cellStyle name="20% - Accent3 2 6 2" xfId="5465" xr:uid="{E56BED5E-2408-4283-AFE1-07B03274CE10}"/>
    <cellStyle name="20% - Accent3 2 6_Working Capital Current" xfId="13495" xr:uid="{47326E42-F92F-4735-AB74-3160E44CF1D3}"/>
    <cellStyle name="20% - Accent3 2 7" xfId="5466" xr:uid="{BB028B9B-9F60-4C98-999A-D6E40905450C}"/>
    <cellStyle name="20% - Accent3 2 7 2" xfId="5467" xr:uid="{39E4BADB-DD16-4DE0-B0A4-B8929DE9D5A3}"/>
    <cellStyle name="20% - Accent3 2 7_Working Capital Current" xfId="13496" xr:uid="{5B150063-939F-46D2-B25C-4C04012EBADE}"/>
    <cellStyle name="20% - Accent3 2 8" xfId="5468" xr:uid="{58D5B357-45BD-4F2C-BC26-12261DC964DD}"/>
    <cellStyle name="20% - Accent3 2 9" xfId="5469" xr:uid="{80BEA26A-2483-4896-B2CA-DB602DA77CE4}"/>
    <cellStyle name="20% - Accent3 2_Not_for_upload_before_M4_correc" xfId="13497" xr:uid="{B808FB4A-FBA5-4665-B1F8-9E821C8AA9FE}"/>
    <cellStyle name="20% - Accent3 20" xfId="5470" xr:uid="{6DEC62A0-5D91-45E4-BA6C-8808E96FB855}"/>
    <cellStyle name="20% - Accent3 20 2" xfId="5471" xr:uid="{6CBC17B0-9898-4A43-A92D-1DCEBDD2078B}"/>
    <cellStyle name="20% - Accent3 20 2 2" xfId="5472" xr:uid="{35F979AF-7FD1-43DA-955C-7DDD6F3D06B7}"/>
    <cellStyle name="20% - Accent3 20 2 2 2" xfId="5473" xr:uid="{4B8500C2-8A42-4497-B05F-2FC67DE554B6}"/>
    <cellStyle name="20% - Accent3 20 2 2_Working Capital Current" xfId="13498" xr:uid="{2CA7D60F-D651-463B-8E56-57CB42EC1438}"/>
    <cellStyle name="20% - Accent3 20 2 3" xfId="5474" xr:uid="{6764B7B2-C304-472D-97D1-C367AABC228D}"/>
    <cellStyle name="20% - Accent3 20 2 4" xfId="5475" xr:uid="{D429C11C-28CE-4667-94F7-540F502A0C24}"/>
    <cellStyle name="20% - Accent3 20 2_Working Capital Current" xfId="13499" xr:uid="{DBA8CB21-D14B-4F98-9B43-79E31BDB9CEE}"/>
    <cellStyle name="20% - Accent3 20 3" xfId="5476" xr:uid="{4FFB8B81-0E0E-45F2-B1DB-97F1CE2F7995}"/>
    <cellStyle name="20% - Accent3 20 3 2" xfId="5477" xr:uid="{256219A7-197B-4DC2-8988-0BDAF8F0C54E}"/>
    <cellStyle name="20% - Accent3 20 3_Working Capital Current" xfId="13500" xr:uid="{90BB877B-C62B-4695-BC59-21E5F7213E32}"/>
    <cellStyle name="20% - Accent3 20 4" xfId="5478" xr:uid="{0E8C840A-260A-4ADB-826D-824B39F09643}"/>
    <cellStyle name="20% - Accent3 20 5" xfId="5479" xr:uid="{6EF3713B-69E9-4F37-A2D5-1E5343787B8F}"/>
    <cellStyle name="20% - Accent3 20_Not_for_upload_before_M4_correc" xfId="13501" xr:uid="{D2E23FE7-0526-4A33-87FD-57D798E757AF}"/>
    <cellStyle name="20% - Accent3 21" xfId="5480" xr:uid="{A8B353C7-9DB8-4697-BA7C-21177697F12E}"/>
    <cellStyle name="20% - Accent3 21 2" xfId="5481" xr:uid="{6EC2864D-A55A-4C3E-96C2-580039E6EDFF}"/>
    <cellStyle name="20% - Accent3 21 2 2" xfId="5482" xr:uid="{CBCED078-C640-4E3E-A56C-B1EE7A6F81B0}"/>
    <cellStyle name="20% - Accent3 21 2 2 2" xfId="5483" xr:uid="{53A03B74-523A-46CC-9993-66C610ECC1BA}"/>
    <cellStyle name="20% - Accent3 21 2 2_Working Capital Current" xfId="13502" xr:uid="{C1CEF8D5-B9C6-44E9-A55D-99C728FEB4E9}"/>
    <cellStyle name="20% - Accent3 21 2 3" xfId="5484" xr:uid="{8FF54E96-2348-4F93-9B4D-4AAD29103B69}"/>
    <cellStyle name="20% - Accent3 21 2 4" xfId="5485" xr:uid="{6DB375DE-3349-476C-9130-E9F705949D14}"/>
    <cellStyle name="20% - Accent3 21 2_Working Capital Current" xfId="13503" xr:uid="{AE8066F9-0EC9-4CEC-8B55-E0352F8CB44C}"/>
    <cellStyle name="20% - Accent3 21 3" xfId="5486" xr:uid="{9B97FCB7-1205-496B-A915-7BA9211E3138}"/>
    <cellStyle name="20% - Accent3 21 3 2" xfId="5487" xr:uid="{4C341057-BC57-4A73-9E60-09D7780C55F7}"/>
    <cellStyle name="20% - Accent3 21 3_Working Capital Current" xfId="13504" xr:uid="{EE0CE2C0-9533-4791-B8EF-759330C879C5}"/>
    <cellStyle name="20% - Accent3 21 4" xfId="5488" xr:uid="{372050B0-4871-47CB-A591-EF1A3B2425DA}"/>
    <cellStyle name="20% - Accent3 21 5" xfId="5489" xr:uid="{8CE7FE9B-6FFC-4D10-ACDE-7A1236F7B823}"/>
    <cellStyle name="20% - Accent3 21_Not_for_upload_before_M4_correc" xfId="13505" xr:uid="{21A8797A-7C80-415B-93B0-96554ADE75DB}"/>
    <cellStyle name="20% - Accent3 22" xfId="5490" xr:uid="{B6F66C98-8721-4755-8658-2001951879F9}"/>
    <cellStyle name="20% - Accent3 22 2" xfId="5491" xr:uid="{FBE5FD4F-97CD-4547-AC22-702C236D415B}"/>
    <cellStyle name="20% - Accent3 22 2 2" xfId="5492" xr:uid="{633328A5-27CE-4454-9963-738540765B2E}"/>
    <cellStyle name="20% - Accent3 22 2 2 2" xfId="5493" xr:uid="{155A4F8A-11C7-4414-B23F-92700B7523A6}"/>
    <cellStyle name="20% - Accent3 22 2 2_Working Capital Current" xfId="13506" xr:uid="{76988214-5ACE-4A21-BA4C-537941A5B3FE}"/>
    <cellStyle name="20% - Accent3 22 2 3" xfId="5494" xr:uid="{FCF09ACD-1031-4224-8899-8639D29BB290}"/>
    <cellStyle name="20% - Accent3 22 2 4" xfId="5495" xr:uid="{DC1F7A67-CDE9-4F9C-AF1D-DBC6808BCAA4}"/>
    <cellStyle name="20% - Accent3 22 2_Working Capital Current" xfId="13507" xr:uid="{1FAB3A57-44EF-4D6C-8D4C-047C0188F9FD}"/>
    <cellStyle name="20% - Accent3 22 3" xfId="5496" xr:uid="{7CC1F439-E2D8-41B6-913F-651DAFE0AF5C}"/>
    <cellStyle name="20% - Accent3 22 3 2" xfId="5497" xr:uid="{1E9697E6-EDB8-4A1B-B28D-FFA87DA4B248}"/>
    <cellStyle name="20% - Accent3 22 3_Working Capital Current" xfId="13508" xr:uid="{FD5A2640-1D2A-4834-BBB7-C81E545F0025}"/>
    <cellStyle name="20% - Accent3 22 4" xfId="5498" xr:uid="{5AC7AA64-0463-4ADC-A990-F373D03E03F1}"/>
    <cellStyle name="20% - Accent3 22 5" xfId="5499" xr:uid="{1854D086-7509-4BE3-9921-183F66AD7D78}"/>
    <cellStyle name="20% - Accent3 22_Not_for_upload_before_M4_correc" xfId="13509" xr:uid="{11A71721-9CF6-46AE-A64B-DD3E5E605118}"/>
    <cellStyle name="20% - Accent3 23" xfId="5500" xr:uid="{03FB2F6C-B194-4A22-9D2F-E9FD418DA67B}"/>
    <cellStyle name="20% - Accent3 23 2" xfId="5501" xr:uid="{83A5D127-C55A-4588-ABE9-0AF1222413F2}"/>
    <cellStyle name="20% - Accent3 23 2 2" xfId="5502" xr:uid="{7212F6D3-F55E-4B37-A02D-0AF24A4B24BD}"/>
    <cellStyle name="20% - Accent3 23 2 2 2" xfId="5503" xr:uid="{A88889C9-5D7E-4BC0-9A32-0D0D97720EA0}"/>
    <cellStyle name="20% - Accent3 23 2 2_Working Capital Current" xfId="13510" xr:uid="{EC51B024-9BF5-4B0F-A4C4-B02BDFCE72B7}"/>
    <cellStyle name="20% - Accent3 23 2 3" xfId="5504" xr:uid="{F891358C-7C60-4AAD-8319-868A1BCA94BB}"/>
    <cellStyle name="20% - Accent3 23 2 4" xfId="5505" xr:uid="{6FAAAD57-1485-42F6-87C0-C7DAE80447BE}"/>
    <cellStyle name="20% - Accent3 23 2_Working Capital Current" xfId="13511" xr:uid="{6B5987A2-D137-495A-B97E-467794AB0978}"/>
    <cellStyle name="20% - Accent3 23 3" xfId="5506" xr:uid="{D3FA2492-E39E-43B7-9005-BA8954168384}"/>
    <cellStyle name="20% - Accent3 23 3 2" xfId="5507" xr:uid="{86F4874F-710E-4CC5-96A3-B3DA009AFB1E}"/>
    <cellStyle name="20% - Accent3 23 3_Working Capital Current" xfId="13512" xr:uid="{ACAF911A-61F9-4455-B373-A86645018CDD}"/>
    <cellStyle name="20% - Accent3 23 4" xfId="5508" xr:uid="{EC3B267B-162B-40DC-BA85-53411358D053}"/>
    <cellStyle name="20% - Accent3 23 5" xfId="5509" xr:uid="{2D5A9ACE-14FF-46BD-828A-6085DC2A0432}"/>
    <cellStyle name="20% - Accent3 23_Not_for_upload_before_M4_correc" xfId="13513" xr:uid="{9F1A6F58-72FB-4AB6-AB49-6EFFF3A7F2BC}"/>
    <cellStyle name="20% - Accent3 24" xfId="5510" xr:uid="{F2200F78-4950-41F8-A773-39F45C4F3331}"/>
    <cellStyle name="20% - Accent3 24 2" xfId="5511" xr:uid="{EA045610-043F-463F-92F8-78FBBB429075}"/>
    <cellStyle name="20% - Accent3 24 2 2" xfId="5512" xr:uid="{E84C8807-EB20-46C9-8C74-2E2DC9ECA1AD}"/>
    <cellStyle name="20% - Accent3 24 2 2 2" xfId="5513" xr:uid="{1814419B-47FC-4162-A9AD-6BFE6054E119}"/>
    <cellStyle name="20% - Accent3 24 2 2_Working Capital Current" xfId="13514" xr:uid="{E5E69DF2-24A4-4753-96E5-62A142AFCB17}"/>
    <cellStyle name="20% - Accent3 24 2 3" xfId="5514" xr:uid="{EB93CE4F-6EB7-4E14-88C7-B8356FB09DA5}"/>
    <cellStyle name="20% - Accent3 24 2 4" xfId="5515" xr:uid="{E4B83873-22E1-42B7-9386-ED47EA96A113}"/>
    <cellStyle name="20% - Accent3 24 2_Working Capital Current" xfId="13515" xr:uid="{2FDBEB2F-04D4-43E9-AB38-D961CA3222F0}"/>
    <cellStyle name="20% - Accent3 24 3" xfId="5516" xr:uid="{D5370715-9272-4E9C-8F58-298F36CC2FAC}"/>
    <cellStyle name="20% - Accent3 24 3 2" xfId="5517" xr:uid="{57C52E61-6564-4071-8B19-8C038684F857}"/>
    <cellStyle name="20% - Accent3 24 3_Working Capital Current" xfId="13516" xr:uid="{21C3344F-6551-43D9-8109-87AA4514A419}"/>
    <cellStyle name="20% - Accent3 24 4" xfId="5518" xr:uid="{ED12B89E-D9F8-44DC-B5FA-E43D651D0A1D}"/>
    <cellStyle name="20% - Accent3 24 5" xfId="5519" xr:uid="{47D7ABC5-CAB5-412F-B5DE-D5D0772DA015}"/>
    <cellStyle name="20% - Accent3 24_Not_for_upload_before_M4_correc" xfId="13517" xr:uid="{F2BF5D97-97C0-405C-98C4-BB0C2DB968E4}"/>
    <cellStyle name="20% - Accent3 25" xfId="5520" xr:uid="{8947A84A-F9A9-4DD9-8CD2-5EA6ADEE70C7}"/>
    <cellStyle name="20% - Accent3 25 2" xfId="5521" xr:uid="{18FE284B-218C-4B4B-9928-11816A1D0915}"/>
    <cellStyle name="20% - Accent3 25 2 2" xfId="5522" xr:uid="{1ACFA1F9-AB04-4255-A3B6-7E786EA0C3CA}"/>
    <cellStyle name="20% - Accent3 25 2 2 2" xfId="5523" xr:uid="{654703D0-189B-46CD-AACD-B8F2CFD858B7}"/>
    <cellStyle name="20% - Accent3 25 2 2_Working Capital Current" xfId="13518" xr:uid="{1538825A-F0C5-452B-B8F0-27D3367A8426}"/>
    <cellStyle name="20% - Accent3 25 2 3" xfId="5524" xr:uid="{4CEF3F67-232D-4108-A709-8743EE4E5ED1}"/>
    <cellStyle name="20% - Accent3 25 2 4" xfId="5525" xr:uid="{95B1E69F-BF89-478B-B116-7304E1DBDD25}"/>
    <cellStyle name="20% - Accent3 25 2_Working Capital Current" xfId="13519" xr:uid="{E10CB330-9354-405E-918C-6E72A57C8058}"/>
    <cellStyle name="20% - Accent3 25 3" xfId="5526" xr:uid="{26EF06A6-32FE-47A9-8B65-B017193AA21F}"/>
    <cellStyle name="20% - Accent3 25 3 2" xfId="5527" xr:uid="{683796B1-4605-4D1B-8B07-E7D404D32680}"/>
    <cellStyle name="20% - Accent3 25 3_Working Capital Current" xfId="13520" xr:uid="{90BE91CF-AFBF-43DC-8763-F1CF3B892762}"/>
    <cellStyle name="20% - Accent3 25 4" xfId="5528" xr:uid="{D40154CC-9CDF-4F3D-9768-211406601D6E}"/>
    <cellStyle name="20% - Accent3 25 5" xfId="5529" xr:uid="{97C255A3-DE7D-4FAA-B511-A372DA3986AC}"/>
    <cellStyle name="20% - Accent3 25_Not_for_upload_before_M4_correc" xfId="13521" xr:uid="{BCFA03F5-1741-4C63-9991-D46DFBACFDC5}"/>
    <cellStyle name="20% - Accent3 26" xfId="5530" xr:uid="{D740A78B-3E35-45A9-BC86-D961EDCBE0E5}"/>
    <cellStyle name="20% - Accent3 26 2" xfId="5531" xr:uid="{978C8FB1-8B0C-417E-9838-0AF42D8E1ED5}"/>
    <cellStyle name="20% - Accent3 26 2 2" xfId="5532" xr:uid="{436B77C5-4D6E-4720-A12A-CC4959CB9AC0}"/>
    <cellStyle name="20% - Accent3 26 2 3" xfId="5533" xr:uid="{51006971-EA94-4AC5-959C-6E157468262D}"/>
    <cellStyle name="20% - Accent3 26 2_Working Capital Current" xfId="13522" xr:uid="{F0381743-36D3-4796-9915-6F4CAB9E5B5A}"/>
    <cellStyle name="20% - Accent3 26 3" xfId="5534" xr:uid="{78BD1C4D-AEE4-419E-8606-6B64DDA4EB23}"/>
    <cellStyle name="20% - Accent3 26 3 2" xfId="5535" xr:uid="{AA48D595-0664-4AB6-9D11-04F23F7E9FD8}"/>
    <cellStyle name="20% - Accent3 26 3_Working Capital Current" xfId="13523" xr:uid="{0D41B39C-C2E4-4AE5-8E57-7B78683126F6}"/>
    <cellStyle name="20% - Accent3 26 4" xfId="5536" xr:uid="{FF5CE9CD-7A28-4317-88EF-B21721897B8D}"/>
    <cellStyle name="20% - Accent3 26 5" xfId="5537" xr:uid="{C8C7D6E0-6B55-46EA-A91E-4D11B8E52C55}"/>
    <cellStyle name="20% - Accent3 26_Not_for_upload_before_M4_correc" xfId="13524" xr:uid="{FB45224F-33E0-456B-8C0E-5F02860BB6C0}"/>
    <cellStyle name="20% - Accent3 27" xfId="5538" xr:uid="{33AFEAE4-2E1A-4CF7-87A8-E8FC70CCF837}"/>
    <cellStyle name="20% - Accent3 27 2" xfId="5539" xr:uid="{B60CAD91-CDC0-4702-A92D-6103FF7A2FAA}"/>
    <cellStyle name="20% - Accent3 27 2 2" xfId="5540" xr:uid="{49087708-9995-46DD-BD0B-8484C28E0160}"/>
    <cellStyle name="20% - Accent3 27 2 3" xfId="5541" xr:uid="{C997B013-AA58-49F2-9619-AD9F334E0CCF}"/>
    <cellStyle name="20% - Accent3 27 2_Working Capital Current" xfId="13525" xr:uid="{76FAF0E2-2BC9-4ADE-98F9-4584625E447C}"/>
    <cellStyle name="20% - Accent3 27 3" xfId="5542" xr:uid="{1AC20AD1-D4B6-4CF4-831B-62600C4873A4}"/>
    <cellStyle name="20% - Accent3 27 3 2" xfId="5543" xr:uid="{78E944EF-8BEE-4AA6-A86E-E5453E08813D}"/>
    <cellStyle name="20% - Accent3 27 3_Working Capital Current" xfId="13526" xr:uid="{42AAB0C8-D9E0-4D5D-B17B-602B7B2DE420}"/>
    <cellStyle name="20% - Accent3 27 4" xfId="5544" xr:uid="{361AB460-262F-4589-82A8-D1EEAFC9EE82}"/>
    <cellStyle name="20% - Accent3 27 5" xfId="5545" xr:uid="{546A5B9F-7D54-4AE9-B3E6-6C8D99404F9B}"/>
    <cellStyle name="20% - Accent3 27_Not_for_upload_before_M4_correc" xfId="13527" xr:uid="{8BB6A19A-01D4-4E97-8723-9B3C2814E6D9}"/>
    <cellStyle name="20% - Accent3 28" xfId="5546" xr:uid="{FD1601EE-C4CA-4B3A-902D-BB462693D6AA}"/>
    <cellStyle name="20% - Accent3 28 2" xfId="5547" xr:uid="{B1152E28-4ECE-4C1B-8914-BCF3C1321C80}"/>
    <cellStyle name="20% - Accent3 28 2 2" xfId="5548" xr:uid="{5730733D-8297-46E8-A2C2-76EB93D530CC}"/>
    <cellStyle name="20% - Accent3 28 2 3" xfId="5549" xr:uid="{BF425A95-087A-4862-99FA-C42037E11D7E}"/>
    <cellStyle name="20% - Accent3 28 2_Working Capital Current" xfId="13528" xr:uid="{536DA390-A7DA-4BF1-A8DF-3D694CFE625B}"/>
    <cellStyle name="20% - Accent3 28 3" xfId="5550" xr:uid="{F359A898-F06A-4393-9CB2-E843EFAB4ECE}"/>
    <cellStyle name="20% - Accent3 28 3 2" xfId="5551" xr:uid="{514C419F-9AE6-46D3-88C5-8241FE094A4F}"/>
    <cellStyle name="20% - Accent3 28 3_Working Capital Current" xfId="13529" xr:uid="{5F1A2A2C-D57C-43ED-9BDC-FC2E3376A9FE}"/>
    <cellStyle name="20% - Accent3 28 4" xfId="5552" xr:uid="{C949836C-01A0-4FC6-BCAB-938451902C9B}"/>
    <cellStyle name="20% - Accent3 28 5" xfId="5553" xr:uid="{A8F06048-2E35-4EBD-963F-C43DCE7A706A}"/>
    <cellStyle name="20% - Accent3 28_Not_for_upload_before_M4_correc" xfId="13530" xr:uid="{0A1EFF5E-5B48-4254-BCB7-69C40C807078}"/>
    <cellStyle name="20% - Accent3 29" xfId="5554" xr:uid="{6581E5CD-8590-4967-AB5C-A3BA497B2B65}"/>
    <cellStyle name="20% - Accent3 29 2" xfId="5555" xr:uid="{2E458141-3823-40C8-BC91-89F4BBF156B9}"/>
    <cellStyle name="20% - Accent3 29 2 2" xfId="5556" xr:uid="{D7DA07A3-E328-4D26-97C4-E3849647DC71}"/>
    <cellStyle name="20% - Accent3 29 2_Working Capital Current" xfId="13531" xr:uid="{C88E52A8-645C-4689-93E8-86D9FFAFA361}"/>
    <cellStyle name="20% - Accent3 29 3" xfId="5557" xr:uid="{73D107A2-7192-47D5-88CA-F0BBA9B9A273}"/>
    <cellStyle name="20% - Accent3 29 4" xfId="5558" xr:uid="{79E1AB78-C0DC-4AC7-B033-9829E1BF40D2}"/>
    <cellStyle name="20% - Accent3 29_Not_for_upload_before_M4_correc" xfId="13532" xr:uid="{691F89BF-0809-4791-A8F1-9039921FE444}"/>
    <cellStyle name="20% - Accent3 3" xfId="76" xr:uid="{2A0D94BC-B7DE-459C-AFD6-969B0B9F42A8}"/>
    <cellStyle name="20% - Accent3 3 2" xfId="1906" xr:uid="{96399150-96BA-4DF2-98A3-3638DCF68A2F}"/>
    <cellStyle name="20% - Accent3 3 2 2" xfId="5561" xr:uid="{5C5CB607-9FDC-4B98-820D-CD84C8C98A44}"/>
    <cellStyle name="20% - Accent3 3 2 2 2" xfId="5562" xr:uid="{93448FBD-6D89-4652-8A5C-0169FF4E7824}"/>
    <cellStyle name="20% - Accent3 3 2 2 2 2" xfId="5563" xr:uid="{D14176CB-BEE1-4937-95F8-97717BC2F33F}"/>
    <cellStyle name="20% - Accent3 3 2 2 2_Working Capital Current" xfId="13533" xr:uid="{F11FADCE-C205-4A5C-89A0-226C22A8EDB4}"/>
    <cellStyle name="20% - Accent3 3 2 2 3" xfId="5564" xr:uid="{B2A3531B-77C4-4352-85A9-31B3A853D68D}"/>
    <cellStyle name="20% - Accent3 3 2 2 4" xfId="5565" xr:uid="{86A65AEF-D789-4E6A-AAE4-F11CB2B139DF}"/>
    <cellStyle name="20% - Accent3 3 2 2_Working Capital Current" xfId="13534" xr:uid="{367D9BB3-D6CF-4AC0-8FCD-7EA5BFCC0DF3}"/>
    <cellStyle name="20% - Accent3 3 2 3" xfId="5566" xr:uid="{DFB4E61C-505A-424A-9D6F-47EE32D7A843}"/>
    <cellStyle name="20% - Accent3 3 2 3 2" xfId="5567" xr:uid="{4F7291E8-C6EA-4E7D-971A-B9E7FE328E19}"/>
    <cellStyle name="20% - Accent3 3 2 3_Working Capital Current" xfId="13535" xr:uid="{47247326-9ED4-49ED-B987-BA006A3B16B1}"/>
    <cellStyle name="20% - Accent3 3 2 4" xfId="5568" xr:uid="{3E6CED66-9C01-4695-AAF1-8A0E90410B7F}"/>
    <cellStyle name="20% - Accent3 3 2 5" xfId="5569" xr:uid="{A6D3E66B-5EB7-49D0-A318-4B3FD44A8F27}"/>
    <cellStyle name="20% - Accent3 3 2 6" xfId="17636" xr:uid="{007CCA84-A0FD-451C-99C3-4DF98790DFF8}"/>
    <cellStyle name="20% - Accent3 3 2 7" xfId="18193" xr:uid="{A03B57BD-AC0B-467A-A19C-9BC45FE3156A}"/>
    <cellStyle name="20% - Accent3 3 2 8" xfId="5560" xr:uid="{39C6F249-CED7-4C7A-A954-F730DF7C9FB3}"/>
    <cellStyle name="20% - Accent3 3 2_Not_for_upload_before_M4_correc" xfId="13536" xr:uid="{8633529E-6C88-4160-9AB8-79961CE16673}"/>
    <cellStyle name="20% - Accent3 3 3" xfId="5570" xr:uid="{DDF51630-E53A-4A01-88E5-1FB33B96A0D1}"/>
    <cellStyle name="20% - Accent3 3 3 2" xfId="5571" xr:uid="{CE777974-B058-4F12-B1F5-DED57007BC8C}"/>
    <cellStyle name="20% - Accent3 3 3 2 2" xfId="5572" xr:uid="{D7292326-8B26-4181-9EA2-C1F4280B3BEF}"/>
    <cellStyle name="20% - Accent3 3 3 2 2 2" xfId="5573" xr:uid="{05AEA768-0DF4-48F8-9959-ACE742556207}"/>
    <cellStyle name="20% - Accent3 3 3 2 2_Working Capital Current" xfId="13537" xr:uid="{4C3F8544-F8F8-4196-B427-C69C145BAB06}"/>
    <cellStyle name="20% - Accent3 3 3 2 3" xfId="5574" xr:uid="{6B6D6E23-6FB5-4056-B703-DE68C0AF410D}"/>
    <cellStyle name="20% - Accent3 3 3 2 4" xfId="5575" xr:uid="{B8FFC4D6-B300-442E-ADD0-0F4943CD9B89}"/>
    <cellStyle name="20% - Accent3 3 3 2_Working Capital Current" xfId="13538" xr:uid="{C37CE4EF-5698-433E-BE95-5A41294E55A8}"/>
    <cellStyle name="20% - Accent3 3 3 3" xfId="5576" xr:uid="{652B1773-DD81-4454-865F-DB694EC2F926}"/>
    <cellStyle name="20% - Accent3 3 3 3 2" xfId="5577" xr:uid="{E5445D33-F1C7-4E5A-8568-9C636DAEB767}"/>
    <cellStyle name="20% - Accent3 3 3 3_Working Capital Current" xfId="13539" xr:uid="{F7DE9276-D406-4B48-9567-277565459FF0}"/>
    <cellStyle name="20% - Accent3 3 3 4" xfId="5578" xr:uid="{7AB7CE5F-DC6D-4E90-9ED8-5D016F5AB1B9}"/>
    <cellStyle name="20% - Accent3 3 3 5" xfId="5579" xr:uid="{9880E0D7-0ED9-4B8A-8151-1485263E7F19}"/>
    <cellStyle name="20% - Accent3 3 3_Not_for_upload_before_M4_correc" xfId="13540" xr:uid="{34BBD48D-C5ED-4ED9-811E-C2512380D68F}"/>
    <cellStyle name="20% - Accent3 3 4" xfId="5580" xr:uid="{DE0C2CF2-D33B-4E6D-99A7-ECD29C645CF3}"/>
    <cellStyle name="20% - Accent3 3 4 2" xfId="5581" xr:uid="{896525A6-00BA-44DD-856C-8EE63D6557E1}"/>
    <cellStyle name="20% - Accent3 3 4 2 2" xfId="5582" xr:uid="{91C58179-51E3-47C0-B145-BEB9AB8A6E7E}"/>
    <cellStyle name="20% - Accent3 3 4 2 2 2" xfId="5583" xr:uid="{81E6EBE6-9ED7-4A5B-BD89-7F53160F3272}"/>
    <cellStyle name="20% - Accent3 3 4 2 2_Working Capital Current" xfId="13541" xr:uid="{B3CA6913-0BCA-49D9-89DA-B538F199D63D}"/>
    <cellStyle name="20% - Accent3 3 4 2 3" xfId="5584" xr:uid="{E947D9E8-0E1C-4517-B624-4748FAE70DE1}"/>
    <cellStyle name="20% - Accent3 3 4 2 4" xfId="5585" xr:uid="{11F74137-9251-489F-8F8F-F5A537A901B4}"/>
    <cellStyle name="20% - Accent3 3 4 2_Working Capital Current" xfId="13542" xr:uid="{74F313AA-CD87-4A51-BED9-A1D8EEA281CB}"/>
    <cellStyle name="20% - Accent3 3 4 3" xfId="5586" xr:uid="{2E0FEEE9-44F1-49CB-8E97-552C1013839E}"/>
    <cellStyle name="20% - Accent3 3 4 3 2" xfId="5587" xr:uid="{5F02E82D-98F1-4023-86AD-4107462FD2AE}"/>
    <cellStyle name="20% - Accent3 3 4 3_Working Capital Current" xfId="13543" xr:uid="{A3CFADE9-9796-4584-A392-2C3E83BD607B}"/>
    <cellStyle name="20% - Accent3 3 4 4" xfId="5588" xr:uid="{70B0348F-1528-403A-96E6-ECD701D33F82}"/>
    <cellStyle name="20% - Accent3 3 4 5" xfId="5589" xr:uid="{EE3AD68E-8303-4DCA-900E-A5875E1498CE}"/>
    <cellStyle name="20% - Accent3 3 4_Not_for_upload_before_M4_correc" xfId="13544" xr:uid="{CE81298E-FD41-41FE-9A20-15685B8179C1}"/>
    <cellStyle name="20% - Accent3 3 5" xfId="5590" xr:uid="{1260D36A-3CFB-46BD-B732-6B73A290565C}"/>
    <cellStyle name="20% - Accent3 3 5 2" xfId="5591" xr:uid="{DCFDA8E5-803F-477F-A3DF-DA8931D87D9E}"/>
    <cellStyle name="20% - Accent3 3 5 2 2" xfId="5592" xr:uid="{9FDA3630-D446-4E49-B656-C64028945C8F}"/>
    <cellStyle name="20% - Accent3 3 5 2_Working Capital Current" xfId="13545" xr:uid="{46EFC54C-E0CE-4948-9929-1CA6149B3EF6}"/>
    <cellStyle name="20% - Accent3 3 5 3" xfId="5593" xr:uid="{AC590F4E-DC08-44F4-AD3D-D6B43CF0B5E4}"/>
    <cellStyle name="20% - Accent3 3 5 4" xfId="5594" xr:uid="{04F76D59-D772-4B12-B3D1-E881C5FEFDBA}"/>
    <cellStyle name="20% - Accent3 3 5_Working Capital Current" xfId="13546" xr:uid="{A0914735-D1FB-4155-A1A3-BD66D48B4BF5}"/>
    <cellStyle name="20% - Accent3 3 6" xfId="5595" xr:uid="{0F10204F-6974-41EC-9311-FDDADC904F9F}"/>
    <cellStyle name="20% - Accent3 3 6 2" xfId="5596" xr:uid="{271230B5-B3C9-45FB-99AD-B769729C5F30}"/>
    <cellStyle name="20% - Accent3 3 6_Working Capital Current" xfId="13547" xr:uid="{9E5850BD-7218-43C3-A374-475E98F62E58}"/>
    <cellStyle name="20% - Accent3 3 7" xfId="5597" xr:uid="{3072AE61-D8B6-4A45-B7EA-7AC183281A3C}"/>
    <cellStyle name="20% - Accent3 3 8" xfId="5598" xr:uid="{C76C7215-F6C9-4DDC-946C-9E15F4006AF8}"/>
    <cellStyle name="20% - Accent3 3 9" xfId="5559" xr:uid="{4AC20EB9-DC95-4BC1-8EFF-580EAC03F3BB}"/>
    <cellStyle name="20% - Accent3 3_Not_for_upload_before_M4_correc" xfId="13548" xr:uid="{3E67ED21-C375-4F49-885D-80862B3D0868}"/>
    <cellStyle name="20% - Accent3 30" xfId="5599" xr:uid="{8736ACC9-2EF8-459B-B7F9-A4D555BDA021}"/>
    <cellStyle name="20% - Accent3 30 2" xfId="5600" xr:uid="{4C041F4B-8845-4D93-A7CF-453C65ACBC97}"/>
    <cellStyle name="20% - Accent3 30 2 2" xfId="5601" xr:uid="{3DD0F589-2357-4CDB-93C8-D804A77E464E}"/>
    <cellStyle name="20% - Accent3 30 2_Working Capital Current" xfId="13549" xr:uid="{AAF0D011-A5AD-4F66-A36B-639BAE26815D}"/>
    <cellStyle name="20% - Accent3 30 3" xfId="5602" xr:uid="{AEA40EAE-3689-4B6A-A217-2DD55756A63B}"/>
    <cellStyle name="20% - Accent3 30 4" xfId="5603" xr:uid="{355D4CC2-9A78-444D-822F-301AE097E14E}"/>
    <cellStyle name="20% - Accent3 30_Working Capital Current" xfId="13550" xr:uid="{18A4F87C-7EB0-4D06-8387-6A4EE7EF9FE0}"/>
    <cellStyle name="20% - Accent3 31" xfId="5604" xr:uid="{16E80366-059B-4EDD-BF38-FED780CEA8AE}"/>
    <cellStyle name="20% - Accent3 31 2" xfId="5605" xr:uid="{BA6F91C5-337A-4E2F-8FC2-96430BADDE0C}"/>
    <cellStyle name="20% - Accent3 31 2 2" xfId="5606" xr:uid="{A68A7CEF-A2F4-4D52-BF96-683F432B0C85}"/>
    <cellStyle name="20% - Accent3 31 2_Working Capital Current" xfId="13551" xr:uid="{4B391C8F-B671-4012-AB28-527C7126E7FB}"/>
    <cellStyle name="20% - Accent3 31 3" xfId="5607" xr:uid="{8C132CFF-BF5A-4DE9-AFDC-6057E8160EED}"/>
    <cellStyle name="20% - Accent3 31 4" xfId="5608" xr:uid="{1974A6ED-F651-4E96-B13B-3C1EC89FD108}"/>
    <cellStyle name="20% - Accent3 31_Working Capital Current" xfId="13552" xr:uid="{FF53B417-3F15-4F78-9D3F-623157F4F0F4}"/>
    <cellStyle name="20% - Accent3 32" xfId="5609" xr:uid="{A95A0291-DFAD-4226-B587-662BC2CA89FE}"/>
    <cellStyle name="20% - Accent3 32 2" xfId="5610" xr:uid="{E79B001B-0320-4179-B361-F494688FF473}"/>
    <cellStyle name="20% - Accent3 32 2 2" xfId="5611" xr:uid="{02446DAE-20E6-4CB5-90EA-D9F72FDF3FA0}"/>
    <cellStyle name="20% - Accent3 32 2_Working Capital Current" xfId="13553" xr:uid="{9CBE52A8-60F8-476E-BBA2-326BBCE9B3CF}"/>
    <cellStyle name="20% - Accent3 32 3" xfId="5612" xr:uid="{3D8F516A-5177-4B11-AA43-5E0791878E40}"/>
    <cellStyle name="20% - Accent3 32 4" xfId="5613" xr:uid="{CE9A57C8-2B49-41F6-A64B-5BC3DF2EAE38}"/>
    <cellStyle name="20% - Accent3 32_Working Capital Current" xfId="13554" xr:uid="{77572186-4122-42EF-A1C8-3878A73B3064}"/>
    <cellStyle name="20% - Accent3 33" xfId="5614" xr:uid="{ECFF9292-9295-48A9-9A7D-7436F79F7460}"/>
    <cellStyle name="20% - Accent3 33 2" xfId="5615" xr:uid="{06E78685-F4C6-42E2-97BB-B0B0DDB20232}"/>
    <cellStyle name="20% - Accent3 33 2 2" xfId="5616" xr:uid="{991B515B-30EC-4016-9F49-FCBF8623DBCC}"/>
    <cellStyle name="20% - Accent3 33 2_Working Capital Current" xfId="13555" xr:uid="{57E19B22-6409-4B21-BBB4-930513167769}"/>
    <cellStyle name="20% - Accent3 33 3" xfId="5617" xr:uid="{861AF568-EA5A-4425-9B9B-8662C8DD5CED}"/>
    <cellStyle name="20% - Accent3 33 4" xfId="5618" xr:uid="{0137EB42-5797-4686-BA44-A1C543025FC3}"/>
    <cellStyle name="20% - Accent3 33_Working Capital Current" xfId="13556" xr:uid="{3FE6C1B2-FFF2-40F1-9D81-22B8272224E9}"/>
    <cellStyle name="20% - Accent3 34" xfId="5619" xr:uid="{C9D81DF0-96D8-46AA-8E08-62147B92ED7F}"/>
    <cellStyle name="20% - Accent3 34 2" xfId="5620" xr:uid="{BD50A9AD-9817-47B6-AC04-4405F42E3D55}"/>
    <cellStyle name="20% - Accent3 34 2 2" xfId="5621" xr:uid="{ECA8EBEC-6EFD-4941-B8FC-9EA793E0621A}"/>
    <cellStyle name="20% - Accent3 34 2_Working Capital Current" xfId="13557" xr:uid="{3552BC48-6957-4CF5-88C4-ABBED6B0371E}"/>
    <cellStyle name="20% - Accent3 34 3" xfId="5622" xr:uid="{6F2E1934-65C7-4480-9712-FD221A4A4260}"/>
    <cellStyle name="20% - Accent3 34 4" xfId="5623" xr:uid="{B2BFF3E0-9205-4D43-B882-16CE7957BE0A}"/>
    <cellStyle name="20% - Accent3 34_Working Capital Current" xfId="13558" xr:uid="{85EA4653-EC6E-494D-B27A-FCBDCC291D01}"/>
    <cellStyle name="20% - Accent3 35" xfId="5624" xr:uid="{26C1D827-A091-49C5-A5C7-DD5C4F11CB29}"/>
    <cellStyle name="20% - Accent3 35 2" xfId="5625" xr:uid="{41874F35-53E4-4F60-A3E4-362904927A19}"/>
    <cellStyle name="20% - Accent3 35 2 2" xfId="5626" xr:uid="{DA1FD90C-8B76-460A-8812-3ECC8A02C095}"/>
    <cellStyle name="20% - Accent3 35 2_Working Capital Current" xfId="13559" xr:uid="{B1D1E657-319A-473F-9978-BBBC1E7153EC}"/>
    <cellStyle name="20% - Accent3 35 3" xfId="5627" xr:uid="{B087ADE9-7A92-4C01-9D35-48C16CFE66E2}"/>
    <cellStyle name="20% - Accent3 35 4" xfId="5628" xr:uid="{EB9B28F8-1646-4837-930D-7419341C87A3}"/>
    <cellStyle name="20% - Accent3 35_Working Capital Current" xfId="13560" xr:uid="{7FC20EB3-6059-4404-962A-9187699B5437}"/>
    <cellStyle name="20% - Accent3 36" xfId="5629" xr:uid="{B2404EA5-643C-4BE2-88E1-6A6A8BF1164B}"/>
    <cellStyle name="20% - Accent3 36 2" xfId="5630" xr:uid="{E25CE422-45E4-47E6-9FDD-3D623D661F8C}"/>
    <cellStyle name="20% - Accent3 36 2 2" xfId="5631" xr:uid="{BA04B2B4-9AEC-4CF2-B1D8-E63E070531AC}"/>
    <cellStyle name="20% - Accent3 36 2_Working Capital Current" xfId="13561" xr:uid="{6DF6780A-EE4D-4C74-99B2-5A25C2BD2FD7}"/>
    <cellStyle name="20% - Accent3 36 3" xfId="5632" xr:uid="{4F71B971-E95C-4B10-990B-B92EF4B530AD}"/>
    <cellStyle name="20% - Accent3 36 4" xfId="5633" xr:uid="{F7ADFA58-DE69-4D01-A8E0-C0B869AAD1D4}"/>
    <cellStyle name="20% - Accent3 36_Working Capital Current" xfId="13562" xr:uid="{C690E08B-01A8-487D-B152-0555D0071ADA}"/>
    <cellStyle name="20% - Accent3 37" xfId="5634" xr:uid="{31728BF8-0395-4A85-BE5F-64AC50800A71}"/>
    <cellStyle name="20% - Accent3 37 2" xfId="5635" xr:uid="{D71C53B2-AC8B-4C47-8F92-2B58C37EB112}"/>
    <cellStyle name="20% - Accent3 37 2 2" xfId="5636" xr:uid="{6C8D085C-0BA9-42EE-B834-7A1D054ABA2A}"/>
    <cellStyle name="20% - Accent3 37 2_Working Capital Current" xfId="13563" xr:uid="{7009C9D6-DA2D-4D0C-AA99-4E574CEFD166}"/>
    <cellStyle name="20% - Accent3 37 3" xfId="5637" xr:uid="{E3DE340E-BAFA-4CB7-997C-E987E83C1538}"/>
    <cellStyle name="20% - Accent3 37 4" xfId="5638" xr:uid="{984C9715-3D9B-4674-8A38-C71F39E3A75E}"/>
    <cellStyle name="20% - Accent3 37_Working Capital Current" xfId="13564" xr:uid="{BFB581D3-840C-4270-BA0B-980F3E25A1A4}"/>
    <cellStyle name="20% - Accent3 38" xfId="5639" xr:uid="{21C5925E-F000-4FD2-BBF8-67AE1A7E0561}"/>
    <cellStyle name="20% - Accent3 38 2" xfId="5640" xr:uid="{6DED2213-E0CF-4FA6-9D4F-4833921CDF35}"/>
    <cellStyle name="20% - Accent3 38 2 2" xfId="5641" xr:uid="{F752300A-53BB-437B-A518-195C78E4D6B9}"/>
    <cellStyle name="20% - Accent3 38 2_Working Capital Current" xfId="13565" xr:uid="{006134F8-A34F-412F-9894-13F37D78DD25}"/>
    <cellStyle name="20% - Accent3 38 3" xfId="5642" xr:uid="{2D7EB3B7-243E-4E32-9345-6EA4959331ED}"/>
    <cellStyle name="20% - Accent3 38 4" xfId="5643" xr:uid="{2C3657B1-90FB-4D26-A708-381162858A0F}"/>
    <cellStyle name="20% - Accent3 38_Working Capital Current" xfId="13566" xr:uid="{EE49C64A-60BD-484C-8DD0-E361CD6B74E9}"/>
    <cellStyle name="20% - Accent3 39" xfId="5644" xr:uid="{283CA56D-098D-4A03-9622-000DA9ECFA0C}"/>
    <cellStyle name="20% - Accent3 39 2" xfId="5645" xr:uid="{D4F23108-AE73-4CF2-A05C-52E7A4111E27}"/>
    <cellStyle name="20% - Accent3 39 2 2" xfId="5646" xr:uid="{9AE97146-DCA5-4BD0-A501-20172BDBD72D}"/>
    <cellStyle name="20% - Accent3 39 2_Working Capital Current" xfId="13567" xr:uid="{3F35A293-2CF7-453A-AFBD-7D87D2C3808C}"/>
    <cellStyle name="20% - Accent3 39 3" xfId="5647" xr:uid="{61684691-DA80-48E5-87F7-A6F7B33DA730}"/>
    <cellStyle name="20% - Accent3 39 4" xfId="5648" xr:uid="{CE76608E-78B8-4D38-A5AF-CD7D7AD00DB5}"/>
    <cellStyle name="20% - Accent3 39_Working Capital Current" xfId="13568" xr:uid="{EAF3C57A-4933-4122-8CE5-7C53511E083E}"/>
    <cellStyle name="20% - Accent3 4" xfId="1871" xr:uid="{C44A17CB-1543-4D6F-A820-1B471B0E2F5D}"/>
    <cellStyle name="20% - Accent3 4 2" xfId="5650" xr:uid="{F7F63FAD-F3F3-4CA0-AD64-636B18D00AD5}"/>
    <cellStyle name="20% - Accent3 4 2 2" xfId="5651" xr:uid="{A536D13A-F684-433B-9FF2-D21607823814}"/>
    <cellStyle name="20% - Accent3 4 2 2 2" xfId="5652" xr:uid="{6D42C80A-C8C8-42CC-8226-AC797746F661}"/>
    <cellStyle name="20% - Accent3 4 2 2_Working Capital Current" xfId="13569" xr:uid="{F1ACB17A-A673-47D1-96EC-671E30E89A7F}"/>
    <cellStyle name="20% - Accent3 4 2 3" xfId="5653" xr:uid="{7DC1AB00-39A8-4272-90D4-77F62F1DBA69}"/>
    <cellStyle name="20% - Accent3 4 2 4" xfId="5654" xr:uid="{052247FA-C92D-4FE0-AA21-E17007AB73D9}"/>
    <cellStyle name="20% - Accent3 4 2_Working Capital Current" xfId="13570" xr:uid="{94698173-7731-472E-9AC2-01C9ED6F652D}"/>
    <cellStyle name="20% - Accent3 4 3" xfId="5655" xr:uid="{2E726FEF-7468-4992-82EB-738463744752}"/>
    <cellStyle name="20% - Accent3 4 3 2" xfId="5656" xr:uid="{ED1FA8C4-6345-40C9-9D3C-FA116165E596}"/>
    <cellStyle name="20% - Accent3 4 3_Working Capital Current" xfId="13571" xr:uid="{565D68A2-5B32-470A-9BAE-2E2BFB1A8F1A}"/>
    <cellStyle name="20% - Accent3 4 4" xfId="5657" xr:uid="{D2CDC0F4-B199-433B-A770-03741EE66EA4}"/>
    <cellStyle name="20% - Accent3 4 5" xfId="5658" xr:uid="{69606DD3-E029-4793-B3EA-CD4F42EC8CDE}"/>
    <cellStyle name="20% - Accent3 4 6" xfId="17608" xr:uid="{845542F4-A568-4719-A91B-EE73D520A4C6}"/>
    <cellStyle name="20% - Accent3 4 7" xfId="18177" xr:uid="{AADB141D-3FF7-40C7-A472-E2583F541308}"/>
    <cellStyle name="20% - Accent3 4 8" xfId="5649" xr:uid="{B1F59775-968E-4BE9-9AB9-5773B4180D81}"/>
    <cellStyle name="20% - Accent3 4_Not_for_upload_before_M4_correc" xfId="13572" xr:uid="{74D54FDE-1F41-4B7D-B8AD-00F587065033}"/>
    <cellStyle name="20% - Accent3 40" xfId="5659" xr:uid="{330A4285-A542-4755-84FF-4645ACB6BEFB}"/>
    <cellStyle name="20% - Accent3 40 2" xfId="5660" xr:uid="{04C5F0E2-A221-46B8-9A48-CA16A68C66F3}"/>
    <cellStyle name="20% - Accent3 40 2 2" xfId="5661" xr:uid="{8F8B5788-72E4-4B46-AAB4-D54B0944DB2C}"/>
    <cellStyle name="20% - Accent3 40 2_Working Capital Current" xfId="13573" xr:uid="{70124374-4CC9-48EB-9B2C-C8CD7F44F23F}"/>
    <cellStyle name="20% - Accent3 40 3" xfId="5662" xr:uid="{6D2FEC6C-D9DA-4837-BA97-C2CBD14ACCDC}"/>
    <cellStyle name="20% - Accent3 40 4" xfId="5663" xr:uid="{EFEEA22B-CFDA-4401-A6E7-2A3789043306}"/>
    <cellStyle name="20% - Accent3 40_Working Capital Current" xfId="13574" xr:uid="{F1503CA3-EEC5-4DE8-AFC9-F877891CC1CE}"/>
    <cellStyle name="20% - Accent3 41" xfId="5664" xr:uid="{23DCC747-C7B5-4829-AD59-4A57BC8F2DDF}"/>
    <cellStyle name="20% - Accent3 41 2" xfId="5665" xr:uid="{4D940759-BF1B-4267-BE16-45A3F761D86D}"/>
    <cellStyle name="20% - Accent3 41 2 2" xfId="5666" xr:uid="{EAE17DF3-971E-4506-8B12-C1A4693F7F0F}"/>
    <cellStyle name="20% - Accent3 41 2_Working Capital Current" xfId="13575" xr:uid="{80FBC98B-776B-47A5-93DE-8CA2E10940AF}"/>
    <cellStyle name="20% - Accent3 41 3" xfId="5667" xr:uid="{7A0C3512-4893-4360-8726-63A3D7D3514D}"/>
    <cellStyle name="20% - Accent3 41 4" xfId="5668" xr:uid="{047D44A1-0E29-4D04-B70D-86E60AFBA3A4}"/>
    <cellStyle name="20% - Accent3 41_Working Capital Current" xfId="13576" xr:uid="{CE30EDE2-F191-4D13-9DBE-0C71369D1777}"/>
    <cellStyle name="20% - Accent3 42" xfId="5669" xr:uid="{0E3BA786-D373-47FF-9330-7E12A42C0BD3}"/>
    <cellStyle name="20% - Accent3 42 2" xfId="5670" xr:uid="{E6B04ACB-E634-482D-8A84-E01CFCD64DD7}"/>
    <cellStyle name="20% - Accent3 42 2 2" xfId="5671" xr:uid="{6624C8D8-8B47-41C7-8DD1-55DEB1D8A738}"/>
    <cellStyle name="20% - Accent3 42 2_Working Capital Current" xfId="13577" xr:uid="{8DCB97F6-E1E7-4063-9092-369ADAA9FD88}"/>
    <cellStyle name="20% - Accent3 42 3" xfId="5672" xr:uid="{B8F1ABFC-B005-4179-8EEE-5A4383DA9ED4}"/>
    <cellStyle name="20% - Accent3 42 4" xfId="5673" xr:uid="{BE1D567D-5829-4107-B426-D395982F5592}"/>
    <cellStyle name="20% - Accent3 42_Working Capital Current" xfId="13578" xr:uid="{CCE9251D-08F7-4648-B810-9C9CD2A4A95A}"/>
    <cellStyle name="20% - Accent3 43" xfId="5674" xr:uid="{1840C444-630C-4B9A-B957-29A3C3B39741}"/>
    <cellStyle name="20% - Accent3 43 2" xfId="5675" xr:uid="{114E0DC4-6E7D-415B-8486-939971C42A72}"/>
    <cellStyle name="20% - Accent3 43 2 2" xfId="5676" xr:uid="{768A13AD-FE45-4724-9B26-B24D2E59C4B2}"/>
    <cellStyle name="20% - Accent3 43 2_Working Capital Current" xfId="13579" xr:uid="{E037748F-4B8C-4920-84BE-727D651A459A}"/>
    <cellStyle name="20% - Accent3 43 3" xfId="5677" xr:uid="{6E46D284-0977-4631-9AA8-2C3B9436C490}"/>
    <cellStyle name="20% - Accent3 43 4" xfId="5678" xr:uid="{A41AA98E-FED1-42FB-825E-6C8D14426881}"/>
    <cellStyle name="20% - Accent3 43_Working Capital Current" xfId="13580" xr:uid="{5212E8D7-871F-44A3-A209-E4938EE88FF8}"/>
    <cellStyle name="20% - Accent3 44" xfId="5679" xr:uid="{0CAA80CA-DA0F-4FFC-BD40-3F677843658C}"/>
    <cellStyle name="20% - Accent3 44 2" xfId="5680" xr:uid="{F50CA3CE-E548-45A9-B1CE-35EC6D393502}"/>
    <cellStyle name="20% - Accent3 44 2 2" xfId="5681" xr:uid="{63588F5D-C721-41EA-B24E-1EF7AD9E0C7C}"/>
    <cellStyle name="20% - Accent3 44 2_Working Capital Current" xfId="13581" xr:uid="{98822267-5F55-44BD-82D5-C08E72037226}"/>
    <cellStyle name="20% - Accent3 44 3" xfId="5682" xr:uid="{4FC28F00-9674-47E4-8A3F-32ABD19957E4}"/>
    <cellStyle name="20% - Accent3 44 4" xfId="5683" xr:uid="{D05E5029-8F0B-445D-9F92-1A3329F614C7}"/>
    <cellStyle name="20% - Accent3 44_Working Capital Current" xfId="13582" xr:uid="{66E539A1-F30B-466A-A3F5-81D6D2E49447}"/>
    <cellStyle name="20% - Accent3 45" xfId="5684" xr:uid="{5320A681-D33E-4890-8CA8-B9BF55B04352}"/>
    <cellStyle name="20% - Accent3 45 2" xfId="5685" xr:uid="{6FC01FC9-2EE6-4A93-880E-6135A68A9564}"/>
    <cellStyle name="20% - Accent3 45 2 2" xfId="5686" xr:uid="{2E500EEE-063D-4514-AAD3-3A53CD8CBE13}"/>
    <cellStyle name="20% - Accent3 45 2_Working Capital Current" xfId="13583" xr:uid="{E25FD653-111B-4725-BB60-72D41F7E9D9A}"/>
    <cellStyle name="20% - Accent3 45 3" xfId="5687" xr:uid="{3D848F45-E5BB-4471-B722-2071D644488F}"/>
    <cellStyle name="20% - Accent3 45 4" xfId="5688" xr:uid="{91631EA3-E3DF-411D-9EFC-94B3DCBD4955}"/>
    <cellStyle name="20% - Accent3 45_Working Capital Current" xfId="13584" xr:uid="{9CF358D1-648B-476E-A625-23B8F70627A1}"/>
    <cellStyle name="20% - Accent3 46" xfId="5689" xr:uid="{91A76819-D428-47AD-B26A-12C63798E9EB}"/>
    <cellStyle name="20% - Accent3 46 2" xfId="5690" xr:uid="{97D3EF38-D868-447A-BE55-0996EA504889}"/>
    <cellStyle name="20% - Accent3 46 2 2" xfId="5691" xr:uid="{DD27D7CB-9421-498E-AE85-86B4A8601094}"/>
    <cellStyle name="20% - Accent3 46 2_Working Capital Current" xfId="13585" xr:uid="{1358EAFA-16CB-4DF8-8262-325FD7E6CC2E}"/>
    <cellStyle name="20% - Accent3 46 3" xfId="5692" xr:uid="{277E96BC-0102-4C0E-8E55-9F1E41790CAC}"/>
    <cellStyle name="20% - Accent3 46 4" xfId="5693" xr:uid="{C165CAD6-1B3E-4873-BBCE-963AFCC9A609}"/>
    <cellStyle name="20% - Accent3 46_Working Capital Current" xfId="13586" xr:uid="{CE3323A8-7214-43C5-9DFD-9D58C53916B1}"/>
    <cellStyle name="20% - Accent3 47" xfId="5694" xr:uid="{A90FEF90-7E9F-49DA-8450-24792C5E93BF}"/>
    <cellStyle name="20% - Accent3 47 2" xfId="5695" xr:uid="{BEACF53B-16A1-40BA-B153-D2A0A5CC94F0}"/>
    <cellStyle name="20% - Accent3 47 2 2" xfId="5696" xr:uid="{AAE0E4ED-F33E-4A97-9F2C-0CC7A4CAC84A}"/>
    <cellStyle name="20% - Accent3 47 2_Working Capital Current" xfId="13587" xr:uid="{349763FE-4191-45A7-8067-BB68D8116C51}"/>
    <cellStyle name="20% - Accent3 47 3" xfId="5697" xr:uid="{B6F5E969-8E85-43D3-8854-92C834B3A69A}"/>
    <cellStyle name="20% - Accent3 47 4" xfId="5698" xr:uid="{039B283A-0853-4612-B6BC-01A68811211F}"/>
    <cellStyle name="20% - Accent3 47_Working Capital Current" xfId="13588" xr:uid="{B93D0782-0C12-4D11-BE09-07A525E0473C}"/>
    <cellStyle name="20% - Accent3 48" xfId="5699" xr:uid="{1E895020-0C7D-44B0-BC07-7FE83DFB95DF}"/>
    <cellStyle name="20% - Accent3 48 2" xfId="5700" xr:uid="{C504C639-4711-4B46-8375-B7C5EA11260A}"/>
    <cellStyle name="20% - Accent3 48 2 2" xfId="5701" xr:uid="{D621FD9D-06C2-4113-9DFC-0C83C77E61DC}"/>
    <cellStyle name="20% - Accent3 48 2_Working Capital Current" xfId="13589" xr:uid="{D2F5A1EC-AC46-4A0E-82FB-97A2C8831671}"/>
    <cellStyle name="20% - Accent3 48 3" xfId="5702" xr:uid="{C01EA5B2-9341-4FFC-839B-F6E649D054B4}"/>
    <cellStyle name="20% - Accent3 48 4" xfId="5703" xr:uid="{9C1512E2-0D05-4014-9290-91D1CD56B4D2}"/>
    <cellStyle name="20% - Accent3 48_Working Capital Current" xfId="13590" xr:uid="{51CFEA33-063A-4FED-95E4-3BD4E0E4D879}"/>
    <cellStyle name="20% - Accent3 49" xfId="5704" xr:uid="{DCAF461E-5360-42FC-82E5-FA269D5A2DCE}"/>
    <cellStyle name="20% - Accent3 49 2" xfId="5705" xr:uid="{DD15F227-1D45-4E0C-8530-09C5090A0925}"/>
    <cellStyle name="20% - Accent3 49 2 2" xfId="5706" xr:uid="{B2392817-1F16-486A-87E0-ED10C0519F3D}"/>
    <cellStyle name="20% - Accent3 49 2_Working Capital Current" xfId="13591" xr:uid="{D1064F70-BD65-40EF-91C1-5C3B1F6434D4}"/>
    <cellStyle name="20% - Accent3 49 3" xfId="5707" xr:uid="{499E02E1-2FF9-4599-8427-C6396690052D}"/>
    <cellStyle name="20% - Accent3 49 4" xfId="5708" xr:uid="{ABB1F9B4-CB8E-40FD-9E91-66C20F6D9805}"/>
    <cellStyle name="20% - Accent3 49_Working Capital Current" xfId="13592" xr:uid="{832C99F0-DC41-487A-8293-088843E42640}"/>
    <cellStyle name="20% - Accent3 5" xfId="5709" xr:uid="{8A51C752-B295-4DF7-AE95-78766B91250A}"/>
    <cellStyle name="20% - Accent3 5 2" xfId="5710" xr:uid="{9E8A8B7C-0A16-4D63-A65C-9B9F02AFA69D}"/>
    <cellStyle name="20% - Accent3 5 2 2" xfId="5711" xr:uid="{EE1DC704-22D5-4085-BCD1-8A474D54388C}"/>
    <cellStyle name="20% - Accent3 5 2 2 2" xfId="5712" xr:uid="{0A160DD5-782C-4B86-902E-43338A7C6FBE}"/>
    <cellStyle name="20% - Accent3 5 2 2_Working Capital Current" xfId="13593" xr:uid="{4A141788-5E13-4978-A892-93067025E7F7}"/>
    <cellStyle name="20% - Accent3 5 2 3" xfId="5713" xr:uid="{8E67581B-9733-45C8-92CE-ADB5D84111D9}"/>
    <cellStyle name="20% - Accent3 5 2 4" xfId="5714" xr:uid="{2AE5B352-7BE0-46CB-9077-C8B8B3E9F802}"/>
    <cellStyle name="20% - Accent3 5 2_Working Capital Current" xfId="13594" xr:uid="{2AF26EE0-8E36-4E36-AED3-743499A8F7C7}"/>
    <cellStyle name="20% - Accent3 5 3" xfId="5715" xr:uid="{208DBF60-7872-4AF8-B3DB-91998AF38998}"/>
    <cellStyle name="20% - Accent3 5 3 2" xfId="5716" xr:uid="{40D1EABC-2035-4C8B-92C3-71E559B86585}"/>
    <cellStyle name="20% - Accent3 5 3_Working Capital Current" xfId="13595" xr:uid="{23427151-334A-4D35-BFD1-66DBC98F87DF}"/>
    <cellStyle name="20% - Accent3 5 4" xfId="5717" xr:uid="{1D1D8064-738B-48BE-BB47-962A43DB497E}"/>
    <cellStyle name="20% - Accent3 5 5" xfId="5718" xr:uid="{23C4D6D7-D392-49C3-931B-AF71B2BC7AC1}"/>
    <cellStyle name="20% - Accent3 5_Not_for_upload_before_M4_correc" xfId="13596" xr:uid="{E33BE6A5-CBED-486B-B50C-0F67B05A9215}"/>
    <cellStyle name="20% - Accent3 50" xfId="5719" xr:uid="{2388B73C-EFD7-400C-BD82-40981B7DC1BF}"/>
    <cellStyle name="20% - Accent3 50 2" xfId="5720" xr:uid="{064F224C-CF87-46BB-B310-C9D2BF97568C}"/>
    <cellStyle name="20% - Accent3 50 2 2" xfId="5721" xr:uid="{FE212B61-F83C-42BC-955E-8276979633F1}"/>
    <cellStyle name="20% - Accent3 50 2_Working Capital Current" xfId="13597" xr:uid="{E6823965-B406-4490-A947-BA0DAE09FAD3}"/>
    <cellStyle name="20% - Accent3 50 3" xfId="5722" xr:uid="{1FE2FFCE-CC0E-43A1-9E6B-F7D73585ADFC}"/>
    <cellStyle name="20% - Accent3 50 4" xfId="5723" xr:uid="{A00DA637-DD05-46AC-BD41-A71BAFBF4CF9}"/>
    <cellStyle name="20% - Accent3 50_Working Capital Current" xfId="13598" xr:uid="{BF3B7F4C-6FE6-4852-A9C7-C4BF31499CD5}"/>
    <cellStyle name="20% - Accent3 51" xfId="5724" xr:uid="{FA93BE14-17A2-4206-8907-014B62D5638E}"/>
    <cellStyle name="20% - Accent3 51 2" xfId="5725" xr:uid="{48567B28-0AC7-4867-A08D-27BF6FA5DE51}"/>
    <cellStyle name="20% - Accent3 51 2 2" xfId="5726" xr:uid="{EFA95E8B-4E2F-44A2-BF97-4160ADD0550E}"/>
    <cellStyle name="20% - Accent3 51 2_Working Capital Current" xfId="13599" xr:uid="{EC46C77D-512C-44D5-B1AE-D5894EF7F102}"/>
    <cellStyle name="20% - Accent3 51 3" xfId="5727" xr:uid="{D2179520-1E2D-4C75-BC9C-CF953E4268C1}"/>
    <cellStyle name="20% - Accent3 51 4" xfId="5728" xr:uid="{EE2C1C36-8473-43BF-B94F-FFA157CD8E54}"/>
    <cellStyle name="20% - Accent3 51_Working Capital Current" xfId="13600" xr:uid="{718AA930-1314-4526-A891-860BE1B688FB}"/>
    <cellStyle name="20% - Accent3 52" xfId="5729" xr:uid="{90697FCD-084E-480C-9CD5-9C4311B0B935}"/>
    <cellStyle name="20% - Accent3 52 2" xfId="5730" xr:uid="{62429058-766B-4C8D-9C81-DAC4B3D16A6F}"/>
    <cellStyle name="20% - Accent3 52 2 2" xfId="5731" xr:uid="{2B989B89-A20F-4838-927C-613D997E02D0}"/>
    <cellStyle name="20% - Accent3 52 2_Working Capital Current" xfId="13601" xr:uid="{D7BB0140-220A-48F7-98E4-8D6B3E09DEB0}"/>
    <cellStyle name="20% - Accent3 52 3" xfId="5732" xr:uid="{803B6791-A5FE-4AED-9DAF-54E34CA2EA67}"/>
    <cellStyle name="20% - Accent3 52 4" xfId="5733" xr:uid="{7C7DA597-C891-4DBA-9E50-B3EA25260094}"/>
    <cellStyle name="20% - Accent3 52_Working Capital Current" xfId="13602" xr:uid="{0B5381B0-3205-4E84-9A1E-D4A31AC88E2D}"/>
    <cellStyle name="20% - Accent3 53" xfId="5734" xr:uid="{63E19B0F-10FB-46D7-99F1-044DC8CF1DD5}"/>
    <cellStyle name="20% - Accent3 53 2" xfId="5735" xr:uid="{F2417CDE-8112-4EBE-9741-DCCED2864E7F}"/>
    <cellStyle name="20% - Accent3 53 2 2" xfId="5736" xr:uid="{F3D60854-B97B-4BB3-9710-4883F9BA2A7D}"/>
    <cellStyle name="20% - Accent3 53 2_Working Capital Current" xfId="13603" xr:uid="{761AD757-9449-4A96-9D1C-763C487CD108}"/>
    <cellStyle name="20% - Accent3 53 3" xfId="5737" xr:uid="{6A18C4FF-2ACB-49D1-959F-1618516CCD19}"/>
    <cellStyle name="20% - Accent3 53 4" xfId="5738" xr:uid="{2575135D-82AB-42AF-BA9A-4E5E1B2F82BE}"/>
    <cellStyle name="20% - Accent3 53_Working Capital Current" xfId="13604" xr:uid="{3AA16D29-C941-4753-86A3-E4FA96962D6D}"/>
    <cellStyle name="20% - Accent3 54" xfId="5739" xr:uid="{FF4FE003-D2C1-4435-944D-9B62EA795641}"/>
    <cellStyle name="20% - Accent3 54 2" xfId="5740" xr:uid="{6FCF07BA-5B75-4AA5-B4E1-F849B5A6FDE2}"/>
    <cellStyle name="20% - Accent3 54 2 2" xfId="5741" xr:uid="{47070A89-25CF-4E1E-9341-70DE567D4840}"/>
    <cellStyle name="20% - Accent3 54 2_Working Capital Current" xfId="13605" xr:uid="{ED47CD2D-9B42-4424-A993-0B4F17D28492}"/>
    <cellStyle name="20% - Accent3 54 3" xfId="5742" xr:uid="{2EE626FB-8EC9-4C35-9B0F-AD5EC9EF3443}"/>
    <cellStyle name="20% - Accent3 54 4" xfId="5743" xr:uid="{8CE3A78A-3E5F-4252-9429-066D78B3D733}"/>
    <cellStyle name="20% - Accent3 54_Working Capital Current" xfId="13606" xr:uid="{9C664A39-3202-41C8-AB61-C0F5C24083EB}"/>
    <cellStyle name="20% - Accent3 55" xfId="5744" xr:uid="{9158A46C-97DE-438D-8E96-6DAF8A2D3375}"/>
    <cellStyle name="20% - Accent3 55 2" xfId="5745" xr:uid="{17E2023D-FDA4-46D2-9BA1-681DD1BD579D}"/>
    <cellStyle name="20% - Accent3 55 2 2" xfId="5746" xr:uid="{3117FC29-4F13-4B70-BF58-2B92B2998DC0}"/>
    <cellStyle name="20% - Accent3 55 2_Working Capital Current" xfId="13607" xr:uid="{325CDA5B-0B31-4C9E-9DC5-E7802A7430B0}"/>
    <cellStyle name="20% - Accent3 55 3" xfId="5747" xr:uid="{910D8A22-9001-4684-9301-796CB15BE3A3}"/>
    <cellStyle name="20% - Accent3 55 4" xfId="5748" xr:uid="{7CD0611B-822B-4454-A0AA-563D86646E6F}"/>
    <cellStyle name="20% - Accent3 55_Working Capital Current" xfId="13608" xr:uid="{D85D1EDD-566D-407B-AE32-3A3C0DF57848}"/>
    <cellStyle name="20% - Accent3 56" xfId="5749" xr:uid="{F2D37753-D9D5-41BD-BB76-D5C32A58AF1E}"/>
    <cellStyle name="20% - Accent3 56 2" xfId="5750" xr:uid="{B8CB2E85-0C34-47F6-9784-860E69CEFC53}"/>
    <cellStyle name="20% - Accent3 56 2 2" xfId="5751" xr:uid="{96E4358E-84B8-49E8-840B-B1C3CF22DF78}"/>
    <cellStyle name="20% - Accent3 56 2_Working Capital Current" xfId="13609" xr:uid="{5DA1D891-AFAD-4C4D-94A7-D765AF344B60}"/>
    <cellStyle name="20% - Accent3 56 3" xfId="5752" xr:uid="{F8A19344-AFBB-47B3-B9BA-61FE709FC915}"/>
    <cellStyle name="20% - Accent3 56 4" xfId="5753" xr:uid="{3FAD8153-1174-413B-918E-52C5D7336D1C}"/>
    <cellStyle name="20% - Accent3 56_Working Capital Current" xfId="13610" xr:uid="{C79C00D6-B533-4B0E-BBBE-34D948BF3FB6}"/>
    <cellStyle name="20% - Accent3 57" xfId="5754" xr:uid="{3DBA8314-1E22-4C50-B296-8070D4F1DF1D}"/>
    <cellStyle name="20% - Accent3 57 2" xfId="5755" xr:uid="{7191AC21-3F16-4360-BB0E-BB4D35BF2F76}"/>
    <cellStyle name="20% - Accent3 57 2 2" xfId="5756" xr:uid="{0277C506-ED56-470D-B611-590B90D15D6B}"/>
    <cellStyle name="20% - Accent3 57 2_Working Capital Current" xfId="13611" xr:uid="{2B3347E8-3039-4ADD-8CD8-2BC1EE67CA83}"/>
    <cellStyle name="20% - Accent3 57 3" xfId="5757" xr:uid="{8F3AD0A6-2CAA-49BC-9C1A-64369F00FC6F}"/>
    <cellStyle name="20% - Accent3 57 4" xfId="5758" xr:uid="{B67449C0-4880-43BA-8ECE-013D4D0F8238}"/>
    <cellStyle name="20% - Accent3 57_Working Capital Current" xfId="13612" xr:uid="{D5A5043B-3A72-43C7-AC20-1CA6FFBF9586}"/>
    <cellStyle name="20% - Accent3 58" xfId="5759" xr:uid="{439259BC-8C00-4056-98BA-2E19ED66A161}"/>
    <cellStyle name="20% - Accent3 58 2" xfId="5760" xr:uid="{79431C2A-1C2A-447B-B5F7-FA27C8577517}"/>
    <cellStyle name="20% - Accent3 58 2 2" xfId="5761" xr:uid="{4D1D7C6B-EFE1-485A-AD26-8C2FBC9BC6C4}"/>
    <cellStyle name="20% - Accent3 58 2_Working Capital Current" xfId="13613" xr:uid="{EB781265-4BED-4702-9CA2-D7088F1929F8}"/>
    <cellStyle name="20% - Accent3 58 3" xfId="5762" xr:uid="{CB6022A9-89EC-4061-A59C-5F506D5A8E81}"/>
    <cellStyle name="20% - Accent3 58 4" xfId="5763" xr:uid="{67CB6964-AA16-448D-8637-1432B6EAF0FF}"/>
    <cellStyle name="20% - Accent3 58_Working Capital Current" xfId="13614" xr:uid="{3B580679-F465-45ED-9B9D-87BBF780FB78}"/>
    <cellStyle name="20% - Accent3 59" xfId="5764" xr:uid="{4F963418-EAE0-4288-A2F9-A6BD9461C920}"/>
    <cellStyle name="20% - Accent3 59 2" xfId="5765" xr:uid="{2DD4A70F-30D5-42B2-B9D3-135914B92EEB}"/>
    <cellStyle name="20% - Accent3 59 2 2" xfId="5766" xr:uid="{F7F3895E-3F12-4A89-996A-4797D4B95BA1}"/>
    <cellStyle name="20% - Accent3 59 2_Working Capital Current" xfId="13615" xr:uid="{FD4BBD40-F310-4EC9-B659-46820A5A0654}"/>
    <cellStyle name="20% - Accent3 59 3" xfId="5767" xr:uid="{AAF7CCAF-A6CC-4B33-80C0-86D6BEE19273}"/>
    <cellStyle name="20% - Accent3 59 4" xfId="5768" xr:uid="{AAA501BD-1789-4529-8802-17290C2839B9}"/>
    <cellStyle name="20% - Accent3 59_Working Capital Current" xfId="13616" xr:uid="{15F5006F-16A4-478D-81F3-7C4C0AF9B3D7}"/>
    <cellStyle name="20% - Accent3 6" xfId="5769" xr:uid="{1178C18C-9D76-4DA7-915F-7BA6DF1BFE64}"/>
    <cellStyle name="20% - Accent3 6 2" xfId="5770" xr:uid="{62806E4E-DAC2-402D-89B3-9E5EFD792B08}"/>
    <cellStyle name="20% - Accent3 6 2 2" xfId="5771" xr:uid="{2A769606-D77F-4113-B9BD-0CCB561FF232}"/>
    <cellStyle name="20% - Accent3 6 2 2 2" xfId="5772" xr:uid="{159DC615-73E2-4718-81DC-DF3079336D3C}"/>
    <cellStyle name="20% - Accent3 6 2 2_Working Capital Current" xfId="13617" xr:uid="{28D48482-76B1-46B4-86D7-430A2EEECECE}"/>
    <cellStyle name="20% - Accent3 6 2 3" xfId="5773" xr:uid="{34084B63-56AA-431A-956E-2B5DA29FCDF9}"/>
    <cellStyle name="20% - Accent3 6 2 4" xfId="5774" xr:uid="{CC760318-AFBB-4AD7-8BFC-0E1AAC5DF7DF}"/>
    <cellStyle name="20% - Accent3 6 2_Working Capital Current" xfId="13618" xr:uid="{4259E838-D1B5-47C6-AFE6-3DD6CCF3845C}"/>
    <cellStyle name="20% - Accent3 6 3" xfId="5775" xr:uid="{ECCF082E-E892-4F81-9719-18CE6621FB74}"/>
    <cellStyle name="20% - Accent3 6 3 2" xfId="5776" xr:uid="{2C3451A0-4BBA-4B08-8B8C-2EEF724D788D}"/>
    <cellStyle name="20% - Accent3 6 3_Working Capital Current" xfId="13619" xr:uid="{C7283B9C-1683-4912-9AEF-B348F684AB91}"/>
    <cellStyle name="20% - Accent3 6 4" xfId="5777" xr:uid="{2C6E7608-4301-4F99-8CDD-5B52564116CD}"/>
    <cellStyle name="20% - Accent3 6 5" xfId="5778" xr:uid="{560C7787-6DE7-48DB-B40F-C5360827E4F3}"/>
    <cellStyle name="20% - Accent3 6_Not_for_upload_before_M4_correc" xfId="13620" xr:uid="{5728672C-E62F-4D4F-A35C-0409FAFE0D9D}"/>
    <cellStyle name="20% - Accent3 60" xfId="5779" xr:uid="{E0A51EE9-6AE3-4AA8-AEC1-2C1C6C52865A}"/>
    <cellStyle name="20% - Accent3 60 2" xfId="5780" xr:uid="{6DDAE35A-A0B9-4DB7-AA68-872AFD9D2C8D}"/>
    <cellStyle name="20% - Accent3 60 2 2" xfId="5781" xr:uid="{94FDA5BF-FFD3-4B2A-AA3D-9F6329CB3847}"/>
    <cellStyle name="20% - Accent3 60 2_Working Capital Current" xfId="13621" xr:uid="{E3A18817-E444-4608-92E9-6A896CD6471D}"/>
    <cellStyle name="20% - Accent3 60 3" xfId="5782" xr:uid="{812A2400-9293-442E-B7E0-7084CF6B459A}"/>
    <cellStyle name="20% - Accent3 60 4" xfId="5783" xr:uid="{BC530ACE-60BF-45B4-A737-2E2220736087}"/>
    <cellStyle name="20% - Accent3 60_Working Capital Current" xfId="13622" xr:uid="{723CF319-DD00-4C6C-B991-EF439B277E5C}"/>
    <cellStyle name="20% - Accent3 61" xfId="5784" xr:uid="{3CC8C724-4015-4C37-AAE0-583008DEBE48}"/>
    <cellStyle name="20% - Accent3 61 2" xfId="5785" xr:uid="{01BC781F-EFA8-4A9D-8AD9-1AA21F6E526A}"/>
    <cellStyle name="20% - Accent3 61 2 2" xfId="5786" xr:uid="{17F2D24D-CB68-4C38-9EAB-1624F3DFC9FE}"/>
    <cellStyle name="20% - Accent3 61 2_Working Capital Current" xfId="13623" xr:uid="{6320971C-5322-46BB-B0F1-49028716C7FF}"/>
    <cellStyle name="20% - Accent3 61 3" xfId="5787" xr:uid="{F9B0220D-5E3C-4CC6-90A4-4CE924C0380B}"/>
    <cellStyle name="20% - Accent3 61 4" xfId="5788" xr:uid="{FC3C6E12-5789-4BF9-8510-32E0E0659A84}"/>
    <cellStyle name="20% - Accent3 61_Working Capital Current" xfId="13624" xr:uid="{9E5330E9-1739-4C9C-81F7-17C39C0FCD89}"/>
    <cellStyle name="20% - Accent3 62" xfId="5789" xr:uid="{EE36D9FB-BA81-40FF-97CD-83FB84B9A999}"/>
    <cellStyle name="20% - Accent3 62 2" xfId="5790" xr:uid="{DE47A089-69C5-498A-B752-239F455FC193}"/>
    <cellStyle name="20% - Accent3 62 2 2" xfId="5791" xr:uid="{BC9D3FB0-1628-49C5-874F-353C61D40C7D}"/>
    <cellStyle name="20% - Accent3 62 2_Working Capital Current" xfId="13625" xr:uid="{6A3ABB97-E696-449F-8874-1DAD9B45912B}"/>
    <cellStyle name="20% - Accent3 62 3" xfId="5792" xr:uid="{703AF71A-F6E2-431D-84DA-45B2000E7C56}"/>
    <cellStyle name="20% - Accent3 62 4" xfId="5793" xr:uid="{B5313948-3BFD-455D-9F00-CB3277E2824F}"/>
    <cellStyle name="20% - Accent3 62_Working Capital Current" xfId="13626" xr:uid="{06C4A113-2287-4203-AA1B-B3D11608B555}"/>
    <cellStyle name="20% - Accent3 63" xfId="5794" xr:uid="{46AC0030-2AC0-4BDE-8B84-784EF4675119}"/>
    <cellStyle name="20% - Accent3 63 2" xfId="5795" xr:uid="{758B9A1B-039F-4E47-B500-336DF6C42E0C}"/>
    <cellStyle name="20% - Accent3 63 2 2" xfId="5796" xr:uid="{5026FF17-A86C-4B0C-9944-AB77A1604A41}"/>
    <cellStyle name="20% - Accent3 63 2_Working Capital Current" xfId="13627" xr:uid="{0B6AA5AF-22A7-437D-B9F3-738D2503FA10}"/>
    <cellStyle name="20% - Accent3 63 3" xfId="5797" xr:uid="{0D85B865-CD9E-445F-AE68-ADBCD978A572}"/>
    <cellStyle name="20% - Accent3 63 4" xfId="5798" xr:uid="{8FAAAEE4-C3DD-489F-A024-471D1EA587C8}"/>
    <cellStyle name="20% - Accent3 63_Working Capital Current" xfId="13628" xr:uid="{F0352E8A-D44B-43D8-8613-809868B9CA5A}"/>
    <cellStyle name="20% - Accent3 64" xfId="5799" xr:uid="{4502113C-4BFA-430E-B6C7-BDEBB23901F8}"/>
    <cellStyle name="20% - Accent3 64 2" xfId="5800" xr:uid="{8475F146-D898-4404-B8F6-4F34A3A132EB}"/>
    <cellStyle name="20% - Accent3 64 2 2" xfId="5801" xr:uid="{95FADC05-3748-4B82-8141-490ADE96B3EC}"/>
    <cellStyle name="20% - Accent3 64 2_Working Capital Current" xfId="13629" xr:uid="{9CADD696-BAFC-4999-A730-E2290E9EB36D}"/>
    <cellStyle name="20% - Accent3 64 3" xfId="5802" xr:uid="{56BFA67D-BD0E-447D-B853-5F73CA94A15D}"/>
    <cellStyle name="20% - Accent3 64 4" xfId="5803" xr:uid="{069B83E7-FB1E-492C-B3A4-BD43A3596326}"/>
    <cellStyle name="20% - Accent3 64_Working Capital Current" xfId="13630" xr:uid="{B0F4A136-625B-4A35-A46C-8B90B74FBC53}"/>
    <cellStyle name="20% - Accent3 65" xfId="5804" xr:uid="{6849229C-2AC7-420C-BA5F-49139829359F}"/>
    <cellStyle name="20% - Accent3 65 2" xfId="5805" xr:uid="{C5CF1FDE-9D00-46E9-BB6F-E675FF28546B}"/>
    <cellStyle name="20% - Accent3 65 2 2" xfId="5806" xr:uid="{2F6C6C6F-E079-472F-ACC6-7356C713A708}"/>
    <cellStyle name="20% - Accent3 65 2_Working Capital Current" xfId="13631" xr:uid="{04EE137B-BAD2-4570-93BF-3EFAC5CF426C}"/>
    <cellStyle name="20% - Accent3 65 3" xfId="5807" xr:uid="{09102BF9-B3AA-4BA0-9110-7687C70DB92C}"/>
    <cellStyle name="20% - Accent3 65 4" xfId="5808" xr:uid="{DBB9ECA5-DD63-4D2F-802F-5350B25D3271}"/>
    <cellStyle name="20% - Accent3 65_Working Capital Current" xfId="13632" xr:uid="{55F717C3-6443-4294-A5E2-0CEF84F1BAB5}"/>
    <cellStyle name="20% - Accent3 66" xfId="5809" xr:uid="{0A292930-4588-4169-8675-0187D70AA18D}"/>
    <cellStyle name="20% - Accent3 66 2" xfId="5810" xr:uid="{99DD6943-7BA1-4212-9110-A580DF8DAA18}"/>
    <cellStyle name="20% - Accent3 66 2 2" xfId="5811" xr:uid="{0D35B7A9-51D8-40E7-9E1E-80AC7BA8312E}"/>
    <cellStyle name="20% - Accent3 66 2_Working Capital Current" xfId="13633" xr:uid="{E260DFBE-E890-4D6E-B7AA-90D78CEF4132}"/>
    <cellStyle name="20% - Accent3 66 3" xfId="5812" xr:uid="{948FD93C-3EEC-44F6-A742-636A5FCAED08}"/>
    <cellStyle name="20% - Accent3 66 4" xfId="5813" xr:uid="{0C53F452-A0F8-4ECD-86DD-D4EAB122F286}"/>
    <cellStyle name="20% - Accent3 66_Working Capital Current" xfId="13634" xr:uid="{F64C5FD2-EEA6-474B-996E-3B60D00D12DF}"/>
    <cellStyle name="20% - Accent3 67" xfId="5814" xr:uid="{6167C152-BFD3-447C-BBD3-2860DEBBA865}"/>
    <cellStyle name="20% - Accent3 67 2" xfId="5815" xr:uid="{D632D0C2-765A-4593-9048-B52A4D54E57C}"/>
    <cellStyle name="20% - Accent3 67 2 2" xfId="5816" xr:uid="{A128F1DB-7E8F-4AC7-8C68-5476022CAC76}"/>
    <cellStyle name="20% - Accent3 67 2_Working Capital Current" xfId="13635" xr:uid="{263331A0-6F63-4EFF-9860-5E9FBE940E09}"/>
    <cellStyle name="20% - Accent3 67 3" xfId="5817" xr:uid="{95C3346E-7179-49ED-B1C2-20BEA3435510}"/>
    <cellStyle name="20% - Accent3 67 4" xfId="5818" xr:uid="{599A81C4-0E48-4985-BBEE-9A48F8D9A22C}"/>
    <cellStyle name="20% - Accent3 67_Working Capital Current" xfId="13636" xr:uid="{90438B4F-F6E8-44EB-9767-A5F0F9CC83B3}"/>
    <cellStyle name="20% - Accent3 68" xfId="5819" xr:uid="{0D50742E-CA74-401D-B15C-FC4D820EE01B}"/>
    <cellStyle name="20% - Accent3 68 2" xfId="5820" xr:uid="{B5FD1CF3-AD97-43D3-BE2E-F8F3C3608F9C}"/>
    <cellStyle name="20% - Accent3 68 2 2" xfId="5821" xr:uid="{F7D95C6D-9FC6-4327-86B4-B58668287406}"/>
    <cellStyle name="20% - Accent3 68 2_Working Capital Current" xfId="13637" xr:uid="{84BB99AA-7727-41FD-926D-69A25F7E3A17}"/>
    <cellStyle name="20% - Accent3 68 3" xfId="5822" xr:uid="{4FEAE578-10AC-402F-A1EC-22BFBF44D1B3}"/>
    <cellStyle name="20% - Accent3 68 4" xfId="5823" xr:uid="{8721723E-4839-4E60-814D-938E05C3A781}"/>
    <cellStyle name="20% - Accent3 68_Working Capital Current" xfId="13638" xr:uid="{F38DE2FC-56C0-4C86-BDD2-D207BB3B5DE4}"/>
    <cellStyle name="20% - Accent3 69" xfId="5824" xr:uid="{6DCAE2E9-FFAE-49F6-A31D-FA6F2A93A4CB}"/>
    <cellStyle name="20% - Accent3 69 2" xfId="5825" xr:uid="{C3C9464D-E3BA-4D44-95A5-873BC69F78FD}"/>
    <cellStyle name="20% - Accent3 69 2 2" xfId="5826" xr:uid="{ACD16077-8BA2-4D06-98ED-A02A085CCAFB}"/>
    <cellStyle name="20% - Accent3 69 2_Working Capital Current" xfId="13639" xr:uid="{D4323CB9-294E-4EB8-9E5C-FF2BEE916AAC}"/>
    <cellStyle name="20% - Accent3 69 3" xfId="5827" xr:uid="{489F1091-3C77-4454-A338-DFB949DD5357}"/>
    <cellStyle name="20% - Accent3 69 4" xfId="5828" xr:uid="{CD66F87A-A8B0-4444-96C2-79DC61CAC07A}"/>
    <cellStyle name="20% - Accent3 69_Working Capital Current" xfId="13640" xr:uid="{B7665307-7F1C-4B41-95FB-9148D8A09FBA}"/>
    <cellStyle name="20% - Accent3 7" xfId="5829" xr:uid="{45BAB95C-A793-4E5B-84A1-84E5A6CE2641}"/>
    <cellStyle name="20% - Accent3 7 2" xfId="5830" xr:uid="{3F25FD2E-EA31-430B-A32F-218936CF0D5A}"/>
    <cellStyle name="20% - Accent3 7 2 2" xfId="5831" xr:uid="{256E208A-57C4-40D3-B05B-C1D515C12A13}"/>
    <cellStyle name="20% - Accent3 7 2 2 2" xfId="5832" xr:uid="{092F456F-1122-472F-9F99-05698A31965D}"/>
    <cellStyle name="20% - Accent3 7 2 2_Working Capital Current" xfId="13641" xr:uid="{962BAC5C-A959-4714-BA1B-2CFB82E3A115}"/>
    <cellStyle name="20% - Accent3 7 2 3" xfId="5833" xr:uid="{AFA4DBBD-C1BA-4871-A566-C27E7095A399}"/>
    <cellStyle name="20% - Accent3 7 2 4" xfId="5834" xr:uid="{17FA58F2-BA92-4CF1-A490-967B9DC62101}"/>
    <cellStyle name="20% - Accent3 7 2_Working Capital Current" xfId="13642" xr:uid="{E776EC24-A527-4175-BDB0-95F6297A7469}"/>
    <cellStyle name="20% - Accent3 7 3" xfId="5835" xr:uid="{A2FEB754-6198-45A3-91EF-74D191E908F4}"/>
    <cellStyle name="20% - Accent3 7 3 2" xfId="5836" xr:uid="{FEDB67CA-CB38-41BC-93D5-280D2DDDBE69}"/>
    <cellStyle name="20% - Accent3 7 3_Working Capital Current" xfId="13643" xr:uid="{4B8E852F-7EF0-4549-A4E3-1F9818B008B9}"/>
    <cellStyle name="20% - Accent3 7 4" xfId="5837" xr:uid="{876D7938-0F38-4484-9C6D-A3F222E9AA10}"/>
    <cellStyle name="20% - Accent3 7 5" xfId="5838" xr:uid="{CB7CD679-3D82-4409-AAB1-D02D74CC0737}"/>
    <cellStyle name="20% - Accent3 7_Not_for_upload_before_M4_correc" xfId="13644" xr:uid="{FDE40B39-786F-42EC-B34F-672596A6DC90}"/>
    <cellStyle name="20% - Accent3 70" xfId="5839" xr:uid="{C08A165B-CE53-4C54-8F9C-27603FE46D20}"/>
    <cellStyle name="20% - Accent3 70 2" xfId="5840" xr:uid="{0016AE3E-AEA6-4EDB-AC3A-71C0E8E9922C}"/>
    <cellStyle name="20% - Accent3 70 2 2" xfId="5841" xr:uid="{7B4A2399-696F-4C88-AFC6-28B3A1544099}"/>
    <cellStyle name="20% - Accent3 70 2_Working Capital Current" xfId="13645" xr:uid="{3AE89A90-6155-4D79-A780-C4C7662A8577}"/>
    <cellStyle name="20% - Accent3 70 3" xfId="5842" xr:uid="{05283B4D-E6E3-439A-88F2-7CF8AC5C19EC}"/>
    <cellStyle name="20% - Accent3 70 4" xfId="5843" xr:uid="{E65637F8-AF92-49F8-9D8D-977804A10F79}"/>
    <cellStyle name="20% - Accent3 70_Working Capital Current" xfId="13646" xr:uid="{67295E8E-8948-4E45-A03F-D2918D2F9846}"/>
    <cellStyle name="20% - Accent3 71" xfId="5844" xr:uid="{428DF299-E0C3-4B91-9F5C-044435D36CEF}"/>
    <cellStyle name="20% - Accent3 71 2" xfId="5845" xr:uid="{83F75A78-2653-4505-A132-0CD52D691627}"/>
    <cellStyle name="20% - Accent3 71 2 2" xfId="5846" xr:uid="{FA1F0F18-235F-4722-B0B5-C792F8F3CB3E}"/>
    <cellStyle name="20% - Accent3 71 2_Working Capital Current" xfId="13647" xr:uid="{0FD06F94-D6D5-4D30-A5AC-60529148EE37}"/>
    <cellStyle name="20% - Accent3 71 3" xfId="5847" xr:uid="{B8861AFA-FBE3-40C2-8AE1-1F62F858CDC2}"/>
    <cellStyle name="20% - Accent3 71 4" xfId="5848" xr:uid="{40A56893-DF33-4DCE-B6AD-B3157413EADE}"/>
    <cellStyle name="20% - Accent3 71_Working Capital Current" xfId="13648" xr:uid="{52DFAE78-0E50-48DA-B5F0-C0C0C74BD019}"/>
    <cellStyle name="20% - Accent3 72" xfId="5849" xr:uid="{0ACF287F-6BBB-4025-976C-4075C5464E79}"/>
    <cellStyle name="20% - Accent3 72 2" xfId="5850" xr:uid="{9EC9946C-5BD2-4604-80EF-7212CCCC30DC}"/>
    <cellStyle name="20% - Accent3 72 2 2" xfId="5851" xr:uid="{BCF22DD7-386B-49D7-A215-9A60DD60EE60}"/>
    <cellStyle name="20% - Accent3 72 2_Working Capital Current" xfId="13649" xr:uid="{C5629763-BC00-419F-AC16-606C0829CCE7}"/>
    <cellStyle name="20% - Accent3 72 3" xfId="5852" xr:uid="{5A27E5E0-EAE5-43F3-AEA7-E041E3B6F589}"/>
    <cellStyle name="20% - Accent3 72 4" xfId="5853" xr:uid="{3264F47B-BBB7-4D2D-864E-F089F1C0904F}"/>
    <cellStyle name="20% - Accent3 72_Working Capital Current" xfId="13650" xr:uid="{99D2E57B-2370-405D-BDF2-E8B3EA99FA64}"/>
    <cellStyle name="20% - Accent3 73" xfId="5854" xr:uid="{EA3169C9-EC21-4257-8F52-24F2416AE0A9}"/>
    <cellStyle name="20% - Accent3 73 2" xfId="5855" xr:uid="{63347E7B-279D-4656-B463-805060B75A68}"/>
    <cellStyle name="20% - Accent3 73 2 2" xfId="5856" xr:uid="{E51E6CB1-AC7C-481C-A301-E103748F4F33}"/>
    <cellStyle name="20% - Accent3 73 2_Working Capital Current" xfId="13651" xr:uid="{F97CE7F8-1CDC-4F41-8A26-EDE4E7882D7E}"/>
    <cellStyle name="20% - Accent3 73 3" xfId="5857" xr:uid="{1A4C877E-9397-4C59-ABB8-C87DDEF2C302}"/>
    <cellStyle name="20% - Accent3 73 4" xfId="5858" xr:uid="{4826E61D-BFD4-407F-93DB-B2446E24DB42}"/>
    <cellStyle name="20% - Accent3 73_Working Capital Current" xfId="13652" xr:uid="{847C14AE-D88E-4011-952A-981A5D983ED9}"/>
    <cellStyle name="20% - Accent3 74" xfId="5859" xr:uid="{E03BFDB5-EABB-4F8A-A496-5DEB42A92458}"/>
    <cellStyle name="20% - Accent3 74 2" xfId="5860" xr:uid="{24DAC500-6F2A-44A6-A092-7E313638559D}"/>
    <cellStyle name="20% - Accent3 74 2 2" xfId="5861" xr:uid="{ABAA8BE8-F816-49C3-B8DE-BFDF9684A24E}"/>
    <cellStyle name="20% - Accent3 74 2_Working Capital Current" xfId="13653" xr:uid="{A9E4742C-6611-4155-A07B-B184F8510B2B}"/>
    <cellStyle name="20% - Accent3 74 3" xfId="5862" xr:uid="{4148B233-CB06-4D5E-BB15-144DDE38F30A}"/>
    <cellStyle name="20% - Accent3 74 4" xfId="5863" xr:uid="{D4AA8388-7D38-408C-97C5-CC8C64508769}"/>
    <cellStyle name="20% - Accent3 74_Working Capital Current" xfId="13654" xr:uid="{351A8DB1-0F8C-4705-A264-D791A5CFA0C9}"/>
    <cellStyle name="20% - Accent3 75" xfId="5864" xr:uid="{B2441EE7-3CC4-4355-9B36-752C340EEB8A}"/>
    <cellStyle name="20% - Accent3 75 2" xfId="5865" xr:uid="{6A73E111-DC1B-4E7E-90C2-DF945476479B}"/>
    <cellStyle name="20% - Accent3 75 2 2" xfId="5866" xr:uid="{AF8B6A2F-ECA5-4F86-82ED-A52D23045B0D}"/>
    <cellStyle name="20% - Accent3 75 2_Working Capital Current" xfId="13655" xr:uid="{B329D784-D3EE-4438-994F-AFFA3A1825E3}"/>
    <cellStyle name="20% - Accent3 75 3" xfId="5867" xr:uid="{DC90A55D-63F5-4E99-848A-75265F0C1137}"/>
    <cellStyle name="20% - Accent3 75 4" xfId="5868" xr:uid="{4B4F230F-545F-4793-8574-C22CA258372E}"/>
    <cellStyle name="20% - Accent3 75_Working Capital Current" xfId="13656" xr:uid="{F5B9EF1C-9DF8-4551-96E4-8A4F29FCB53F}"/>
    <cellStyle name="20% - Accent3 76" xfId="5869" xr:uid="{DEEFA9D4-2C0A-4D56-84F0-E1426C85ACFD}"/>
    <cellStyle name="20% - Accent3 76 2" xfId="5870" xr:uid="{23CCE0E8-5A41-4F1D-95B6-D6CDFE697D69}"/>
    <cellStyle name="20% - Accent3 76 2 2" xfId="5871" xr:uid="{5B8D162E-CA1C-4BAF-82AF-6FC56FBBD09C}"/>
    <cellStyle name="20% - Accent3 76 2_Working Capital Current" xfId="13657" xr:uid="{822718C9-A37D-47FC-A62C-C0E549A0C471}"/>
    <cellStyle name="20% - Accent3 76 3" xfId="5872" xr:uid="{8C713E7C-66BF-4840-AC53-B27CA51F31FC}"/>
    <cellStyle name="20% - Accent3 76 4" xfId="5873" xr:uid="{CB6222F0-4BC6-47BC-AB6A-37BE8639EAE1}"/>
    <cellStyle name="20% - Accent3 76_Working Capital Current" xfId="13658" xr:uid="{10CBB2F0-75B7-4739-A3F5-F1F081FA5D07}"/>
    <cellStyle name="20% - Accent3 77" xfId="5874" xr:uid="{05957CF4-59F9-4D11-A7A1-71B7C7451B90}"/>
    <cellStyle name="20% - Accent3 77 2" xfId="5875" xr:uid="{C577AED4-84A2-40B5-9CD3-70AF24D5D1B4}"/>
    <cellStyle name="20% - Accent3 77 2 2" xfId="5876" xr:uid="{CAA50CB7-88E0-4BBE-AE54-182DEB6F1D8A}"/>
    <cellStyle name="20% - Accent3 77 2_Working Capital Current" xfId="13659" xr:uid="{CB366401-6C59-4481-BFEA-0142CC28BF80}"/>
    <cellStyle name="20% - Accent3 77 3" xfId="5877" xr:uid="{C47FE1B4-8BAE-4005-9EE2-A08AA2B0B985}"/>
    <cellStyle name="20% - Accent3 77 4" xfId="5878" xr:uid="{7CE5AA89-25CD-40E7-AD8A-C59A61DB70AE}"/>
    <cellStyle name="20% - Accent3 77_Working Capital Current" xfId="13660" xr:uid="{07F0A605-3E23-4E26-BBCC-CC358F85447B}"/>
    <cellStyle name="20% - Accent3 78" xfId="5879" xr:uid="{30FC3D41-D41B-4E81-B6F2-1DD577894E5D}"/>
    <cellStyle name="20% - Accent3 78 2" xfId="5880" xr:uid="{EBD115CA-23D0-4F4C-ADE3-3EEDF831A952}"/>
    <cellStyle name="20% - Accent3 78 2 2" xfId="5881" xr:uid="{BA9D102A-AB47-41FB-8D92-CC527BBD3CD7}"/>
    <cellStyle name="20% - Accent3 78 2_Working Capital Current" xfId="13661" xr:uid="{B361B6EA-6775-416F-ADC8-7113D8714E71}"/>
    <cellStyle name="20% - Accent3 78 3" xfId="5882" xr:uid="{3AF6E758-3FB3-4BAA-9A98-C1D9DF6E1DC8}"/>
    <cellStyle name="20% - Accent3 78 4" xfId="5883" xr:uid="{4B40E7BB-BD23-4EAA-8FB5-1BC4643EABB4}"/>
    <cellStyle name="20% - Accent3 78_Working Capital Current" xfId="13662" xr:uid="{E541D142-C865-4DC3-A8FC-270259EE9E91}"/>
    <cellStyle name="20% - Accent3 79" xfId="5884" xr:uid="{FEE45C43-B71F-4F6E-90AB-863BCA8C7E95}"/>
    <cellStyle name="20% - Accent3 79 2" xfId="5885" xr:uid="{A74919A9-2B23-4A00-9C41-532123BF0D35}"/>
    <cellStyle name="20% - Accent3 79 2 2" xfId="5886" xr:uid="{55448A4E-012B-48F0-BD5E-109353679EDE}"/>
    <cellStyle name="20% - Accent3 79 2_Working Capital Current" xfId="13663" xr:uid="{EB3A61FD-9FE6-450B-BD8F-744DF3EF5F09}"/>
    <cellStyle name="20% - Accent3 79 3" xfId="5887" xr:uid="{12189410-8890-4FDF-8934-DF048CAC7656}"/>
    <cellStyle name="20% - Accent3 79 4" xfId="5888" xr:uid="{3AFCD214-2933-432D-B9CE-448663595D77}"/>
    <cellStyle name="20% - Accent3 79_Working Capital Current" xfId="13664" xr:uid="{586C2232-CB16-4DFA-BA1C-F5108EB56F45}"/>
    <cellStyle name="20% - Accent3 8" xfId="5889" xr:uid="{212CBBF2-7787-4C69-B086-0E0E8F202B9B}"/>
    <cellStyle name="20% - Accent3 8 2" xfId="5890" xr:uid="{7FDDDED6-EB5C-4D42-81F7-4C651AC34EAE}"/>
    <cellStyle name="20% - Accent3 8 2 2" xfId="5891" xr:uid="{D522C04B-BC22-43D2-A7E9-63EE58147E7C}"/>
    <cellStyle name="20% - Accent3 8 2 2 2" xfId="5892" xr:uid="{E7ED9944-AA2A-4D09-B800-EFC1A02F9CBA}"/>
    <cellStyle name="20% - Accent3 8 2 2_Working Capital Current" xfId="13665" xr:uid="{844A157D-2492-4763-B9DC-BB2BF29A58D6}"/>
    <cellStyle name="20% - Accent3 8 2 3" xfId="5893" xr:uid="{358A3549-D44A-4B8B-8423-41AF95883184}"/>
    <cellStyle name="20% - Accent3 8 2 4" xfId="5894" xr:uid="{0FB86810-755F-41B7-991C-829F5B7AE291}"/>
    <cellStyle name="20% - Accent3 8 2_Working Capital Current" xfId="13666" xr:uid="{501794F0-B6B1-44B3-BDC1-C2CB46852311}"/>
    <cellStyle name="20% - Accent3 8 3" xfId="5895" xr:uid="{B678F611-7275-4EFA-85E7-F3985CDCBE26}"/>
    <cellStyle name="20% - Accent3 8 3 2" xfId="5896" xr:uid="{D12A26CA-5EE5-46D1-ACF7-DAA0D901A9C5}"/>
    <cellStyle name="20% - Accent3 8 3_Working Capital Current" xfId="13667" xr:uid="{1B4FE3F7-0EEA-4A21-9D79-4538DDD9B055}"/>
    <cellStyle name="20% - Accent3 8 4" xfId="5897" xr:uid="{859EE14C-5563-4652-8A93-9E0C1FC2E817}"/>
    <cellStyle name="20% - Accent3 8 5" xfId="5898" xr:uid="{0715C399-54F1-44BE-8239-5FB1C0D8BE69}"/>
    <cellStyle name="20% - Accent3 8_Not_for_upload_before_M4_correc" xfId="13668" xr:uid="{96249FAB-729C-48A0-B1EA-ABA065898378}"/>
    <cellStyle name="20% - Accent3 80" xfId="5899" xr:uid="{47486F9C-BFD1-458E-B64B-0FE59E17B675}"/>
    <cellStyle name="20% - Accent3 80 2" xfId="5900" xr:uid="{02DD92B6-90BF-4C3D-9BB4-75981FBEB677}"/>
    <cellStyle name="20% - Accent3 80 2 2" xfId="5901" xr:uid="{22760448-B8C6-4679-952F-EECF4AC95D21}"/>
    <cellStyle name="20% - Accent3 80 2_Working Capital Current" xfId="13669" xr:uid="{CA94C3C6-DA97-4A3A-80F9-7963545ECECC}"/>
    <cellStyle name="20% - Accent3 80 3" xfId="5902" xr:uid="{38CC35BB-0456-436C-89D9-706C23C6022A}"/>
    <cellStyle name="20% - Accent3 80 4" xfId="5903" xr:uid="{81DC4F92-83BD-4003-BE42-6C48BEBF751F}"/>
    <cellStyle name="20% - Accent3 80_Working Capital Current" xfId="13670" xr:uid="{F92A9364-6E45-434B-8092-972A8A2386AB}"/>
    <cellStyle name="20% - Accent3 81" xfId="5904" xr:uid="{4891A182-2F6C-422B-9181-B3996DAD3E2E}"/>
    <cellStyle name="20% - Accent3 81 2" xfId="5905" xr:uid="{EE03CBB6-F03D-4125-A89A-CA531B71C292}"/>
    <cellStyle name="20% - Accent3 81 2 2" xfId="5906" xr:uid="{58C78394-7EF4-4409-A9F4-C62067AEFB8E}"/>
    <cellStyle name="20% - Accent3 81 2_Working Capital Current" xfId="13671" xr:uid="{16102084-6FD9-4456-8528-52177F4EAC28}"/>
    <cellStyle name="20% - Accent3 81 3" xfId="5907" xr:uid="{E2B0495C-C17C-46DE-B178-F0B95208B0D8}"/>
    <cellStyle name="20% - Accent3 81 4" xfId="5908" xr:uid="{CA353A68-5F12-4F88-912C-D4924CA6825D}"/>
    <cellStyle name="20% - Accent3 81_Working Capital Current" xfId="13672" xr:uid="{F9BC5808-A287-435B-8671-83DAB16670F4}"/>
    <cellStyle name="20% - Accent3 82" xfId="5909" xr:uid="{BCF4B964-5DA1-4AC4-9718-704C23AF48D4}"/>
    <cellStyle name="20% - Accent3 82 2" xfId="5910" xr:uid="{6AF61C9D-C88A-4ECC-B99E-06ECA9619978}"/>
    <cellStyle name="20% - Accent3 82 2 2" xfId="5911" xr:uid="{E046691D-610E-45F2-8E0C-F3A1728E6334}"/>
    <cellStyle name="20% - Accent3 82 2_Working Capital Current" xfId="13673" xr:uid="{A2CE4870-665F-4837-AEC8-388F3FD43C02}"/>
    <cellStyle name="20% - Accent3 82 3" xfId="5912" xr:uid="{4DAAE25E-8CB7-4D4B-8946-4E758ABFB9A8}"/>
    <cellStyle name="20% - Accent3 82 4" xfId="5913" xr:uid="{763AC5A6-85B4-4943-BB9A-2207F180E1F8}"/>
    <cellStyle name="20% - Accent3 82_Working Capital Current" xfId="13674" xr:uid="{FCE320FA-8D2C-49D1-994A-89CD121A9987}"/>
    <cellStyle name="20% - Accent3 83" xfId="5914" xr:uid="{9EC4C132-6B05-4047-8100-6C5770A84C0B}"/>
    <cellStyle name="20% - Accent3 83 2" xfId="5915" xr:uid="{1BB94739-C8DC-4088-8937-8D30D42639E5}"/>
    <cellStyle name="20% - Accent3 83 2 2" xfId="5916" xr:uid="{B280367A-6C06-4096-AA3E-51A3778865CE}"/>
    <cellStyle name="20% - Accent3 83 2_Working Capital Current" xfId="13675" xr:uid="{31D34B39-033C-4A90-80BC-7BB0FB45F94E}"/>
    <cellStyle name="20% - Accent3 83 3" xfId="5917" xr:uid="{51343DC8-7266-4BED-96FA-E73FD4264E79}"/>
    <cellStyle name="20% - Accent3 83 4" xfId="5918" xr:uid="{2238CBC1-0971-4262-8D32-4C1AD89024DC}"/>
    <cellStyle name="20% - Accent3 83_Working Capital Current" xfId="13676" xr:uid="{72B97F0E-794C-4261-AD79-B69C1EDD0511}"/>
    <cellStyle name="20% - Accent3 84" xfId="5919" xr:uid="{A2259CCE-069D-41F1-A712-57D600BE79F0}"/>
    <cellStyle name="20% - Accent3 84 2" xfId="5920" xr:uid="{3F50528D-C3D8-46F4-A282-F3DBF5BFAF7A}"/>
    <cellStyle name="20% - Accent3 84 2 2" xfId="5921" xr:uid="{3981E841-20BD-41C4-B9BB-C92B918450AC}"/>
    <cellStyle name="20% - Accent3 84 2_Working Capital Current" xfId="13677" xr:uid="{E858345D-6E69-4316-B746-A0520E67A55E}"/>
    <cellStyle name="20% - Accent3 84 3" xfId="5922" xr:uid="{5379FCD3-7E0C-4418-AA65-75714A328C65}"/>
    <cellStyle name="20% - Accent3 84 4" xfId="5923" xr:uid="{CD3D49BE-0F2C-40A4-805A-B77F6712F252}"/>
    <cellStyle name="20% - Accent3 84_Working Capital Current" xfId="13678" xr:uid="{60CD9C19-E8C9-400F-AF5F-4CC61B3F312B}"/>
    <cellStyle name="20% - Accent3 85" xfId="5924" xr:uid="{B0BAA6E5-1996-40AC-8CE8-6BB3A4E5C938}"/>
    <cellStyle name="20% - Accent3 85 2" xfId="5925" xr:uid="{4F36F4CD-613B-4874-8382-E7D3E4C40E45}"/>
    <cellStyle name="20% - Accent3 85 2 2" xfId="5926" xr:uid="{88F48B5B-2CF1-41B1-8870-517922E7EC04}"/>
    <cellStyle name="20% - Accent3 85 2_Working Capital Current" xfId="13679" xr:uid="{377D3ED8-E5BF-4EB3-9B07-1160D501CD2A}"/>
    <cellStyle name="20% - Accent3 85 3" xfId="5927" xr:uid="{C83E2ED8-D2EE-49F7-B1A2-F935331FC8B8}"/>
    <cellStyle name="20% - Accent3 85 4" xfId="5928" xr:uid="{58A1D68C-5D5A-4E31-AAC6-6E562F1760AB}"/>
    <cellStyle name="20% - Accent3 85_Working Capital Current" xfId="13680" xr:uid="{33C45CA1-FA0A-48E6-B72B-D1E8D5AA2E5F}"/>
    <cellStyle name="20% - Accent3 86" xfId="5929" xr:uid="{5D5B79DE-3837-4D9F-B403-043C5C9123A1}"/>
    <cellStyle name="20% - Accent3 86 2" xfId="5930" xr:uid="{981579C3-2CF2-4F57-88CB-DD087D078A5B}"/>
    <cellStyle name="20% - Accent3 86 2 2" xfId="5931" xr:uid="{06119CA5-9802-4398-971D-77D88E603EDD}"/>
    <cellStyle name="20% - Accent3 86 2_Working Capital Current" xfId="13681" xr:uid="{5B3314F6-0A44-4A22-9993-87F2858888D9}"/>
    <cellStyle name="20% - Accent3 86 3" xfId="5932" xr:uid="{FD883F03-1583-452E-BE9E-164C62282169}"/>
    <cellStyle name="20% - Accent3 86 4" xfId="5933" xr:uid="{E338BEE2-47A8-4236-BA36-C171895A1181}"/>
    <cellStyle name="20% - Accent3 86_Working Capital Current" xfId="13682" xr:uid="{A8E4EB0D-6645-444D-94A3-D2ED05082D33}"/>
    <cellStyle name="20% - Accent3 87" xfId="5934" xr:uid="{3F769FCB-3D0B-45EA-AA40-52EEC7C69B32}"/>
    <cellStyle name="20% - Accent3 87 2" xfId="5935" xr:uid="{BA54809C-5F69-4F27-AB98-7304FD81C564}"/>
    <cellStyle name="20% - Accent3 87 2 2" xfId="5936" xr:uid="{8463F085-B722-4273-BE92-2BECFC66AFAA}"/>
    <cellStyle name="20% - Accent3 87 2_Working Capital Current" xfId="13683" xr:uid="{0A1B6C26-E1DD-4695-AD4E-3A9905655B84}"/>
    <cellStyle name="20% - Accent3 87 3" xfId="5937" xr:uid="{E1DBBCAB-CFC3-4FC1-89EA-8ED9F78BBC5E}"/>
    <cellStyle name="20% - Accent3 87 4" xfId="5938" xr:uid="{1D9A3A31-D24B-4396-835A-550A1506C90A}"/>
    <cellStyle name="20% - Accent3 87_Working Capital Current" xfId="13684" xr:uid="{0B678DA4-E590-466C-92D6-C5A08E198CB4}"/>
    <cellStyle name="20% - Accent3 88" xfId="5939" xr:uid="{0B6F8900-7F93-4611-B7BB-9672C3124E94}"/>
    <cellStyle name="20% - Accent3 88 2" xfId="5940" xr:uid="{72310173-7972-4763-81B6-7B9D6F015CEB}"/>
    <cellStyle name="20% - Accent3 88 2 2" xfId="5941" xr:uid="{CDE2989F-36B6-4704-A3A0-F9194BD72237}"/>
    <cellStyle name="20% - Accent3 88 2_Working Capital Current" xfId="13685" xr:uid="{CF2B49CD-4559-4793-A7CB-20D6B390750E}"/>
    <cellStyle name="20% - Accent3 88 3" xfId="5942" xr:uid="{29B571D9-1F97-4187-B98C-8B1D8361A395}"/>
    <cellStyle name="20% - Accent3 88 4" xfId="5943" xr:uid="{88464D98-98E0-4688-BC0A-248F0851FD23}"/>
    <cellStyle name="20% - Accent3 88_Working Capital Current" xfId="13686" xr:uid="{577040F2-BBF8-41F3-8353-210A75E20D62}"/>
    <cellStyle name="20% - Accent3 89" xfId="5944" xr:uid="{EADE3EDA-5C0B-44BB-9533-168DC8A76178}"/>
    <cellStyle name="20% - Accent3 89 2" xfId="5945" xr:uid="{3E655C6E-6EA6-4928-9C92-A897D60675CB}"/>
    <cellStyle name="20% - Accent3 89 2 2" xfId="5946" xr:uid="{11FE4B8E-CA97-4CAD-9078-F6DA8854C603}"/>
    <cellStyle name="20% - Accent3 89 2_Working Capital Current" xfId="13687" xr:uid="{AB52A411-FED2-4119-810D-E34C6CF8ABD3}"/>
    <cellStyle name="20% - Accent3 89 3" xfId="5947" xr:uid="{00976989-25F9-41D7-A788-24EBAC623915}"/>
    <cellStyle name="20% - Accent3 89 4" xfId="5948" xr:uid="{2D6F30D0-44FE-407A-8139-B98150AC3F5C}"/>
    <cellStyle name="20% - Accent3 89_Working Capital Current" xfId="13688" xr:uid="{A16B4605-5E6C-4563-8BF3-01EE0211034C}"/>
    <cellStyle name="20% - Accent3 9" xfId="5949" xr:uid="{70FDF487-2481-4F7B-BEBD-FF12ADCC9863}"/>
    <cellStyle name="20% - Accent3 9 2" xfId="5950" xr:uid="{C28D800E-83E7-42AF-B1E5-89A447F04F3C}"/>
    <cellStyle name="20% - Accent3 9 2 2" xfId="5951" xr:uid="{FE1DB920-D2AF-4EB5-852F-445CF1BFD252}"/>
    <cellStyle name="20% - Accent3 9 2 2 2" xfId="5952" xr:uid="{C5624D88-D66A-46A4-8054-797A49758B48}"/>
    <cellStyle name="20% - Accent3 9 2 2_Working Capital Current" xfId="13689" xr:uid="{4ED325C4-43E9-4086-B016-8F742D980D03}"/>
    <cellStyle name="20% - Accent3 9 2 3" xfId="5953" xr:uid="{BBB9FB7A-3137-4A28-B09A-49D0E9989684}"/>
    <cellStyle name="20% - Accent3 9 2 4" xfId="5954" xr:uid="{E0F8A9AB-D763-4AB0-AA52-3A97B6692424}"/>
    <cellStyle name="20% - Accent3 9 2_Working Capital Current" xfId="13690" xr:uid="{3B75C1DF-11A5-4DFB-9088-ECAFEFA041E5}"/>
    <cellStyle name="20% - Accent3 9 3" xfId="5955" xr:uid="{120FD4D9-D8F4-4D28-B583-B0D36D4472D1}"/>
    <cellStyle name="20% - Accent3 9 3 2" xfId="5956" xr:uid="{B952A5D8-F6B7-45AB-875E-1342E6DD4D2E}"/>
    <cellStyle name="20% - Accent3 9 3_Working Capital Current" xfId="13691" xr:uid="{417A3F45-101B-4143-AA85-C3C185178781}"/>
    <cellStyle name="20% - Accent3 9 4" xfId="5957" xr:uid="{40D6CBA9-87E1-45DD-AB8C-4DC1BD831CDD}"/>
    <cellStyle name="20% - Accent3 9 5" xfId="5958" xr:uid="{9A9C8C7E-AFC2-4EE2-8584-E51C582A14F4}"/>
    <cellStyle name="20% - Accent3 9_Not_for_upload_before_M4_correc" xfId="13692" xr:uid="{4DDEA8BA-4DF4-4DA8-B845-691CE6FB13C8}"/>
    <cellStyle name="20% - Accent3 90" xfId="5959" xr:uid="{C1D41243-1C7B-46E5-845B-8C0D4B311F2D}"/>
    <cellStyle name="20% - Accent3 90 2" xfId="5960" xr:uid="{65AA8EAD-1158-4B55-8F31-241B1F0D267B}"/>
    <cellStyle name="20% - Accent3 90 2 2" xfId="5961" xr:uid="{FC68CCC6-740B-49F8-AEA0-91D70EDE1E46}"/>
    <cellStyle name="20% - Accent3 90 2_Working Capital Current" xfId="13693" xr:uid="{2361FA9E-F607-4C42-94CC-62637296873A}"/>
    <cellStyle name="20% - Accent3 90 3" xfId="5962" xr:uid="{F5B42F91-7318-4BAE-A40F-088BBBF73171}"/>
    <cellStyle name="20% - Accent3 90 4" xfId="5963" xr:uid="{BBB3386B-9F2D-4A50-8CC4-726B9E2332A7}"/>
    <cellStyle name="20% - Accent3 90_Working Capital Current" xfId="13694" xr:uid="{27A45544-DF60-4222-9DE1-2FF91B5F9005}"/>
    <cellStyle name="20% - Accent3 91" xfId="5964" xr:uid="{25F35470-D4F8-4C89-9FC3-749354BA9413}"/>
    <cellStyle name="20% - Accent3 91 2" xfId="5965" xr:uid="{F62EE778-9C2D-42E3-A227-5E0B5DAB143C}"/>
    <cellStyle name="20% - Accent3 91 2 2" xfId="5966" xr:uid="{172F948F-5EDC-409A-9FDB-5B30EB3C4139}"/>
    <cellStyle name="20% - Accent3 91 2_Working Capital Current" xfId="13695" xr:uid="{D57A9959-9B16-45DB-9D24-A3F1E3AD9903}"/>
    <cellStyle name="20% - Accent3 91 3" xfId="5967" xr:uid="{542D8269-3182-411D-95D4-45E20D6BA0E3}"/>
    <cellStyle name="20% - Accent3 91 4" xfId="5968" xr:uid="{97BDC7A1-9DC9-4A15-B73D-7D17D69CB7A7}"/>
    <cellStyle name="20% - Accent3 91_Working Capital Current" xfId="13696" xr:uid="{8262C6A8-DD3A-4E93-9FA1-6F9D8A0B6FA6}"/>
    <cellStyle name="20% - Accent3 92" xfId="5969" xr:uid="{5A2C6761-B4C8-452F-959A-09BD3114587F}"/>
    <cellStyle name="20% - Accent3 92 2" xfId="5970" xr:uid="{E3FB75BC-00CE-4624-A242-921C6A473072}"/>
    <cellStyle name="20% - Accent3 92 2 2" xfId="5971" xr:uid="{8790B99C-BD5D-4153-99EF-76CFCEACD99F}"/>
    <cellStyle name="20% - Accent3 92 2_Working Capital Current" xfId="13697" xr:uid="{BF9D83CB-7AD9-40DA-BA50-E44FC89DA3D5}"/>
    <cellStyle name="20% - Accent3 92 3" xfId="5972" xr:uid="{D7C3C33C-C082-4C57-8766-49D469695A4B}"/>
    <cellStyle name="20% - Accent3 92 4" xfId="5973" xr:uid="{74DAB011-0379-48A9-8F03-FACC8A190F63}"/>
    <cellStyle name="20% - Accent3 92_Working Capital Current" xfId="13698" xr:uid="{3C32806F-0BBC-44D1-AE7D-0936D9F5A3F6}"/>
    <cellStyle name="20% - Accent3 93" xfId="5974" xr:uid="{FC56C312-8888-4DFD-AA5C-2AB11B53A888}"/>
    <cellStyle name="20% - Accent3 93 2" xfId="5975" xr:uid="{9B41EC42-6960-4A90-B6C2-D94D3402F0DB}"/>
    <cellStyle name="20% - Accent3 93 2 2" xfId="5976" xr:uid="{00CC714E-52AF-4A8F-A186-68D0B2BDC7CC}"/>
    <cellStyle name="20% - Accent3 93 2_Working Capital Current" xfId="13699" xr:uid="{33D8B4BF-1E92-4D26-873E-4E381FDC61AE}"/>
    <cellStyle name="20% - Accent3 93 3" xfId="5977" xr:uid="{C86CF686-2431-4F54-8550-C57451177543}"/>
    <cellStyle name="20% - Accent3 93 4" xfId="5978" xr:uid="{188ECE20-AFAC-44D1-8069-31E006E2D0FD}"/>
    <cellStyle name="20% - Accent3 93_Working Capital Current" xfId="13700" xr:uid="{C3425382-E68E-488D-8781-3BBD327F02E7}"/>
    <cellStyle name="20% - Accent3 94" xfId="5979" xr:uid="{E9A5200E-8754-421B-8270-E33365C20CBD}"/>
    <cellStyle name="20% - Accent3 94 2" xfId="5980" xr:uid="{02AE8D4B-246A-4035-BCBC-BAAE1ED78B4F}"/>
    <cellStyle name="20% - Accent3 94 2 2" xfId="5981" xr:uid="{3DCF350E-2F60-49C1-A2DE-9C74E6725BB7}"/>
    <cellStyle name="20% - Accent3 94 2_Working Capital Current" xfId="13701" xr:uid="{C7026AC0-126E-4768-9F2B-60E71501D49E}"/>
    <cellStyle name="20% - Accent3 94 3" xfId="5982" xr:uid="{1968B2B8-AC8F-4DD0-A8E7-FC46D2335CDA}"/>
    <cellStyle name="20% - Accent3 94 4" xfId="5983" xr:uid="{DB88D78B-3E40-4A6D-8E13-E584D98CB7FF}"/>
    <cellStyle name="20% - Accent3 94_Working Capital Current" xfId="13702" xr:uid="{51C13B83-3DDA-48F6-A8C4-9E5F76AAC798}"/>
    <cellStyle name="20% - Accent3 95" xfId="5984" xr:uid="{58578C13-A702-4E0C-B001-1C6FA0078133}"/>
    <cellStyle name="20% - Accent3 95 2" xfId="5985" xr:uid="{764C1835-2053-4278-A8E1-52EA47DF2C87}"/>
    <cellStyle name="20% - Accent3 95 2 2" xfId="5986" xr:uid="{4496C8CD-5AE1-4F2E-A7DA-94BBAF7F20BE}"/>
    <cellStyle name="20% - Accent3 95 2_Working Capital Current" xfId="13703" xr:uid="{7D2D85B4-A3F6-41ED-AA85-F02FE14822EF}"/>
    <cellStyle name="20% - Accent3 95 3" xfId="5987" xr:uid="{9E19B4FF-5BB5-4648-8F54-3217170D6AB4}"/>
    <cellStyle name="20% - Accent3 95 4" xfId="5988" xr:uid="{7F956F0A-AFB4-46BA-A04E-631E02BBEC88}"/>
    <cellStyle name="20% - Accent3 95_Working Capital Current" xfId="13704" xr:uid="{1E9C2088-8C7D-4B75-8E68-80AA0982A966}"/>
    <cellStyle name="20% - Accent3 96" xfId="5989" xr:uid="{AC947BDA-9148-46B6-90E1-E37441A9F59B}"/>
    <cellStyle name="20% - Accent3 96 2" xfId="5990" xr:uid="{9DB5B94C-ED50-4C59-95B1-7923E9F9EECB}"/>
    <cellStyle name="20% - Accent3 96 2 2" xfId="5991" xr:uid="{1976DF45-B83D-4E71-AEF7-75BAD5A01865}"/>
    <cellStyle name="20% - Accent3 96 2_Working Capital Current" xfId="13705" xr:uid="{487B242F-8F25-4DF6-B09C-5415A26C1B38}"/>
    <cellStyle name="20% - Accent3 96 3" xfId="5992" xr:uid="{121BEDA3-136C-4188-9D54-B354A81B2DC6}"/>
    <cellStyle name="20% - Accent3 96 4" xfId="5993" xr:uid="{27897462-9AF0-43B2-AA1F-DFE940E08D9D}"/>
    <cellStyle name="20% - Accent3 96_Working Capital Current" xfId="13706" xr:uid="{771EF41E-32D1-414F-B0D6-231133A91B0C}"/>
    <cellStyle name="20% - Accent3 97" xfId="5994" xr:uid="{7864A2C1-5774-4D0D-AC04-B89F4D4E554C}"/>
    <cellStyle name="20% - Accent3 97 2" xfId="5995" xr:uid="{9F5BA060-30F9-45BB-B66E-83714F2610D4}"/>
    <cellStyle name="20% - Accent3 97 2 2" xfId="5996" xr:uid="{5390A9B0-C337-4E8F-9597-E7224EB6FCDF}"/>
    <cellStyle name="20% - Accent3 97 2_Working Capital Current" xfId="13707" xr:uid="{9DBCC7BE-C932-4A3C-92CD-44665DD52761}"/>
    <cellStyle name="20% - Accent3 97 3" xfId="5997" xr:uid="{42D9BEF8-6E59-4E33-8352-8525D17417E6}"/>
    <cellStyle name="20% - Accent3 97 4" xfId="5998" xr:uid="{D1F1423E-B0A1-4524-A559-EF8AD0972CF6}"/>
    <cellStyle name="20% - Accent3 97_Working Capital Current" xfId="13708" xr:uid="{E6EA7333-8B06-4210-9932-495A37FBEC0F}"/>
    <cellStyle name="20% - Accent3 98" xfId="5999" xr:uid="{16AF1502-1C79-4BF9-AD3C-0B627A183403}"/>
    <cellStyle name="20% - Accent3 98 2" xfId="6000" xr:uid="{9A48F531-ABB7-42A5-B47D-FDF183725271}"/>
    <cellStyle name="20% - Accent3 98 2 2" xfId="6001" xr:uid="{51392F7D-9733-4999-BFF4-AA3B7C28C5EA}"/>
    <cellStyle name="20% - Accent3 98 2_Working Capital Current" xfId="13709" xr:uid="{58DB40FB-5588-47F7-8634-F97716E3977D}"/>
    <cellStyle name="20% - Accent3 98 3" xfId="6002" xr:uid="{E7D0A3AB-E6BC-46F6-B6E7-4A7543F64F1C}"/>
    <cellStyle name="20% - Accent3 98 4" xfId="6003" xr:uid="{5697EED3-D1A3-4D55-8391-1ADC66F7B9A6}"/>
    <cellStyle name="20% - Accent3 98_Working Capital Current" xfId="13710" xr:uid="{A1DF539A-34BA-41ED-A533-F11AE369B1DE}"/>
    <cellStyle name="20% - Accent3 99" xfId="6004" xr:uid="{2D00D905-A5F3-484F-837A-6EA40CBC14CA}"/>
    <cellStyle name="20% - Accent3 99 2" xfId="6005" xr:uid="{FCB4F3FD-9363-461C-894B-8B42DA920BC7}"/>
    <cellStyle name="20% - Accent3 99 2 2" xfId="6006" xr:uid="{DF8F81AB-C00D-4AE0-B40A-D38A4F311F1F}"/>
    <cellStyle name="20% - Accent3 99 2_Working Capital Current" xfId="13711" xr:uid="{A781913B-C207-4C97-AF9D-5D1E912CD705}"/>
    <cellStyle name="20% - Accent3 99 3" xfId="6007" xr:uid="{ED394045-6BD4-4189-8C93-B28B29B1061B}"/>
    <cellStyle name="20% - Accent3 99 4" xfId="6008" xr:uid="{D8054813-3FA4-414E-BD48-32CE938D5D2B}"/>
    <cellStyle name="20% - Accent3 99_Working Capital Current" xfId="13712" xr:uid="{62C82255-2746-43B3-993E-17FB0CAE65A3}"/>
    <cellStyle name="20% - Accent4" xfId="35" builtinId="42" customBuiltin="1"/>
    <cellStyle name="20% - Accent4 10" xfId="6009" xr:uid="{68AD8C42-BD88-4ABD-8727-E5CBEE313F68}"/>
    <cellStyle name="20% - Accent4 10 2" xfId="6010" xr:uid="{2FF76925-8F9A-4764-8A5F-DE22E1710F4C}"/>
    <cellStyle name="20% - Accent4 10 2 2" xfId="6011" xr:uid="{F24CDC07-05D5-4A26-930A-A0A19E4D043A}"/>
    <cellStyle name="20% - Accent4 10 2 2 2" xfId="6012" xr:uid="{BC56924D-B270-43DB-A095-C3D231F22191}"/>
    <cellStyle name="20% - Accent4 10 2 2_Working Capital Current" xfId="13713" xr:uid="{9270F0D9-BDD2-48E1-8E2E-F93CAD31D76F}"/>
    <cellStyle name="20% - Accent4 10 2 3" xfId="6013" xr:uid="{F6141469-02EA-46CC-ACDA-B91AD4E76FDB}"/>
    <cellStyle name="20% - Accent4 10 2 4" xfId="6014" xr:uid="{FC881196-96CF-4D40-AEF1-74963427A586}"/>
    <cellStyle name="20% - Accent4 10 2_Working Capital Current" xfId="13714" xr:uid="{D45CD622-FD5F-4A40-A327-97752854733E}"/>
    <cellStyle name="20% - Accent4 10 3" xfId="6015" xr:uid="{EF7F74E9-4745-48E8-84BA-BAA133205F0F}"/>
    <cellStyle name="20% - Accent4 10 3 2" xfId="6016" xr:uid="{0B7C8264-CEDA-46FE-A38C-D4C7C1249535}"/>
    <cellStyle name="20% - Accent4 10 3_Working Capital Current" xfId="13715" xr:uid="{7FB5C1A0-D51A-4859-9D09-899E09C095C6}"/>
    <cellStyle name="20% - Accent4 10 4" xfId="6017" xr:uid="{549626A1-C25D-4113-992C-542C3E0E774C}"/>
    <cellStyle name="20% - Accent4 10 5" xfId="6018" xr:uid="{B8F552CB-B5D6-444B-ACD9-9DE4BFAE531C}"/>
    <cellStyle name="20% - Accent4 10_Not_for_upload_before_M4_correc" xfId="13716" xr:uid="{B0A90DE0-8AE9-4ABE-9F0F-EC02A35E18BA}"/>
    <cellStyle name="20% - Accent4 100" xfId="6019" xr:uid="{BFDB0718-ABEE-4938-81E1-46F102F1AF08}"/>
    <cellStyle name="20% - Accent4 100 2" xfId="6020" xr:uid="{C45AC177-EE5A-419B-8EAE-863BEEFD4344}"/>
    <cellStyle name="20% - Accent4 100 2 2" xfId="6021" xr:uid="{3A24A4FF-2A35-4ECD-9747-8D4EB6F538B4}"/>
    <cellStyle name="20% - Accent4 100 2_Working Capital Current" xfId="13717" xr:uid="{CF2A2B9A-C1B7-4BEB-B9D9-D78B0CBDDA23}"/>
    <cellStyle name="20% - Accent4 100 3" xfId="6022" xr:uid="{6B80ACB9-AF5B-41CD-A28A-609C48A7909C}"/>
    <cellStyle name="20% - Accent4 100 4" xfId="6023" xr:uid="{97A4EBAC-1966-4CF4-8BC9-80AC293D1035}"/>
    <cellStyle name="20% - Accent4 100_Working Capital Current" xfId="13718" xr:uid="{8377935E-ACEF-4CBF-935C-1333E395B232}"/>
    <cellStyle name="20% - Accent4 101" xfId="6024" xr:uid="{8716BA91-8F2A-432B-AC95-E65851B35C29}"/>
    <cellStyle name="20% - Accent4 101 2" xfId="6025" xr:uid="{8EE4F557-9901-47B2-AD28-59C2682CEC2E}"/>
    <cellStyle name="20% - Accent4 101 3" xfId="6026" xr:uid="{75C066CD-F11F-4458-92E3-19360C47B06C}"/>
    <cellStyle name="20% - Accent4 101_Working Capital Current" xfId="13719" xr:uid="{D6D36831-6243-484D-8DD4-994E53D4E29E}"/>
    <cellStyle name="20% - Accent4 102" xfId="6027" xr:uid="{24D8249B-A01E-46CD-A74C-C1163B7E7C5D}"/>
    <cellStyle name="20% - Accent4 102 2" xfId="6028" xr:uid="{C672423E-33C3-423B-9143-1C4166871700}"/>
    <cellStyle name="20% - Accent4 102 3" xfId="6029" xr:uid="{895254FA-B223-4534-A47D-8FB5725AD5A4}"/>
    <cellStyle name="20% - Accent4 102_Working Capital Current" xfId="13720" xr:uid="{B2791BBE-44F8-4C50-86E1-0F76AF67E7CF}"/>
    <cellStyle name="20% - Accent4 103" xfId="6030" xr:uid="{3F1BA349-25BE-47E5-AA31-F7DAECF02D7F}"/>
    <cellStyle name="20% - Accent4 104" xfId="6031" xr:uid="{6D0625D2-DB0F-473B-A7D4-DCEB958F0A25}"/>
    <cellStyle name="20% - Accent4 105" xfId="13721" xr:uid="{5D0BFEA8-E0D0-42F7-84AE-60888AC9F8E5}"/>
    <cellStyle name="20% - Accent4 106" xfId="16495" xr:uid="{061BBEC0-F865-4894-AA71-5A5F98A2786C}"/>
    <cellStyle name="20% - Accent4 107" xfId="16988" xr:uid="{84BEE6CE-E2FA-47AC-95AE-08590FFA3371}"/>
    <cellStyle name="20% - Accent4 108" xfId="3902" xr:uid="{C396DA7A-3FAA-4AB1-9BC2-57174286AE98}"/>
    <cellStyle name="20% - Accent4 109" xfId="18291" xr:uid="{063DBAD5-4631-4FC2-A6E4-7A2F0B305B29}"/>
    <cellStyle name="20% - Accent4 11" xfId="6032" xr:uid="{47C9B925-B888-4083-8A9D-B18AF3B6101B}"/>
    <cellStyle name="20% - Accent4 11 2" xfId="6033" xr:uid="{7155C715-DB2F-4B49-94F4-0D5E472005A5}"/>
    <cellStyle name="20% - Accent4 11 2 2" xfId="6034" xr:uid="{A48FEC3B-08F3-471C-BCF0-F252DC735B42}"/>
    <cellStyle name="20% - Accent4 11 2 2 2" xfId="6035" xr:uid="{92BE5EC0-1878-44DC-AE6E-8E00E14AF3D5}"/>
    <cellStyle name="20% - Accent4 11 2 2_Working Capital Current" xfId="13722" xr:uid="{AD226B13-C8D6-4184-9DE0-7CEA5D744E36}"/>
    <cellStyle name="20% - Accent4 11 2 3" xfId="6036" xr:uid="{067A4C1A-B6AE-4DB4-949E-D26E2444A31A}"/>
    <cellStyle name="20% - Accent4 11 2 4" xfId="6037" xr:uid="{CA17E539-B989-4DB5-BBB8-15AE34357556}"/>
    <cellStyle name="20% - Accent4 11 2_Working Capital Current" xfId="13723" xr:uid="{225CD950-BB82-480C-8AEB-704DA6DA3FF4}"/>
    <cellStyle name="20% - Accent4 11 3" xfId="6038" xr:uid="{05663A3B-3C62-4767-A53C-FAF352391E64}"/>
    <cellStyle name="20% - Accent4 11 3 2" xfId="6039" xr:uid="{D38CD5AA-DCC5-4DF4-8C56-EB1195391B92}"/>
    <cellStyle name="20% - Accent4 11 3_Working Capital Current" xfId="13724" xr:uid="{126CF0C9-8715-4EC7-925C-984F755D592D}"/>
    <cellStyle name="20% - Accent4 11 4" xfId="6040" xr:uid="{DDE97C7A-65FD-41F2-9332-DAD5A1A9407C}"/>
    <cellStyle name="20% - Accent4 11 5" xfId="6041" xr:uid="{A77FF49B-DCD7-4C1D-AA56-52FC0914A3FC}"/>
    <cellStyle name="20% - Accent4 11_Not_for_upload_before_M4_correc" xfId="13725" xr:uid="{66BE6525-EBD4-497B-9E8C-E8C1A5CF23FB}"/>
    <cellStyle name="20% - Accent4 12" xfId="6042" xr:uid="{6FD5EAB0-7E9E-48F7-8CA4-DF0816F62955}"/>
    <cellStyle name="20% - Accent4 12 2" xfId="6043" xr:uid="{E4390174-57B8-4836-8A43-2A8951DDCC9D}"/>
    <cellStyle name="20% - Accent4 12 2 2" xfId="6044" xr:uid="{4151D48D-666A-48F3-A1D4-F9A642C787B2}"/>
    <cellStyle name="20% - Accent4 12 2 2 2" xfId="6045" xr:uid="{9ED3BF7D-D7F5-42DD-AF1B-EE326A8FF356}"/>
    <cellStyle name="20% - Accent4 12 2 2_Working Capital Current" xfId="13726" xr:uid="{C7F9081A-249D-4190-989D-62C3900DB99B}"/>
    <cellStyle name="20% - Accent4 12 2 3" xfId="6046" xr:uid="{CCFF9012-5826-4E62-828B-3C6FAE22BF84}"/>
    <cellStyle name="20% - Accent4 12 2 4" xfId="6047" xr:uid="{FB131224-9A9D-4480-89A0-6EAD7E444F45}"/>
    <cellStyle name="20% - Accent4 12 2_Working Capital Current" xfId="13727" xr:uid="{DE2B1070-8E9F-4185-A4F9-41700005F68B}"/>
    <cellStyle name="20% - Accent4 12 3" xfId="6048" xr:uid="{9C19ACAF-1768-4929-9F8C-AB1A753A8AF2}"/>
    <cellStyle name="20% - Accent4 12 3 2" xfId="6049" xr:uid="{B47E5227-6B5A-488B-8CAF-2ECF4461BCE4}"/>
    <cellStyle name="20% - Accent4 12 3_Working Capital Current" xfId="13728" xr:uid="{926679E7-BBC9-43E4-8F84-BE968065C905}"/>
    <cellStyle name="20% - Accent4 12 4" xfId="6050" xr:uid="{164D0E8B-4C36-451D-8BE6-970D6EE0612B}"/>
    <cellStyle name="20% - Accent4 12 5" xfId="6051" xr:uid="{A7DA2988-9ACE-4B27-AFF6-F2B350F71FE4}"/>
    <cellStyle name="20% - Accent4 12_Not_for_upload_before_M4_correc" xfId="13729" xr:uid="{9AC8ED8B-51A9-42D9-91AE-512DD6FE2A25}"/>
    <cellStyle name="20% - Accent4 13" xfId="6052" xr:uid="{2F335F09-04FA-4BDE-8975-FD3FC0796F0C}"/>
    <cellStyle name="20% - Accent4 13 2" xfId="6053" xr:uid="{A859FE80-FF7C-4AD2-A1BD-CCB4165D84F8}"/>
    <cellStyle name="20% - Accent4 13 2 2" xfId="6054" xr:uid="{3C72A0CB-EF9A-40E9-BCE2-E1EE8A478E00}"/>
    <cellStyle name="20% - Accent4 13 2 2 2" xfId="6055" xr:uid="{7AAD4703-FC03-4C2C-B00C-94C9F02A1D36}"/>
    <cellStyle name="20% - Accent4 13 2 2_Working Capital Current" xfId="13730" xr:uid="{3E6654A6-4406-4EF0-BA9E-35B136A41C71}"/>
    <cellStyle name="20% - Accent4 13 2 3" xfId="6056" xr:uid="{161AE725-F3EB-459E-B32B-990219BB50A1}"/>
    <cellStyle name="20% - Accent4 13 2 4" xfId="6057" xr:uid="{48E5AAED-1A40-437C-B891-6A82DDF394E6}"/>
    <cellStyle name="20% - Accent4 13 2_Working Capital Current" xfId="13731" xr:uid="{5D64F97E-9B55-49E0-A9EA-9C281292CAA9}"/>
    <cellStyle name="20% - Accent4 13 3" xfId="6058" xr:uid="{C47A14D0-C901-4E5B-9036-BD55F8C29B02}"/>
    <cellStyle name="20% - Accent4 13 3 2" xfId="6059" xr:uid="{DD19BD42-F07A-48DF-8A83-1D8A75A0A935}"/>
    <cellStyle name="20% - Accent4 13 3_Working Capital Current" xfId="13732" xr:uid="{188BC4C0-5121-455D-B535-C2E24D38D1DF}"/>
    <cellStyle name="20% - Accent4 13 4" xfId="6060" xr:uid="{6414B6F0-D596-4B11-A207-87179F556EEB}"/>
    <cellStyle name="20% - Accent4 13 5" xfId="6061" xr:uid="{EF91F9E9-539A-4574-8FB0-FFE514F369A9}"/>
    <cellStyle name="20% - Accent4 13_Not_for_upload_before_M4_correc" xfId="13733" xr:uid="{D4141795-6126-47D4-9BBD-C3E353EB22EF}"/>
    <cellStyle name="20% - Accent4 14" xfId="6062" xr:uid="{72E1C6A0-1062-4BBF-AB0E-0B6B91DA17A0}"/>
    <cellStyle name="20% - Accent4 14 2" xfId="6063" xr:uid="{3FD6A3D7-4BE4-480C-851F-51AB9A443C21}"/>
    <cellStyle name="20% - Accent4 14 2 2" xfId="6064" xr:uid="{BD85E1C0-EAF0-4829-A112-213E9FE54A3A}"/>
    <cellStyle name="20% - Accent4 14 2 2 2" xfId="6065" xr:uid="{D51425EA-4D4E-4F04-8668-B9EB93CC6402}"/>
    <cellStyle name="20% - Accent4 14 2 2_Working Capital Current" xfId="13734" xr:uid="{6A294857-E784-4888-A9DD-62EC94FAC5BA}"/>
    <cellStyle name="20% - Accent4 14 2 3" xfId="6066" xr:uid="{F3D86840-B328-4062-85F1-B955A7E63EC6}"/>
    <cellStyle name="20% - Accent4 14 2 4" xfId="6067" xr:uid="{6787B1DE-2D86-429E-8826-8B8012FEA2CA}"/>
    <cellStyle name="20% - Accent4 14 2_Working Capital Current" xfId="13735" xr:uid="{B5889B4F-C727-4AB7-BB9B-F2FBED15BBB0}"/>
    <cellStyle name="20% - Accent4 14 3" xfId="6068" xr:uid="{4F253B36-38DF-4895-9795-2213B2389920}"/>
    <cellStyle name="20% - Accent4 14 3 2" xfId="6069" xr:uid="{99E74F00-DAED-4C8F-A1F9-6C71C4C4FAE5}"/>
    <cellStyle name="20% - Accent4 14 3_Working Capital Current" xfId="13736" xr:uid="{DEAA0BED-D78C-468D-9E5B-9DF7D948C084}"/>
    <cellStyle name="20% - Accent4 14 4" xfId="6070" xr:uid="{592B9DA1-650D-48EC-AA48-B168E013D026}"/>
    <cellStyle name="20% - Accent4 14 5" xfId="6071" xr:uid="{67A7EEBE-A21C-4811-9ACB-AB48215B179B}"/>
    <cellStyle name="20% - Accent4 14_Not_for_upload_before_M4_correc" xfId="13737" xr:uid="{CC0F0C8A-50EC-4D55-83DE-31682E09AA2D}"/>
    <cellStyle name="20% - Accent4 15" xfId="6072" xr:uid="{E033BA80-185E-4ABF-8B37-251C2F7AB825}"/>
    <cellStyle name="20% - Accent4 15 2" xfId="6073" xr:uid="{6A72478A-E11D-4AFF-90B8-78855AC53947}"/>
    <cellStyle name="20% - Accent4 15 2 2" xfId="6074" xr:uid="{8F11FDDD-6D49-4A3C-B505-BFE2BAC939D6}"/>
    <cellStyle name="20% - Accent4 15 2 2 2" xfId="6075" xr:uid="{A5514A2D-5F0A-449B-BC6E-3B3808CA880B}"/>
    <cellStyle name="20% - Accent4 15 2 2_Working Capital Current" xfId="13738" xr:uid="{CE210020-9BB0-4164-AE3A-F1EE86AFCF31}"/>
    <cellStyle name="20% - Accent4 15 2 3" xfId="6076" xr:uid="{0BCC83D7-B53C-4C69-B812-C47BB385E2F6}"/>
    <cellStyle name="20% - Accent4 15 2 4" xfId="6077" xr:uid="{A41638B4-C2FF-44C7-A6DE-60C3F1DF4CAB}"/>
    <cellStyle name="20% - Accent4 15 2_Working Capital Current" xfId="13739" xr:uid="{7B2FC098-5F1F-4AC1-A3DE-6CD2828F9DCB}"/>
    <cellStyle name="20% - Accent4 15 3" xfId="6078" xr:uid="{2C21CE6E-77F7-4AA4-839B-258C6F65CA5D}"/>
    <cellStyle name="20% - Accent4 15 3 2" xfId="6079" xr:uid="{29B52206-E550-47DD-9BED-4C49770B00A2}"/>
    <cellStyle name="20% - Accent4 15 3_Working Capital Current" xfId="13740" xr:uid="{A9B2C77A-3A14-4878-B873-C954C0FC0AA2}"/>
    <cellStyle name="20% - Accent4 15 4" xfId="6080" xr:uid="{2F33DB02-ADA1-464D-AF75-BFD43F1CFE52}"/>
    <cellStyle name="20% - Accent4 15 5" xfId="6081" xr:uid="{A8523453-3DDB-4BE2-8BC6-C4C1835D6076}"/>
    <cellStyle name="20% - Accent4 15_Not_for_upload_before_M4_correc" xfId="13741" xr:uid="{4428A9D7-098F-47AA-B56E-C8DB4C49065E}"/>
    <cellStyle name="20% - Accent4 16" xfId="6082" xr:uid="{BBEC9BEB-6110-4354-8B81-5D693752FC74}"/>
    <cellStyle name="20% - Accent4 16 2" xfId="6083" xr:uid="{DBA851C0-B00A-4A72-9245-4903AFDDAC9A}"/>
    <cellStyle name="20% - Accent4 16 2 2" xfId="6084" xr:uid="{53384B09-FD77-4C35-85CE-D5A9DFB82D98}"/>
    <cellStyle name="20% - Accent4 16 2 2 2" xfId="6085" xr:uid="{5509A523-7C51-4CB2-9A17-DDABC04083EF}"/>
    <cellStyle name="20% - Accent4 16 2 2_Working Capital Current" xfId="13742" xr:uid="{2ECF85ED-0BC5-4F6E-B3B8-DBCDD904D07D}"/>
    <cellStyle name="20% - Accent4 16 2 3" xfId="6086" xr:uid="{351389DC-D8B5-4E66-B74B-3BF04E66252D}"/>
    <cellStyle name="20% - Accent4 16 2 4" xfId="6087" xr:uid="{A1DEB875-825D-4E4E-8D99-F96BD6B3270D}"/>
    <cellStyle name="20% - Accent4 16 2_Working Capital Current" xfId="13743" xr:uid="{9B9BA67B-FAF6-4A10-ACF6-2F2BB41BB071}"/>
    <cellStyle name="20% - Accent4 16 3" xfId="6088" xr:uid="{92C31A94-6D76-42D8-AB81-A00E7698D3CC}"/>
    <cellStyle name="20% - Accent4 16 3 2" xfId="6089" xr:uid="{2EC83E4C-588C-4549-BA7F-D6CC24392DEA}"/>
    <cellStyle name="20% - Accent4 16 3_Working Capital Current" xfId="13744" xr:uid="{E30D5F72-33FF-4579-8F57-CE1A39834F36}"/>
    <cellStyle name="20% - Accent4 16 4" xfId="6090" xr:uid="{23957AD5-4405-4B57-9865-F5E573244946}"/>
    <cellStyle name="20% - Accent4 16 5" xfId="6091" xr:uid="{3644B8BC-18E1-4169-AEE1-0BBB8B9C2340}"/>
    <cellStyle name="20% - Accent4 16_Not_for_upload_before_M4_correc" xfId="13745" xr:uid="{9979BE97-A421-4AD4-9E9C-18157FE1C4FB}"/>
    <cellStyle name="20% - Accent4 17" xfId="6092" xr:uid="{1D179C4D-0D39-4361-8C8A-F64FFDF40CEA}"/>
    <cellStyle name="20% - Accent4 17 2" xfId="6093" xr:uid="{9E63EB67-5711-4F4D-B957-CED364C62B4B}"/>
    <cellStyle name="20% - Accent4 17 2 2" xfId="6094" xr:uid="{F6A4F6FF-2BA4-41E9-900D-AF7FA9C9ED5A}"/>
    <cellStyle name="20% - Accent4 17 2 2 2" xfId="6095" xr:uid="{CB8DBEB4-830D-4B03-A328-16C68AC665B8}"/>
    <cellStyle name="20% - Accent4 17 2 2_Working Capital Current" xfId="13746" xr:uid="{E521B2D2-C3D0-4BB6-B5FE-5CB0DBCDC762}"/>
    <cellStyle name="20% - Accent4 17 2 3" xfId="6096" xr:uid="{1B35B56C-BB09-4578-9441-4174311CCE64}"/>
    <cellStyle name="20% - Accent4 17 2 4" xfId="6097" xr:uid="{6EEC0214-B17D-46CC-B7A2-56C5922B6699}"/>
    <cellStyle name="20% - Accent4 17 2_Working Capital Current" xfId="13747" xr:uid="{E3118B32-341A-40DB-BD69-299D2EF79116}"/>
    <cellStyle name="20% - Accent4 17 3" xfId="6098" xr:uid="{44FA8A1B-2274-43EB-A977-8F2EA49168F7}"/>
    <cellStyle name="20% - Accent4 17 3 2" xfId="6099" xr:uid="{9B8F0D99-31C2-4ABF-8149-B48BE04A20E1}"/>
    <cellStyle name="20% - Accent4 17 3_Working Capital Current" xfId="13748" xr:uid="{07A10DEE-93E9-4566-B175-105AB77A83A0}"/>
    <cellStyle name="20% - Accent4 17 4" xfId="6100" xr:uid="{F45361D4-11C9-4EC8-8880-C6831EE51075}"/>
    <cellStyle name="20% - Accent4 17 5" xfId="6101" xr:uid="{70AC877B-603C-4D69-8EAC-51E6FE9FD638}"/>
    <cellStyle name="20% - Accent4 17_Not_for_upload_before_M4_correc" xfId="13749" xr:uid="{884789BD-2096-49DF-878B-A44B435340A4}"/>
    <cellStyle name="20% - Accent4 18" xfId="6102" xr:uid="{922A60F6-E568-4153-B113-678AB6EAD94E}"/>
    <cellStyle name="20% - Accent4 18 2" xfId="6103" xr:uid="{BB127458-6247-4939-88CA-5C1F4E274551}"/>
    <cellStyle name="20% - Accent4 18 2 2" xfId="6104" xr:uid="{8381A9BD-E7C8-44C4-BD7E-EAFD9D93D477}"/>
    <cellStyle name="20% - Accent4 18 2 2 2" xfId="6105" xr:uid="{DFDEC3FA-0556-48FD-B3D8-CEA91F93DF19}"/>
    <cellStyle name="20% - Accent4 18 2 2_Working Capital Current" xfId="13750" xr:uid="{F67F2C41-9609-40C2-A136-9C0DD7048554}"/>
    <cellStyle name="20% - Accent4 18 2 3" xfId="6106" xr:uid="{1E05355E-7A05-40D4-A495-6F0FC232463E}"/>
    <cellStyle name="20% - Accent4 18 2 4" xfId="6107" xr:uid="{D38BC927-1C0D-4E2E-850A-1C1BA77FD72B}"/>
    <cellStyle name="20% - Accent4 18 2_Working Capital Current" xfId="13751" xr:uid="{9101CE80-DB38-41F3-BBC2-57AFD7A06BD4}"/>
    <cellStyle name="20% - Accent4 18 3" xfId="6108" xr:uid="{663EEC6C-7B1E-487D-B7F8-E84CF21E7312}"/>
    <cellStyle name="20% - Accent4 18 3 2" xfId="6109" xr:uid="{075FADB4-C4A2-49AA-9143-D914E0B7FAD1}"/>
    <cellStyle name="20% - Accent4 18 3_Working Capital Current" xfId="13752" xr:uid="{E2CCDF1F-D0A3-4212-9212-834CCB7D33F7}"/>
    <cellStyle name="20% - Accent4 18 4" xfId="6110" xr:uid="{F0886820-E46A-4761-BDC2-4D8DEBF85F39}"/>
    <cellStyle name="20% - Accent4 18 5" xfId="6111" xr:uid="{8A4D0854-BE45-46C9-914A-46B07BDC3975}"/>
    <cellStyle name="20% - Accent4 18_Not_for_upload_before_M4_correc" xfId="13753" xr:uid="{9B90ED9E-4180-403E-B6F2-4E617F179B6E}"/>
    <cellStyle name="20% - Accent4 19" xfId="6112" xr:uid="{69896D37-34E8-43BA-90EF-7880FDF9F197}"/>
    <cellStyle name="20% - Accent4 19 2" xfId="6113" xr:uid="{5411FADD-D0EF-4E88-9ED9-ED509808DE02}"/>
    <cellStyle name="20% - Accent4 19 2 2" xfId="6114" xr:uid="{9FA2A4CB-E107-4EB6-8A1D-B1C545750311}"/>
    <cellStyle name="20% - Accent4 19 2 2 2" xfId="6115" xr:uid="{F5536A99-D7ED-4A70-B925-23A85A31A5FC}"/>
    <cellStyle name="20% - Accent4 19 2 2_Working Capital Current" xfId="13754" xr:uid="{7FB2AFC8-AAA3-4164-8172-8EE9EF6077DF}"/>
    <cellStyle name="20% - Accent4 19 2 3" xfId="6116" xr:uid="{71F47600-318D-4CC1-951E-F4C16E7CD534}"/>
    <cellStyle name="20% - Accent4 19 2 4" xfId="6117" xr:uid="{E82128A2-EA63-4842-ABAF-33FD8561DBC9}"/>
    <cellStyle name="20% - Accent4 19 2_Working Capital Current" xfId="13755" xr:uid="{6FD71367-46BF-44EB-812C-162312C5CC11}"/>
    <cellStyle name="20% - Accent4 19 3" xfId="6118" xr:uid="{33E6CC84-8417-41F7-9E48-70E50F821050}"/>
    <cellStyle name="20% - Accent4 19 3 2" xfId="6119" xr:uid="{A14A1B0D-BB4F-4FFC-92D0-A11ABD61CD1D}"/>
    <cellStyle name="20% - Accent4 19 3_Working Capital Current" xfId="13756" xr:uid="{A99DD885-2E40-4A11-A2D9-C04BD14DE923}"/>
    <cellStyle name="20% - Accent4 19 4" xfId="6120" xr:uid="{33819D37-3073-4A35-9AA7-E82CEDE9DA60}"/>
    <cellStyle name="20% - Accent4 19 5" xfId="6121" xr:uid="{CACFB48C-948B-47C1-9E2D-2FFB28042185}"/>
    <cellStyle name="20% - Accent4 19_Not_for_upload_before_M4_correc" xfId="13757" xr:uid="{CC5806B8-D240-4F48-902F-21B808E8DA31}"/>
    <cellStyle name="20% - Accent4 2" xfId="77" xr:uid="{E335CAA9-0E79-4FDF-BD31-57DFACF2D654}"/>
    <cellStyle name="20% - Accent4 2 10" xfId="6122" xr:uid="{9C5AB4B5-29CE-48AF-B6D5-629A20F7EAB1}"/>
    <cellStyle name="20% - Accent4 2 11" xfId="17174" xr:uid="{CF192381-BD1D-4E10-9F2C-0A06A2F0FF5B}"/>
    <cellStyle name="20% - Accent4 2 2" xfId="78" xr:uid="{67C0BB98-5136-4F97-BA74-8748CF06C5AA}"/>
    <cellStyle name="20% - Accent4 2 2 2" xfId="1908" xr:uid="{AA960CDC-AF0E-4539-9D68-E25B2529D417}"/>
    <cellStyle name="20% - Accent4 2 2 2 2" xfId="6125" xr:uid="{6CE10BEA-6DFC-4BBB-AA3B-389A2D570DF4}"/>
    <cellStyle name="20% - Accent4 2 2 2 2 2" xfId="6126" xr:uid="{960A2599-8B1C-4E05-965E-024647940FAB}"/>
    <cellStyle name="20% - Accent4 2 2 2 2_Working Capital Current" xfId="13758" xr:uid="{606154F7-6EF3-4DD6-A73E-E7D430D571B5}"/>
    <cellStyle name="20% - Accent4 2 2 2 3" xfId="6127" xr:uid="{5B60EF1C-BE49-4090-BB88-443F437FD729}"/>
    <cellStyle name="20% - Accent4 2 2 2 4" xfId="6128" xr:uid="{9BD0CF6D-B5ED-4F2B-A761-907505F89C81}"/>
    <cellStyle name="20% - Accent4 2 2 2 5" xfId="17638" xr:uid="{E64CD7AF-95A5-43F3-B5A8-70849344C530}"/>
    <cellStyle name="20% - Accent4 2 2 2 6" xfId="18195" xr:uid="{75BBDC94-11F4-48FB-8F13-80C285979AA9}"/>
    <cellStyle name="20% - Accent4 2 2 2 7" xfId="6124" xr:uid="{700ED465-CD61-4091-B386-B2C12552F8DD}"/>
    <cellStyle name="20% - Accent4 2 2 2_Working Capital Current" xfId="13759" xr:uid="{890D9FF8-99B1-4D57-BB57-B220A5AB41DA}"/>
    <cellStyle name="20% - Accent4 2 2 3" xfId="6129" xr:uid="{2BBAB37D-5C94-492D-91FC-ED194EFD3F3A}"/>
    <cellStyle name="20% - Accent4 2 2 3 2" xfId="6130" xr:uid="{A29C6831-DD45-4445-83A1-2EEDCC88DAF1}"/>
    <cellStyle name="20% - Accent4 2 2 3_Working Capital Current" xfId="13760" xr:uid="{12808515-33C8-422B-B9ED-390B0CEAFAE0}"/>
    <cellStyle name="20% - Accent4 2 2 4" xfId="6131" xr:uid="{44A5F0BB-E398-42D8-8D6B-A07A34761533}"/>
    <cellStyle name="20% - Accent4 2 2 5" xfId="6132" xr:uid="{E2070A5C-A806-45D9-9E5F-D42198308446}"/>
    <cellStyle name="20% - Accent4 2 2 6" xfId="6123" xr:uid="{49F19080-96CD-4FFB-9393-211D8D1C6142}"/>
    <cellStyle name="20% - Accent4 2 2 7" xfId="16516" xr:uid="{27D7F3ED-6449-4955-9D5F-576179CE0434}"/>
    <cellStyle name="20% - Accent4 2 2 8" xfId="16977" xr:uid="{C29C4F5F-C7D1-4615-8706-F94CF1F4B5AE}"/>
    <cellStyle name="20% - Accent4 2 2_Not_for_upload_before_M4_correc" xfId="13761" xr:uid="{B1EE2C77-BEEC-4A2C-918C-5920E35059D4}"/>
    <cellStyle name="20% - Accent4 2 3" xfId="79" xr:uid="{301D5AA1-B0E2-48F1-860C-A15868332D57}"/>
    <cellStyle name="20% - Accent4 2 3 2" xfId="80" xr:uid="{959BE8A0-793C-45A4-B4F8-F839E7D70173}"/>
    <cellStyle name="20% - Accent4 2 3 2 2" xfId="898" xr:uid="{C9586303-F6C0-4BA8-A71E-D820B35D9A0B}"/>
    <cellStyle name="20% - Accent4 2 3 2 2 2" xfId="6136" xr:uid="{5CD6EC67-65A1-4D71-81BF-7D809E00E23F}"/>
    <cellStyle name="20% - Accent4 2 3 2 2 3" xfId="17095" xr:uid="{F600B65B-5B33-47B7-91BF-E3E854DABB35}"/>
    <cellStyle name="20% - Accent4 2 3 2 2 4" xfId="6135" xr:uid="{540291A7-AB02-4481-B9C9-089B616EEBB4}"/>
    <cellStyle name="20% - Accent4 2 3 2 2_Working Capital Current" xfId="13762" xr:uid="{56BDD5D9-B934-4667-891D-8D2B1E231D27}"/>
    <cellStyle name="20% - Accent4 2 3 2 3" xfId="1910" xr:uid="{1EDFBB33-0712-411D-BEDC-FDAD10EC9AD2}"/>
    <cellStyle name="20% - Accent4 2 3 2 3 2" xfId="17640" xr:uid="{B647BF9E-C066-43FB-A81B-08A5338E75B9}"/>
    <cellStyle name="20% - Accent4 2 3 2 3 3" xfId="6137" xr:uid="{99DA6DA3-4472-4E7F-A882-5DD8CEE404FD}"/>
    <cellStyle name="20% - Accent4 2 3 2 4" xfId="6138" xr:uid="{5AFCE943-04EF-4BE8-9A48-46E3794C45E9}"/>
    <cellStyle name="20% - Accent4 2 3 2 5" xfId="6134" xr:uid="{1DF98716-98C1-4756-9A52-48C5E771B466}"/>
    <cellStyle name="20% - Accent4 2 3 2 6" xfId="3889" xr:uid="{2C54A287-4631-42F6-9B6F-B6529CD8250C}"/>
    <cellStyle name="20% - Accent4 2 3 2 7" xfId="18309" xr:uid="{66B4BABD-3795-4FAA-9E08-EBD85DA16326}"/>
    <cellStyle name="20% - Accent4 2 3 2_Working Capital Current" xfId="13763" xr:uid="{E64792B8-FAA7-47C5-BE85-787FCD3672EF}"/>
    <cellStyle name="20% - Accent4 2 3 3" xfId="81" xr:uid="{406376A7-4112-464A-BEBF-3B05B64D87D8}"/>
    <cellStyle name="20% - Accent4 2 3 3 2" xfId="1911" xr:uid="{C5BCD435-DBEB-4474-82BC-A92755BD3930}"/>
    <cellStyle name="20% - Accent4 2 3 3 2 2" xfId="17641" xr:uid="{329A20CD-C78E-498B-8422-02BC46924A1A}"/>
    <cellStyle name="20% - Accent4 2 3 3 2 3" xfId="6140" xr:uid="{8E47AB8A-3364-4801-95D8-1B20F2DDAE45}"/>
    <cellStyle name="20% - Accent4 2 3 3 3" xfId="6139" xr:uid="{5CC7B96E-5BE0-4C86-8C76-DA2BA304AF0B}"/>
    <cellStyle name="20% - Accent4 2 3 3 4" xfId="16518" xr:uid="{7CF09B35-8D13-4D32-A304-0B5C9DE9F819}"/>
    <cellStyle name="20% - Accent4 2 3 3_Working Capital Current" xfId="13764" xr:uid="{B8786EA2-751D-4736-B44A-4BDFAE14F927}"/>
    <cellStyle name="20% - Accent4 2 3 4" xfId="82" xr:uid="{86D4976F-5E99-4033-A703-831D11D34723}"/>
    <cellStyle name="20% - Accent4 2 3 4 2" xfId="1912" xr:uid="{C44363F5-1B16-47BB-BAB0-85CD9367B497}"/>
    <cellStyle name="20% - Accent4 2 3 4 2 2" xfId="17642" xr:uid="{B4FB9DED-D257-4C12-B163-99D4F1F96584}"/>
    <cellStyle name="20% - Accent4 2 3 4 2 3" xfId="6141" xr:uid="{CEE97108-A175-4640-99FD-B0CCBF5CCEFF}"/>
    <cellStyle name="20% - Accent4 2 3 5" xfId="1909" xr:uid="{1B5513D4-1DAD-4F04-9178-9C72CF742785}"/>
    <cellStyle name="20% - Accent4 2 3 5 2" xfId="17639" xr:uid="{8D364B4C-0B2F-4A73-B876-B3FA2D435960}"/>
    <cellStyle name="20% - Accent4 2 3 5 3" xfId="6142" xr:uid="{14842398-BB07-4C3E-AEEF-2609003B0D4D}"/>
    <cellStyle name="20% - Accent4 2 3 6" xfId="6133" xr:uid="{1FD4EE5E-86A0-4E07-920A-2344E77B9F3A}"/>
    <cellStyle name="20% - Accent4 2 3 7" xfId="16517" xr:uid="{870042C0-3BEB-486F-82F8-111A0AFF5FA5}"/>
    <cellStyle name="20% - Accent4 2 3 8" xfId="3890" xr:uid="{CB23A068-2E51-4C1D-B361-A9FA9D72BF7F}"/>
    <cellStyle name="20% - Accent4 2 3 9" xfId="3874" xr:uid="{202D6DA0-AE34-4A0C-8ECC-45454B5C82BD}"/>
    <cellStyle name="20% - Accent4 2 3_Not_for_upload_before_M4_correc" xfId="13765" xr:uid="{A45052F7-EB3E-4F9E-84E7-F6F496D807E4}"/>
    <cellStyle name="20% - Accent4 2 4" xfId="1907" xr:uid="{4E23ABB3-0AD8-4E25-9643-21C1AD2024D9}"/>
    <cellStyle name="20% - Accent4 2 4 2" xfId="6144" xr:uid="{96CFB47D-1C12-4F5C-A0C1-E1CDBDC29CDD}"/>
    <cellStyle name="20% - Accent4 2 4 2 2" xfId="6145" xr:uid="{C8814FC9-E09E-48DD-B6B0-8944E4593F17}"/>
    <cellStyle name="20% - Accent4 2 4 2 2 2" xfId="6146" xr:uid="{39222C9A-85B7-4E7C-A3C9-0B9CE30D25B9}"/>
    <cellStyle name="20% - Accent4 2 4 2 2_Working Capital Current" xfId="13766" xr:uid="{1F530D21-02A6-44C4-BE2A-3E702DF652B5}"/>
    <cellStyle name="20% - Accent4 2 4 2 3" xfId="6147" xr:uid="{C74A58CA-F73B-4644-A352-7F0F00BC8570}"/>
    <cellStyle name="20% - Accent4 2 4 2 4" xfId="6148" xr:uid="{A34FB8B0-A4B7-46EF-AD3F-396AF3220E2F}"/>
    <cellStyle name="20% - Accent4 2 4 2_Working Capital Current" xfId="13767" xr:uid="{145942C6-9DB3-4BDA-80D6-421B93028D76}"/>
    <cellStyle name="20% - Accent4 2 4 3" xfId="6149" xr:uid="{7E1EB55E-8ECF-4C95-82AD-2CF42522880A}"/>
    <cellStyle name="20% - Accent4 2 4 3 2" xfId="6150" xr:uid="{8BC8D1C8-833F-4590-A98E-3F2F14C72E39}"/>
    <cellStyle name="20% - Accent4 2 4 3_Working Capital Current" xfId="13768" xr:uid="{4DC7DAAB-B9D7-4754-93F8-7148C4CB2CD0}"/>
    <cellStyle name="20% - Accent4 2 4 4" xfId="6151" xr:uid="{942C4716-29E7-4357-8E34-EC5CB93D9762}"/>
    <cellStyle name="20% - Accent4 2 4 5" xfId="6152" xr:uid="{6F22D9D6-82E3-4CF4-AD4A-A447D0570A51}"/>
    <cellStyle name="20% - Accent4 2 4 6" xfId="17637" xr:uid="{9AA29AF3-2FAA-4F2B-B0C7-417D28BDF30D}"/>
    <cellStyle name="20% - Accent4 2 4 7" xfId="18194" xr:uid="{95C3C7B9-4E92-40BE-AB6C-1190B254159E}"/>
    <cellStyle name="20% - Accent4 2 4 8" xfId="6143" xr:uid="{DBE05FAB-142D-451A-B268-F9A4673DD8DC}"/>
    <cellStyle name="20% - Accent4 2 4_Not_for_upload_before_M4_correc" xfId="13769" xr:uid="{B530B038-AC75-4352-8D8D-A29CB3D1F113}"/>
    <cellStyle name="20% - Accent4 2 5" xfId="6153" xr:uid="{B2FDD446-D092-4D38-B63A-501384DBD564}"/>
    <cellStyle name="20% - Accent4 2 5 2" xfId="6154" xr:uid="{71432F2D-E6A7-4BE6-9995-CE53C866E932}"/>
    <cellStyle name="20% - Accent4 2 5 2 2" xfId="6155" xr:uid="{01ACE459-3527-4866-838B-E768074261AA}"/>
    <cellStyle name="20% - Accent4 2 5 2_Working Capital Current" xfId="13770" xr:uid="{2B0438D9-8D7F-4CA6-B862-D256A2472FB2}"/>
    <cellStyle name="20% - Accent4 2 5 3" xfId="6156" xr:uid="{D458E85F-E13B-4CBC-9698-1C97A9FFF0E1}"/>
    <cellStyle name="20% - Accent4 2 6" xfId="6157" xr:uid="{A574D044-E358-4A45-AC81-EA06C8B512A2}"/>
    <cellStyle name="20% - Accent4 2 6 2" xfId="6158" xr:uid="{0C2CE44D-F26A-4F5B-8A07-FD481E2AF16F}"/>
    <cellStyle name="20% - Accent4 2 6_Working Capital Current" xfId="13771" xr:uid="{3BDC2AD7-29DF-4433-B9EB-169D2D977241}"/>
    <cellStyle name="20% - Accent4 2 7" xfId="6159" xr:uid="{6395B596-6367-4921-8927-67E581131683}"/>
    <cellStyle name="20% - Accent4 2 7 2" xfId="6160" xr:uid="{3CA3976A-36D4-4CFA-A5C9-3C2D3F0FC5A8}"/>
    <cellStyle name="20% - Accent4 2 7_Working Capital Current" xfId="13772" xr:uid="{4038F238-555E-4AA3-98E9-C10E9C029F81}"/>
    <cellStyle name="20% - Accent4 2 8" xfId="6161" xr:uid="{E4AF0C2D-BD95-4D76-9353-4CC9DD72475B}"/>
    <cellStyle name="20% - Accent4 2 9" xfId="6162" xr:uid="{5DBBF1A5-3F31-466B-9E05-C4BE0D079783}"/>
    <cellStyle name="20% - Accent4 2_Not_for_upload_before_M4_correc" xfId="13773" xr:uid="{6D1BBB63-46F4-4300-AF4E-50CE95D155EF}"/>
    <cellStyle name="20% - Accent4 20" xfId="6163" xr:uid="{94BDE93E-319F-4825-B79A-64507A5EE6B2}"/>
    <cellStyle name="20% - Accent4 20 2" xfId="6164" xr:uid="{828C4040-2213-44D2-8B62-EBC55A840D60}"/>
    <cellStyle name="20% - Accent4 20 2 2" xfId="6165" xr:uid="{9EC87348-576F-4FF9-8CFD-97B22D95D011}"/>
    <cellStyle name="20% - Accent4 20 2 2 2" xfId="6166" xr:uid="{A020C07A-2317-4219-B7B9-D0646AF50118}"/>
    <cellStyle name="20% - Accent4 20 2 2_Working Capital Current" xfId="13774" xr:uid="{B1789B00-74AB-4FA4-949A-CDBA7F037F7C}"/>
    <cellStyle name="20% - Accent4 20 2 3" xfId="6167" xr:uid="{EBEF26E4-3525-49AB-BE64-4120290CB445}"/>
    <cellStyle name="20% - Accent4 20 2 4" xfId="6168" xr:uid="{9062FAD8-EBE1-442A-8146-62EAA762013D}"/>
    <cellStyle name="20% - Accent4 20 2_Working Capital Current" xfId="13775" xr:uid="{F608AC02-1ACA-451D-BFA0-C72B85B627D6}"/>
    <cellStyle name="20% - Accent4 20 3" xfId="6169" xr:uid="{C8A54555-3626-4DDF-9AC6-70BAB55233E3}"/>
    <cellStyle name="20% - Accent4 20 3 2" xfId="6170" xr:uid="{8B162BD3-0A2E-4139-85A1-2B84FABFC851}"/>
    <cellStyle name="20% - Accent4 20 3_Working Capital Current" xfId="13776" xr:uid="{7FD9A1A6-956E-44B5-9E8A-F105B46180DD}"/>
    <cellStyle name="20% - Accent4 20 4" xfId="6171" xr:uid="{DD1F4041-A12E-431B-BD33-6235F5941D93}"/>
    <cellStyle name="20% - Accent4 20 5" xfId="6172" xr:uid="{F5308348-6693-4570-AB4C-B2BAEBA51D88}"/>
    <cellStyle name="20% - Accent4 20_Not_for_upload_before_M4_correc" xfId="13777" xr:uid="{14997BE2-B6A7-4240-8B0F-6F427122DF3B}"/>
    <cellStyle name="20% - Accent4 21" xfId="6173" xr:uid="{49A88899-3A56-45C3-AA7D-740923F6C696}"/>
    <cellStyle name="20% - Accent4 21 2" xfId="6174" xr:uid="{EFCBD716-020F-4162-ACBA-37F9E5AC7F24}"/>
    <cellStyle name="20% - Accent4 21 2 2" xfId="6175" xr:uid="{40D8B89C-6101-4E43-ABF6-582E68EE33A8}"/>
    <cellStyle name="20% - Accent4 21 2 2 2" xfId="6176" xr:uid="{C2BD98F6-5FD4-4899-9B8C-D26F08B40B28}"/>
    <cellStyle name="20% - Accent4 21 2 2_Working Capital Current" xfId="13778" xr:uid="{8F52B8D4-360A-4E1B-9247-469F3DD16FD9}"/>
    <cellStyle name="20% - Accent4 21 2 3" xfId="6177" xr:uid="{88F2772E-5406-48C7-97D7-DB3342635160}"/>
    <cellStyle name="20% - Accent4 21 2 4" xfId="6178" xr:uid="{C9F776F8-DA12-4075-A45B-48FD57AD4C6E}"/>
    <cellStyle name="20% - Accent4 21 2_Working Capital Current" xfId="13779" xr:uid="{9BAFF246-17B1-447C-89B2-7F0F5CA6956B}"/>
    <cellStyle name="20% - Accent4 21 3" xfId="6179" xr:uid="{1AE9698E-3BF4-40F9-BFC2-EB60C86EDF49}"/>
    <cellStyle name="20% - Accent4 21 3 2" xfId="6180" xr:uid="{EA5E5518-296D-4C07-9A99-B76287058F6D}"/>
    <cellStyle name="20% - Accent4 21 3_Working Capital Current" xfId="13780" xr:uid="{BE1E0CAF-7961-40ED-B3BA-8A9E1C5F5866}"/>
    <cellStyle name="20% - Accent4 21 4" xfId="6181" xr:uid="{E62E76F9-FFF2-4A74-96F8-997D594AB21C}"/>
    <cellStyle name="20% - Accent4 21 5" xfId="6182" xr:uid="{631965A9-F8D7-4BA2-9E1B-B8586994FEAD}"/>
    <cellStyle name="20% - Accent4 21_Not_for_upload_before_M4_correc" xfId="13781" xr:uid="{76E5EBE5-6ABD-4A28-ABDF-710CF70AA08B}"/>
    <cellStyle name="20% - Accent4 22" xfId="6183" xr:uid="{D88B4966-1B3F-401A-AE6D-D2DFE972713F}"/>
    <cellStyle name="20% - Accent4 22 2" xfId="6184" xr:uid="{6C1B7410-DF04-47FC-A7C0-53C3DE4836E4}"/>
    <cellStyle name="20% - Accent4 22 2 2" xfId="6185" xr:uid="{4973665F-7FCC-4894-985F-074E474E19ED}"/>
    <cellStyle name="20% - Accent4 22 2 2 2" xfId="6186" xr:uid="{0A6E5740-D9E2-495F-A3BD-E029BAD9FD37}"/>
    <cellStyle name="20% - Accent4 22 2 2_Working Capital Current" xfId="13782" xr:uid="{DF651426-823C-459C-960A-18C355D11C03}"/>
    <cellStyle name="20% - Accent4 22 2 3" xfId="6187" xr:uid="{999D56C5-D4AF-4182-8155-751B8B8C1DB4}"/>
    <cellStyle name="20% - Accent4 22 2 4" xfId="6188" xr:uid="{05FEAB5F-2B3B-42A3-A385-05D7A34CA7CB}"/>
    <cellStyle name="20% - Accent4 22 2_Working Capital Current" xfId="13783" xr:uid="{ECFB0160-2F0F-4177-9990-1F37DAAE0BD7}"/>
    <cellStyle name="20% - Accent4 22 3" xfId="6189" xr:uid="{8E825E63-2477-4349-B68D-CAC225E1BB4D}"/>
    <cellStyle name="20% - Accent4 22 3 2" xfId="6190" xr:uid="{18CD18E3-BACF-4C95-BEA5-A6D0E13FEF26}"/>
    <cellStyle name="20% - Accent4 22 3_Working Capital Current" xfId="13784" xr:uid="{ECC03D61-A521-4712-BD1B-60C044E9623E}"/>
    <cellStyle name="20% - Accent4 22 4" xfId="6191" xr:uid="{8EA9E6E4-5C39-484B-BCCB-C4AF1F808531}"/>
    <cellStyle name="20% - Accent4 22 5" xfId="6192" xr:uid="{FEEFACC5-7295-45B3-BA26-CBAC0B32B100}"/>
    <cellStyle name="20% - Accent4 22_Not_for_upload_before_M4_correc" xfId="13785" xr:uid="{CB8E56EF-E1D7-46BC-B95E-95B74963CBB4}"/>
    <cellStyle name="20% - Accent4 23" xfId="6193" xr:uid="{3D537865-B07F-47ED-B0CB-25A65203442D}"/>
    <cellStyle name="20% - Accent4 23 2" xfId="6194" xr:uid="{577EE1BD-AE50-4331-86BE-6B5B1FE6C5B2}"/>
    <cellStyle name="20% - Accent4 23 2 2" xfId="6195" xr:uid="{9EC9B8E2-D2F5-4BFA-8FD8-4B95299A8840}"/>
    <cellStyle name="20% - Accent4 23 2 2 2" xfId="6196" xr:uid="{56CE74B5-4DBB-4CA1-A00F-6A9881FF8C70}"/>
    <cellStyle name="20% - Accent4 23 2 2_Working Capital Current" xfId="13786" xr:uid="{EE21ADB6-7D5D-46FC-AFD8-91FC217CF67A}"/>
    <cellStyle name="20% - Accent4 23 2 3" xfId="6197" xr:uid="{FBB436B2-24E2-413F-943E-DF87D0E798C1}"/>
    <cellStyle name="20% - Accent4 23 2 4" xfId="6198" xr:uid="{D38499DF-CAF2-4209-939C-0FF9E1B897D2}"/>
    <cellStyle name="20% - Accent4 23 2_Working Capital Current" xfId="13787" xr:uid="{6316A996-94B6-445E-96EF-6DB5C7A80BB0}"/>
    <cellStyle name="20% - Accent4 23 3" xfId="6199" xr:uid="{004F576F-6159-43BD-BE9E-02416FC50795}"/>
    <cellStyle name="20% - Accent4 23 3 2" xfId="6200" xr:uid="{06F9520A-3853-498C-8DF4-D9390F1B099C}"/>
    <cellStyle name="20% - Accent4 23 3_Working Capital Current" xfId="13788" xr:uid="{0C787D54-F618-4046-A1AA-0B7FAD578EB3}"/>
    <cellStyle name="20% - Accent4 23 4" xfId="6201" xr:uid="{586A2B65-31A0-4FD1-A7E4-AC305F30CD3F}"/>
    <cellStyle name="20% - Accent4 23 5" xfId="6202" xr:uid="{7838CCC4-C8E0-448A-B899-275C95C155D8}"/>
    <cellStyle name="20% - Accent4 23_Not_for_upload_before_M4_correc" xfId="13789" xr:uid="{C7ABC3DB-687C-45A2-81C4-6C8F6210993E}"/>
    <cellStyle name="20% - Accent4 24" xfId="6203" xr:uid="{7C17EC19-A090-43B5-A6B8-BF5B774EAC78}"/>
    <cellStyle name="20% - Accent4 24 2" xfId="6204" xr:uid="{178110EF-8CD9-4717-8121-9529DFF4D46F}"/>
    <cellStyle name="20% - Accent4 24 2 2" xfId="6205" xr:uid="{55319505-7C3B-4724-B63B-E6EB7B8B9815}"/>
    <cellStyle name="20% - Accent4 24 2 2 2" xfId="6206" xr:uid="{0E703B6A-F155-4304-8706-306B0CBE5942}"/>
    <cellStyle name="20% - Accent4 24 2 2_Working Capital Current" xfId="13790" xr:uid="{18836198-99AB-490E-97DB-F571D61AB267}"/>
    <cellStyle name="20% - Accent4 24 2 3" xfId="6207" xr:uid="{A127E313-B6C1-4195-9B10-10A0B59E78C5}"/>
    <cellStyle name="20% - Accent4 24 2 4" xfId="6208" xr:uid="{8C67B2A5-77A7-4DD6-AE7F-9C460917CA04}"/>
    <cellStyle name="20% - Accent4 24 2_Working Capital Current" xfId="13791" xr:uid="{7940923D-A23A-4E39-A53B-0706791C2BDB}"/>
    <cellStyle name="20% - Accent4 24 3" xfId="6209" xr:uid="{BD7010EF-09B0-41DA-A9F5-7AC25466B328}"/>
    <cellStyle name="20% - Accent4 24 3 2" xfId="6210" xr:uid="{0B405D02-6513-4B6F-B604-82B5DD5D9CBA}"/>
    <cellStyle name="20% - Accent4 24 3_Working Capital Current" xfId="13792" xr:uid="{B307AAB4-E5A3-48AF-B516-6E266DE3CD5D}"/>
    <cellStyle name="20% - Accent4 24 4" xfId="6211" xr:uid="{B4D16195-0ED2-4A72-B671-7F8F3CD25E62}"/>
    <cellStyle name="20% - Accent4 24 5" xfId="6212" xr:uid="{BCAA8DAB-5C50-4970-B493-608343830FA4}"/>
    <cellStyle name="20% - Accent4 24_Not_for_upload_before_M4_correc" xfId="13793" xr:uid="{8BB92A6E-D408-4ADF-8EC8-5776E72B8EC5}"/>
    <cellStyle name="20% - Accent4 25" xfId="6213" xr:uid="{39E1F811-EA96-49A0-9411-F91D5130BB44}"/>
    <cellStyle name="20% - Accent4 25 2" xfId="6214" xr:uid="{41F223A8-05E8-492E-BE9A-A7FFAE46BBBD}"/>
    <cellStyle name="20% - Accent4 25 2 2" xfId="6215" xr:uid="{67BE6E51-3852-4F14-81BE-3AC7ED714B56}"/>
    <cellStyle name="20% - Accent4 25 2 2 2" xfId="6216" xr:uid="{AF8F0872-F416-4217-864E-D30198B0C23F}"/>
    <cellStyle name="20% - Accent4 25 2 2_Working Capital Current" xfId="13794" xr:uid="{F8B819D4-7251-4444-8C5E-22D3A38A6496}"/>
    <cellStyle name="20% - Accent4 25 2 3" xfId="6217" xr:uid="{04EF18D3-9489-44BD-95D9-5B2D74881F42}"/>
    <cellStyle name="20% - Accent4 25 2 4" xfId="6218" xr:uid="{FFDCB876-CB3B-4663-847B-6723AE31D8AD}"/>
    <cellStyle name="20% - Accent4 25 2_Working Capital Current" xfId="13795" xr:uid="{3A881E98-DC06-41A9-B8FD-81CE57592173}"/>
    <cellStyle name="20% - Accent4 25 3" xfId="6219" xr:uid="{0E553B81-2FB9-450D-B897-30FDFF4E4375}"/>
    <cellStyle name="20% - Accent4 25 3 2" xfId="6220" xr:uid="{518B301E-575B-49AC-9EF3-88F073AE746F}"/>
    <cellStyle name="20% - Accent4 25 3_Working Capital Current" xfId="13796" xr:uid="{2410754B-2582-4476-B35F-A7731B79C921}"/>
    <cellStyle name="20% - Accent4 25 4" xfId="6221" xr:uid="{2B00D6BF-1F19-419B-8C57-03E53815511A}"/>
    <cellStyle name="20% - Accent4 25 5" xfId="6222" xr:uid="{92A9B1EE-9B65-4915-ADB7-57892AFB84D9}"/>
    <cellStyle name="20% - Accent4 25_Not_for_upload_before_M4_correc" xfId="13797" xr:uid="{C7C3A57D-302F-4659-9329-27B1FA51EA1A}"/>
    <cellStyle name="20% - Accent4 26" xfId="6223" xr:uid="{2619648A-3F6B-4D01-AAD0-2C25E18EE9B8}"/>
    <cellStyle name="20% - Accent4 26 2" xfId="6224" xr:uid="{DA6C990A-92EA-4C5A-B862-024511B429A3}"/>
    <cellStyle name="20% - Accent4 26 2 2" xfId="6225" xr:uid="{6EF71802-3EB2-4176-A53F-B07AC2975513}"/>
    <cellStyle name="20% - Accent4 26 2 3" xfId="6226" xr:uid="{606714A5-06E7-448F-91F3-41A517C27B44}"/>
    <cellStyle name="20% - Accent4 26 2_Working Capital Current" xfId="13798" xr:uid="{C92A83E3-BB88-4B6C-9C94-C35BE6497B99}"/>
    <cellStyle name="20% - Accent4 26 3" xfId="6227" xr:uid="{C24A2803-3F36-49A6-BB21-81FE982D1F8A}"/>
    <cellStyle name="20% - Accent4 26 3 2" xfId="6228" xr:uid="{C301369C-0DA3-40E1-A826-DE84E6D4BA8F}"/>
    <cellStyle name="20% - Accent4 26 3_Working Capital Current" xfId="13799" xr:uid="{660F5588-D92F-491A-A650-026D002731EC}"/>
    <cellStyle name="20% - Accent4 26 4" xfId="6229" xr:uid="{FB24413E-42D5-4F08-94EF-78AC87B67425}"/>
    <cellStyle name="20% - Accent4 26 5" xfId="6230" xr:uid="{3A8E6C32-549E-4B6F-8C12-03E527F329E2}"/>
    <cellStyle name="20% - Accent4 26_Not_for_upload_before_M4_correc" xfId="13800" xr:uid="{13BA42F0-21C0-49D4-836D-79C3AE4B4265}"/>
    <cellStyle name="20% - Accent4 27" xfId="6231" xr:uid="{C3C2E101-D8BF-4B44-AA4D-7E9F7551F309}"/>
    <cellStyle name="20% - Accent4 27 2" xfId="6232" xr:uid="{28A3673E-147E-40DE-955B-5DD8831193CA}"/>
    <cellStyle name="20% - Accent4 27 2 2" xfId="6233" xr:uid="{246CA33E-F88F-4246-923B-A1F10F4CAB83}"/>
    <cellStyle name="20% - Accent4 27 2 3" xfId="6234" xr:uid="{EA9B9807-70BA-42A0-8DE1-4820B392F5B9}"/>
    <cellStyle name="20% - Accent4 27 2_Working Capital Current" xfId="13801" xr:uid="{96374E34-FE23-44F7-9338-46412679FEFC}"/>
    <cellStyle name="20% - Accent4 27 3" xfId="6235" xr:uid="{40F7288F-809E-4C8D-BFA7-FF4CE9CD9BCF}"/>
    <cellStyle name="20% - Accent4 27 3 2" xfId="6236" xr:uid="{801E1D53-F07B-4FA2-9A6A-89896B299563}"/>
    <cellStyle name="20% - Accent4 27 3_Working Capital Current" xfId="13802" xr:uid="{CAE5241D-D965-44EC-8A73-FAF5C48646C0}"/>
    <cellStyle name="20% - Accent4 27 4" xfId="6237" xr:uid="{2C34D658-7553-4E36-8EB2-91B55A7DDA70}"/>
    <cellStyle name="20% - Accent4 27 5" xfId="6238" xr:uid="{7C2CD14B-8985-46B1-8748-49111A7C227D}"/>
    <cellStyle name="20% - Accent4 27_Not_for_upload_before_M4_correc" xfId="13803" xr:uid="{6D55021D-2BDD-42F0-9916-58AE1EC520DE}"/>
    <cellStyle name="20% - Accent4 28" xfId="6239" xr:uid="{092C2B8E-5312-4D2E-A9A3-5C4A02413E2D}"/>
    <cellStyle name="20% - Accent4 28 2" xfId="6240" xr:uid="{0E8BA204-5715-4E36-98E0-D0D10CB61B62}"/>
    <cellStyle name="20% - Accent4 28 2 2" xfId="6241" xr:uid="{7AC28577-FFCE-405B-81E2-71291B020EF3}"/>
    <cellStyle name="20% - Accent4 28 2 3" xfId="6242" xr:uid="{EEB9A109-D7AE-4917-8F4D-632430295FFC}"/>
    <cellStyle name="20% - Accent4 28 2_Working Capital Current" xfId="13804" xr:uid="{FD845935-F109-466D-8E24-244B0AEF8D02}"/>
    <cellStyle name="20% - Accent4 28 3" xfId="6243" xr:uid="{C03ADBE2-3974-4B10-8691-E15B1ED201C9}"/>
    <cellStyle name="20% - Accent4 28 3 2" xfId="6244" xr:uid="{F2EE954E-767D-4D45-BD30-40ABDA9809CA}"/>
    <cellStyle name="20% - Accent4 28 3_Working Capital Current" xfId="13805" xr:uid="{9F378EB6-2803-494D-8AD2-1BDC5606738B}"/>
    <cellStyle name="20% - Accent4 28 4" xfId="6245" xr:uid="{C5D7DA05-0317-4446-AEC4-BE29ACACA0D8}"/>
    <cellStyle name="20% - Accent4 28 5" xfId="6246" xr:uid="{6674FD0A-7036-4ABE-9B1A-CD02E53ECDCF}"/>
    <cellStyle name="20% - Accent4 28_Not_for_upload_before_M4_correc" xfId="13806" xr:uid="{515AA465-E813-40B5-9FB0-55899385126E}"/>
    <cellStyle name="20% - Accent4 29" xfId="6247" xr:uid="{6EC3E1EC-AF08-4514-BE19-AB581FB6173D}"/>
    <cellStyle name="20% - Accent4 29 2" xfId="6248" xr:uid="{B45FCAB3-7B0C-4410-AB75-E38FAF2B579B}"/>
    <cellStyle name="20% - Accent4 29 2 2" xfId="6249" xr:uid="{59EC3B90-7DD3-4D13-A184-93CB20339925}"/>
    <cellStyle name="20% - Accent4 29 2_Working Capital Current" xfId="13807" xr:uid="{1FA5298E-F0FA-44C6-91C2-D770C1745A1B}"/>
    <cellStyle name="20% - Accent4 29 3" xfId="6250" xr:uid="{B5A9DB93-DE77-4226-A913-F55FA53FA116}"/>
    <cellStyle name="20% - Accent4 29 4" xfId="6251" xr:uid="{EF79DB65-39BC-4CCE-925F-C2B3F802C96E}"/>
    <cellStyle name="20% - Accent4 29_Not_for_upload_before_M4_correc" xfId="13808" xr:uid="{7F1F4E59-3AFA-49AB-80C1-86CA9CC39D3A}"/>
    <cellStyle name="20% - Accent4 3" xfId="83" xr:uid="{AB9EF2BD-11E3-426B-971E-1D6B7B15F7E7}"/>
    <cellStyle name="20% - Accent4 3 2" xfId="1913" xr:uid="{B1A1B19A-1752-4A4D-BD41-DF6492B2FEC6}"/>
    <cellStyle name="20% - Accent4 3 2 2" xfId="6254" xr:uid="{7EAA5EAE-E4F7-400B-9B33-992907753D24}"/>
    <cellStyle name="20% - Accent4 3 2 2 2" xfId="6255" xr:uid="{CD3AC9D0-5007-467E-A58F-D4DDEA31744A}"/>
    <cellStyle name="20% - Accent4 3 2 2 2 2" xfId="6256" xr:uid="{1E1F6408-0447-4263-8312-82E8DB0755CB}"/>
    <cellStyle name="20% - Accent4 3 2 2 2_Working Capital Current" xfId="13809" xr:uid="{2B35A197-EA4C-4C34-ACE3-78C03D580F45}"/>
    <cellStyle name="20% - Accent4 3 2 2 3" xfId="6257" xr:uid="{12DA4B4F-C7E2-4AAF-AE67-AF3899D014E5}"/>
    <cellStyle name="20% - Accent4 3 2 2 4" xfId="6258" xr:uid="{C8E4EF9C-9AAE-4AF2-8DEA-7415DD03961C}"/>
    <cellStyle name="20% - Accent4 3 2 2_Working Capital Current" xfId="13810" xr:uid="{BAE70650-B383-4AF8-88CA-D1FE2A86198C}"/>
    <cellStyle name="20% - Accent4 3 2 3" xfId="6259" xr:uid="{77AFE760-A2D9-449E-9F6F-52B8AB8A6CDE}"/>
    <cellStyle name="20% - Accent4 3 2 3 2" xfId="6260" xr:uid="{EEA25A44-35CF-4987-83BE-9BE3AC0A6030}"/>
    <cellStyle name="20% - Accent4 3 2 3_Working Capital Current" xfId="13811" xr:uid="{C1EB2393-D308-45D5-A679-D6CE93202A61}"/>
    <cellStyle name="20% - Accent4 3 2 4" xfId="6261" xr:uid="{4CF24CD1-23AD-422C-8DED-0188EE72A0DA}"/>
    <cellStyle name="20% - Accent4 3 2 5" xfId="6262" xr:uid="{43636777-22B9-4459-B41D-F1FC087EA77E}"/>
    <cellStyle name="20% - Accent4 3 2 6" xfId="17643" xr:uid="{1E9CCC65-2681-4974-91CD-6092697F82AA}"/>
    <cellStyle name="20% - Accent4 3 2 7" xfId="18196" xr:uid="{7796E17B-E0D6-40CE-9A56-EABA469E9FD4}"/>
    <cellStyle name="20% - Accent4 3 2 8" xfId="6253" xr:uid="{332B29E6-8E57-4C75-8444-1C8308C73312}"/>
    <cellStyle name="20% - Accent4 3 2_Not_for_upload_before_M4_correc" xfId="13812" xr:uid="{E411B03D-E86B-44F5-BD32-0639CE378117}"/>
    <cellStyle name="20% - Accent4 3 3" xfId="6263" xr:uid="{7B37EB56-5870-48C5-BF32-973F3A8EF386}"/>
    <cellStyle name="20% - Accent4 3 3 2" xfId="6264" xr:uid="{5C87AEE9-FB27-4406-9C0E-6CDE1857B43F}"/>
    <cellStyle name="20% - Accent4 3 3 2 2" xfId="6265" xr:uid="{3C54E998-A287-4E40-9E5C-B7C98F9A580E}"/>
    <cellStyle name="20% - Accent4 3 3 2 2 2" xfId="6266" xr:uid="{7BB8BD9E-2066-43DD-9C9B-386BC383A361}"/>
    <cellStyle name="20% - Accent4 3 3 2 2_Working Capital Current" xfId="13813" xr:uid="{A83DB61B-97D9-4D48-A087-A1421C11E82E}"/>
    <cellStyle name="20% - Accent4 3 3 2 3" xfId="6267" xr:uid="{BD348C68-1FE5-408F-AD1B-5B6E9D3D2599}"/>
    <cellStyle name="20% - Accent4 3 3 2 4" xfId="6268" xr:uid="{56BC9D6A-6BE1-4AF8-8E73-18C1C4EB061F}"/>
    <cellStyle name="20% - Accent4 3 3 2_Working Capital Current" xfId="13814" xr:uid="{6EA08EED-AD38-4CAA-960A-B90B9E535956}"/>
    <cellStyle name="20% - Accent4 3 3 3" xfId="6269" xr:uid="{4EAA431B-9F97-468B-9EEE-87AD8923AAAF}"/>
    <cellStyle name="20% - Accent4 3 3 3 2" xfId="6270" xr:uid="{F1D5E70A-296E-4860-9101-F6880BED87D5}"/>
    <cellStyle name="20% - Accent4 3 3 3_Working Capital Current" xfId="13815" xr:uid="{6129DAF0-7B08-4011-B468-308082A328D7}"/>
    <cellStyle name="20% - Accent4 3 3 4" xfId="6271" xr:uid="{31C97184-E243-42A1-8820-F9B14D0E9C11}"/>
    <cellStyle name="20% - Accent4 3 3 5" xfId="6272" xr:uid="{56E25CD2-F6B9-4326-BE1B-4BA710E1FF02}"/>
    <cellStyle name="20% - Accent4 3 3_Not_for_upload_before_M4_correc" xfId="13816" xr:uid="{0F25FE3D-59F1-441E-ACE8-F7C39180CC33}"/>
    <cellStyle name="20% - Accent4 3 4" xfId="6273" xr:uid="{24027DA8-5EC7-4E0E-9CCC-0D5F091EBED0}"/>
    <cellStyle name="20% - Accent4 3 4 2" xfId="6274" xr:uid="{8591E1D5-FE01-4413-8266-E72300672B8A}"/>
    <cellStyle name="20% - Accent4 3 4 2 2" xfId="6275" xr:uid="{4B25141B-B9AD-4696-A6B9-C3E680685C9C}"/>
    <cellStyle name="20% - Accent4 3 4 2 2 2" xfId="6276" xr:uid="{6339D1A7-21DA-4118-842C-AC564B94F696}"/>
    <cellStyle name="20% - Accent4 3 4 2 2_Working Capital Current" xfId="13817" xr:uid="{21111101-A07D-4A5F-B1BE-2C7CA784B9A3}"/>
    <cellStyle name="20% - Accent4 3 4 2 3" xfId="6277" xr:uid="{B07B8D1D-1647-4EEF-8C8F-5C2547AEBBE1}"/>
    <cellStyle name="20% - Accent4 3 4 2 4" xfId="6278" xr:uid="{D46A688D-67C3-44EF-ACF1-CAD7CB6BCE5F}"/>
    <cellStyle name="20% - Accent4 3 4 2_Working Capital Current" xfId="13818" xr:uid="{2DD65BB5-E4E1-41A7-AA6D-024E7257900B}"/>
    <cellStyle name="20% - Accent4 3 4 3" xfId="6279" xr:uid="{3F03461F-5BE6-4103-9DBE-197DF06F1970}"/>
    <cellStyle name="20% - Accent4 3 4 3 2" xfId="6280" xr:uid="{5E713593-A642-4627-B4D6-D9ED516EA2F3}"/>
    <cellStyle name="20% - Accent4 3 4 3_Working Capital Current" xfId="13819" xr:uid="{D9F7C8CA-4044-40DD-8C44-80E08995BD60}"/>
    <cellStyle name="20% - Accent4 3 4 4" xfId="6281" xr:uid="{DF59BDBE-8641-4520-ABC8-E7820F93F260}"/>
    <cellStyle name="20% - Accent4 3 4 5" xfId="6282" xr:uid="{4F2A8B9F-741A-4D1D-8DA0-6B4F6F0CB520}"/>
    <cellStyle name="20% - Accent4 3 4_Not_for_upload_before_M4_correc" xfId="13820" xr:uid="{3460462C-C281-45C9-BA2B-E3F41980BD4B}"/>
    <cellStyle name="20% - Accent4 3 5" xfId="6283" xr:uid="{5B52A72C-88AC-4469-B2C5-D5F1774AC816}"/>
    <cellStyle name="20% - Accent4 3 5 2" xfId="6284" xr:uid="{1C301846-D455-47AB-ADA9-BFB396716112}"/>
    <cellStyle name="20% - Accent4 3 5 2 2" xfId="6285" xr:uid="{1029F153-6D8F-4F6E-9844-E58841EB2FDD}"/>
    <cellStyle name="20% - Accent4 3 5 2_Working Capital Current" xfId="13821" xr:uid="{DDAD8017-CA06-437E-A2D9-002532FE3253}"/>
    <cellStyle name="20% - Accent4 3 5 3" xfId="6286" xr:uid="{4FFAB40B-2C4A-49B2-B074-402509C5C898}"/>
    <cellStyle name="20% - Accent4 3 5 4" xfId="6287" xr:uid="{052FE0F2-5410-4406-99E4-E1C784E11383}"/>
    <cellStyle name="20% - Accent4 3 5_Working Capital Current" xfId="13822" xr:uid="{195DC00E-B399-4756-BBEA-E45E9E140E30}"/>
    <cellStyle name="20% - Accent4 3 6" xfId="6288" xr:uid="{9AE0EF48-7E1B-4E6D-B575-AFFADB363EED}"/>
    <cellStyle name="20% - Accent4 3 6 2" xfId="6289" xr:uid="{362E5E4C-A6ED-4AFB-87DE-FAEFE538E709}"/>
    <cellStyle name="20% - Accent4 3 6_Working Capital Current" xfId="13823" xr:uid="{C8043628-B72D-4C56-8775-FE52F8909346}"/>
    <cellStyle name="20% - Accent4 3 7" xfId="6290" xr:uid="{C1A4494B-A482-4FC1-8B5B-F1F0E446F5B7}"/>
    <cellStyle name="20% - Accent4 3 8" xfId="6291" xr:uid="{722FCBBB-927C-4FFD-A6D9-3E78C103D1A2}"/>
    <cellStyle name="20% - Accent4 3 9" xfId="6252" xr:uid="{084A6C09-C08B-4BDE-97B5-D157B40122E0}"/>
    <cellStyle name="20% - Accent4 3_Not_for_upload_before_M4_correc" xfId="13824" xr:uid="{EB2CF6E6-0001-4897-BB5D-1304224D5BCA}"/>
    <cellStyle name="20% - Accent4 30" xfId="6292" xr:uid="{82C554F8-0EEB-4A70-B291-ED0593F721C8}"/>
    <cellStyle name="20% - Accent4 30 2" xfId="6293" xr:uid="{9A811E0C-2084-4AFD-A6F2-607C1B1168F9}"/>
    <cellStyle name="20% - Accent4 30 2 2" xfId="6294" xr:uid="{9660F7C5-1DCA-4E79-A891-5AC944BC6976}"/>
    <cellStyle name="20% - Accent4 30 2_Working Capital Current" xfId="13825" xr:uid="{A425F12F-AE3B-44A3-8BD5-18B91F73994D}"/>
    <cellStyle name="20% - Accent4 30 3" xfId="6295" xr:uid="{CD02CFF4-0030-4EB9-A6E2-FD3B10AE13E7}"/>
    <cellStyle name="20% - Accent4 30 4" xfId="6296" xr:uid="{6B73854A-17AD-481E-A276-6FBBE236DA5E}"/>
    <cellStyle name="20% - Accent4 30_Working Capital Current" xfId="13826" xr:uid="{88CE5233-2609-4204-A9D6-8A166B7D6FB8}"/>
    <cellStyle name="20% - Accent4 31" xfId="6297" xr:uid="{02318DBD-47FD-471E-B893-7554557D5292}"/>
    <cellStyle name="20% - Accent4 31 2" xfId="6298" xr:uid="{AE151999-2633-4C69-8958-2128AA029D14}"/>
    <cellStyle name="20% - Accent4 31 2 2" xfId="6299" xr:uid="{F4760887-B6BF-4311-B4A2-477E56D4B1A9}"/>
    <cellStyle name="20% - Accent4 31 2_Working Capital Current" xfId="13827" xr:uid="{12E9DB48-3662-4817-BFA9-EC44C441C33A}"/>
    <cellStyle name="20% - Accent4 31 3" xfId="6300" xr:uid="{9A6A9581-38A2-4750-8401-366352FBD9F7}"/>
    <cellStyle name="20% - Accent4 31 4" xfId="6301" xr:uid="{777DFD9E-2E66-4791-BE64-B868B664F735}"/>
    <cellStyle name="20% - Accent4 31_Working Capital Current" xfId="13828" xr:uid="{F5AED07C-1C51-4EC7-AA56-1EA0355AF5E9}"/>
    <cellStyle name="20% - Accent4 32" xfId="6302" xr:uid="{6CB6260F-87A7-4CEC-AE5A-B434EB604981}"/>
    <cellStyle name="20% - Accent4 32 2" xfId="6303" xr:uid="{04751E3C-3735-4807-A3D1-7600CA37F702}"/>
    <cellStyle name="20% - Accent4 32 2 2" xfId="6304" xr:uid="{485036C3-05F1-4165-B4FE-2125C9D70311}"/>
    <cellStyle name="20% - Accent4 32 2_Working Capital Current" xfId="13829" xr:uid="{B687535D-97D8-44A6-B781-1D155B28058B}"/>
    <cellStyle name="20% - Accent4 32 3" xfId="6305" xr:uid="{34F10013-CF2D-4210-931D-08B50DC732D9}"/>
    <cellStyle name="20% - Accent4 32 4" xfId="6306" xr:uid="{E24E39CB-649C-4D38-AF18-F05A9B9F8D6A}"/>
    <cellStyle name="20% - Accent4 32_Working Capital Current" xfId="13830" xr:uid="{B5ED98EA-7FF8-494B-8A0B-7BCD195895D3}"/>
    <cellStyle name="20% - Accent4 33" xfId="6307" xr:uid="{CB023EE9-AE89-48A1-AD9D-65F46E536C9E}"/>
    <cellStyle name="20% - Accent4 33 2" xfId="6308" xr:uid="{F3568371-EDB7-41AF-87AB-911465D92F28}"/>
    <cellStyle name="20% - Accent4 33 2 2" xfId="6309" xr:uid="{37739374-2C49-4810-A65F-B305FECBC6E1}"/>
    <cellStyle name="20% - Accent4 33 2_Working Capital Current" xfId="13831" xr:uid="{48EB7C71-C616-4665-8E37-C8F8025E5C7A}"/>
    <cellStyle name="20% - Accent4 33 3" xfId="6310" xr:uid="{CE52E779-3E4F-450A-B80B-2B8B07D9787D}"/>
    <cellStyle name="20% - Accent4 33 4" xfId="6311" xr:uid="{93ACAE11-EC15-411F-B161-263455894066}"/>
    <cellStyle name="20% - Accent4 33_Working Capital Current" xfId="13832" xr:uid="{F458B0B9-85E6-4007-8F69-FA409842B5ED}"/>
    <cellStyle name="20% - Accent4 34" xfId="6312" xr:uid="{3B484717-E01B-46E7-A633-3AAE5E3F7B93}"/>
    <cellStyle name="20% - Accent4 34 2" xfId="6313" xr:uid="{31A25BF8-DC2F-4517-8523-4BED428E31B6}"/>
    <cellStyle name="20% - Accent4 34 2 2" xfId="6314" xr:uid="{31C610AA-1BB8-4FA8-AAAA-16399083EEF7}"/>
    <cellStyle name="20% - Accent4 34 2_Working Capital Current" xfId="13833" xr:uid="{5F701E8A-0524-4E2C-9696-C660C4D12229}"/>
    <cellStyle name="20% - Accent4 34 3" xfId="6315" xr:uid="{E352E142-AE2C-407E-BA09-0BEFC98343FD}"/>
    <cellStyle name="20% - Accent4 34 4" xfId="6316" xr:uid="{AACE9AB3-144E-45EC-AEF3-B15128E42AA5}"/>
    <cellStyle name="20% - Accent4 34_Working Capital Current" xfId="13834" xr:uid="{75888211-8637-41DD-B1B7-268231F9D21B}"/>
    <cellStyle name="20% - Accent4 35" xfId="6317" xr:uid="{1747FBE6-7912-466F-AAA3-84CB1617D620}"/>
    <cellStyle name="20% - Accent4 35 2" xfId="6318" xr:uid="{74E5E92B-7B51-41E1-B7F8-253E57C9C9B9}"/>
    <cellStyle name="20% - Accent4 35 2 2" xfId="6319" xr:uid="{3A2B9F7B-69B8-4B04-A9B4-3DA11C2800D6}"/>
    <cellStyle name="20% - Accent4 35 2_Working Capital Current" xfId="13835" xr:uid="{77161DCA-A8A2-47A5-959A-5728399FD8C0}"/>
    <cellStyle name="20% - Accent4 35 3" xfId="6320" xr:uid="{5833D6C9-1A81-4EC6-BAAF-D78D5EED4A44}"/>
    <cellStyle name="20% - Accent4 35 4" xfId="6321" xr:uid="{F3662B20-8A1A-48AC-AB0F-8AE13416E39B}"/>
    <cellStyle name="20% - Accent4 35_Working Capital Current" xfId="13836" xr:uid="{8BB7A51E-41F1-4980-8BD3-63256B818796}"/>
    <cellStyle name="20% - Accent4 36" xfId="6322" xr:uid="{6F82B227-9FEA-4AFD-AD19-9E947D528330}"/>
    <cellStyle name="20% - Accent4 36 2" xfId="6323" xr:uid="{C99D4BD9-0A21-4680-B4E3-042D2E66EBC3}"/>
    <cellStyle name="20% - Accent4 36 2 2" xfId="6324" xr:uid="{1645C696-B2EC-42DC-96F7-4A60B8BC7CC7}"/>
    <cellStyle name="20% - Accent4 36 2_Working Capital Current" xfId="13837" xr:uid="{2796BBB6-B482-40E8-A14B-AF11586F93F2}"/>
    <cellStyle name="20% - Accent4 36 3" xfId="6325" xr:uid="{91FCBB93-494D-4441-8DF0-E8837D21FCE8}"/>
    <cellStyle name="20% - Accent4 36 4" xfId="6326" xr:uid="{E0155601-C4AE-43A5-9929-6AF551C6670A}"/>
    <cellStyle name="20% - Accent4 36_Working Capital Current" xfId="13838" xr:uid="{69055559-12D9-469D-A41A-C085F26D52F8}"/>
    <cellStyle name="20% - Accent4 37" xfId="6327" xr:uid="{EE56C823-DB8A-4AA5-A38A-045F74E43DE6}"/>
    <cellStyle name="20% - Accent4 37 2" xfId="6328" xr:uid="{9E42A076-9BA5-4F5F-9DA0-918E83267020}"/>
    <cellStyle name="20% - Accent4 37 2 2" xfId="6329" xr:uid="{B8B6C3A8-5389-467F-89CA-CB3E50F8E31A}"/>
    <cellStyle name="20% - Accent4 37 2_Working Capital Current" xfId="13839" xr:uid="{AC31B80C-3746-4C2E-975C-CEA9AEB14B0A}"/>
    <cellStyle name="20% - Accent4 37 3" xfId="6330" xr:uid="{9E2D296E-AAD7-4839-9C30-1A09EB05D978}"/>
    <cellStyle name="20% - Accent4 37 4" xfId="6331" xr:uid="{26BD4FA9-65F3-4B6E-B15A-A4B52B06FB38}"/>
    <cellStyle name="20% - Accent4 37_Working Capital Current" xfId="13840" xr:uid="{FD6B2F27-EFAC-41C5-A862-DF54C6B84129}"/>
    <cellStyle name="20% - Accent4 38" xfId="6332" xr:uid="{5F3589B9-CBBA-49E1-8D1A-AB99310CC8FF}"/>
    <cellStyle name="20% - Accent4 38 2" xfId="6333" xr:uid="{D4775C12-4E48-4ACD-A423-E7EC65715670}"/>
    <cellStyle name="20% - Accent4 38 2 2" xfId="6334" xr:uid="{A930622E-A9C1-4119-82B8-C7ADA66F716D}"/>
    <cellStyle name="20% - Accent4 38 2_Working Capital Current" xfId="13841" xr:uid="{5E098A5D-11E3-4A17-84A5-9E9D9169BD54}"/>
    <cellStyle name="20% - Accent4 38 3" xfId="6335" xr:uid="{CCE4604E-9420-4E19-B2B1-2591CD97D4F8}"/>
    <cellStyle name="20% - Accent4 38 4" xfId="6336" xr:uid="{C544E974-8F3E-4BF5-987C-5FD4D97508A5}"/>
    <cellStyle name="20% - Accent4 38_Working Capital Current" xfId="13842" xr:uid="{E72F68C5-347D-449C-A1B0-9FA18B4F290F}"/>
    <cellStyle name="20% - Accent4 39" xfId="6337" xr:uid="{CAC11A4E-1F8C-43FB-B3AE-CA4EF0F1C376}"/>
    <cellStyle name="20% - Accent4 39 2" xfId="6338" xr:uid="{7F91D6C3-CE99-4837-B83B-C3356D5EA460}"/>
    <cellStyle name="20% - Accent4 39 2 2" xfId="6339" xr:uid="{FB93F73E-FC27-4B03-9FF0-904775A2B4C3}"/>
    <cellStyle name="20% - Accent4 39 2_Working Capital Current" xfId="13843" xr:uid="{8CCD7FBF-859D-405C-9FA8-F0C01033E698}"/>
    <cellStyle name="20% - Accent4 39 3" xfId="6340" xr:uid="{84EEB34B-5596-472B-986D-6EE4D37DDC53}"/>
    <cellStyle name="20% - Accent4 39 4" xfId="6341" xr:uid="{886349F7-C353-4405-9CC2-2433C880B053}"/>
    <cellStyle name="20% - Accent4 39_Working Capital Current" xfId="13844" xr:uid="{451A7BA6-E9B4-44BD-B8DC-8F308CFE3ED2}"/>
    <cellStyle name="20% - Accent4 4" xfId="1874" xr:uid="{4DD0FE6A-4C0B-4193-A1EF-8E2B3BB74FBA}"/>
    <cellStyle name="20% - Accent4 4 2" xfId="6343" xr:uid="{12AF6B91-F349-4CB5-B7AB-967144D95852}"/>
    <cellStyle name="20% - Accent4 4 2 2" xfId="6344" xr:uid="{255B9DBC-A26E-47FC-B6FC-FFF121AFAFBB}"/>
    <cellStyle name="20% - Accent4 4 2 2 2" xfId="6345" xr:uid="{C3E654A6-FE84-4BF1-BA12-54E755DE1D2E}"/>
    <cellStyle name="20% - Accent4 4 2 2_Working Capital Current" xfId="13845" xr:uid="{3F64C2ED-B151-4A24-9E37-95F809D2F72C}"/>
    <cellStyle name="20% - Accent4 4 2 3" xfId="6346" xr:uid="{B8274E17-8AD8-4CC3-8808-6E1482568661}"/>
    <cellStyle name="20% - Accent4 4 2 4" xfId="6347" xr:uid="{D773231E-0820-465E-8563-6A2B521FA6E2}"/>
    <cellStyle name="20% - Accent4 4 2_Working Capital Current" xfId="13846" xr:uid="{AAFCDDCF-5553-4BD2-B170-2B621AAA0DD4}"/>
    <cellStyle name="20% - Accent4 4 3" xfId="6348" xr:uid="{059374A0-64A3-4603-BAB0-B0A9CA6870ED}"/>
    <cellStyle name="20% - Accent4 4 3 2" xfId="6349" xr:uid="{C7185282-2046-4281-8EC6-6735EA5F3C66}"/>
    <cellStyle name="20% - Accent4 4 3_Working Capital Current" xfId="13847" xr:uid="{036A4D7D-F3CE-437F-AB4C-8FDBAC59AAE6}"/>
    <cellStyle name="20% - Accent4 4 4" xfId="6350" xr:uid="{8907B878-46DD-4F34-97AB-2FBE5AA7E58F}"/>
    <cellStyle name="20% - Accent4 4 5" xfId="6351" xr:uid="{5C13C7C7-8EE6-4816-A705-465F2B44EB9B}"/>
    <cellStyle name="20% - Accent4 4 6" xfId="17610" xr:uid="{6047DA7A-A960-470E-8843-04E7A4B2F1DA}"/>
    <cellStyle name="20% - Accent4 4 7" xfId="18179" xr:uid="{5BC7B3FC-57AF-43F4-AFC4-C5F20EE12A55}"/>
    <cellStyle name="20% - Accent4 4 8" xfId="6342" xr:uid="{2E3116A3-2EC7-4A3D-80F6-F37C8D7A9C2E}"/>
    <cellStyle name="20% - Accent4 4_Not_for_upload_before_M4_correc" xfId="13848" xr:uid="{E00F3211-91D9-4245-AD19-9331132EA069}"/>
    <cellStyle name="20% - Accent4 40" xfId="6352" xr:uid="{8F37B39F-F0CA-43C4-BBBD-7479E950AD8B}"/>
    <cellStyle name="20% - Accent4 40 2" xfId="6353" xr:uid="{C6C1B2FE-5C33-439E-B0BA-D1D1B35F7EA7}"/>
    <cellStyle name="20% - Accent4 40 2 2" xfId="6354" xr:uid="{D6AECE24-93C4-4CF0-8A6B-47B9EBEE8224}"/>
    <cellStyle name="20% - Accent4 40 2_Working Capital Current" xfId="13849" xr:uid="{F45A6D6D-E359-4335-9706-490619538E80}"/>
    <cellStyle name="20% - Accent4 40 3" xfId="6355" xr:uid="{BE6DE5C6-0F67-43C3-A00C-CE1E42EE551E}"/>
    <cellStyle name="20% - Accent4 40 4" xfId="6356" xr:uid="{EEF73854-B0E2-44AF-A549-9B85EA3243CD}"/>
    <cellStyle name="20% - Accent4 40_Working Capital Current" xfId="13850" xr:uid="{90623EE2-6F1B-4C76-AC59-953ECCB6FB0C}"/>
    <cellStyle name="20% - Accent4 41" xfId="6357" xr:uid="{8D042CE6-C690-41B2-A365-071F6D70E76A}"/>
    <cellStyle name="20% - Accent4 41 2" xfId="6358" xr:uid="{09552CA5-4633-468A-A079-A735D56A5024}"/>
    <cellStyle name="20% - Accent4 41 2 2" xfId="6359" xr:uid="{23752D1A-6166-4DDC-BDCB-281894D36D97}"/>
    <cellStyle name="20% - Accent4 41 2_Working Capital Current" xfId="13851" xr:uid="{7097E32F-25F8-4A3F-A540-B85FC03CD929}"/>
    <cellStyle name="20% - Accent4 41 3" xfId="6360" xr:uid="{91CEC682-87E9-4A05-905C-2A869366CA1F}"/>
    <cellStyle name="20% - Accent4 41 4" xfId="6361" xr:uid="{7D908143-4C15-4BDB-9722-97C6102742D5}"/>
    <cellStyle name="20% - Accent4 41_Working Capital Current" xfId="13852" xr:uid="{EFD3C8F2-AA5F-490E-B123-52554D225B34}"/>
    <cellStyle name="20% - Accent4 42" xfId="6362" xr:uid="{64C066FA-176F-4C74-BD85-7112EF675901}"/>
    <cellStyle name="20% - Accent4 42 2" xfId="6363" xr:uid="{643A47FE-12BD-4776-99D6-5823437CE574}"/>
    <cellStyle name="20% - Accent4 42 2 2" xfId="6364" xr:uid="{B19ADCD1-E015-4736-A7F9-4E5A74999614}"/>
    <cellStyle name="20% - Accent4 42 2_Working Capital Current" xfId="13853" xr:uid="{AECB1F70-25EA-4E59-8D9A-DBD3DA949A00}"/>
    <cellStyle name="20% - Accent4 42 3" xfId="6365" xr:uid="{81B1857C-1FB5-4140-88C5-D59877D645B1}"/>
    <cellStyle name="20% - Accent4 42 4" xfId="6366" xr:uid="{F77B8432-20A5-4B57-A76E-D26A8E6FAA91}"/>
    <cellStyle name="20% - Accent4 42_Working Capital Current" xfId="13854" xr:uid="{44C9D48F-6A31-4F05-A573-B1DDEF3AF3B7}"/>
    <cellStyle name="20% - Accent4 43" xfId="6367" xr:uid="{4153F3CD-6259-4D7B-8B5C-0F79E991012F}"/>
    <cellStyle name="20% - Accent4 43 2" xfId="6368" xr:uid="{099E180A-72F2-409C-B2FD-0B9AC39E2A15}"/>
    <cellStyle name="20% - Accent4 43 2 2" xfId="6369" xr:uid="{817B5AC8-F526-4671-B5D3-6A995BE521F7}"/>
    <cellStyle name="20% - Accent4 43 2_Working Capital Current" xfId="13855" xr:uid="{95272173-9FAF-441D-9389-50399CD588D9}"/>
    <cellStyle name="20% - Accent4 43 3" xfId="6370" xr:uid="{B0E8E47A-C3BF-4A51-94C7-E63A26F723AB}"/>
    <cellStyle name="20% - Accent4 43 4" xfId="6371" xr:uid="{9D576BCA-2B93-4452-8A18-4D4D37D99266}"/>
    <cellStyle name="20% - Accent4 43_Working Capital Current" xfId="13856" xr:uid="{9C6B0D4A-CA76-4EEA-B766-E87B629D9A93}"/>
    <cellStyle name="20% - Accent4 44" xfId="6372" xr:uid="{FA56F3C6-3417-47BB-B779-39B933435327}"/>
    <cellStyle name="20% - Accent4 44 2" xfId="6373" xr:uid="{E5418475-AC2D-4A70-8520-338BF6B79AB7}"/>
    <cellStyle name="20% - Accent4 44 2 2" xfId="6374" xr:uid="{A5DB557E-62AC-4814-95CF-8814E35F9121}"/>
    <cellStyle name="20% - Accent4 44 2_Working Capital Current" xfId="13857" xr:uid="{701E0742-049F-4FF4-B3F2-DF17A398E798}"/>
    <cellStyle name="20% - Accent4 44 3" xfId="6375" xr:uid="{046D4809-6387-415E-B3BD-02C5F11CCAD6}"/>
    <cellStyle name="20% - Accent4 44 4" xfId="6376" xr:uid="{A4FFF096-8E33-415E-A391-8A6F142CA9A2}"/>
    <cellStyle name="20% - Accent4 44_Working Capital Current" xfId="13858" xr:uid="{5DA60D60-2FF6-4F69-873E-74E11954EE5F}"/>
    <cellStyle name="20% - Accent4 45" xfId="6377" xr:uid="{2F0F4C3A-27C5-4DE1-985D-9BCE3F12694F}"/>
    <cellStyle name="20% - Accent4 45 2" xfId="6378" xr:uid="{D857599E-D4CF-44E3-B0EF-812FFB86F653}"/>
    <cellStyle name="20% - Accent4 45 2 2" xfId="6379" xr:uid="{7511DF02-A85B-4F5B-8817-93C45D1E54E2}"/>
    <cellStyle name="20% - Accent4 45 2_Working Capital Current" xfId="13859" xr:uid="{CF649F05-0E7B-489E-8972-29A80EE99DFF}"/>
    <cellStyle name="20% - Accent4 45 3" xfId="6380" xr:uid="{5645131E-17AE-4F4C-B1E7-9C9319C918A3}"/>
    <cellStyle name="20% - Accent4 45 4" xfId="6381" xr:uid="{F89BBF05-6319-42E5-A667-CA4CFE2C255D}"/>
    <cellStyle name="20% - Accent4 45_Working Capital Current" xfId="13860" xr:uid="{A37EA9EA-6320-435F-A54E-8F9ADFB5969C}"/>
    <cellStyle name="20% - Accent4 46" xfId="6382" xr:uid="{943366F5-AB47-4F85-A418-494C8BE485A4}"/>
    <cellStyle name="20% - Accent4 46 2" xfId="6383" xr:uid="{A9B1F465-F98E-4A30-BDDF-BCFB535C2AC3}"/>
    <cellStyle name="20% - Accent4 46 2 2" xfId="6384" xr:uid="{24EA9819-E3AF-402B-BA8C-1626EF6B9F2A}"/>
    <cellStyle name="20% - Accent4 46 2_Working Capital Current" xfId="13861" xr:uid="{C4F89516-6882-44B8-A0AD-BFEEB98C2475}"/>
    <cellStyle name="20% - Accent4 46 3" xfId="6385" xr:uid="{4D164F19-689D-4F0A-9E35-EDB7A1EB2601}"/>
    <cellStyle name="20% - Accent4 46 4" xfId="6386" xr:uid="{B8A25EB5-8C8D-4D3A-9D77-D0567B671884}"/>
    <cellStyle name="20% - Accent4 46_Working Capital Current" xfId="13862" xr:uid="{0A2DC261-1004-46CB-AE82-D6204B1B3394}"/>
    <cellStyle name="20% - Accent4 47" xfId="6387" xr:uid="{CB861055-882A-4CB4-A40E-7644248ECC5C}"/>
    <cellStyle name="20% - Accent4 47 2" xfId="6388" xr:uid="{4B0CC1D7-03D5-47AA-BB32-895DDB4854B9}"/>
    <cellStyle name="20% - Accent4 47 2 2" xfId="6389" xr:uid="{8B6FB12E-2FF8-4730-9A2A-A844EC70D6B4}"/>
    <cellStyle name="20% - Accent4 47 2_Working Capital Current" xfId="13863" xr:uid="{F1D1313D-9C8F-49AE-8D51-DFF97ED4FD22}"/>
    <cellStyle name="20% - Accent4 47 3" xfId="6390" xr:uid="{5737958A-9622-4E05-8D49-2CC9356E24D3}"/>
    <cellStyle name="20% - Accent4 47 4" xfId="6391" xr:uid="{672B94A8-3870-444F-9302-F7C189323B2B}"/>
    <cellStyle name="20% - Accent4 47_Working Capital Current" xfId="13864" xr:uid="{4D1D74C8-90BD-406A-927D-169105607EC6}"/>
    <cellStyle name="20% - Accent4 48" xfId="6392" xr:uid="{45200FDA-449D-46AE-BA8A-14885161903C}"/>
    <cellStyle name="20% - Accent4 48 2" xfId="6393" xr:uid="{38DEB597-4A8A-4827-B90F-A7AED0F3CE49}"/>
    <cellStyle name="20% - Accent4 48 2 2" xfId="6394" xr:uid="{8D277B69-012E-4539-AEA2-88089B3A399C}"/>
    <cellStyle name="20% - Accent4 48 2_Working Capital Current" xfId="13865" xr:uid="{8B65F3FD-0858-462B-8C55-9FA81A2D775A}"/>
    <cellStyle name="20% - Accent4 48 3" xfId="6395" xr:uid="{FA5EECD2-19E4-44AE-A53C-A7698314946A}"/>
    <cellStyle name="20% - Accent4 48 4" xfId="6396" xr:uid="{9769FA73-F268-46B6-8AA4-BEA98FE86FCA}"/>
    <cellStyle name="20% - Accent4 48_Working Capital Current" xfId="13866" xr:uid="{3DA68530-0DCB-4C21-AB77-082F8A6E2818}"/>
    <cellStyle name="20% - Accent4 49" xfId="6397" xr:uid="{B1F19F01-7B15-4CA5-A741-ADC3105AC19F}"/>
    <cellStyle name="20% - Accent4 49 2" xfId="6398" xr:uid="{7A5948EE-2E0B-4162-8D79-E7A9E174C072}"/>
    <cellStyle name="20% - Accent4 49 2 2" xfId="6399" xr:uid="{29F6423B-0602-4247-95CC-B139FB0236DD}"/>
    <cellStyle name="20% - Accent4 49 2_Working Capital Current" xfId="13867" xr:uid="{9EE4928D-F507-48D2-BFF7-4B64AB6958DC}"/>
    <cellStyle name="20% - Accent4 49 3" xfId="6400" xr:uid="{CC1FCF24-18C1-4789-8D6C-0B229A4ED745}"/>
    <cellStyle name="20% - Accent4 49 4" xfId="6401" xr:uid="{62C71077-7310-4B8D-B2AE-FE96C02BE0E1}"/>
    <cellStyle name="20% - Accent4 49_Working Capital Current" xfId="13868" xr:uid="{402F448F-BE88-48AA-9851-02557070E789}"/>
    <cellStyle name="20% - Accent4 5" xfId="6402" xr:uid="{7C092ECD-4ACB-4B7C-8E21-0DCCEE8B6B26}"/>
    <cellStyle name="20% - Accent4 5 2" xfId="6403" xr:uid="{A2DF8B01-0DAE-4C89-90C3-35E205CCD408}"/>
    <cellStyle name="20% - Accent4 5 2 2" xfId="6404" xr:uid="{D12E8F7C-C292-4A8F-8B44-A5F428551F48}"/>
    <cellStyle name="20% - Accent4 5 2 2 2" xfId="6405" xr:uid="{16FF5F00-B907-43F3-BA94-3ED802A8C604}"/>
    <cellStyle name="20% - Accent4 5 2 2_Working Capital Current" xfId="13869" xr:uid="{3BCDE550-0D93-46E5-9C7E-FEA1FF2F8AB3}"/>
    <cellStyle name="20% - Accent4 5 2 3" xfId="6406" xr:uid="{FB024E5B-CBFF-47D1-A5A5-0833B3150972}"/>
    <cellStyle name="20% - Accent4 5 2 4" xfId="6407" xr:uid="{F219D6F7-39B9-4DD3-AFD7-D5A742A59977}"/>
    <cellStyle name="20% - Accent4 5 2_Working Capital Current" xfId="13870" xr:uid="{26BC6B79-1728-4AA5-8CD0-4E32CAF0C427}"/>
    <cellStyle name="20% - Accent4 5 3" xfId="6408" xr:uid="{64CD70D5-36FE-4728-90CB-F25C26FF4058}"/>
    <cellStyle name="20% - Accent4 5 3 2" xfId="6409" xr:uid="{C90AA4B8-5C81-45D9-91FF-EF505AF99FB8}"/>
    <cellStyle name="20% - Accent4 5 3_Working Capital Current" xfId="13871" xr:uid="{87B70F3E-E360-4D92-B391-0A37C2754A94}"/>
    <cellStyle name="20% - Accent4 5 4" xfId="6410" xr:uid="{36B264EB-0CAA-4DF1-BAEA-32417F151F00}"/>
    <cellStyle name="20% - Accent4 5 5" xfId="6411" xr:uid="{5EC28E51-4709-4E54-BCF1-4E845731E3B4}"/>
    <cellStyle name="20% - Accent4 5_Not_for_upload_before_M4_correc" xfId="13872" xr:uid="{A0DED0D5-BBC3-4E3F-82D9-AADE733D5CBB}"/>
    <cellStyle name="20% - Accent4 50" xfId="6412" xr:uid="{9F4854E3-89C8-4269-A79B-4BB40C9F2430}"/>
    <cellStyle name="20% - Accent4 50 2" xfId="6413" xr:uid="{5847B33A-537C-4E9B-A318-A14BF033CAE9}"/>
    <cellStyle name="20% - Accent4 50 2 2" xfId="6414" xr:uid="{98F5421A-62A5-412A-BF31-4C96B956FF0A}"/>
    <cellStyle name="20% - Accent4 50 2_Working Capital Current" xfId="13873" xr:uid="{B22F92F7-EA03-4666-8B99-84410C4463FB}"/>
    <cellStyle name="20% - Accent4 50 3" xfId="6415" xr:uid="{142FB3DE-A838-426D-B883-8EA0C8D700F2}"/>
    <cellStyle name="20% - Accent4 50 4" xfId="6416" xr:uid="{29CE7AE7-57AC-4B7B-9D0D-EA91E99199CD}"/>
    <cellStyle name="20% - Accent4 50_Working Capital Current" xfId="13874" xr:uid="{0CB52D3D-0385-4098-8823-0182A419402E}"/>
    <cellStyle name="20% - Accent4 51" xfId="6417" xr:uid="{A4E91267-DCC4-4BE3-9204-BA66FFA24464}"/>
    <cellStyle name="20% - Accent4 51 2" xfId="6418" xr:uid="{09AB2949-B3FF-4D90-8AD0-348591675641}"/>
    <cellStyle name="20% - Accent4 51 2 2" xfId="6419" xr:uid="{75842C10-44AC-4C3E-B0E2-84F9593BCA32}"/>
    <cellStyle name="20% - Accent4 51 2_Working Capital Current" xfId="13875" xr:uid="{1C5A786E-07C5-46E2-A3C7-31DE3DE8C51B}"/>
    <cellStyle name="20% - Accent4 51 3" xfId="6420" xr:uid="{8C63B8E6-B78C-4789-9B71-EF59D0F89DE5}"/>
    <cellStyle name="20% - Accent4 51 4" xfId="6421" xr:uid="{9A38FB57-03AB-4E3C-9AAB-0D8E68179A38}"/>
    <cellStyle name="20% - Accent4 51_Working Capital Current" xfId="13876" xr:uid="{EE50FBD2-8874-4EFB-BF9F-D2C2F8E8CECF}"/>
    <cellStyle name="20% - Accent4 52" xfId="6422" xr:uid="{8D6B9446-19DA-4B09-9107-7E34B0F301C0}"/>
    <cellStyle name="20% - Accent4 52 2" xfId="6423" xr:uid="{4F3F2891-136B-4A48-9544-4A336B60C933}"/>
    <cellStyle name="20% - Accent4 52 2 2" xfId="6424" xr:uid="{AF9203CA-66AC-4338-A510-59C46F995615}"/>
    <cellStyle name="20% - Accent4 52 2_Working Capital Current" xfId="13877" xr:uid="{901DA2D3-43AF-4936-9A9E-EE10E53CDFC3}"/>
    <cellStyle name="20% - Accent4 52 3" xfId="6425" xr:uid="{1494DF8D-7A06-4040-8243-A7E98F6A008F}"/>
    <cellStyle name="20% - Accent4 52 4" xfId="6426" xr:uid="{AB736806-24FB-416D-8A66-3E4BA6287CFD}"/>
    <cellStyle name="20% - Accent4 52_Working Capital Current" xfId="13878" xr:uid="{CA6C2BCE-8B87-45BC-9DAB-DE0300A74D46}"/>
    <cellStyle name="20% - Accent4 53" xfId="6427" xr:uid="{6CA435E1-7092-4C1A-9504-3DBD047448AD}"/>
    <cellStyle name="20% - Accent4 53 2" xfId="6428" xr:uid="{A5976C0D-F812-4212-B29F-9C60B02549C5}"/>
    <cellStyle name="20% - Accent4 53 2 2" xfId="6429" xr:uid="{44DE828D-DAB2-4D22-B5D9-CF76DF7567E7}"/>
    <cellStyle name="20% - Accent4 53 2_Working Capital Current" xfId="13879" xr:uid="{EDCD3A62-7718-4113-8D3A-25620E2C5B25}"/>
    <cellStyle name="20% - Accent4 53 3" xfId="6430" xr:uid="{258EB805-7877-468D-B926-7637333FEC48}"/>
    <cellStyle name="20% - Accent4 53 4" xfId="6431" xr:uid="{F42BA74D-0302-4699-96EE-90427E85928D}"/>
    <cellStyle name="20% - Accent4 53_Working Capital Current" xfId="13880" xr:uid="{593DBD3D-EC02-47F2-9817-E1BA2A5D9BB0}"/>
    <cellStyle name="20% - Accent4 54" xfId="6432" xr:uid="{B729263E-CE3E-493E-924A-C1725767CA96}"/>
    <cellStyle name="20% - Accent4 54 2" xfId="6433" xr:uid="{59EF0F8C-C8A3-4BFF-A818-DC44D92746CA}"/>
    <cellStyle name="20% - Accent4 54 2 2" xfId="6434" xr:uid="{FC9504A7-0898-4B7D-8B0F-D3CAFDCCFFEF}"/>
    <cellStyle name="20% - Accent4 54 2_Working Capital Current" xfId="13881" xr:uid="{8A6A2CED-F326-43BA-B4A1-5F1A8234D031}"/>
    <cellStyle name="20% - Accent4 54 3" xfId="6435" xr:uid="{576E23A7-DAED-48C2-AE7E-78D6DE8315DC}"/>
    <cellStyle name="20% - Accent4 54 4" xfId="6436" xr:uid="{609E417C-4E9F-4F6B-92F6-099BEE40E74B}"/>
    <cellStyle name="20% - Accent4 54_Working Capital Current" xfId="13882" xr:uid="{358A82F0-18FE-4003-BE1E-2D6AC6AD2361}"/>
    <cellStyle name="20% - Accent4 55" xfId="6437" xr:uid="{C21CA0B9-F165-4C97-8480-C47ECBF8E351}"/>
    <cellStyle name="20% - Accent4 55 2" xfId="6438" xr:uid="{67848C70-7834-421B-8C2C-B18F878183DD}"/>
    <cellStyle name="20% - Accent4 55 2 2" xfId="6439" xr:uid="{6417D58B-5484-4813-97E1-60EA4734A550}"/>
    <cellStyle name="20% - Accent4 55 2_Working Capital Current" xfId="13883" xr:uid="{C534A5D7-7F67-4682-AF9E-4C89F0BB35B2}"/>
    <cellStyle name="20% - Accent4 55 3" xfId="6440" xr:uid="{F5FCEFF6-0634-4AA7-BEB9-E76FB370C085}"/>
    <cellStyle name="20% - Accent4 55 4" xfId="6441" xr:uid="{ACE6EF83-75E5-40E0-86D2-5239453B8C86}"/>
    <cellStyle name="20% - Accent4 55_Working Capital Current" xfId="13884" xr:uid="{DAB24458-C696-4A8E-9E27-9073F3E3DD80}"/>
    <cellStyle name="20% - Accent4 56" xfId="6442" xr:uid="{B04369F2-B31C-4CA3-97FD-4E9A0B345154}"/>
    <cellStyle name="20% - Accent4 56 2" xfId="6443" xr:uid="{86A91329-DB0D-435C-92A0-9FF1DCBA43D8}"/>
    <cellStyle name="20% - Accent4 56 2 2" xfId="6444" xr:uid="{9B4CB2C7-E3FF-4FA5-A389-E5E7C07F5B48}"/>
    <cellStyle name="20% - Accent4 56 2_Working Capital Current" xfId="13885" xr:uid="{D1611DAD-7129-4614-B3AA-EAC68F4B8249}"/>
    <cellStyle name="20% - Accent4 56 3" xfId="6445" xr:uid="{85193989-0032-40BD-A414-8675D6523B9D}"/>
    <cellStyle name="20% - Accent4 56 4" xfId="6446" xr:uid="{958C14D7-3481-4FF4-AA86-6AB5B5DFF3D0}"/>
    <cellStyle name="20% - Accent4 56_Working Capital Current" xfId="13886" xr:uid="{2A19FB2C-FB5B-4D2C-857E-AC91CCF8C2F7}"/>
    <cellStyle name="20% - Accent4 57" xfId="6447" xr:uid="{4D69B897-305E-48B9-856C-435E9A82133F}"/>
    <cellStyle name="20% - Accent4 57 2" xfId="6448" xr:uid="{71C4B6B4-F5B8-45EA-A535-3C7E15AE3A9F}"/>
    <cellStyle name="20% - Accent4 57 2 2" xfId="6449" xr:uid="{D6977E18-68CB-429F-972C-4650024104E1}"/>
    <cellStyle name="20% - Accent4 57 2_Working Capital Current" xfId="13887" xr:uid="{F66F89F0-B152-4DAA-828E-7A27CA3648D9}"/>
    <cellStyle name="20% - Accent4 57 3" xfId="6450" xr:uid="{365F33AE-F178-4EE9-B4A3-EE7FDBC39AF8}"/>
    <cellStyle name="20% - Accent4 57 4" xfId="6451" xr:uid="{03E97010-CF87-49AF-A44F-FB576B066FA0}"/>
    <cellStyle name="20% - Accent4 57_Working Capital Current" xfId="13888" xr:uid="{76C44099-B014-440A-90E4-0A1714CDD1C1}"/>
    <cellStyle name="20% - Accent4 58" xfId="6452" xr:uid="{115CAB0A-3AFB-4559-9837-0A7DFF5F358E}"/>
    <cellStyle name="20% - Accent4 58 2" xfId="6453" xr:uid="{A4420ACF-0CE9-4802-9DB7-38CCB5DE0A03}"/>
    <cellStyle name="20% - Accent4 58 2 2" xfId="6454" xr:uid="{A88400C0-59DE-4751-87FB-478F132B3C56}"/>
    <cellStyle name="20% - Accent4 58 2_Working Capital Current" xfId="13889" xr:uid="{C0519AED-6BBA-4044-9978-014176DD1F8B}"/>
    <cellStyle name="20% - Accent4 58 3" xfId="6455" xr:uid="{B88B3C89-B1FB-4B9E-9A7E-BDDC192D7245}"/>
    <cellStyle name="20% - Accent4 58 4" xfId="6456" xr:uid="{5FD9FA37-91DB-49FC-B1F5-82D991BE0CCD}"/>
    <cellStyle name="20% - Accent4 58_Working Capital Current" xfId="13890" xr:uid="{571E8AD5-A864-4C4D-A470-D161DCC544E2}"/>
    <cellStyle name="20% - Accent4 59" xfId="6457" xr:uid="{EF1C268C-32ED-4B97-A753-D83ACFD4F132}"/>
    <cellStyle name="20% - Accent4 59 2" xfId="6458" xr:uid="{FD72A296-1BEF-4493-8025-8459D6537DFC}"/>
    <cellStyle name="20% - Accent4 59 2 2" xfId="6459" xr:uid="{D9094559-9C71-4E7F-A823-F005A1CB6DDD}"/>
    <cellStyle name="20% - Accent4 59 2_Working Capital Current" xfId="13891" xr:uid="{716D4D5A-0F30-454B-A6E3-1FB4DF886EB6}"/>
    <cellStyle name="20% - Accent4 59 3" xfId="6460" xr:uid="{03BD1D33-74E4-4A2E-84E9-5DA66275B3F5}"/>
    <cellStyle name="20% - Accent4 59 4" xfId="6461" xr:uid="{8C4F2BA7-AFA7-45CA-B084-669C57F35943}"/>
    <cellStyle name="20% - Accent4 59_Working Capital Current" xfId="13892" xr:uid="{A1B6265F-3842-4841-8ECD-F2EB024BE1EF}"/>
    <cellStyle name="20% - Accent4 6" xfId="6462" xr:uid="{423CA17F-3EF6-4612-A354-DC07BB98F20D}"/>
    <cellStyle name="20% - Accent4 6 2" xfId="6463" xr:uid="{57A5E2DA-5B42-4B1B-A23C-5A55C43EDA4A}"/>
    <cellStyle name="20% - Accent4 6 2 2" xfId="6464" xr:uid="{A67E71A8-2BDC-41BC-AF99-AE4E3D558125}"/>
    <cellStyle name="20% - Accent4 6 2 2 2" xfId="6465" xr:uid="{F14258AB-8F72-4E1A-BF9C-7C8012676502}"/>
    <cellStyle name="20% - Accent4 6 2 2_Working Capital Current" xfId="13893" xr:uid="{5333C3E6-E1F7-4D5D-81DE-FE8DB1860A40}"/>
    <cellStyle name="20% - Accent4 6 2 3" xfId="6466" xr:uid="{3E73DC41-64DF-4C34-91BD-AE3D0332BCAD}"/>
    <cellStyle name="20% - Accent4 6 2 4" xfId="6467" xr:uid="{8757E2BA-1980-4C17-B6B7-59D349716ED0}"/>
    <cellStyle name="20% - Accent4 6 2_Working Capital Current" xfId="13894" xr:uid="{D23D757F-FB6A-493D-B3D5-CAF5756DBCBE}"/>
    <cellStyle name="20% - Accent4 6 3" xfId="6468" xr:uid="{983AC90C-B05A-4EF9-86ED-DE84B56E78C5}"/>
    <cellStyle name="20% - Accent4 6 3 2" xfId="6469" xr:uid="{74EF684A-1EDB-4F7F-B989-CCDB1AAEB819}"/>
    <cellStyle name="20% - Accent4 6 3_Working Capital Current" xfId="13895" xr:uid="{F42B2356-BACC-4B88-8882-69C27DACF10E}"/>
    <cellStyle name="20% - Accent4 6 4" xfId="6470" xr:uid="{771E4364-B3DF-47DA-AD6D-2C0A0807B70D}"/>
    <cellStyle name="20% - Accent4 6 5" xfId="6471" xr:uid="{855A671E-A9E2-4238-9F16-ABAFEBD5AF82}"/>
    <cellStyle name="20% - Accent4 6_Not_for_upload_before_M4_correc" xfId="13896" xr:uid="{F9D585C7-B271-41D6-B313-9C7850EEF887}"/>
    <cellStyle name="20% - Accent4 60" xfId="6472" xr:uid="{B5D14590-EC81-4C3E-834C-A1275A8D3124}"/>
    <cellStyle name="20% - Accent4 60 2" xfId="6473" xr:uid="{982AC3B2-24BE-43F1-9919-7BA1F15C1DEB}"/>
    <cellStyle name="20% - Accent4 60 2 2" xfId="6474" xr:uid="{2CFBD43D-57A2-4155-B8DA-C25C33E2F347}"/>
    <cellStyle name="20% - Accent4 60 2_Working Capital Current" xfId="13897" xr:uid="{9F1982D9-1D67-4855-99A3-C654DE1FDE11}"/>
    <cellStyle name="20% - Accent4 60 3" xfId="6475" xr:uid="{7961FB96-D80F-4A2B-9104-AFA61410E3ED}"/>
    <cellStyle name="20% - Accent4 60 4" xfId="6476" xr:uid="{0E3E5EF8-0B65-4C90-A431-A2D7EA71AE31}"/>
    <cellStyle name="20% - Accent4 60_Working Capital Current" xfId="13898" xr:uid="{3DEF6560-2D71-49C9-8C7A-92FAEEA37753}"/>
    <cellStyle name="20% - Accent4 61" xfId="6477" xr:uid="{2279F8D2-3722-409F-9D24-907A1108B0A5}"/>
    <cellStyle name="20% - Accent4 61 2" xfId="6478" xr:uid="{51AB42E5-71C4-4881-93B9-F56186259CC3}"/>
    <cellStyle name="20% - Accent4 61 2 2" xfId="6479" xr:uid="{AB74105E-239D-4C75-A4CF-5D75F5EB6DE7}"/>
    <cellStyle name="20% - Accent4 61 2_Working Capital Current" xfId="13899" xr:uid="{6F488F21-14C8-4D62-81CB-36E6FA10C148}"/>
    <cellStyle name="20% - Accent4 61 3" xfId="6480" xr:uid="{4726E6EC-C3BE-461A-8317-BCC40FD2F1D9}"/>
    <cellStyle name="20% - Accent4 61 4" xfId="6481" xr:uid="{C858ABE0-A316-4B91-9EEE-0349A108AF64}"/>
    <cellStyle name="20% - Accent4 61_Working Capital Current" xfId="13900" xr:uid="{50B1C824-129C-44B9-941D-6480B5B33180}"/>
    <cellStyle name="20% - Accent4 62" xfId="6482" xr:uid="{1C4E7852-F8CC-48C1-97E0-DA5C16442F57}"/>
    <cellStyle name="20% - Accent4 62 2" xfId="6483" xr:uid="{74FC986B-0414-45F9-BC34-696E1DBD7831}"/>
    <cellStyle name="20% - Accent4 62 2 2" xfId="6484" xr:uid="{F78DDDC2-F120-4783-9C1A-A54CED0DDEE8}"/>
    <cellStyle name="20% - Accent4 62 2_Working Capital Current" xfId="13901" xr:uid="{E9C8B8CE-8629-4F56-9885-519C807790F6}"/>
    <cellStyle name="20% - Accent4 62 3" xfId="6485" xr:uid="{D37510F0-D82F-4F02-B8CE-F5D45F03222B}"/>
    <cellStyle name="20% - Accent4 62 4" xfId="6486" xr:uid="{56DBAD46-4460-4290-B3A2-2DE689E903F0}"/>
    <cellStyle name="20% - Accent4 62_Working Capital Current" xfId="13902" xr:uid="{8E04A6A2-0C5F-42AF-ABFB-DE046A3BCB01}"/>
    <cellStyle name="20% - Accent4 63" xfId="6487" xr:uid="{F7C5BCD3-F5E4-4A2C-BC92-A09D5EC86DE3}"/>
    <cellStyle name="20% - Accent4 63 2" xfId="6488" xr:uid="{D75653DC-8397-42D9-9E4B-022EFE88F684}"/>
    <cellStyle name="20% - Accent4 63 2 2" xfId="6489" xr:uid="{32AF18B7-573F-4972-9B26-58F5F4ABBEA3}"/>
    <cellStyle name="20% - Accent4 63 2_Working Capital Current" xfId="13903" xr:uid="{DECC793B-354F-4435-A85A-AE85CF335153}"/>
    <cellStyle name="20% - Accent4 63 3" xfId="6490" xr:uid="{8D84EFCC-0319-492E-BF06-419E094954C4}"/>
    <cellStyle name="20% - Accent4 63 4" xfId="6491" xr:uid="{7DCF2F3D-4BB0-4FDF-A230-088F0DB2B9F1}"/>
    <cellStyle name="20% - Accent4 63_Working Capital Current" xfId="13904" xr:uid="{C3A46021-81F3-49FB-B042-4A2AD137FE27}"/>
    <cellStyle name="20% - Accent4 64" xfId="6492" xr:uid="{B546749A-EAC6-446F-B510-39FCAE89178F}"/>
    <cellStyle name="20% - Accent4 64 2" xfId="6493" xr:uid="{67F5594D-6C5A-486F-A1B4-E7EA50632E3D}"/>
    <cellStyle name="20% - Accent4 64 2 2" xfId="6494" xr:uid="{C0A61FB9-091D-409D-B4C0-50060E813183}"/>
    <cellStyle name="20% - Accent4 64 2_Working Capital Current" xfId="13905" xr:uid="{27E96983-7609-40A5-AA85-B24E51380AA6}"/>
    <cellStyle name="20% - Accent4 64 3" xfId="6495" xr:uid="{BBE7A681-79F9-4FA5-9AA8-2003CF2A597C}"/>
    <cellStyle name="20% - Accent4 64 4" xfId="6496" xr:uid="{F3735E53-B1F8-4657-BEB9-64A8F116AEAB}"/>
    <cellStyle name="20% - Accent4 64_Working Capital Current" xfId="13906" xr:uid="{6DA62353-984A-417F-9F18-AAD81DFC72B8}"/>
    <cellStyle name="20% - Accent4 65" xfId="6497" xr:uid="{C16466E9-E401-4E51-A5CB-2AEC8CFD3A26}"/>
    <cellStyle name="20% - Accent4 65 2" xfId="6498" xr:uid="{D6558C53-CEF2-499C-A649-C10E6F4A13BE}"/>
    <cellStyle name="20% - Accent4 65 2 2" xfId="6499" xr:uid="{2F80FA2E-B792-416F-9EEE-4534E812A894}"/>
    <cellStyle name="20% - Accent4 65 2_Working Capital Current" xfId="13907" xr:uid="{4579D40F-2E19-497F-8F60-496B9B9725B3}"/>
    <cellStyle name="20% - Accent4 65 3" xfId="6500" xr:uid="{C2433031-780C-4183-AA86-B3D3674CA2FF}"/>
    <cellStyle name="20% - Accent4 65 4" xfId="6501" xr:uid="{C0FEB090-ED9E-4F0D-9577-B66CA3597233}"/>
    <cellStyle name="20% - Accent4 65_Working Capital Current" xfId="13908" xr:uid="{552F6A61-1B83-4610-A337-B830D9CBD7D2}"/>
    <cellStyle name="20% - Accent4 66" xfId="6502" xr:uid="{C580FA7B-DB93-4538-AC19-600E594D31A9}"/>
    <cellStyle name="20% - Accent4 66 2" xfId="6503" xr:uid="{66ADF9FF-7F7E-4FB3-8988-31B60A2961CC}"/>
    <cellStyle name="20% - Accent4 66 2 2" xfId="6504" xr:uid="{9B64A4E2-15FC-4493-A101-AF6CBC314F85}"/>
    <cellStyle name="20% - Accent4 66 2_Working Capital Current" xfId="13909" xr:uid="{3D4B8E20-22A1-4B38-9F95-0C53CB6F7F1A}"/>
    <cellStyle name="20% - Accent4 66 3" xfId="6505" xr:uid="{7275FFE2-E4FC-4668-B127-964C175DC7B0}"/>
    <cellStyle name="20% - Accent4 66 4" xfId="6506" xr:uid="{1BDBD6DE-5E58-470D-83F9-9E701C171E51}"/>
    <cellStyle name="20% - Accent4 66_Working Capital Current" xfId="13910" xr:uid="{9577C6FB-767E-4227-8EC8-33A645E6B7B5}"/>
    <cellStyle name="20% - Accent4 67" xfId="6507" xr:uid="{AB2FD224-E29F-4044-B220-36FC9A3DAB42}"/>
    <cellStyle name="20% - Accent4 67 2" xfId="6508" xr:uid="{0A09775C-DB42-4B11-9F91-929A54204DF9}"/>
    <cellStyle name="20% - Accent4 67 2 2" xfId="6509" xr:uid="{2AE7B48B-4AEF-46A0-99F4-6F6D18F611D4}"/>
    <cellStyle name="20% - Accent4 67 2_Working Capital Current" xfId="13911" xr:uid="{1C2A0728-2F79-41A9-B6DE-0F1A00CC57E4}"/>
    <cellStyle name="20% - Accent4 67 3" xfId="6510" xr:uid="{0D762A86-24B0-47F5-B378-978A18CA8021}"/>
    <cellStyle name="20% - Accent4 67 4" xfId="6511" xr:uid="{EC54B051-1EF7-434D-BA16-BECF955B8EC4}"/>
    <cellStyle name="20% - Accent4 67_Working Capital Current" xfId="13912" xr:uid="{D4BF15AB-30EA-4799-8C55-6ED7303F1A50}"/>
    <cellStyle name="20% - Accent4 68" xfId="6512" xr:uid="{BD494151-20AA-44B4-9312-72481E551E54}"/>
    <cellStyle name="20% - Accent4 68 2" xfId="6513" xr:uid="{EBAEB745-BA00-45BF-8705-15F7887B2177}"/>
    <cellStyle name="20% - Accent4 68 2 2" xfId="6514" xr:uid="{59D3CB86-5BC8-42E0-B271-21B83E487447}"/>
    <cellStyle name="20% - Accent4 68 2_Working Capital Current" xfId="13913" xr:uid="{25FC0A56-F441-4FC5-8DFD-BC0C3EBB6F4F}"/>
    <cellStyle name="20% - Accent4 68 3" xfId="6515" xr:uid="{09DB5AED-1049-475E-9AAC-BB24615F084C}"/>
    <cellStyle name="20% - Accent4 68 4" xfId="6516" xr:uid="{C2E9E291-D1CB-4D61-8A3B-F03EAE04264C}"/>
    <cellStyle name="20% - Accent4 68_Working Capital Current" xfId="13914" xr:uid="{87E450F2-74D2-4561-A90B-9AB8EEF2AB88}"/>
    <cellStyle name="20% - Accent4 69" xfId="6517" xr:uid="{497D3B27-AEB3-4278-B253-D7A76EECA8C6}"/>
    <cellStyle name="20% - Accent4 69 2" xfId="6518" xr:uid="{12685F14-C846-4C8C-9B8C-5924EEC5BA75}"/>
    <cellStyle name="20% - Accent4 69 2 2" xfId="6519" xr:uid="{38B6C626-990B-40DA-9590-BF81ECC44C02}"/>
    <cellStyle name="20% - Accent4 69 2_Working Capital Current" xfId="13915" xr:uid="{258EB289-8702-427E-92A8-D353C0EA9761}"/>
    <cellStyle name="20% - Accent4 69 3" xfId="6520" xr:uid="{F9A22A5D-6F4F-4339-B958-8B33A74165FD}"/>
    <cellStyle name="20% - Accent4 69 4" xfId="6521" xr:uid="{668FDCD4-31EC-4C39-B5BA-7D762547C19C}"/>
    <cellStyle name="20% - Accent4 69_Working Capital Current" xfId="13916" xr:uid="{C3D8A88D-4881-4BEA-A072-637BB38E10A1}"/>
    <cellStyle name="20% - Accent4 7" xfId="6522" xr:uid="{B655AE0A-8183-45BB-8495-7C07A01B24E9}"/>
    <cellStyle name="20% - Accent4 7 2" xfId="6523" xr:uid="{EE512A0F-B42A-4A8C-850A-2D0A7142EEEB}"/>
    <cellStyle name="20% - Accent4 7 2 2" xfId="6524" xr:uid="{CAB16B45-9F44-47D3-BF79-E77E71304DC7}"/>
    <cellStyle name="20% - Accent4 7 2 2 2" xfId="6525" xr:uid="{DE996FDB-A2CF-40E5-A9D8-5957F0FE78E3}"/>
    <cellStyle name="20% - Accent4 7 2 2_Working Capital Current" xfId="13917" xr:uid="{6F5938F9-8ECA-49E0-9ABE-AEF774BE635A}"/>
    <cellStyle name="20% - Accent4 7 2 3" xfId="6526" xr:uid="{468EF5DD-CD96-469F-B67D-DE996A22FC52}"/>
    <cellStyle name="20% - Accent4 7 2 4" xfId="6527" xr:uid="{C1F3B47E-D754-4F4D-A13C-86A2B752B40E}"/>
    <cellStyle name="20% - Accent4 7 2_Working Capital Current" xfId="13918" xr:uid="{39B4ECF7-68F2-4B24-A8DF-A886F7A7E1C1}"/>
    <cellStyle name="20% - Accent4 7 3" xfId="6528" xr:uid="{B60E6045-DA95-48F8-9986-30BB5D087748}"/>
    <cellStyle name="20% - Accent4 7 3 2" xfId="6529" xr:uid="{70BCF9FE-8E0A-48BB-8431-76BAD64892B5}"/>
    <cellStyle name="20% - Accent4 7 3_Working Capital Current" xfId="13919" xr:uid="{0774E0A7-D579-4CE6-A51D-61E21DCB63E5}"/>
    <cellStyle name="20% - Accent4 7 4" xfId="6530" xr:uid="{3436198F-8D75-4AE3-B23A-39352C4C5E22}"/>
    <cellStyle name="20% - Accent4 7 5" xfId="6531" xr:uid="{84A1B021-A9E7-4B3E-B0FA-FA365681D83C}"/>
    <cellStyle name="20% - Accent4 7_Not_for_upload_before_M4_correc" xfId="13920" xr:uid="{5E009855-A315-4C7D-9CEC-7DEC9A5CE9CB}"/>
    <cellStyle name="20% - Accent4 70" xfId="6532" xr:uid="{ED5BC09F-0CCB-4F00-B33D-F7F5A024AAAD}"/>
    <cellStyle name="20% - Accent4 70 2" xfId="6533" xr:uid="{DAFC804B-8AC4-40DF-8245-5FB0E6419449}"/>
    <cellStyle name="20% - Accent4 70 2 2" xfId="6534" xr:uid="{18FDC672-04F9-49BB-8AD0-5BB3B2B820C4}"/>
    <cellStyle name="20% - Accent4 70 2_Working Capital Current" xfId="13921" xr:uid="{AB885E08-8E52-4516-A7C9-4924635D9ABD}"/>
    <cellStyle name="20% - Accent4 70 3" xfId="6535" xr:uid="{77D1F73D-4C88-43A4-9C49-1846589B70B7}"/>
    <cellStyle name="20% - Accent4 70 4" xfId="6536" xr:uid="{E1B2DBF4-BD3D-437D-A3C3-6A651A685518}"/>
    <cellStyle name="20% - Accent4 70_Working Capital Current" xfId="13922" xr:uid="{F28CA2EC-A776-411D-8A4A-EC6A46C7F84D}"/>
    <cellStyle name="20% - Accent4 71" xfId="6537" xr:uid="{8F82A6C8-9BBB-43DB-840B-DCB32EDF200F}"/>
    <cellStyle name="20% - Accent4 71 2" xfId="6538" xr:uid="{F474B4AC-A80F-4A7E-BCCD-0D4C9C22C03F}"/>
    <cellStyle name="20% - Accent4 71 2 2" xfId="6539" xr:uid="{0FBF9239-331C-426D-B285-DD571F1D7619}"/>
    <cellStyle name="20% - Accent4 71 2_Working Capital Current" xfId="13923" xr:uid="{8831536F-43C8-49BA-9B35-061A2A3CA06D}"/>
    <cellStyle name="20% - Accent4 71 3" xfId="6540" xr:uid="{2B8EF4AD-9DDD-46FA-9B25-39DE8D0230AC}"/>
    <cellStyle name="20% - Accent4 71 4" xfId="6541" xr:uid="{E43236E9-19EA-4BDC-8FFB-BEE5F7C5640C}"/>
    <cellStyle name="20% - Accent4 71_Working Capital Current" xfId="13924" xr:uid="{1AA00BED-5EA4-4877-B97D-81B8D3610C82}"/>
    <cellStyle name="20% - Accent4 72" xfId="6542" xr:uid="{50DC89A7-1501-46E4-88BC-BAEEB1D8AA45}"/>
    <cellStyle name="20% - Accent4 72 2" xfId="6543" xr:uid="{0FE098F9-4E7F-4442-AF8C-7FA436C4500E}"/>
    <cellStyle name="20% - Accent4 72 2 2" xfId="6544" xr:uid="{22258404-CDA3-45FD-8911-5E33C91E7783}"/>
    <cellStyle name="20% - Accent4 72 2_Working Capital Current" xfId="13925" xr:uid="{716A1AF3-F701-4919-967E-4EC3DFD00E03}"/>
    <cellStyle name="20% - Accent4 72 3" xfId="6545" xr:uid="{FE037B4B-E1BA-46C8-BCA2-E9832ADCE3F8}"/>
    <cellStyle name="20% - Accent4 72 4" xfId="6546" xr:uid="{C5F32ACF-BC99-46B7-9C52-A9BC7AF654E0}"/>
    <cellStyle name="20% - Accent4 72_Working Capital Current" xfId="13926" xr:uid="{D004865F-8AE3-46D5-B352-680E206AF6F2}"/>
    <cellStyle name="20% - Accent4 73" xfId="6547" xr:uid="{601C054D-2F99-44FB-9F73-F4427F875F25}"/>
    <cellStyle name="20% - Accent4 73 2" xfId="6548" xr:uid="{F9D5AC71-0357-4B72-9EAD-0C246AA0152E}"/>
    <cellStyle name="20% - Accent4 73 2 2" xfId="6549" xr:uid="{6DDBC3B8-D4DF-401C-A351-371B687BDF25}"/>
    <cellStyle name="20% - Accent4 73 2_Working Capital Current" xfId="13927" xr:uid="{A036906F-0582-4367-9CC7-73E6DD4996EB}"/>
    <cellStyle name="20% - Accent4 73 3" xfId="6550" xr:uid="{40432712-9A33-4811-9B99-566686A5D03D}"/>
    <cellStyle name="20% - Accent4 73 4" xfId="6551" xr:uid="{897378BA-9A85-4874-B884-7E1327860CD7}"/>
    <cellStyle name="20% - Accent4 73_Working Capital Current" xfId="13928" xr:uid="{15961268-9B02-4F42-9A9B-D739D85D0256}"/>
    <cellStyle name="20% - Accent4 74" xfId="6552" xr:uid="{794A3C46-BE86-4499-B3DE-727BF4CB30AB}"/>
    <cellStyle name="20% - Accent4 74 2" xfId="6553" xr:uid="{245C2AC5-7431-48D9-97E2-00CCF5F3FAD2}"/>
    <cellStyle name="20% - Accent4 74 2 2" xfId="6554" xr:uid="{99DB7468-2EA6-444F-8B96-A36A6FA1820C}"/>
    <cellStyle name="20% - Accent4 74 2_Working Capital Current" xfId="13929" xr:uid="{6BF3CA18-779D-44CD-92D0-27D258BFF4F6}"/>
    <cellStyle name="20% - Accent4 74 3" xfId="6555" xr:uid="{49EDBF78-A6D1-4568-B40C-EE52E138FD8A}"/>
    <cellStyle name="20% - Accent4 74 4" xfId="6556" xr:uid="{EEF262A8-FFCD-4910-9E6F-CC4434807B35}"/>
    <cellStyle name="20% - Accent4 74_Working Capital Current" xfId="13930" xr:uid="{45541BC0-D8BB-49F0-9284-85EC8DC17F2B}"/>
    <cellStyle name="20% - Accent4 75" xfId="6557" xr:uid="{DD261939-4729-472F-83C4-15DD2E8E4CEE}"/>
    <cellStyle name="20% - Accent4 75 2" xfId="6558" xr:uid="{6A3D126D-84E2-423C-B62D-036D3EC2F3A4}"/>
    <cellStyle name="20% - Accent4 75 2 2" xfId="6559" xr:uid="{0E3AE578-5E56-4834-B344-03F920AAD8C8}"/>
    <cellStyle name="20% - Accent4 75 2_Working Capital Current" xfId="13931" xr:uid="{CD7CB74A-A4E4-48A7-A36A-5D27C507F2A5}"/>
    <cellStyle name="20% - Accent4 75 3" xfId="6560" xr:uid="{2B1DEAD8-8079-485D-A74E-B116CC3EDC64}"/>
    <cellStyle name="20% - Accent4 75 4" xfId="6561" xr:uid="{0E15BD7D-4D40-44AC-8582-BB142A755C22}"/>
    <cellStyle name="20% - Accent4 75_Working Capital Current" xfId="13932" xr:uid="{B071A6D1-5190-4F6D-858A-1FDC0B056483}"/>
    <cellStyle name="20% - Accent4 76" xfId="6562" xr:uid="{580D9A3F-21DF-45E9-AB6D-F906A9FAC7A6}"/>
    <cellStyle name="20% - Accent4 76 2" xfId="6563" xr:uid="{8FEA65C4-5875-416A-9A05-E738E72946BC}"/>
    <cellStyle name="20% - Accent4 76 2 2" xfId="6564" xr:uid="{7586F58C-AC03-40AB-8A73-F06847007F75}"/>
    <cellStyle name="20% - Accent4 76 2_Working Capital Current" xfId="13933" xr:uid="{CFE221E6-BB36-4F10-97C2-BB807DA0EFBF}"/>
    <cellStyle name="20% - Accent4 76 3" xfId="6565" xr:uid="{139AAD52-B284-4BFD-A28C-483D24E540DE}"/>
    <cellStyle name="20% - Accent4 76 4" xfId="6566" xr:uid="{14662493-8861-4546-9EF8-7F6CF6002878}"/>
    <cellStyle name="20% - Accent4 76_Working Capital Current" xfId="13934" xr:uid="{07B7339C-13DF-4088-947C-2ED89DFA7DD7}"/>
    <cellStyle name="20% - Accent4 77" xfId="6567" xr:uid="{8B413F80-2FD1-47EB-B3A1-38C107E78EF8}"/>
    <cellStyle name="20% - Accent4 77 2" xfId="6568" xr:uid="{05500BD8-9B71-4712-A61E-42EC94F0DF0B}"/>
    <cellStyle name="20% - Accent4 77 2 2" xfId="6569" xr:uid="{3856029D-C6C3-4465-BF7B-A037765432DE}"/>
    <cellStyle name="20% - Accent4 77 2_Working Capital Current" xfId="13935" xr:uid="{86E0338D-1358-4531-A211-DE8DB8F1F4C3}"/>
    <cellStyle name="20% - Accent4 77 3" xfId="6570" xr:uid="{12BF0180-5353-4659-9CF1-1DCD1526E408}"/>
    <cellStyle name="20% - Accent4 77 4" xfId="6571" xr:uid="{57C27547-D15A-4B7F-83C3-D923924F0451}"/>
    <cellStyle name="20% - Accent4 77_Working Capital Current" xfId="13936" xr:uid="{B3D5F9CA-BE5E-4E5A-955F-E39D92D33C41}"/>
    <cellStyle name="20% - Accent4 78" xfId="6572" xr:uid="{C508E82F-B7C4-4A70-8DDA-F2ECC7959A2D}"/>
    <cellStyle name="20% - Accent4 78 2" xfId="6573" xr:uid="{AB3A8CA3-C9F6-4420-8D94-8BF2077DEC1D}"/>
    <cellStyle name="20% - Accent4 78 2 2" xfId="6574" xr:uid="{4BC45EF3-864B-469D-A451-BF5F3B369F74}"/>
    <cellStyle name="20% - Accent4 78 2_Working Capital Current" xfId="13937" xr:uid="{DB9A2CBE-9D90-4D49-97EA-6800BFBEE6AB}"/>
    <cellStyle name="20% - Accent4 78 3" xfId="6575" xr:uid="{43939476-A3E3-4545-99CF-8AFA1B8B4C31}"/>
    <cellStyle name="20% - Accent4 78 4" xfId="6576" xr:uid="{A8D174F8-D8C2-49BB-A279-B18BAFA72741}"/>
    <cellStyle name="20% - Accent4 78_Working Capital Current" xfId="13938" xr:uid="{89E2B9DE-D13E-45E7-B364-9C0D00CC6AB6}"/>
    <cellStyle name="20% - Accent4 79" xfId="6577" xr:uid="{536D4084-ED68-4B38-B1CB-0A4F5F508C18}"/>
    <cellStyle name="20% - Accent4 79 2" xfId="6578" xr:uid="{0A858844-BE93-4D70-AC67-9949E64896D1}"/>
    <cellStyle name="20% - Accent4 79 2 2" xfId="6579" xr:uid="{750752C5-D9EE-414D-B0F5-8D504C3FD09E}"/>
    <cellStyle name="20% - Accent4 79 2_Working Capital Current" xfId="13939" xr:uid="{536C5757-5A3E-44E9-B990-44386C8613EE}"/>
    <cellStyle name="20% - Accent4 79 3" xfId="6580" xr:uid="{614EDAAC-AE40-4E36-804E-E2A750FBE862}"/>
    <cellStyle name="20% - Accent4 79 4" xfId="6581" xr:uid="{0D1B5B77-F31F-4768-881C-016C2A3E9F80}"/>
    <cellStyle name="20% - Accent4 79_Working Capital Current" xfId="13940" xr:uid="{5DCC7420-028D-456B-BBB0-440CC2DDB7CE}"/>
    <cellStyle name="20% - Accent4 8" xfId="6582" xr:uid="{90C47092-C41D-48F7-A342-C286150C0378}"/>
    <cellStyle name="20% - Accent4 8 2" xfId="6583" xr:uid="{0F19A2D2-10CB-488C-9A91-ED280C577F98}"/>
    <cellStyle name="20% - Accent4 8 2 2" xfId="6584" xr:uid="{9F87B55F-A88B-46A2-861D-BD1B410A5753}"/>
    <cellStyle name="20% - Accent4 8 2 2 2" xfId="6585" xr:uid="{730E341E-C62F-4628-9BDE-14F32E290A5B}"/>
    <cellStyle name="20% - Accent4 8 2 2_Working Capital Current" xfId="13941" xr:uid="{189EDC2D-4A57-4AD0-B0DD-62A95D186A1B}"/>
    <cellStyle name="20% - Accent4 8 2 3" xfId="6586" xr:uid="{7C1D88DC-5121-4713-B18B-337E78D40BE9}"/>
    <cellStyle name="20% - Accent4 8 2 4" xfId="6587" xr:uid="{A82E2ABC-4C14-469E-87E5-755FABD07ECF}"/>
    <cellStyle name="20% - Accent4 8 2_Working Capital Current" xfId="13942" xr:uid="{DBAED09C-E6CD-4C7C-955F-E7334BF9717E}"/>
    <cellStyle name="20% - Accent4 8 3" xfId="6588" xr:uid="{B2CEAEB5-D7A6-4378-911C-C93E9A57C056}"/>
    <cellStyle name="20% - Accent4 8 3 2" xfId="6589" xr:uid="{4281F140-208F-47B6-B07F-80A4EE53981E}"/>
    <cellStyle name="20% - Accent4 8 3_Working Capital Current" xfId="13943" xr:uid="{27365928-5B22-4F29-8F96-13301324990F}"/>
    <cellStyle name="20% - Accent4 8 4" xfId="6590" xr:uid="{C6FDE7FB-223E-4B14-8473-B668BFAF7C44}"/>
    <cellStyle name="20% - Accent4 8 5" xfId="6591" xr:uid="{483DEF2F-DD11-47AC-A9D8-0DB225BCEFDB}"/>
    <cellStyle name="20% - Accent4 8_Not_for_upload_before_M4_correc" xfId="13944" xr:uid="{04A6C6A7-32FB-4011-9B0E-C87C211112A9}"/>
    <cellStyle name="20% - Accent4 80" xfId="6592" xr:uid="{5672159D-EEE7-4163-B7E2-94C08349BF24}"/>
    <cellStyle name="20% - Accent4 80 2" xfId="6593" xr:uid="{19796289-CB93-4950-9EE1-D688BBACF7DF}"/>
    <cellStyle name="20% - Accent4 80 2 2" xfId="6594" xr:uid="{BF026911-4C8D-4EED-85B2-B3C6053EA771}"/>
    <cellStyle name="20% - Accent4 80 2_Working Capital Current" xfId="13945" xr:uid="{F1546866-2778-424D-BF74-09E384347722}"/>
    <cellStyle name="20% - Accent4 80 3" xfId="6595" xr:uid="{80DC39BC-B2A2-4752-8E67-93B501415E9E}"/>
    <cellStyle name="20% - Accent4 80 4" xfId="6596" xr:uid="{A2EAC21B-C3F5-41FD-BBA0-02330B09E778}"/>
    <cellStyle name="20% - Accent4 80_Working Capital Current" xfId="13946" xr:uid="{E87AEAF8-2E64-4E41-BB93-79BE9E45D54A}"/>
    <cellStyle name="20% - Accent4 81" xfId="6597" xr:uid="{27E45EC5-FA15-42E6-9C8A-F6FE6B219F6D}"/>
    <cellStyle name="20% - Accent4 81 2" xfId="6598" xr:uid="{A56A1398-61EF-4A2F-9D50-B8CEFD0A0D75}"/>
    <cellStyle name="20% - Accent4 81 2 2" xfId="6599" xr:uid="{123A4770-3AA2-465D-9AEA-8565CBF728AD}"/>
    <cellStyle name="20% - Accent4 81 2_Working Capital Current" xfId="13947" xr:uid="{C725B46B-08F6-4E42-9F83-D1956EB14F03}"/>
    <cellStyle name="20% - Accent4 81 3" xfId="6600" xr:uid="{BD2941CF-FFD1-43BC-8333-B84307EB0D33}"/>
    <cellStyle name="20% - Accent4 81 4" xfId="6601" xr:uid="{CCA97991-63C6-46B6-BDC3-554508E6B68D}"/>
    <cellStyle name="20% - Accent4 81_Working Capital Current" xfId="13948" xr:uid="{2CDD3629-DB8E-4080-A21D-26CCF02533A5}"/>
    <cellStyle name="20% - Accent4 82" xfId="6602" xr:uid="{15287684-C066-4A09-9FE1-19A5DB9A8960}"/>
    <cellStyle name="20% - Accent4 82 2" xfId="6603" xr:uid="{DE88644A-BCA0-4320-AD09-03C86E2D702B}"/>
    <cellStyle name="20% - Accent4 82 2 2" xfId="6604" xr:uid="{2E1A7E3A-32F4-49BE-B9F0-47B0AE6CE28F}"/>
    <cellStyle name="20% - Accent4 82 2_Working Capital Current" xfId="13949" xr:uid="{C69AC998-87ED-48BB-819B-72A9DCC13DAF}"/>
    <cellStyle name="20% - Accent4 82 3" xfId="6605" xr:uid="{5592EB31-FF50-4BF7-A6FA-524D6C4BB652}"/>
    <cellStyle name="20% - Accent4 82 4" xfId="6606" xr:uid="{E80CB708-1850-4C85-B5C4-D5E1F496AED6}"/>
    <cellStyle name="20% - Accent4 82_Working Capital Current" xfId="13950" xr:uid="{95F7D868-6DF5-4C96-86C7-AED3DB877E16}"/>
    <cellStyle name="20% - Accent4 83" xfId="6607" xr:uid="{4EB6A8B0-FF52-4918-9218-C80D937F839F}"/>
    <cellStyle name="20% - Accent4 83 2" xfId="6608" xr:uid="{2696892C-29F6-4D6B-A458-6F5F76F47556}"/>
    <cellStyle name="20% - Accent4 83 2 2" xfId="6609" xr:uid="{A1AB9530-B7BB-4423-A33E-699850EE04AC}"/>
    <cellStyle name="20% - Accent4 83 2_Working Capital Current" xfId="13951" xr:uid="{F3FF147C-5C1E-4B5D-8773-45E5C0F5AC34}"/>
    <cellStyle name="20% - Accent4 83 3" xfId="6610" xr:uid="{A641AEC9-7917-4AF3-BDF3-2EDFBF8D8D61}"/>
    <cellStyle name="20% - Accent4 83 4" xfId="6611" xr:uid="{564EB9CA-62CF-4C10-A702-11E427EC6724}"/>
    <cellStyle name="20% - Accent4 83_Working Capital Current" xfId="13952" xr:uid="{1D5D6B08-3E85-4A1F-B328-8984DE040A35}"/>
    <cellStyle name="20% - Accent4 84" xfId="6612" xr:uid="{AAE7CA27-4F17-4345-846C-11FDA1FA4046}"/>
    <cellStyle name="20% - Accent4 84 2" xfId="6613" xr:uid="{9B64C4E9-767E-44E0-A676-81C7DC0D3910}"/>
    <cellStyle name="20% - Accent4 84 2 2" xfId="6614" xr:uid="{4C750EFF-E559-4433-8E3F-18A90CD0F148}"/>
    <cellStyle name="20% - Accent4 84 2_Working Capital Current" xfId="13953" xr:uid="{CD32129B-D657-49AE-8CFC-E98BBB98D2F7}"/>
    <cellStyle name="20% - Accent4 84 3" xfId="6615" xr:uid="{90430E2D-D023-4FD3-8F8F-6EB3948C8B50}"/>
    <cellStyle name="20% - Accent4 84 4" xfId="6616" xr:uid="{E1D8C6B8-550B-45F1-8DAE-2F0C416D966F}"/>
    <cellStyle name="20% - Accent4 84_Working Capital Current" xfId="13954" xr:uid="{C1763B4D-05FE-4B6F-A5C5-AE39EE6B1B49}"/>
    <cellStyle name="20% - Accent4 85" xfId="6617" xr:uid="{3ECD5B07-5C0D-4623-B88E-2CF25B2B329A}"/>
    <cellStyle name="20% - Accent4 85 2" xfId="6618" xr:uid="{B47C2604-ED5B-4B99-B5DE-159FB43BB337}"/>
    <cellStyle name="20% - Accent4 85 2 2" xfId="6619" xr:uid="{655132AD-9711-4B6C-A25A-A0C9E95FDC47}"/>
    <cellStyle name="20% - Accent4 85 2_Working Capital Current" xfId="13955" xr:uid="{18543290-E62D-4986-B877-4C47DAF7D670}"/>
    <cellStyle name="20% - Accent4 85 3" xfId="6620" xr:uid="{D9738C4D-94DC-4455-9FC9-77E155726C18}"/>
    <cellStyle name="20% - Accent4 85 4" xfId="6621" xr:uid="{B5ADECAA-8E24-44A2-AC77-97C86EAA6AD8}"/>
    <cellStyle name="20% - Accent4 85_Working Capital Current" xfId="13956" xr:uid="{375F2520-486A-49C1-AC5E-C22E23F858A5}"/>
    <cellStyle name="20% - Accent4 86" xfId="6622" xr:uid="{0AB9CE48-B2BB-4EE5-A514-49B42F5CE78C}"/>
    <cellStyle name="20% - Accent4 86 2" xfId="6623" xr:uid="{283CAD1A-2D15-4CD0-A1BA-1997953A67A4}"/>
    <cellStyle name="20% - Accent4 86 2 2" xfId="6624" xr:uid="{2F28FB74-2889-4511-8CAC-47A83A34CD9A}"/>
    <cellStyle name="20% - Accent4 86 2_Working Capital Current" xfId="13957" xr:uid="{330ED413-3C48-4102-8227-E9CFA9617D5D}"/>
    <cellStyle name="20% - Accent4 86 3" xfId="6625" xr:uid="{B362DC50-F64D-4096-83BD-929909FDFAB1}"/>
    <cellStyle name="20% - Accent4 86 4" xfId="6626" xr:uid="{125ABFCA-3FCF-4DAE-B56E-759DF1EEB7A6}"/>
    <cellStyle name="20% - Accent4 86_Working Capital Current" xfId="13958" xr:uid="{08BF590D-CBCF-4105-890D-1F5C86DEFF94}"/>
    <cellStyle name="20% - Accent4 87" xfId="6627" xr:uid="{1CD35F4B-08EC-4C93-96A5-00CE70EDB7F6}"/>
    <cellStyle name="20% - Accent4 87 2" xfId="6628" xr:uid="{9938913E-E714-4D60-B384-EFFF91437777}"/>
    <cellStyle name="20% - Accent4 87 2 2" xfId="6629" xr:uid="{EB800489-B07F-4F82-B224-4C3250EFE16D}"/>
    <cellStyle name="20% - Accent4 87 2_Working Capital Current" xfId="13959" xr:uid="{E6339C28-980D-4B2B-88D4-717FC8FB99F4}"/>
    <cellStyle name="20% - Accent4 87 3" xfId="6630" xr:uid="{0305B822-C9CB-430D-9803-7526F3E58AB3}"/>
    <cellStyle name="20% - Accent4 87 4" xfId="6631" xr:uid="{B6BF683D-919E-4F64-B3CE-4A1CC51DDA81}"/>
    <cellStyle name="20% - Accent4 87_Working Capital Current" xfId="13960" xr:uid="{7E0EC3AF-9931-43F6-9338-BA709417EFD7}"/>
    <cellStyle name="20% - Accent4 88" xfId="6632" xr:uid="{1C3EB372-3EEB-4E43-A786-72C3D92CCD1A}"/>
    <cellStyle name="20% - Accent4 88 2" xfId="6633" xr:uid="{0E3A9CA2-90C4-42FE-82BD-8EEE670CB0B2}"/>
    <cellStyle name="20% - Accent4 88 2 2" xfId="6634" xr:uid="{6924B3FF-B06E-44EA-A451-9BF85B8B97DE}"/>
    <cellStyle name="20% - Accent4 88 2_Working Capital Current" xfId="13961" xr:uid="{68F6AA14-2CE7-4072-8475-984DDCDAD8CF}"/>
    <cellStyle name="20% - Accent4 88 3" xfId="6635" xr:uid="{41DE95FD-DBD5-41D6-BE59-FD2FAC3513DB}"/>
    <cellStyle name="20% - Accent4 88 4" xfId="6636" xr:uid="{5338338D-CCBA-4754-B86E-CF2179D7229B}"/>
    <cellStyle name="20% - Accent4 88_Working Capital Current" xfId="13962" xr:uid="{E7BFBB27-051C-400B-85CF-2911D827AA00}"/>
    <cellStyle name="20% - Accent4 89" xfId="6637" xr:uid="{9FFA6576-25C0-4D8B-A477-3D7FE79C8396}"/>
    <cellStyle name="20% - Accent4 89 2" xfId="6638" xr:uid="{9ED5A739-3562-44F5-B433-C6056C51FF97}"/>
    <cellStyle name="20% - Accent4 89 2 2" xfId="6639" xr:uid="{87F53EE6-F80B-43B5-9209-47C250BA4FE6}"/>
    <cellStyle name="20% - Accent4 89 2_Working Capital Current" xfId="13963" xr:uid="{738C527F-4217-48AB-B306-A8A811E28DD0}"/>
    <cellStyle name="20% - Accent4 89 3" xfId="6640" xr:uid="{859AE798-FD8F-4BB8-B33C-F1F1B46CEC27}"/>
    <cellStyle name="20% - Accent4 89 4" xfId="6641" xr:uid="{8E42CF3F-A256-44D5-9825-3550D9D95DDB}"/>
    <cellStyle name="20% - Accent4 89_Working Capital Current" xfId="13964" xr:uid="{6740B9B4-6C1B-470E-BC4F-98D14F70B663}"/>
    <cellStyle name="20% - Accent4 9" xfId="6642" xr:uid="{D6C5BC9F-8111-4128-ABFE-9B689DB08866}"/>
    <cellStyle name="20% - Accent4 9 2" xfId="6643" xr:uid="{FA5D44D9-315D-4CCA-8D1B-CCDDA14DFA53}"/>
    <cellStyle name="20% - Accent4 9 2 2" xfId="6644" xr:uid="{65EE52B2-AF96-4A7B-A1D0-297E7B12D9AF}"/>
    <cellStyle name="20% - Accent4 9 2 2 2" xfId="6645" xr:uid="{4BDBAE62-A1EC-402A-BFB2-45832A8AC6C9}"/>
    <cellStyle name="20% - Accent4 9 2 2_Working Capital Current" xfId="13965" xr:uid="{14FAF293-6BA8-4B02-B3F5-5FF4AFBEFD2C}"/>
    <cellStyle name="20% - Accent4 9 2 3" xfId="6646" xr:uid="{47CB6AB5-61E8-461D-816B-29F1477C2462}"/>
    <cellStyle name="20% - Accent4 9 2 4" xfId="6647" xr:uid="{608EE4F7-7BED-42A5-9359-CEB7EDF32135}"/>
    <cellStyle name="20% - Accent4 9 2_Working Capital Current" xfId="13966" xr:uid="{73379706-8BC1-40EA-8FFA-01693E2C199A}"/>
    <cellStyle name="20% - Accent4 9 3" xfId="6648" xr:uid="{69392F4F-9B3C-48AD-90A6-372DD6B9650F}"/>
    <cellStyle name="20% - Accent4 9 3 2" xfId="6649" xr:uid="{B361A996-BA0C-40F4-8AC6-270BE0C8722C}"/>
    <cellStyle name="20% - Accent4 9 3_Working Capital Current" xfId="13967" xr:uid="{96C99892-B2FE-4581-8B89-EA6E0E120FB7}"/>
    <cellStyle name="20% - Accent4 9 4" xfId="6650" xr:uid="{672E748C-4EA5-42FF-82DC-D2E508F8489E}"/>
    <cellStyle name="20% - Accent4 9 5" xfId="6651" xr:uid="{28E30AC5-0070-4C7D-AC22-BD173E3197FB}"/>
    <cellStyle name="20% - Accent4 9_Not_for_upload_before_M4_correc" xfId="13968" xr:uid="{16AA3613-E370-4A26-BA13-8FB2F02B560D}"/>
    <cellStyle name="20% - Accent4 90" xfId="6652" xr:uid="{017D1610-577D-4B06-9121-23D777BC21B9}"/>
    <cellStyle name="20% - Accent4 90 2" xfId="6653" xr:uid="{9B8AC15E-8B29-4057-821D-AEFF2B17B885}"/>
    <cellStyle name="20% - Accent4 90 2 2" xfId="6654" xr:uid="{D076E201-1753-405D-B983-0596B534FED9}"/>
    <cellStyle name="20% - Accent4 90 2_Working Capital Current" xfId="13969" xr:uid="{C86FA878-71CD-4124-B3F5-83330918E8EF}"/>
    <cellStyle name="20% - Accent4 90 3" xfId="6655" xr:uid="{DCD6B557-6EE3-478E-8AE9-E6A92837AEE4}"/>
    <cellStyle name="20% - Accent4 90 4" xfId="6656" xr:uid="{86549E59-F7CB-4914-946C-0F8AFA042319}"/>
    <cellStyle name="20% - Accent4 90_Working Capital Current" xfId="13970" xr:uid="{60F6AC26-464F-4BD4-91EE-C9F853E70FCE}"/>
    <cellStyle name="20% - Accent4 91" xfId="6657" xr:uid="{D52E7F3B-CE83-4146-AF4D-5F19D48F71A5}"/>
    <cellStyle name="20% - Accent4 91 2" xfId="6658" xr:uid="{36005078-B04C-4691-A0C4-EECC5FAA23E4}"/>
    <cellStyle name="20% - Accent4 91 2 2" xfId="6659" xr:uid="{7B206098-3747-458A-93F0-595D90609C27}"/>
    <cellStyle name="20% - Accent4 91 2_Working Capital Current" xfId="13971" xr:uid="{F289BEBC-B172-4951-A23A-49B4B542F526}"/>
    <cellStyle name="20% - Accent4 91 3" xfId="6660" xr:uid="{5E8E437B-7530-4063-B95B-48D1D5A53E68}"/>
    <cellStyle name="20% - Accent4 91 4" xfId="6661" xr:uid="{ECACAFB8-3F37-4F7C-BB11-FC257ECA3DB1}"/>
    <cellStyle name="20% - Accent4 91_Working Capital Current" xfId="13972" xr:uid="{C71B36BC-D901-4C72-A77E-2FB1442BF813}"/>
    <cellStyle name="20% - Accent4 92" xfId="6662" xr:uid="{3DE8305A-E267-48CB-81CA-477B9F4C1B2F}"/>
    <cellStyle name="20% - Accent4 92 2" xfId="6663" xr:uid="{C8A80523-FD14-4AD7-9CAC-56287BD3FF53}"/>
    <cellStyle name="20% - Accent4 92 2 2" xfId="6664" xr:uid="{DA0F59F8-CBB3-495A-B4F4-12A18526DFC9}"/>
    <cellStyle name="20% - Accent4 92 2_Working Capital Current" xfId="13973" xr:uid="{C52E5589-B684-4FEB-B10A-DD4EA2C560C2}"/>
    <cellStyle name="20% - Accent4 92 3" xfId="6665" xr:uid="{176121DB-45F9-418A-8A03-B19822357ACD}"/>
    <cellStyle name="20% - Accent4 92 4" xfId="6666" xr:uid="{3969F509-3C36-4728-9332-F6D71984279F}"/>
    <cellStyle name="20% - Accent4 92_Working Capital Current" xfId="13974" xr:uid="{692EB8A3-A05B-440B-9DB2-AC2477E0094B}"/>
    <cellStyle name="20% - Accent4 93" xfId="6667" xr:uid="{FA0FECEB-A961-432B-B522-D09E78399604}"/>
    <cellStyle name="20% - Accent4 93 2" xfId="6668" xr:uid="{61F152FC-795A-44BC-900B-F4A5E078C93C}"/>
    <cellStyle name="20% - Accent4 93 2 2" xfId="6669" xr:uid="{B13AAA1F-59EF-444B-8E42-C012FE99B504}"/>
    <cellStyle name="20% - Accent4 93 2_Working Capital Current" xfId="13975" xr:uid="{EA7BAC70-D8A2-46FD-AC8D-5EB56BB69CE8}"/>
    <cellStyle name="20% - Accent4 93 3" xfId="6670" xr:uid="{EB7B4125-94B5-43D7-BE94-2F983054B95E}"/>
    <cellStyle name="20% - Accent4 93 4" xfId="6671" xr:uid="{43BD310E-E589-4163-A989-BADDE8DCBF83}"/>
    <cellStyle name="20% - Accent4 93_Working Capital Current" xfId="13976" xr:uid="{C41B0FA3-3576-4BC5-BC19-79F744930A01}"/>
    <cellStyle name="20% - Accent4 94" xfId="6672" xr:uid="{3AE92912-D6B2-4D36-BF85-EB114334AC49}"/>
    <cellStyle name="20% - Accent4 94 2" xfId="6673" xr:uid="{01D663A8-EB5A-4D90-9AE3-6A1DBDA0C44E}"/>
    <cellStyle name="20% - Accent4 94 2 2" xfId="6674" xr:uid="{43B6478A-30D8-4385-B1EB-99D5708C3349}"/>
    <cellStyle name="20% - Accent4 94 2_Working Capital Current" xfId="13977" xr:uid="{D113411C-1831-44A8-9090-0C9108B0CD0A}"/>
    <cellStyle name="20% - Accent4 94 3" xfId="6675" xr:uid="{7A540A3E-1F93-4633-887D-4E2E54049B2D}"/>
    <cellStyle name="20% - Accent4 94 4" xfId="6676" xr:uid="{4F0A05D8-8AE1-4B84-BB35-4332ED0D8E61}"/>
    <cellStyle name="20% - Accent4 94_Working Capital Current" xfId="13978" xr:uid="{2D9C5AB6-DA0F-414A-BE75-AD4475B8E019}"/>
    <cellStyle name="20% - Accent4 95" xfId="6677" xr:uid="{7E9DC41D-EDCB-46A6-9752-D14DBD23364B}"/>
    <cellStyle name="20% - Accent4 95 2" xfId="6678" xr:uid="{EE6FB726-DD33-44DD-BFCE-98BBDB26B509}"/>
    <cellStyle name="20% - Accent4 95 2 2" xfId="6679" xr:uid="{D1617E09-20ED-4212-9C1E-A1730B881BFE}"/>
    <cellStyle name="20% - Accent4 95 2_Working Capital Current" xfId="13979" xr:uid="{8240D65C-E990-4B0B-9525-A6CD743235CD}"/>
    <cellStyle name="20% - Accent4 95 3" xfId="6680" xr:uid="{67F01D4E-CFE8-4255-9C10-6FBD82C607EA}"/>
    <cellStyle name="20% - Accent4 95 4" xfId="6681" xr:uid="{32660FAF-B8FF-4A5D-BBDE-0107F0EDB9C6}"/>
    <cellStyle name="20% - Accent4 95_Working Capital Current" xfId="13980" xr:uid="{7FF10C76-4B9C-4F42-A952-0D27CA4931F4}"/>
    <cellStyle name="20% - Accent4 96" xfId="6682" xr:uid="{AA25DD26-3E19-46E3-B667-24CA05E3A1B3}"/>
    <cellStyle name="20% - Accent4 96 2" xfId="6683" xr:uid="{05D3DFBA-FB11-4B5B-8116-D0FC6E465733}"/>
    <cellStyle name="20% - Accent4 96 2 2" xfId="6684" xr:uid="{FEB5AD14-4FD1-4A53-AA86-FF9D95339CE9}"/>
    <cellStyle name="20% - Accent4 96 2_Working Capital Current" xfId="13981" xr:uid="{CC7D1979-61AD-4A0F-97C3-7F7C72DC4FC3}"/>
    <cellStyle name="20% - Accent4 96 3" xfId="6685" xr:uid="{6D8B409B-D7CB-4C6B-8B26-4F0D1C6080FA}"/>
    <cellStyle name="20% - Accent4 96 4" xfId="6686" xr:uid="{D20CE760-ED02-48D5-BDA5-C1A029212BC7}"/>
    <cellStyle name="20% - Accent4 96_Working Capital Current" xfId="13982" xr:uid="{34E278D1-AEE1-42E2-B566-4BE264B7BE3C}"/>
    <cellStyle name="20% - Accent4 97" xfId="6687" xr:uid="{F30FCB72-9CC8-4393-B432-33F0ED75845D}"/>
    <cellStyle name="20% - Accent4 97 2" xfId="6688" xr:uid="{F6326D61-160D-4FEE-BB75-F53C3ACA756E}"/>
    <cellStyle name="20% - Accent4 97 2 2" xfId="6689" xr:uid="{CFFC63F7-9C9C-4F34-8967-A3A411854964}"/>
    <cellStyle name="20% - Accent4 97 2_Working Capital Current" xfId="13983" xr:uid="{235CECA5-8ABF-428C-A2CF-27DA17130071}"/>
    <cellStyle name="20% - Accent4 97 3" xfId="6690" xr:uid="{FBBAFD40-BB9A-46C7-BA04-6BBC1F033240}"/>
    <cellStyle name="20% - Accent4 97 4" xfId="6691" xr:uid="{049A3248-1F9D-4ACB-8C82-DDCE4E349D99}"/>
    <cellStyle name="20% - Accent4 97_Working Capital Current" xfId="13984" xr:uid="{4FF139F5-5914-47AC-B04C-8C6B78E06278}"/>
    <cellStyle name="20% - Accent4 98" xfId="6692" xr:uid="{6ABF0F12-81E7-4580-9C25-12D096BE4F8E}"/>
    <cellStyle name="20% - Accent4 98 2" xfId="6693" xr:uid="{42D46EBB-DB17-4057-808A-F4D40EFBBE34}"/>
    <cellStyle name="20% - Accent4 98 2 2" xfId="6694" xr:uid="{437429B0-8775-4C65-9B51-454A7E62B760}"/>
    <cellStyle name="20% - Accent4 98 2_Working Capital Current" xfId="13985" xr:uid="{366A978A-8CBE-4719-899E-C597D9ADDA94}"/>
    <cellStyle name="20% - Accent4 98 3" xfId="6695" xr:uid="{5355165E-440D-4F69-8905-11A34B04CA20}"/>
    <cellStyle name="20% - Accent4 98 4" xfId="6696" xr:uid="{4768AC98-203E-4494-B6F0-2B5CA45C33F9}"/>
    <cellStyle name="20% - Accent4 98_Working Capital Current" xfId="13986" xr:uid="{2738F537-F962-409D-A464-271247D5E4D5}"/>
    <cellStyle name="20% - Accent4 99" xfId="6697" xr:uid="{25FA7E54-F207-4824-B5FC-91FB6A925C7C}"/>
    <cellStyle name="20% - Accent4 99 2" xfId="6698" xr:uid="{C2C72D65-6BE1-4E71-AB53-3D7014E0EA33}"/>
    <cellStyle name="20% - Accent4 99 2 2" xfId="6699" xr:uid="{0B0B5380-73F0-4BF6-ABEC-05D0790C1F3E}"/>
    <cellStyle name="20% - Accent4 99 2_Working Capital Current" xfId="13987" xr:uid="{071DDB59-5086-4F42-AF76-87885B0EF836}"/>
    <cellStyle name="20% - Accent4 99 3" xfId="6700" xr:uid="{32455774-E12D-453A-9C82-781724A4EC6F}"/>
    <cellStyle name="20% - Accent4 99 4" xfId="6701" xr:uid="{A8CBB43C-EF82-4FE7-9FF1-CF35E89E0DB7}"/>
    <cellStyle name="20% - Accent4 99_Working Capital Current" xfId="13988" xr:uid="{D89D32C3-4287-4835-A4B1-C847F34DDFE5}"/>
    <cellStyle name="20% - Accent5" xfId="39" builtinId="46" customBuiltin="1"/>
    <cellStyle name="20% - Accent5 10" xfId="6702" xr:uid="{5A364B87-627C-4462-B705-487E571087CE}"/>
    <cellStyle name="20% - Accent5 10 2" xfId="6703" xr:uid="{735E58BA-88CB-49C5-9D7F-E60A999C4EA9}"/>
    <cellStyle name="20% - Accent5 10 2 2" xfId="6704" xr:uid="{959606EF-A3A2-48D8-A526-EDD6FF6E3727}"/>
    <cellStyle name="20% - Accent5 10 2 2 2" xfId="6705" xr:uid="{32577960-18E8-41E4-82CB-E401BC6128FC}"/>
    <cellStyle name="20% - Accent5 10 2 2_Working Capital Current" xfId="13989" xr:uid="{93F6E4FD-43AB-4B78-8938-10816D31D9DE}"/>
    <cellStyle name="20% - Accent5 10 2 3" xfId="6706" xr:uid="{B8661F6A-EE00-41CF-9ACC-1D2C34B3BD06}"/>
    <cellStyle name="20% - Accent5 10 2 4" xfId="6707" xr:uid="{94BF6D5F-F5CB-498F-B775-F3DDF92686C6}"/>
    <cellStyle name="20% - Accent5 10 2_Working Capital Current" xfId="13990" xr:uid="{4B54D690-FF4D-4228-94C7-E9A7F0816386}"/>
    <cellStyle name="20% - Accent5 10 3" xfId="6708" xr:uid="{16894E2B-DC4D-457F-B14B-1A7EA4D681E4}"/>
    <cellStyle name="20% - Accent5 10 3 2" xfId="6709" xr:uid="{297FA3C4-9620-41C8-A290-0C115AD6445B}"/>
    <cellStyle name="20% - Accent5 10 3_Working Capital Current" xfId="13991" xr:uid="{80E20709-4A6C-41FF-B397-8C66AA78B1F9}"/>
    <cellStyle name="20% - Accent5 10 4" xfId="6710" xr:uid="{DB829CA8-F1B5-4C88-80B0-7027D8C098BD}"/>
    <cellStyle name="20% - Accent5 10 5" xfId="6711" xr:uid="{F7E42DBE-F5BD-4672-B8F1-3AF4DBB4D5E0}"/>
    <cellStyle name="20% - Accent5 10_Not_for_upload_before_M4_correc" xfId="13992" xr:uid="{0D915442-BF1F-488F-94C1-572994D67AFF}"/>
    <cellStyle name="20% - Accent5 100" xfId="6712" xr:uid="{84BC5F9F-64EB-414D-A014-044270A545EB}"/>
    <cellStyle name="20% - Accent5 100 2" xfId="6713" xr:uid="{C239C057-9F58-460D-8C01-0AC8F99B30BF}"/>
    <cellStyle name="20% - Accent5 100 2 2" xfId="6714" xr:uid="{C9D0E81D-8588-4CB8-B2E7-596D892DBBE7}"/>
    <cellStyle name="20% - Accent5 100 2_Working Capital Current" xfId="13993" xr:uid="{915284AE-43AD-4B74-9C0F-59B55842731D}"/>
    <cellStyle name="20% - Accent5 100 3" xfId="6715" xr:uid="{7562E77B-CF84-40DD-9FCA-64182834AB22}"/>
    <cellStyle name="20% - Accent5 100 4" xfId="6716" xr:uid="{C6367DE8-5ABA-41E9-B3D6-B2375EC9F01F}"/>
    <cellStyle name="20% - Accent5 100_Working Capital Current" xfId="13994" xr:uid="{B13768C0-B68C-40BE-8C92-DEE827F99DF7}"/>
    <cellStyle name="20% - Accent5 101" xfId="6717" xr:uid="{46FADFDE-C6F6-4061-A6A0-82A3DF952A68}"/>
    <cellStyle name="20% - Accent5 101 2" xfId="6718" xr:uid="{EB219F75-A845-4D41-95C6-02D22C671B90}"/>
    <cellStyle name="20% - Accent5 101 3" xfId="6719" xr:uid="{E57E876D-2A05-4962-AF96-4811CC6B2514}"/>
    <cellStyle name="20% - Accent5 101_Working Capital Current" xfId="13995" xr:uid="{95DDCCB9-72DA-4F3B-93CD-FE9FE65D5209}"/>
    <cellStyle name="20% - Accent5 102" xfId="6720" xr:uid="{5839AF41-487C-40C7-9764-9E1F927517B9}"/>
    <cellStyle name="20% - Accent5 102 2" xfId="6721" xr:uid="{A7CA3D0E-371D-4978-92AD-1404B861048F}"/>
    <cellStyle name="20% - Accent5 102 3" xfId="6722" xr:uid="{C935A1EF-4DA8-4F03-B6A0-EC7BF99E2D45}"/>
    <cellStyle name="20% - Accent5 102_Working Capital Current" xfId="13996" xr:uid="{0CB489AE-8996-4A85-923F-18E519357B7B}"/>
    <cellStyle name="20% - Accent5 103" xfId="6723" xr:uid="{BE085853-7605-43D4-B94B-195F3F67D3BA}"/>
    <cellStyle name="20% - Accent5 104" xfId="6724" xr:uid="{DA759D28-EFA8-469B-A915-E91C9F81D221}"/>
    <cellStyle name="20% - Accent5 105" xfId="13997" xr:uid="{F6849DEC-6907-43C3-A0AC-10C820BC7F5B}"/>
    <cellStyle name="20% - Accent5 106" xfId="16498" xr:uid="{586A9A8B-3738-475D-8D1F-5FBF92D0DDD8}"/>
    <cellStyle name="20% - Accent5 107" xfId="16985" xr:uid="{D3C8AB32-9A96-4DA0-B71B-0968E921E5AC}"/>
    <cellStyle name="20% - Accent5 108" xfId="3899" xr:uid="{A0D63D6F-380C-4721-81FE-1E4009E6D064}"/>
    <cellStyle name="20% - Accent5 109" xfId="17768" xr:uid="{7270460E-6F25-4B5D-AC60-E4681CEF52D1}"/>
    <cellStyle name="20% - Accent5 11" xfId="6725" xr:uid="{9941D8B9-0E64-4D7F-BDB3-EFE2477CFEE3}"/>
    <cellStyle name="20% - Accent5 11 2" xfId="6726" xr:uid="{145A7E7A-F807-49E2-BFB2-923C44DFD189}"/>
    <cellStyle name="20% - Accent5 11 2 2" xfId="6727" xr:uid="{4713D577-082E-47EA-84D2-76F6813FF87B}"/>
    <cellStyle name="20% - Accent5 11 2 2 2" xfId="6728" xr:uid="{40D5E50A-B433-4456-B888-BFF16BF8787D}"/>
    <cellStyle name="20% - Accent5 11 2 2_Working Capital Current" xfId="13998" xr:uid="{856E4700-3693-46E9-8EE1-14E9CBD7A0AA}"/>
    <cellStyle name="20% - Accent5 11 2 3" xfId="6729" xr:uid="{CBB08561-934D-4B23-B354-426E181E8810}"/>
    <cellStyle name="20% - Accent5 11 2 4" xfId="6730" xr:uid="{19EED445-A053-4ED8-969B-A51DF5A09833}"/>
    <cellStyle name="20% - Accent5 11 2_Working Capital Current" xfId="13999" xr:uid="{9161DE03-3D5D-446D-BDE5-0DE1D0CC17A0}"/>
    <cellStyle name="20% - Accent5 11 3" xfId="6731" xr:uid="{BBEA69FB-949C-435D-A2AD-72DC74D9DB2D}"/>
    <cellStyle name="20% - Accent5 11 3 2" xfId="6732" xr:uid="{7272900B-D8DA-4374-9544-E07B66DDA058}"/>
    <cellStyle name="20% - Accent5 11 3_Working Capital Current" xfId="14000" xr:uid="{8A530500-A1E3-4943-8E36-5DDE116460EF}"/>
    <cellStyle name="20% - Accent5 11 4" xfId="6733" xr:uid="{75371177-01FA-4935-84BD-18CC0BDD399F}"/>
    <cellStyle name="20% - Accent5 11 5" xfId="6734" xr:uid="{69D35859-501B-4FEC-812C-19A277126740}"/>
    <cellStyle name="20% - Accent5 11_Not_for_upload_before_M4_correc" xfId="14001" xr:uid="{B54EDACF-AF84-4890-B98F-89F8660C8706}"/>
    <cellStyle name="20% - Accent5 12" xfId="6735" xr:uid="{D625E904-4482-4071-A2D6-E7B7427E8C50}"/>
    <cellStyle name="20% - Accent5 12 2" xfId="6736" xr:uid="{38EB56B3-3639-448C-8BE6-74BEA5A96948}"/>
    <cellStyle name="20% - Accent5 12 2 2" xfId="6737" xr:uid="{1BD5FC32-7ADA-4446-A2C1-4C72FD6AD158}"/>
    <cellStyle name="20% - Accent5 12 2 2 2" xfId="6738" xr:uid="{6400DC2E-C703-411A-B9E9-308E5D214B75}"/>
    <cellStyle name="20% - Accent5 12 2 2_Working Capital Current" xfId="14002" xr:uid="{514C67F5-F702-45B5-9FC3-0DA0AC3FB34D}"/>
    <cellStyle name="20% - Accent5 12 2 3" xfId="6739" xr:uid="{5A9F6D9C-5412-4BA6-89F4-F37106568EFA}"/>
    <cellStyle name="20% - Accent5 12 2 4" xfId="6740" xr:uid="{FA3D8DAD-F668-45EF-9F4F-DC0839651937}"/>
    <cellStyle name="20% - Accent5 12 2_Working Capital Current" xfId="14003" xr:uid="{B01A176A-30D4-4859-875D-F28CB38CFA08}"/>
    <cellStyle name="20% - Accent5 12 3" xfId="6741" xr:uid="{F88E43EC-3A7B-4661-A46F-1E1C659795F0}"/>
    <cellStyle name="20% - Accent5 12 3 2" xfId="6742" xr:uid="{E9EF7121-BE59-4355-88EB-3F298C8C889A}"/>
    <cellStyle name="20% - Accent5 12 3_Working Capital Current" xfId="14004" xr:uid="{8C966563-BD47-442E-A859-74844666BE82}"/>
    <cellStyle name="20% - Accent5 12 4" xfId="6743" xr:uid="{E35A8686-868B-4D73-B644-B125044CA9CD}"/>
    <cellStyle name="20% - Accent5 12 5" xfId="6744" xr:uid="{4B38D7C4-B79A-46A8-8290-78FCA680F2F1}"/>
    <cellStyle name="20% - Accent5 12_Not_for_upload_before_M4_correc" xfId="14005" xr:uid="{13743F51-BFB1-4091-92BB-EC239444D592}"/>
    <cellStyle name="20% - Accent5 13" xfId="6745" xr:uid="{19DB2D6B-F6EE-46C1-820B-26FD767BD122}"/>
    <cellStyle name="20% - Accent5 13 2" xfId="6746" xr:uid="{4CA59F2E-6F4F-4AB1-B9C2-9FBF3A54E07C}"/>
    <cellStyle name="20% - Accent5 13 2 2" xfId="6747" xr:uid="{33D48612-EB44-49E7-AE12-C8D99F52783C}"/>
    <cellStyle name="20% - Accent5 13 2 2 2" xfId="6748" xr:uid="{E22208B6-60E5-4FD7-A46B-9795ACEF7135}"/>
    <cellStyle name="20% - Accent5 13 2 2_Working Capital Current" xfId="14006" xr:uid="{4DF01DF6-504A-41B2-842A-812F4BCA8F56}"/>
    <cellStyle name="20% - Accent5 13 2 3" xfId="6749" xr:uid="{B6C17C7A-E832-4BA2-B865-01A4458E8469}"/>
    <cellStyle name="20% - Accent5 13 2 4" xfId="6750" xr:uid="{ED1E5916-9B85-46A4-ACFC-F76F712138BB}"/>
    <cellStyle name="20% - Accent5 13 2_Working Capital Current" xfId="14007" xr:uid="{9AD1932D-1979-44E3-A1B0-C74EDAD967D0}"/>
    <cellStyle name="20% - Accent5 13 3" xfId="6751" xr:uid="{ADC39778-9CFB-4A21-99BC-AF0DF5ECDE7D}"/>
    <cellStyle name="20% - Accent5 13 3 2" xfId="6752" xr:uid="{7EEAA98B-9EF7-49E4-9B28-C8DBC57FE409}"/>
    <cellStyle name="20% - Accent5 13 3_Working Capital Current" xfId="14008" xr:uid="{52733F11-8AE6-4ADF-8A97-F0EB78B829AF}"/>
    <cellStyle name="20% - Accent5 13 4" xfId="6753" xr:uid="{18C27C38-12A3-414F-8CAE-8FCF97B4E98E}"/>
    <cellStyle name="20% - Accent5 13 5" xfId="6754" xr:uid="{B186FF2E-FF36-4451-A865-3D62D774E83E}"/>
    <cellStyle name="20% - Accent5 13_Not_for_upload_before_M4_correc" xfId="14009" xr:uid="{BE8485EF-057C-41B5-A89B-9E9DD01CEFEA}"/>
    <cellStyle name="20% - Accent5 14" xfId="6755" xr:uid="{64E038FE-FD46-4F6C-9465-0EC7F9D2CEED}"/>
    <cellStyle name="20% - Accent5 14 2" xfId="6756" xr:uid="{76F433C3-652F-4B1C-B244-9A04A1AE7741}"/>
    <cellStyle name="20% - Accent5 14 2 2" xfId="6757" xr:uid="{B3229A93-44FD-499D-9487-5CECB834A4A0}"/>
    <cellStyle name="20% - Accent5 14 2 2 2" xfId="6758" xr:uid="{DF00AAFE-7F5A-4C95-8AEA-E3FFB85D9B2E}"/>
    <cellStyle name="20% - Accent5 14 2 2_Working Capital Current" xfId="14010" xr:uid="{DBB2E5C4-38FA-4BC2-AC98-F0023937B6BF}"/>
    <cellStyle name="20% - Accent5 14 2 3" xfId="6759" xr:uid="{C1754853-31B7-43BE-BE4A-9671AE6E9EE3}"/>
    <cellStyle name="20% - Accent5 14 2 4" xfId="6760" xr:uid="{E00F3C30-9AF9-4A92-B842-AB468140E511}"/>
    <cellStyle name="20% - Accent5 14 2_Working Capital Current" xfId="14011" xr:uid="{3CEC5534-B580-4724-9CF4-560B31B52EAF}"/>
    <cellStyle name="20% - Accent5 14 3" xfId="6761" xr:uid="{CC5FC413-F203-401E-A6C4-3AD90DF60DD1}"/>
    <cellStyle name="20% - Accent5 14 3 2" xfId="6762" xr:uid="{5D5646FD-0142-4391-BEB2-BD5BC27677C8}"/>
    <cellStyle name="20% - Accent5 14 3_Working Capital Current" xfId="14012" xr:uid="{98CEFACF-DE14-4768-9FCC-36587209923F}"/>
    <cellStyle name="20% - Accent5 14 4" xfId="6763" xr:uid="{399561B3-F94E-4472-867F-7CF28085B7E1}"/>
    <cellStyle name="20% - Accent5 14 5" xfId="6764" xr:uid="{0B18B902-0EEE-4C35-BE1F-0D922213968A}"/>
    <cellStyle name="20% - Accent5 14_Not_for_upload_before_M4_correc" xfId="14013" xr:uid="{E7C640DB-5C8C-4B2E-82C0-ACDCD1D9C921}"/>
    <cellStyle name="20% - Accent5 15" xfId="6765" xr:uid="{48DCCA84-28D7-49B9-A7F8-9CAE8D146904}"/>
    <cellStyle name="20% - Accent5 15 2" xfId="6766" xr:uid="{E39EA88D-92E4-4690-AA1A-D793E765765C}"/>
    <cellStyle name="20% - Accent5 15 2 2" xfId="6767" xr:uid="{EEF052A7-D63D-4B89-A973-319F19A85652}"/>
    <cellStyle name="20% - Accent5 15 2 2 2" xfId="6768" xr:uid="{EB1119AD-2EFC-4700-8E36-C19DA0C7853E}"/>
    <cellStyle name="20% - Accent5 15 2 2_Working Capital Current" xfId="14014" xr:uid="{FCA95EBD-58CF-44D8-8BA6-A069DCA682D7}"/>
    <cellStyle name="20% - Accent5 15 2 3" xfId="6769" xr:uid="{F413F081-25A4-4133-942E-E4D2DF274DAC}"/>
    <cellStyle name="20% - Accent5 15 2 4" xfId="6770" xr:uid="{3D6FEF04-D16D-49FE-9CD4-30B8C971B461}"/>
    <cellStyle name="20% - Accent5 15 2_Working Capital Current" xfId="14015" xr:uid="{9F163F4F-B81F-4995-8C77-0ED01BC76D92}"/>
    <cellStyle name="20% - Accent5 15 3" xfId="6771" xr:uid="{3F7FBC15-DE65-48E5-8B2F-D67F84D01067}"/>
    <cellStyle name="20% - Accent5 15 3 2" xfId="6772" xr:uid="{0B00B06B-1C70-47EB-94D0-042FEDD6A09B}"/>
    <cellStyle name="20% - Accent5 15 3_Working Capital Current" xfId="14016" xr:uid="{21890B33-30E3-458F-86F2-D571E6421C5D}"/>
    <cellStyle name="20% - Accent5 15 4" xfId="6773" xr:uid="{1EF7EF1A-B60D-4E26-8931-74C57A7074BD}"/>
    <cellStyle name="20% - Accent5 15 5" xfId="6774" xr:uid="{27CB5C4A-7768-427D-A83E-A1EC3B8BB05F}"/>
    <cellStyle name="20% - Accent5 15_Not_for_upload_before_M4_correc" xfId="14017" xr:uid="{F1DFF21F-759C-49EA-B72F-056F266C7BCA}"/>
    <cellStyle name="20% - Accent5 16" xfId="6775" xr:uid="{030EB41A-9D50-4072-979C-E3080EBCCEA9}"/>
    <cellStyle name="20% - Accent5 16 2" xfId="6776" xr:uid="{EDE99BE6-2130-40C9-9A95-CBA632FCB353}"/>
    <cellStyle name="20% - Accent5 16 2 2" xfId="6777" xr:uid="{2D9A4049-B4FA-4B05-9CC5-3DC74C2BDCC2}"/>
    <cellStyle name="20% - Accent5 16 2 2 2" xfId="6778" xr:uid="{255BF019-CAC3-420C-843F-2BDA3CEEF305}"/>
    <cellStyle name="20% - Accent5 16 2 2_Working Capital Current" xfId="14018" xr:uid="{596CE0C4-5373-4DD6-9236-61B50D6A6AAF}"/>
    <cellStyle name="20% - Accent5 16 2 3" xfId="6779" xr:uid="{55076C7C-F17B-4DC7-9FDB-839AFFC19A18}"/>
    <cellStyle name="20% - Accent5 16 2 4" xfId="6780" xr:uid="{3389FE27-66D4-4F44-A13C-163BE76F7549}"/>
    <cellStyle name="20% - Accent5 16 2_Working Capital Current" xfId="14019" xr:uid="{8CA208B4-1092-4F1B-A020-1FF35DCCBCC3}"/>
    <cellStyle name="20% - Accent5 16 3" xfId="6781" xr:uid="{48369F87-3F45-4E26-B9E8-3B89DC937D5E}"/>
    <cellStyle name="20% - Accent5 16 3 2" xfId="6782" xr:uid="{ECD44A60-33E5-424F-B6DF-FD039739CDB4}"/>
    <cellStyle name="20% - Accent5 16 3_Working Capital Current" xfId="14020" xr:uid="{037A157E-7600-4706-9B04-7710EB1DE084}"/>
    <cellStyle name="20% - Accent5 16 4" xfId="6783" xr:uid="{10CAC45B-A7B0-4F8D-A8D9-83EE3DFCA25B}"/>
    <cellStyle name="20% - Accent5 16 5" xfId="6784" xr:uid="{5D4B6306-68D3-42F6-8193-DFC810FB82F6}"/>
    <cellStyle name="20% - Accent5 16_Not_for_upload_before_M4_correc" xfId="14021" xr:uid="{5EC466B5-9AC8-4209-B49E-147A8E42F74B}"/>
    <cellStyle name="20% - Accent5 17" xfId="6785" xr:uid="{BC1D4145-7047-41E7-A99C-E61F53E7D0B9}"/>
    <cellStyle name="20% - Accent5 17 2" xfId="6786" xr:uid="{680D89D1-8B17-4B6C-940B-7E472F68AF7B}"/>
    <cellStyle name="20% - Accent5 17 2 2" xfId="6787" xr:uid="{BCD37110-EED7-4F3E-BEFB-AF11FF3C652E}"/>
    <cellStyle name="20% - Accent5 17 2 2 2" xfId="6788" xr:uid="{9F613E4E-5062-44EB-9063-54F296230909}"/>
    <cellStyle name="20% - Accent5 17 2 2_Working Capital Current" xfId="14022" xr:uid="{8FA7A784-B301-4814-A716-C5E6A3D0FA21}"/>
    <cellStyle name="20% - Accent5 17 2 3" xfId="6789" xr:uid="{0A8BC7BD-7AC1-4A2A-8A08-62E550843175}"/>
    <cellStyle name="20% - Accent5 17 2 4" xfId="6790" xr:uid="{DEA1B9B9-580F-43D9-B00C-79585851BD1B}"/>
    <cellStyle name="20% - Accent5 17 2_Working Capital Current" xfId="14023" xr:uid="{7F3DE6CF-FCAC-4874-9E81-DBD06CC9A96C}"/>
    <cellStyle name="20% - Accent5 17 3" xfId="6791" xr:uid="{D6D17B19-1B5C-470F-8DF4-72216A19FDF7}"/>
    <cellStyle name="20% - Accent5 17 3 2" xfId="6792" xr:uid="{A506A0E2-84BD-485F-9FA2-0AB9213F82F0}"/>
    <cellStyle name="20% - Accent5 17 3_Working Capital Current" xfId="14024" xr:uid="{083590B1-6261-4784-B533-F84B3AAC11DB}"/>
    <cellStyle name="20% - Accent5 17 4" xfId="6793" xr:uid="{25F2BB1C-9090-4EB9-87AE-75119BACC2CF}"/>
    <cellStyle name="20% - Accent5 17 5" xfId="6794" xr:uid="{AEDA93A2-B58F-4B52-BE01-DE5F68DB29FA}"/>
    <cellStyle name="20% - Accent5 17_Not_for_upload_before_M4_correc" xfId="14025" xr:uid="{CD696C05-06DB-47A3-8E58-1A21590D019E}"/>
    <cellStyle name="20% - Accent5 18" xfId="6795" xr:uid="{B0B733FA-5A49-41C1-9D88-0421E7B22AFC}"/>
    <cellStyle name="20% - Accent5 18 2" xfId="6796" xr:uid="{A499F031-E259-4BCC-A553-D36D32491440}"/>
    <cellStyle name="20% - Accent5 18 2 2" xfId="6797" xr:uid="{C2D5EA04-5B54-4061-BFD4-4C6D391F75DD}"/>
    <cellStyle name="20% - Accent5 18 2 2 2" xfId="6798" xr:uid="{1CE8F2EA-520E-4403-998B-629FC98EF6A6}"/>
    <cellStyle name="20% - Accent5 18 2 2_Working Capital Current" xfId="14026" xr:uid="{FD311DE3-9CD7-40EE-947D-3A1AC8113D42}"/>
    <cellStyle name="20% - Accent5 18 2 3" xfId="6799" xr:uid="{A6B6E406-B0A9-401E-8573-CA5DF07B6BDD}"/>
    <cellStyle name="20% - Accent5 18 2 4" xfId="6800" xr:uid="{BA40FEF6-4730-4DF6-9040-AD46ECE51DC6}"/>
    <cellStyle name="20% - Accent5 18 2_Working Capital Current" xfId="14027" xr:uid="{75CEB6B4-274F-447D-B85D-A72C3D5FFF57}"/>
    <cellStyle name="20% - Accent5 18 3" xfId="6801" xr:uid="{719E2DFB-E042-47B8-9B0A-5305E1432385}"/>
    <cellStyle name="20% - Accent5 18 3 2" xfId="6802" xr:uid="{BBF05C5F-4BFA-4238-9B07-85BDAE7BE840}"/>
    <cellStyle name="20% - Accent5 18 3_Working Capital Current" xfId="14028" xr:uid="{93B7F86C-2EA8-4230-AD74-63CEDD73A3DE}"/>
    <cellStyle name="20% - Accent5 18 4" xfId="6803" xr:uid="{3ABA6AFC-0E6E-434C-86C1-43940463FF0D}"/>
    <cellStyle name="20% - Accent5 18 5" xfId="6804" xr:uid="{D1CEE302-60B5-445D-9E2C-1ECB4CDBE2B8}"/>
    <cellStyle name="20% - Accent5 18_Not_for_upload_before_M4_correc" xfId="14029" xr:uid="{E59F67EB-F24D-43D3-BE2C-EA27B36D89F1}"/>
    <cellStyle name="20% - Accent5 19" xfId="6805" xr:uid="{7CE357D6-6FA2-4542-B4FB-C5CDB1E6EF61}"/>
    <cellStyle name="20% - Accent5 19 2" xfId="6806" xr:uid="{BC309728-2264-4663-8E43-F9CC2EAB4D28}"/>
    <cellStyle name="20% - Accent5 19 2 2" xfId="6807" xr:uid="{834B09D3-DAA4-4B8B-9F1D-EE97668E639C}"/>
    <cellStyle name="20% - Accent5 19 2 2 2" xfId="6808" xr:uid="{54AD5C35-0F16-4C8E-BEF8-F913CB5154F0}"/>
    <cellStyle name="20% - Accent5 19 2 2_Working Capital Current" xfId="14030" xr:uid="{E06C916A-C10B-4130-B296-7966686F2930}"/>
    <cellStyle name="20% - Accent5 19 2 3" xfId="6809" xr:uid="{DE1CBB1E-416C-4CFC-969E-A1A50A4459E5}"/>
    <cellStyle name="20% - Accent5 19 2 4" xfId="6810" xr:uid="{619A927D-C33C-45AD-A451-39D06462A40B}"/>
    <cellStyle name="20% - Accent5 19 2_Working Capital Current" xfId="14031" xr:uid="{3575A644-916D-40A9-B31B-239121078472}"/>
    <cellStyle name="20% - Accent5 19 3" xfId="6811" xr:uid="{2117BC8A-B849-45A5-BEE6-5CBAF656AD17}"/>
    <cellStyle name="20% - Accent5 19 3 2" xfId="6812" xr:uid="{957099A1-0174-426E-BE70-04CC34BC1718}"/>
    <cellStyle name="20% - Accent5 19 3_Working Capital Current" xfId="14032" xr:uid="{0A31ABCA-D7AE-4B83-9059-204C49549D0C}"/>
    <cellStyle name="20% - Accent5 19 4" xfId="6813" xr:uid="{E056A91A-D509-4777-B518-BA1D64FDB600}"/>
    <cellStyle name="20% - Accent5 19 5" xfId="6814" xr:uid="{A254CA3B-5207-496E-B002-59B4479B10E0}"/>
    <cellStyle name="20% - Accent5 19_Not_for_upload_before_M4_correc" xfId="14033" xr:uid="{795F76BD-E5FC-48FF-B32E-FF5AD366D0DA}"/>
    <cellStyle name="20% - Accent5 2" xfId="84" xr:uid="{B9BA5247-9281-4745-9546-D9D6A9BF9D5B}"/>
    <cellStyle name="20% - Accent5 2 10" xfId="6815" xr:uid="{0CB4EDA9-C37A-478A-B52F-8633DC5F5F67}"/>
    <cellStyle name="20% - Accent5 2 11" xfId="3888" xr:uid="{9A8528BC-013F-4AE4-AB82-9A0AF09342A4}"/>
    <cellStyle name="20% - Accent5 2 2" xfId="85" xr:uid="{5FCBBBF3-85B9-438B-B6B1-D53BB2708D0F}"/>
    <cellStyle name="20% - Accent5 2 2 2" xfId="1915" xr:uid="{65060226-D1D6-4A97-B2DB-CA6BE86D0B24}"/>
    <cellStyle name="20% - Accent5 2 2 2 2" xfId="6818" xr:uid="{4D74651E-9645-45D8-8893-E15D10C65DB9}"/>
    <cellStyle name="20% - Accent5 2 2 2 2 2" xfId="6819" xr:uid="{1D9F2862-927B-4E28-98D8-68D3BC204516}"/>
    <cellStyle name="20% - Accent5 2 2 2 2_Requirements CBS" xfId="16062" xr:uid="{580989C4-547D-4E0C-9C51-00228E14053C}"/>
    <cellStyle name="20% - Accent5 2 2 2 3" xfId="6820" xr:uid="{5EB5AC24-440E-45B1-A451-E2A718E7C28D}"/>
    <cellStyle name="20% - Accent5 2 2 2 4" xfId="6821" xr:uid="{8108F82F-7B86-46D7-9B40-81FBCCF906F9}"/>
    <cellStyle name="20% - Accent5 2 2 2 5" xfId="17645" xr:uid="{924BEF6B-F3CD-49BB-B76B-0261648EBEED}"/>
    <cellStyle name="20% - Accent5 2 2 2 6" xfId="18198" xr:uid="{E3CC9FC6-F574-424B-B7D1-1414C61653E4}"/>
    <cellStyle name="20% - Accent5 2 2 2 7" xfId="6817" xr:uid="{77D6BFBF-1D94-48FC-8A76-B6191F5976BD}"/>
    <cellStyle name="20% - Accent5 2 2 2_Requirements CBS" xfId="16061" xr:uid="{C868E071-72AD-4D37-8D2D-0B4C451D9B8C}"/>
    <cellStyle name="20% - Accent5 2 2 3" xfId="6822" xr:uid="{A455E7C6-FA2A-498E-831F-69EB1CD544AA}"/>
    <cellStyle name="20% - Accent5 2 2 3 2" xfId="6823" xr:uid="{4AF99993-D8D7-45D5-BD77-7182BBC85452}"/>
    <cellStyle name="20% - Accent5 2 2 3_Requirements CBS" xfId="16063" xr:uid="{22547D14-0356-4C23-8BE8-F87FDAD6C896}"/>
    <cellStyle name="20% - Accent5 2 2 4" xfId="6824" xr:uid="{BF1D1AE8-9FE3-416A-A2E1-29799E4FCC24}"/>
    <cellStyle name="20% - Accent5 2 2 5" xfId="6825" xr:uid="{E6FEB299-5064-4509-8407-34B10905B3F2}"/>
    <cellStyle name="20% - Accent5 2 2 6" xfId="6816" xr:uid="{78799336-1DF4-4FBD-880A-775B25841407}"/>
    <cellStyle name="20% - Accent5 2 2 7" xfId="16519" xr:uid="{E00E39D6-BB99-4BCA-89A6-7ECD300C0666}"/>
    <cellStyle name="20% - Accent5 2 2 8" xfId="16976" xr:uid="{7905487F-6C0F-4CBC-9E5B-A93DC187BA17}"/>
    <cellStyle name="20% - Accent5 2 2_Not_for_upload_before_M4_correc" xfId="14034" xr:uid="{20838E7A-3EFA-4D20-B125-1186DCBA2C0F}"/>
    <cellStyle name="20% - Accent5 2 3" xfId="1914" xr:uid="{CFA2A533-7191-4765-8219-838F94A8D3F2}"/>
    <cellStyle name="20% - Accent5 2 3 2" xfId="6827" xr:uid="{485C1733-1509-44EB-ACB9-ADB3530E9F0A}"/>
    <cellStyle name="20% - Accent5 2 3 2 2" xfId="6828" xr:uid="{217558A6-B117-4B52-9350-4B5E9A208A4F}"/>
    <cellStyle name="20% - Accent5 2 3 2 2 2" xfId="6829" xr:uid="{AC116E31-399A-4C6C-94D8-412AF3632827}"/>
    <cellStyle name="20% - Accent5 2 3 2 2_Requirements CBS" xfId="16065" xr:uid="{990972AE-3D5F-4732-886A-6257686F9913}"/>
    <cellStyle name="20% - Accent5 2 3 2 3" xfId="6830" xr:uid="{EE40D1F9-F409-4BD3-A6FA-B62F5DE30689}"/>
    <cellStyle name="20% - Accent5 2 3 2 4" xfId="6831" xr:uid="{8436D0CF-D37D-4BCB-BB7F-55404B33720F}"/>
    <cellStyle name="20% - Accent5 2 3 2_Requirements CBS" xfId="16064" xr:uid="{77516EEB-9357-43B5-AD62-BE51C40602F3}"/>
    <cellStyle name="20% - Accent5 2 3 3" xfId="6832" xr:uid="{38770EA3-9174-4D72-8EC6-C54A0671E3A7}"/>
    <cellStyle name="20% - Accent5 2 3 3 2" xfId="6833" xr:uid="{13FCEEF7-83C4-49EF-BB5D-8DC554773D88}"/>
    <cellStyle name="20% - Accent5 2 3 3_Requirements CBS" xfId="16066" xr:uid="{F8F514CC-F28F-4532-81B8-B098EC702362}"/>
    <cellStyle name="20% - Accent5 2 3 4" xfId="6834" xr:uid="{741C8AF6-AE2F-482D-AB4E-9A7431B31E42}"/>
    <cellStyle name="20% - Accent5 2 3 5" xfId="6835" xr:uid="{9BEF11FF-CF81-4B31-8633-C26F793371F2}"/>
    <cellStyle name="20% - Accent5 2 3 6" xfId="17644" xr:uid="{56FD3974-9C3A-47A5-9734-07E7D276DE46}"/>
    <cellStyle name="20% - Accent5 2 3 7" xfId="18197" xr:uid="{A56B10EE-1462-4585-A8E9-9D5AE8D123FD}"/>
    <cellStyle name="20% - Accent5 2 3 8" xfId="6826" xr:uid="{E7303DCB-C229-4E33-A339-AA4AF5C9E18A}"/>
    <cellStyle name="20% - Accent5 2 3_Not_for_upload_before_M4_correc" xfId="14035" xr:uid="{A7F42939-0FFF-4940-B008-662BCA6B242C}"/>
    <cellStyle name="20% - Accent5 2 4" xfId="6836" xr:uid="{82A07908-A824-438C-83A4-9B3CD58AA482}"/>
    <cellStyle name="20% - Accent5 2 4 2" xfId="6837" xr:uid="{5F4B2EBF-61CA-419D-A4F0-34C486F80CAE}"/>
    <cellStyle name="20% - Accent5 2 4 2 2" xfId="6838" xr:uid="{F8FE4B38-8008-47DB-87B3-751EAEACE3C3}"/>
    <cellStyle name="20% - Accent5 2 4 2 2 2" xfId="6839" xr:uid="{73255124-6FC6-4EC3-B282-09B073B854BA}"/>
    <cellStyle name="20% - Accent5 2 4 2 2_Requirements CBS" xfId="16068" xr:uid="{4647C1C1-B998-4707-8521-ED60BDA65977}"/>
    <cellStyle name="20% - Accent5 2 4 2 3" xfId="6840" xr:uid="{64DE72E8-76CA-47A7-8D3A-F1F6D42BC47F}"/>
    <cellStyle name="20% - Accent5 2 4 2 4" xfId="6841" xr:uid="{3C740420-1B01-4578-A2C1-220EFAC3AE6C}"/>
    <cellStyle name="20% - Accent5 2 4 2_Requirements CBS" xfId="16067" xr:uid="{52157067-1088-42D2-8813-2C7493231E4F}"/>
    <cellStyle name="20% - Accent5 2 4 3" xfId="6842" xr:uid="{515113EC-9BE3-461D-B2B5-EDF8EC759ABD}"/>
    <cellStyle name="20% - Accent5 2 4 3 2" xfId="6843" xr:uid="{812E9684-1281-4C20-A480-78311FB89604}"/>
    <cellStyle name="20% - Accent5 2 4 3_Requirements CBS" xfId="16069" xr:uid="{B504A68C-7D37-43B9-B49D-B3F273D4828F}"/>
    <cellStyle name="20% - Accent5 2 4 4" xfId="6844" xr:uid="{7BB0CEE6-4B3B-4E40-B4F5-D886F34F7002}"/>
    <cellStyle name="20% - Accent5 2 4 5" xfId="6845" xr:uid="{180B3C91-8FB9-4E02-ADC4-AFEA05C15D50}"/>
    <cellStyle name="20% - Accent5 2 4_Not_for_upload_before_M4_correc" xfId="14036" xr:uid="{4AD969F4-99F4-46AE-AB59-CB7BBBC5E0FB}"/>
    <cellStyle name="20% - Accent5 2 5" xfId="6846" xr:uid="{1E684B83-A919-4616-A7C1-665ACB268B75}"/>
    <cellStyle name="20% - Accent5 2 5 2" xfId="6847" xr:uid="{374EF92C-F60C-40DB-97AC-40B0245DF87D}"/>
    <cellStyle name="20% - Accent5 2 5 2 2" xfId="6848" xr:uid="{0962194C-33B8-45A2-A082-BC1ECB094B00}"/>
    <cellStyle name="20% - Accent5 2 5 2_Requirements CBS" xfId="16071" xr:uid="{EEB325F3-0B66-43D3-A603-8C19B5A95CCC}"/>
    <cellStyle name="20% - Accent5 2 5 3" xfId="6849" xr:uid="{69AEA8E7-A24B-4846-B841-D6ED9BE78FCF}"/>
    <cellStyle name="20% - Accent5 2 5_Requirements CBS" xfId="16070" xr:uid="{300EDDA0-CBE8-40BA-849C-85132930FE35}"/>
    <cellStyle name="20% - Accent5 2 6" xfId="6850" xr:uid="{69118279-798B-485A-B621-4E03BBF631ED}"/>
    <cellStyle name="20% - Accent5 2 6 2" xfId="6851" xr:uid="{33B2AE79-5F06-4340-B767-94B84634F2E8}"/>
    <cellStyle name="20% - Accent5 2 6_Requirements CBS" xfId="16072" xr:uid="{6249B0BD-14AB-4BE0-ACBA-E15964E128A6}"/>
    <cellStyle name="20% - Accent5 2 7" xfId="6852" xr:uid="{3036864C-A181-4F7C-9CC5-A8B293B66212}"/>
    <cellStyle name="20% - Accent5 2 7 2" xfId="6853" xr:uid="{C268A388-B6CA-4DCD-A7CD-7127E3D1FD84}"/>
    <cellStyle name="20% - Accent5 2 7_Requirements CBS" xfId="16073" xr:uid="{DBA96F9D-7F59-41E8-A78D-FF252292D55B}"/>
    <cellStyle name="20% - Accent5 2 8" xfId="6854" xr:uid="{8A64F5F6-C55F-412A-8C1D-90C83F12554C}"/>
    <cellStyle name="20% - Accent5 2 9" xfId="6855" xr:uid="{B42F5CD7-EE7D-46F2-A748-1C3AC4379AF2}"/>
    <cellStyle name="20% - Accent5 2_Not_for_upload_before_M4_correc" xfId="14037" xr:uid="{1AE3993E-CB46-40C7-9EFA-28D449AF528C}"/>
    <cellStyle name="20% - Accent5 20" xfId="6856" xr:uid="{6FEF5339-8812-4CCF-938E-6DEEFE99124A}"/>
    <cellStyle name="20% - Accent5 20 2" xfId="6857" xr:uid="{454BE054-E5F3-4E40-948A-1303FDEF3119}"/>
    <cellStyle name="20% - Accent5 20 2 2" xfId="6858" xr:uid="{6555AB14-946B-42E4-8DFF-1B7FD4079B71}"/>
    <cellStyle name="20% - Accent5 20 2 2 2" xfId="6859" xr:uid="{9DB60CCB-36EE-46EE-89C8-3F3631A4D2A5}"/>
    <cellStyle name="20% - Accent5 20 2 2_Requirements CBS" xfId="16075" xr:uid="{B5CBE86E-15B6-432D-A680-787D6DCF2A0F}"/>
    <cellStyle name="20% - Accent5 20 2 3" xfId="6860" xr:uid="{FEB12644-B4CC-446A-A426-B048ACF2468C}"/>
    <cellStyle name="20% - Accent5 20 2 4" xfId="6861" xr:uid="{62AFF3C9-CB7E-4F54-90F8-A281C48EB84A}"/>
    <cellStyle name="20% - Accent5 20 2_Requirements CBS" xfId="16074" xr:uid="{ADADBD0A-73C1-4BB1-85A4-B95FF32F4800}"/>
    <cellStyle name="20% - Accent5 20 3" xfId="6862" xr:uid="{0BEA58B4-9840-4BD1-9FA3-CE0F8ECC232E}"/>
    <cellStyle name="20% - Accent5 20 3 2" xfId="6863" xr:uid="{A088CC54-039E-4E7F-A39E-AF3F313EC828}"/>
    <cellStyle name="20% - Accent5 20 3_Requirements CBS" xfId="16076" xr:uid="{E96A5D48-FCCA-40E9-ADC2-B7E6895763C0}"/>
    <cellStyle name="20% - Accent5 20 4" xfId="6864" xr:uid="{CC6923FB-A221-42D7-8CA9-7BAFB512C05F}"/>
    <cellStyle name="20% - Accent5 20 5" xfId="6865" xr:uid="{5F57E9FB-418E-44F4-B30F-FEEC96A456FA}"/>
    <cellStyle name="20% - Accent5 20_Not_for_upload_before_M4_correc" xfId="14038" xr:uid="{6A5ABC5C-534E-460A-995B-7A6452757293}"/>
    <cellStyle name="20% - Accent5 21" xfId="6866" xr:uid="{41FE1A7F-0402-4B84-B483-902BE771AE86}"/>
    <cellStyle name="20% - Accent5 21 2" xfId="6867" xr:uid="{8D3BBCC1-B23A-4109-AEC9-15EDD22B6A50}"/>
    <cellStyle name="20% - Accent5 21 2 2" xfId="6868" xr:uid="{27B46A2F-EC1A-49BD-B192-531BD5333EBA}"/>
    <cellStyle name="20% - Accent5 21 2 2 2" xfId="6869" xr:uid="{1749A4E6-6B17-4802-A0DD-75E3E8FB98C6}"/>
    <cellStyle name="20% - Accent5 21 2 2_Requirements CBS" xfId="16078" xr:uid="{455F6A80-D629-4D68-A523-CF5C26D1C94B}"/>
    <cellStyle name="20% - Accent5 21 2 3" xfId="6870" xr:uid="{29E77C42-7970-4EBA-84C9-A30F95E18188}"/>
    <cellStyle name="20% - Accent5 21 2 4" xfId="6871" xr:uid="{6DBF0408-A2EF-47B0-8E90-AE30CC43B6BF}"/>
    <cellStyle name="20% - Accent5 21 2_Requirements CBS" xfId="16077" xr:uid="{817FED38-4DFF-403B-B626-1B43730DCBA2}"/>
    <cellStyle name="20% - Accent5 21 3" xfId="6872" xr:uid="{F2FBF107-0DA7-4570-9B9C-798D1D148BA4}"/>
    <cellStyle name="20% - Accent5 21 3 2" xfId="6873" xr:uid="{0CF8FE2E-CDD1-433F-B974-A049906FACF6}"/>
    <cellStyle name="20% - Accent5 21 3_Requirements CBS" xfId="16079" xr:uid="{5B9BE929-EF8D-4BEE-9340-9F80E83B644A}"/>
    <cellStyle name="20% - Accent5 21 4" xfId="6874" xr:uid="{D4D815E0-53E9-46D0-B3A8-52B7FA1D1217}"/>
    <cellStyle name="20% - Accent5 21 5" xfId="6875" xr:uid="{4115C97A-A23F-47AA-B565-ACD092D8DC33}"/>
    <cellStyle name="20% - Accent5 21_Not_for_upload_before_M4_correc" xfId="14039" xr:uid="{6C3A46F4-7EA6-4828-81ED-257F33063838}"/>
    <cellStyle name="20% - Accent5 22" xfId="6876" xr:uid="{CABCF4D7-8212-4499-A9EA-7A2F815077E3}"/>
    <cellStyle name="20% - Accent5 22 2" xfId="6877" xr:uid="{874DEE78-F2AA-4A57-A21F-E29BA41736FB}"/>
    <cellStyle name="20% - Accent5 22 2 2" xfId="6878" xr:uid="{9FC19D80-078A-4A5C-B0B0-81598EED41F3}"/>
    <cellStyle name="20% - Accent5 22 2 2 2" xfId="6879" xr:uid="{E267D38A-4123-4F2D-A079-6C5396F3F8F9}"/>
    <cellStyle name="20% - Accent5 22 2 2_Requirements CBS" xfId="16081" xr:uid="{A9CD13EA-6CEA-4375-9F5C-3B283E76BF1A}"/>
    <cellStyle name="20% - Accent5 22 2 3" xfId="6880" xr:uid="{989DFFBB-A426-406F-8D21-79E708F77E60}"/>
    <cellStyle name="20% - Accent5 22 2 4" xfId="6881" xr:uid="{80F9982E-FD7A-458D-A316-99E6C818AE7F}"/>
    <cellStyle name="20% - Accent5 22 2_Requirements CBS" xfId="16080" xr:uid="{4B8CAF70-56DD-4493-8BB0-8127E316887A}"/>
    <cellStyle name="20% - Accent5 22 3" xfId="6882" xr:uid="{ED786871-E550-456E-9E7E-725A77C03285}"/>
    <cellStyle name="20% - Accent5 22 3 2" xfId="6883" xr:uid="{5EC82356-41B4-4978-96C3-BB8D6FB6E0E0}"/>
    <cellStyle name="20% - Accent5 22 3_Requirements CBS" xfId="16082" xr:uid="{7766540D-3486-450F-8E48-08FBE4354316}"/>
    <cellStyle name="20% - Accent5 22 4" xfId="6884" xr:uid="{8E7A99CC-F9DF-470B-BC29-2BC87CC43B16}"/>
    <cellStyle name="20% - Accent5 22 5" xfId="6885" xr:uid="{631FD428-67F7-498A-9517-D683A19B59A4}"/>
    <cellStyle name="20% - Accent5 22_Not_for_upload_before_M4_correc" xfId="14040" xr:uid="{7F71ED16-8E2E-47A8-9998-27034D901BAC}"/>
    <cellStyle name="20% - Accent5 23" xfId="6886" xr:uid="{816B217A-FE44-4571-BF2E-B36560B47FCE}"/>
    <cellStyle name="20% - Accent5 23 2" xfId="6887" xr:uid="{3B640BBB-83D6-4A50-AC3C-391997E320B3}"/>
    <cellStyle name="20% - Accent5 23 2 2" xfId="6888" xr:uid="{E8EC341D-639F-457F-932D-E2F9323FE734}"/>
    <cellStyle name="20% - Accent5 23 2 2 2" xfId="6889" xr:uid="{15ED0A9B-8DF9-4673-A1FD-BC919DA60EBB}"/>
    <cellStyle name="20% - Accent5 23 2 2_Requirements CBS" xfId="16084" xr:uid="{AB7D6E9B-BC4E-42AF-8DAF-37622E0AE854}"/>
    <cellStyle name="20% - Accent5 23 2 3" xfId="6890" xr:uid="{29D03F63-8955-4062-8828-E363352E96EB}"/>
    <cellStyle name="20% - Accent5 23 2 4" xfId="6891" xr:uid="{94A520E1-49A3-455C-81B4-A988B14277EE}"/>
    <cellStyle name="20% - Accent5 23 2_Requirements CBS" xfId="16083" xr:uid="{352BDBD8-B60D-4B87-A745-DDA8437C8B2D}"/>
    <cellStyle name="20% - Accent5 23 3" xfId="6892" xr:uid="{5F98363F-7B06-4DA3-9F79-FE1934FA7CB7}"/>
    <cellStyle name="20% - Accent5 23 3 2" xfId="6893" xr:uid="{9DB25104-84C0-4175-8315-D1DED411CE53}"/>
    <cellStyle name="20% - Accent5 23 3_Requirements CBS" xfId="16085" xr:uid="{752F2040-0911-4E3E-B2DA-834DED20B5E5}"/>
    <cellStyle name="20% - Accent5 23 4" xfId="6894" xr:uid="{A3801D76-3739-4EF9-AE9D-EBD9AD74836E}"/>
    <cellStyle name="20% - Accent5 23 5" xfId="6895" xr:uid="{FF280FFB-537C-4418-8BBF-F0F37127E1D3}"/>
    <cellStyle name="20% - Accent5 23_Not_for_upload_before_M4_correc" xfId="14041" xr:uid="{31B3457F-F103-4339-9C27-66DB5EA84901}"/>
    <cellStyle name="20% - Accent5 24" xfId="6896" xr:uid="{C32BC457-1C8A-46BB-9533-FC67EE87F8FC}"/>
    <cellStyle name="20% - Accent5 24 2" xfId="6897" xr:uid="{05043C58-F2D7-465D-A0E2-9F02953686D8}"/>
    <cellStyle name="20% - Accent5 24 2 2" xfId="6898" xr:uid="{17A35B3F-2DDC-40EC-8600-21A05AD25C11}"/>
    <cellStyle name="20% - Accent5 24 2 2 2" xfId="6899" xr:uid="{8305E400-E426-431B-99A4-CA71E587301F}"/>
    <cellStyle name="20% - Accent5 24 2 2_Requirements CBS" xfId="16087" xr:uid="{D9BD0133-C61A-4D9A-8FD0-2BD6A0336F0C}"/>
    <cellStyle name="20% - Accent5 24 2 3" xfId="6900" xr:uid="{D8594A07-B294-4333-BE45-F27B5C48A7CC}"/>
    <cellStyle name="20% - Accent5 24 2 4" xfId="6901" xr:uid="{8713A14E-D101-44FA-8CB6-19656FBFE70F}"/>
    <cellStyle name="20% - Accent5 24 2_Requirements CBS" xfId="16086" xr:uid="{2FFED8C4-6C00-45AA-9F1B-7F7FD5D7BF4B}"/>
    <cellStyle name="20% - Accent5 24 3" xfId="6902" xr:uid="{28012144-0802-4717-BE1C-12328652B594}"/>
    <cellStyle name="20% - Accent5 24 3 2" xfId="6903" xr:uid="{6CEBA9A7-1E47-4979-8BEB-7570F0CB0D54}"/>
    <cellStyle name="20% - Accent5 24 3_Requirements CBS" xfId="16088" xr:uid="{5C663451-DD44-4FB4-94F3-6B723DF39C83}"/>
    <cellStyle name="20% - Accent5 24 4" xfId="6904" xr:uid="{6F7E338D-0C84-4CF7-B1FE-7B8A3290FCC8}"/>
    <cellStyle name="20% - Accent5 24 5" xfId="6905" xr:uid="{67A932A5-5604-4A00-80A1-434863CB2DE8}"/>
    <cellStyle name="20% - Accent5 24_Not_for_upload_before_M4_correc" xfId="14042" xr:uid="{16A92BDF-F2BB-4AB0-9E99-434C76737ACE}"/>
    <cellStyle name="20% - Accent5 25" xfId="6906" xr:uid="{604006E0-1530-4F69-8993-26C59936E812}"/>
    <cellStyle name="20% - Accent5 25 2" xfId="6907" xr:uid="{36F5DDD6-B808-4798-AE26-7CFDDD80C936}"/>
    <cellStyle name="20% - Accent5 25 2 2" xfId="6908" xr:uid="{46A69371-B6D2-40B8-900B-4CACC4A21F04}"/>
    <cellStyle name="20% - Accent5 25 2 2 2" xfId="6909" xr:uid="{7F964AC9-2108-419E-B55B-61B650D7CD6A}"/>
    <cellStyle name="20% - Accent5 25 2 2_Requirements CBS" xfId="16090" xr:uid="{2C77DDA1-7D57-4C98-AFB6-CD9EEA93DE18}"/>
    <cellStyle name="20% - Accent5 25 2 3" xfId="6910" xr:uid="{9108D3B2-F158-45CF-B5D0-19CB5257C7FE}"/>
    <cellStyle name="20% - Accent5 25 2 4" xfId="6911" xr:uid="{9ECBBB1B-ACC5-4727-A3CD-AA7D001DD6CA}"/>
    <cellStyle name="20% - Accent5 25 2_Requirements CBS" xfId="16089" xr:uid="{85974B36-D0EE-4740-93C2-C2EF2E8BC114}"/>
    <cellStyle name="20% - Accent5 25 3" xfId="6912" xr:uid="{D774D213-4E99-4A58-A9A8-3CFD55FCFAA2}"/>
    <cellStyle name="20% - Accent5 25 3 2" xfId="6913" xr:uid="{3EC33A2C-E6DF-4533-AA8F-07241C37E230}"/>
    <cellStyle name="20% - Accent5 25 3_Requirements CBS" xfId="16091" xr:uid="{E15B17D4-6015-4DA5-930C-F8319D9A454A}"/>
    <cellStyle name="20% - Accent5 25 4" xfId="6914" xr:uid="{860107F0-E270-4DD6-A990-B80D8835F44F}"/>
    <cellStyle name="20% - Accent5 25 5" xfId="6915" xr:uid="{A5C30C9E-D086-46C5-990E-0BCBB16DFCF6}"/>
    <cellStyle name="20% - Accent5 25_Not_for_upload_before_M4_correc" xfId="14043" xr:uid="{AF91F399-1505-4753-88E1-223381979E23}"/>
    <cellStyle name="20% - Accent5 26" xfId="6916" xr:uid="{13BA032F-EBDA-4AF2-B7CE-B770A0894970}"/>
    <cellStyle name="20% - Accent5 26 2" xfId="6917" xr:uid="{2641E74A-FAD5-46AE-9554-781415E89A3E}"/>
    <cellStyle name="20% - Accent5 26 2 2" xfId="6918" xr:uid="{3B9FDAC7-660C-4BDE-A085-3CAAFB2558DB}"/>
    <cellStyle name="20% - Accent5 26 2 3" xfId="6919" xr:uid="{6BD777AD-A99D-4539-A096-D53FBCB648DF}"/>
    <cellStyle name="20% - Accent5 26 2_Requirements CBS" xfId="16092" xr:uid="{2F6E23B6-0901-4759-A639-113A15381BA6}"/>
    <cellStyle name="20% - Accent5 26 3" xfId="6920" xr:uid="{DDAC0A8E-4C31-43BC-BC6D-3CB0BA199410}"/>
    <cellStyle name="20% - Accent5 26 3 2" xfId="6921" xr:uid="{198EA6B0-0F6A-4F49-8F92-2FF923456D27}"/>
    <cellStyle name="20% - Accent5 26 3_Requirements CBS" xfId="16093" xr:uid="{628C2D34-22BD-46FF-A19A-B91C9E1EB1B9}"/>
    <cellStyle name="20% - Accent5 26 4" xfId="6922" xr:uid="{3F2311BF-0854-4EB6-9B20-0C0CA5AFC570}"/>
    <cellStyle name="20% - Accent5 26 5" xfId="6923" xr:uid="{12B1F9F6-F940-4106-9AD1-BE2C16363D57}"/>
    <cellStyle name="20% - Accent5 26_Not_for_upload_before_M4_correc" xfId="14044" xr:uid="{C42BB8F6-BD67-4C48-BD04-43EB823A579C}"/>
    <cellStyle name="20% - Accent5 27" xfId="6924" xr:uid="{5E4C2A1E-C3B4-4003-B064-FB15F6B6A6B1}"/>
    <cellStyle name="20% - Accent5 27 2" xfId="6925" xr:uid="{3D3EB00E-3BDA-4D92-8F5D-80D608E27D3E}"/>
    <cellStyle name="20% - Accent5 27 2 2" xfId="6926" xr:uid="{C839BB92-6CA5-4C77-B1DA-8FE601350AD4}"/>
    <cellStyle name="20% - Accent5 27 2 3" xfId="6927" xr:uid="{5526AAA5-311C-42C5-BEB6-05DEFF86F815}"/>
    <cellStyle name="20% - Accent5 27 2_Requirements CBS" xfId="16094" xr:uid="{B05F8BCC-0BD6-4D01-812E-EEDF522A24A2}"/>
    <cellStyle name="20% - Accent5 27 3" xfId="6928" xr:uid="{A13E6C4F-054E-4404-93D1-DC27529F9E64}"/>
    <cellStyle name="20% - Accent5 27 3 2" xfId="6929" xr:uid="{B8390918-84C0-4C1D-8A80-2F88D8C9B967}"/>
    <cellStyle name="20% - Accent5 27 3_Requirements CBS" xfId="16095" xr:uid="{1AB94041-B9BD-48BD-98A0-E7EA052BDE50}"/>
    <cellStyle name="20% - Accent5 27 4" xfId="6930" xr:uid="{51AA0828-4636-449B-820A-85C8D355F7F5}"/>
    <cellStyle name="20% - Accent5 27 5" xfId="6931" xr:uid="{9EEB14C1-7377-4159-8C83-9A7AB1C54FE5}"/>
    <cellStyle name="20% - Accent5 27_Not_for_upload_before_M4_correc" xfId="14045" xr:uid="{B6CD2783-2436-4EB8-A9F9-5F859B16B274}"/>
    <cellStyle name="20% - Accent5 28" xfId="6932" xr:uid="{9287CC15-4C44-49BA-A872-F81DF10103DD}"/>
    <cellStyle name="20% - Accent5 28 2" xfId="6933" xr:uid="{B18DF0F2-FBD5-4A62-A310-27F10C556EA6}"/>
    <cellStyle name="20% - Accent5 28 2 2" xfId="6934" xr:uid="{808D50F9-5CDA-4F02-B4EF-E1386B89A109}"/>
    <cellStyle name="20% - Accent5 28 2 3" xfId="6935" xr:uid="{B5D06B3E-1CBC-46F4-A21A-001B9CB14DF3}"/>
    <cellStyle name="20% - Accent5 28 2_Requirements CBS" xfId="16096" xr:uid="{9CBB31AD-2D7B-4BA2-80D9-10B89DC9E6A5}"/>
    <cellStyle name="20% - Accent5 28 3" xfId="6936" xr:uid="{45B943D6-F4D7-4115-8B43-C9EDF2EB4D4E}"/>
    <cellStyle name="20% - Accent5 28 3 2" xfId="6937" xr:uid="{4AAB096F-DDE4-456D-9858-3F453734D822}"/>
    <cellStyle name="20% - Accent5 28 3_Requirements CBS" xfId="16097" xr:uid="{CE063C61-0A61-41CE-8BAC-12B5EDFB6EC2}"/>
    <cellStyle name="20% - Accent5 28 4" xfId="6938" xr:uid="{09EF0CD4-530A-4492-8C2F-FD7B6B0F6B39}"/>
    <cellStyle name="20% - Accent5 28 5" xfId="6939" xr:uid="{F5500CA4-AA26-42F2-9928-187782AE4F15}"/>
    <cellStyle name="20% - Accent5 28_Not_for_upload_before_M4_correc" xfId="14046" xr:uid="{3542CDD6-C58D-46A8-BEA8-6ED1C9AEDC56}"/>
    <cellStyle name="20% - Accent5 29" xfId="6940" xr:uid="{8DFBBCA5-07E1-4655-A295-9D1CC619E8B1}"/>
    <cellStyle name="20% - Accent5 29 2" xfId="6941" xr:uid="{1CAE64D1-323D-421B-8A6F-6991BB90BFF3}"/>
    <cellStyle name="20% - Accent5 29 2 2" xfId="6942" xr:uid="{7B8E61A9-9513-42AA-81F0-456100EEC13F}"/>
    <cellStyle name="20% - Accent5 29 2_Requirements CBS" xfId="16098" xr:uid="{2E409042-4616-4D7D-9621-D601076063D7}"/>
    <cellStyle name="20% - Accent5 29 3" xfId="6943" xr:uid="{576A9F52-1958-477E-8C86-866C66082414}"/>
    <cellStyle name="20% - Accent5 29 4" xfId="6944" xr:uid="{97C01203-381C-4B65-9976-A6801AF6F1DD}"/>
    <cellStyle name="20% - Accent5 29_Not_for_upload_before_M4_correc" xfId="14047" xr:uid="{0831416D-19DC-4810-97FC-BFB17808C4AE}"/>
    <cellStyle name="20% - Accent5 3" xfId="86" xr:uid="{4405474D-C4CA-449C-A1FD-382AD4B3110C}"/>
    <cellStyle name="20% - Accent5 3 2" xfId="1916" xr:uid="{8DEADB62-9B05-45F4-8FEE-618680A6C4F7}"/>
    <cellStyle name="20% - Accent5 3 2 2" xfId="6947" xr:uid="{344694AF-AC69-4E50-8636-9593014EAAE4}"/>
    <cellStyle name="20% - Accent5 3 2 2 2" xfId="6948" xr:uid="{485CD063-D0AF-414F-A852-38C92F951871}"/>
    <cellStyle name="20% - Accent5 3 2 2 2 2" xfId="6949" xr:uid="{6D5A3670-2794-4DF4-90C7-567B7B7EE4CB}"/>
    <cellStyle name="20% - Accent5 3 2 2 2_Requirements CBS" xfId="16100" xr:uid="{AE66D955-0041-4FCB-B5E9-075C3CFF8834}"/>
    <cellStyle name="20% - Accent5 3 2 2 3" xfId="6950" xr:uid="{01D1FE7E-77BE-4B27-A9E1-28BD48FC0B16}"/>
    <cellStyle name="20% - Accent5 3 2 2 4" xfId="6951" xr:uid="{D1674360-E607-4C01-9D99-C3DF0D38AD54}"/>
    <cellStyle name="20% - Accent5 3 2 2_Requirements CBS" xfId="16099" xr:uid="{5EDD0037-44BD-4001-A962-C6FA79AFBA01}"/>
    <cellStyle name="20% - Accent5 3 2 3" xfId="6952" xr:uid="{896F335F-7DB0-4358-AD8D-2A85B8E44F49}"/>
    <cellStyle name="20% - Accent5 3 2 3 2" xfId="6953" xr:uid="{96578632-D34F-4D0F-A5B7-E0BF1CFD4200}"/>
    <cellStyle name="20% - Accent5 3 2 3_Requirements CBS" xfId="16101" xr:uid="{02A685A6-631D-4FED-8B26-0C2CFCA39B26}"/>
    <cellStyle name="20% - Accent5 3 2 4" xfId="6954" xr:uid="{45102289-A999-4232-8264-98BF73A594C0}"/>
    <cellStyle name="20% - Accent5 3 2 5" xfId="6955" xr:uid="{5298BB1F-9B8E-47C1-AC4C-3C8BA7F0AEB8}"/>
    <cellStyle name="20% - Accent5 3 2 6" xfId="17646" xr:uid="{398B0635-E747-4D03-95A9-9B57BB1C97EF}"/>
    <cellStyle name="20% - Accent5 3 2 7" xfId="18199" xr:uid="{3DC0A8C9-2718-4D74-B188-409E12BE0CB4}"/>
    <cellStyle name="20% - Accent5 3 2 8" xfId="6946" xr:uid="{99E623BF-0F71-4BEE-B623-3A5FF1089CC5}"/>
    <cellStyle name="20% - Accent5 3 2_Not_for_upload_before_M4_correc" xfId="14048" xr:uid="{4F81435A-247B-462A-A034-4A5DFCBDD4AD}"/>
    <cellStyle name="20% - Accent5 3 3" xfId="6956" xr:uid="{F3E33E9F-7547-4D5E-9012-F1E883CD4182}"/>
    <cellStyle name="20% - Accent5 3 3 2" xfId="6957" xr:uid="{AC295453-9DCC-49BE-9758-D6DBC65DAC80}"/>
    <cellStyle name="20% - Accent5 3 3 2 2" xfId="6958" xr:uid="{536BE05B-4FB2-454C-9DB2-C9E693CA82D3}"/>
    <cellStyle name="20% - Accent5 3 3 2 2 2" xfId="6959" xr:uid="{FBC22AA5-F27C-45BB-A7C0-F0F7506AD516}"/>
    <cellStyle name="20% - Accent5 3 3 2 2_Requirements CBS" xfId="16103" xr:uid="{46106C07-1DE5-4AF6-BE7F-10595EEB2524}"/>
    <cellStyle name="20% - Accent5 3 3 2 3" xfId="6960" xr:uid="{02FF4D35-6B2F-4EC9-8FC0-DE27449CA14D}"/>
    <cellStyle name="20% - Accent5 3 3 2 4" xfId="6961" xr:uid="{7B297EF1-7D6B-4AAE-97B9-579495468A11}"/>
    <cellStyle name="20% - Accent5 3 3 2_Requirements CBS" xfId="16102" xr:uid="{1AE9E0B6-2F65-4712-BCD7-B2D0F27F389C}"/>
    <cellStyle name="20% - Accent5 3 3 3" xfId="6962" xr:uid="{10776FCD-B414-47A2-ABE5-8CB4F6DFD452}"/>
    <cellStyle name="20% - Accent5 3 3 3 2" xfId="6963" xr:uid="{6C5B3903-1FBA-4220-9E10-F2D132D95391}"/>
    <cellStyle name="20% - Accent5 3 3 3_Requirements CBS" xfId="16104" xr:uid="{E6C6AB7C-6395-41FD-9D4E-249CDAFCE182}"/>
    <cellStyle name="20% - Accent5 3 3 4" xfId="6964" xr:uid="{7599CC70-86C8-4BF9-A523-1C77FB688EE6}"/>
    <cellStyle name="20% - Accent5 3 3 5" xfId="6965" xr:uid="{ABDCF5A7-634D-458E-A5D7-C3F6606D8DB2}"/>
    <cellStyle name="20% - Accent5 3 3_Not_for_upload_before_M4_correc" xfId="14049" xr:uid="{967965BD-7068-40E3-A50F-2C8D9685E778}"/>
    <cellStyle name="20% - Accent5 3 4" xfId="6966" xr:uid="{86EAB3FF-8000-43AF-AA05-CE0AA1498B33}"/>
    <cellStyle name="20% - Accent5 3 4 2" xfId="6967" xr:uid="{BA0F7D72-44F5-4374-B256-5D60D4FB058B}"/>
    <cellStyle name="20% - Accent5 3 4 2 2" xfId="6968" xr:uid="{42FD900A-34F0-4F9C-B03F-4224942CCA0E}"/>
    <cellStyle name="20% - Accent5 3 4 2 2 2" xfId="6969" xr:uid="{4068F0C1-C5A4-4C38-BC18-682AE52FFFF9}"/>
    <cellStyle name="20% - Accent5 3 4 2 2_Requirements CBS" xfId="16106" xr:uid="{C93CADFF-D173-4876-8DBE-7BC197C6ABA3}"/>
    <cellStyle name="20% - Accent5 3 4 2 3" xfId="6970" xr:uid="{F01D9E5E-F88C-4C9E-BE7C-137E0A74FDCF}"/>
    <cellStyle name="20% - Accent5 3 4 2 4" xfId="6971" xr:uid="{1088B989-81A5-450B-BE8F-538D769144D0}"/>
    <cellStyle name="20% - Accent5 3 4 2_Requirements CBS" xfId="16105" xr:uid="{FE71565A-C897-4600-AF82-22F2F065C189}"/>
    <cellStyle name="20% - Accent5 3 4 3" xfId="6972" xr:uid="{4FE96302-89E9-4B2D-A2FA-375CBCEC6CB5}"/>
    <cellStyle name="20% - Accent5 3 4 3 2" xfId="6973" xr:uid="{C38479F5-0EF6-4DF8-A988-E6347A98AEE1}"/>
    <cellStyle name="20% - Accent5 3 4 3_Requirements CBS" xfId="16107" xr:uid="{574080E7-4832-4E6D-A895-6C4369FF1E29}"/>
    <cellStyle name="20% - Accent5 3 4 4" xfId="6974" xr:uid="{767B6087-B243-4B5F-8D70-2C3A76D2BAB5}"/>
    <cellStyle name="20% - Accent5 3 4 5" xfId="6975" xr:uid="{90B04807-801D-4A8D-8B06-AD880C9FC46E}"/>
    <cellStyle name="20% - Accent5 3 4_Not_for_upload_before_M4_correc" xfId="14050" xr:uid="{C55195E5-E74F-4B91-8689-02BEC1700884}"/>
    <cellStyle name="20% - Accent5 3 5" xfId="6976" xr:uid="{08548897-CBF6-4BB1-BC3D-F4C0B4DB1EB2}"/>
    <cellStyle name="20% - Accent5 3 5 2" xfId="6977" xr:uid="{B4602E0F-886E-4C2C-8E72-D0DA72650C0C}"/>
    <cellStyle name="20% - Accent5 3 5 2 2" xfId="6978" xr:uid="{25898DED-A4C1-486B-A826-99A07DEBCD36}"/>
    <cellStyle name="20% - Accent5 3 5 2_Requirements CBS" xfId="16109" xr:uid="{A41F46EC-C5CF-4896-A36B-F933CC8D5157}"/>
    <cellStyle name="20% - Accent5 3 5 3" xfId="6979" xr:uid="{228D56A9-B3B8-4714-9946-E7EE41D4632C}"/>
    <cellStyle name="20% - Accent5 3 5 4" xfId="6980" xr:uid="{C18C492A-05EB-4885-8497-62B505D4A960}"/>
    <cellStyle name="20% - Accent5 3 5_Requirements CBS" xfId="16108" xr:uid="{C954AB0D-6D86-4236-AD94-D0C1978A41E8}"/>
    <cellStyle name="20% - Accent5 3 6" xfId="6981" xr:uid="{6E274D18-3B11-468A-9139-8AC8EA39423D}"/>
    <cellStyle name="20% - Accent5 3 6 2" xfId="6982" xr:uid="{7B17FFB9-2B00-4627-A8CF-996918A52125}"/>
    <cellStyle name="20% - Accent5 3 6_Requirements CBS" xfId="16110" xr:uid="{29B98E53-30DF-4F53-9508-95E27A48B2B3}"/>
    <cellStyle name="20% - Accent5 3 7" xfId="6983" xr:uid="{000CB530-F5BF-4821-8F0F-3E5B6F728B56}"/>
    <cellStyle name="20% - Accent5 3 8" xfId="6984" xr:uid="{F171D2C8-770A-4C38-A12C-CA4148CAB555}"/>
    <cellStyle name="20% - Accent5 3 9" xfId="6945" xr:uid="{1CF914D9-95B7-4593-9629-773FE7F52F7A}"/>
    <cellStyle name="20% - Accent5 3_Not_for_upload_before_M4_correc" xfId="14051" xr:uid="{D9179A79-2A3C-46D4-834D-63CD56208DDF}"/>
    <cellStyle name="20% - Accent5 30" xfId="6985" xr:uid="{4646CE2B-5775-49B9-87AD-0DF06E9A0289}"/>
    <cellStyle name="20% - Accent5 30 2" xfId="6986" xr:uid="{6608294B-270B-4D8E-9C7F-688ADCB4C8FB}"/>
    <cellStyle name="20% - Accent5 30 2 2" xfId="6987" xr:uid="{88093A10-790C-4369-8FB6-29206BE60A94}"/>
    <cellStyle name="20% - Accent5 30 2_Requirements CBS" xfId="16112" xr:uid="{212DF77C-120E-4459-A826-83767F7C1F48}"/>
    <cellStyle name="20% - Accent5 30 3" xfId="6988" xr:uid="{93B11C5D-A507-4A87-A3C8-8B5BF1CDBC5A}"/>
    <cellStyle name="20% - Accent5 30 4" xfId="6989" xr:uid="{352F816F-4712-4B68-9C2B-AC166B0DD1D8}"/>
    <cellStyle name="20% - Accent5 30_Requirements CBS" xfId="16111" xr:uid="{5AD08138-B81E-4F77-BFB0-44D6D18C1C12}"/>
    <cellStyle name="20% - Accent5 31" xfId="6990" xr:uid="{4944E2CE-37B1-48B3-9B69-5A8504224D8C}"/>
    <cellStyle name="20% - Accent5 31 2" xfId="6991" xr:uid="{727454DC-EE20-4741-A8F0-63D6C771DEEF}"/>
    <cellStyle name="20% - Accent5 31 2 2" xfId="6992" xr:uid="{3C4035D3-5C5B-4A9E-B0F6-56E74F0C87E9}"/>
    <cellStyle name="20% - Accent5 31 2_Requirements CBS" xfId="16114" xr:uid="{CE8CA8C2-6B5B-4A59-A0E1-DCE3C30E5CAE}"/>
    <cellStyle name="20% - Accent5 31 3" xfId="6993" xr:uid="{1108F62A-424C-481C-AE14-D0973DF7A128}"/>
    <cellStyle name="20% - Accent5 31 4" xfId="6994" xr:uid="{538C2243-D296-4456-A07D-4F1768AED5C3}"/>
    <cellStyle name="20% - Accent5 31_Requirements CBS" xfId="16113" xr:uid="{6435EDB1-0CC4-4A30-8B2B-19CD3C5C30CA}"/>
    <cellStyle name="20% - Accent5 32" xfId="6995" xr:uid="{5CAC2626-5E23-46F5-A87A-60E694DE1F7C}"/>
    <cellStyle name="20% - Accent5 32 2" xfId="6996" xr:uid="{E61360B0-B07F-4ED3-A13D-1398BD6AF4C3}"/>
    <cellStyle name="20% - Accent5 32 2 2" xfId="6997" xr:uid="{62D52BBC-11FC-4037-9DAB-875E09910C97}"/>
    <cellStyle name="20% - Accent5 32 2_Requirements CBS" xfId="16116" xr:uid="{B71E5009-B47A-4AC9-879E-2FAE45D89370}"/>
    <cellStyle name="20% - Accent5 32 3" xfId="6998" xr:uid="{5EB0D3DE-E249-4978-8A73-C67B50A0C559}"/>
    <cellStyle name="20% - Accent5 32 4" xfId="6999" xr:uid="{146A3F45-0CE0-4326-8357-13E8F5592A6C}"/>
    <cellStyle name="20% - Accent5 32_Requirements CBS" xfId="16115" xr:uid="{A4823FEC-3B6E-4030-93EA-84D3FBF5CEDE}"/>
    <cellStyle name="20% - Accent5 33" xfId="7000" xr:uid="{45F91AFC-C19A-440C-AED1-E621305E7645}"/>
    <cellStyle name="20% - Accent5 33 2" xfId="7001" xr:uid="{0F636B78-878E-42C4-BDFE-31FB408DE1EF}"/>
    <cellStyle name="20% - Accent5 33 2 2" xfId="7002" xr:uid="{B6C42BAC-793C-415D-9519-5A8F79D82128}"/>
    <cellStyle name="20% - Accent5 33 2_Requirements CBS" xfId="16118" xr:uid="{4CF5B6E6-F2E7-4A8B-BE8F-5319A0904D27}"/>
    <cellStyle name="20% - Accent5 33 3" xfId="7003" xr:uid="{53B870B6-7775-4595-982A-90408DEE3D2E}"/>
    <cellStyle name="20% - Accent5 33 4" xfId="7004" xr:uid="{EC6D7098-1CC1-4570-B6BC-E84377EF9263}"/>
    <cellStyle name="20% - Accent5 33_Requirements CBS" xfId="16117" xr:uid="{3FC6214D-16A0-4C05-9267-25B5B6BD5B14}"/>
    <cellStyle name="20% - Accent5 34" xfId="7005" xr:uid="{AF01B298-83D8-4B8D-B002-0899581CD4E8}"/>
    <cellStyle name="20% - Accent5 34 2" xfId="7006" xr:uid="{17FF8FD3-BE37-4B6E-A3BF-50421A291AA2}"/>
    <cellStyle name="20% - Accent5 34 2 2" xfId="7007" xr:uid="{FCC1849C-2DBF-48E1-8975-315B0EA80E4B}"/>
    <cellStyle name="20% - Accent5 34 2_Requirements CBS" xfId="16120" xr:uid="{7F7E10E8-041F-4783-948A-099317055798}"/>
    <cellStyle name="20% - Accent5 34 3" xfId="7008" xr:uid="{22C67D3B-166C-488E-ACF6-F96FC0CE4E88}"/>
    <cellStyle name="20% - Accent5 34 4" xfId="7009" xr:uid="{BE0F875C-EF1C-4272-83B2-6704D9E87A2E}"/>
    <cellStyle name="20% - Accent5 34_Requirements CBS" xfId="16119" xr:uid="{E0558B0A-F99D-4C46-ADCE-2016270FD8D4}"/>
    <cellStyle name="20% - Accent5 35" xfId="7010" xr:uid="{326B133C-570E-4340-8AA3-A60FA6DCD3B2}"/>
    <cellStyle name="20% - Accent5 35 2" xfId="7011" xr:uid="{88A60996-3E49-4A3C-8E5E-55842272197F}"/>
    <cellStyle name="20% - Accent5 35 2 2" xfId="7012" xr:uid="{84B2911C-ED73-4BED-B0B7-6F75B590E42E}"/>
    <cellStyle name="20% - Accent5 35 2_Requirements CBS" xfId="16122" xr:uid="{347EB9E8-7FEC-4152-8AE4-D1717836BEC4}"/>
    <cellStyle name="20% - Accent5 35 3" xfId="7013" xr:uid="{EF66A3C5-7AB4-4BC1-9FB1-8716BEBCD518}"/>
    <cellStyle name="20% - Accent5 35 4" xfId="7014" xr:uid="{27073026-E5EC-4E61-AF4C-999A714EA37C}"/>
    <cellStyle name="20% - Accent5 35_Requirements CBS" xfId="16121" xr:uid="{2DAB23FD-0946-42F2-B3D0-DBCCD7E85FCA}"/>
    <cellStyle name="20% - Accent5 36" xfId="7015" xr:uid="{19510FFE-1D32-4979-861A-F5F32E243542}"/>
    <cellStyle name="20% - Accent5 36 2" xfId="7016" xr:uid="{9C3A0BFE-8EFF-453E-A477-B7E965C2C2B5}"/>
    <cellStyle name="20% - Accent5 36 2 2" xfId="7017" xr:uid="{62F79052-6A16-4434-B27D-F9B2E8122814}"/>
    <cellStyle name="20% - Accent5 36 2_Requirements CBS" xfId="16124" xr:uid="{11CF28AF-E5FB-4EC1-AEA7-DC05FF971775}"/>
    <cellStyle name="20% - Accent5 36 3" xfId="7018" xr:uid="{16BE7D6B-E79A-4E15-96E0-5A92BB3346D7}"/>
    <cellStyle name="20% - Accent5 36 4" xfId="7019" xr:uid="{8AF61457-DECB-4442-8CA2-6E8EE9D0BF50}"/>
    <cellStyle name="20% - Accent5 36_Requirements CBS" xfId="16123" xr:uid="{054B19B0-A7EE-46FB-8105-913AAB18D363}"/>
    <cellStyle name="20% - Accent5 37" xfId="7020" xr:uid="{1883EAE7-3F86-4E93-980D-6DDE3A3B53E7}"/>
    <cellStyle name="20% - Accent5 37 2" xfId="7021" xr:uid="{BDA580F8-E69A-4A34-8CE2-0FF65AEDB7BD}"/>
    <cellStyle name="20% - Accent5 37 2 2" xfId="7022" xr:uid="{BBBEAC6C-1C9F-4659-87D5-2A52B10FFF6A}"/>
    <cellStyle name="20% - Accent5 37 2_Requirements CBS" xfId="16126" xr:uid="{4FFEB89A-8B82-48D6-BCD1-7C4720EB4245}"/>
    <cellStyle name="20% - Accent5 37 3" xfId="7023" xr:uid="{A6592E0C-6C43-4CC1-B3F1-7726B3917C82}"/>
    <cellStyle name="20% - Accent5 37 4" xfId="7024" xr:uid="{8798F1C8-120A-4EB9-8B0B-FC061C11EDEC}"/>
    <cellStyle name="20% - Accent5 37_Requirements CBS" xfId="16125" xr:uid="{5C8D7790-5171-4E57-AA54-A811B3E8F08B}"/>
    <cellStyle name="20% - Accent5 38" xfId="7025" xr:uid="{D5FF41E8-F590-49D9-9B18-C61798FB781D}"/>
    <cellStyle name="20% - Accent5 38 2" xfId="7026" xr:uid="{FBEC43C9-A24E-44DD-A93B-C61B024D20C3}"/>
    <cellStyle name="20% - Accent5 38 2 2" xfId="7027" xr:uid="{40976ABE-7A3A-49BF-8F80-A0FC3718A742}"/>
    <cellStyle name="20% - Accent5 38 2_Requirements CBS" xfId="16128" xr:uid="{A7F73947-68F5-4CC2-81B3-531BEF294853}"/>
    <cellStyle name="20% - Accent5 38 3" xfId="7028" xr:uid="{A0D54328-EBF8-4F4A-87ED-2D4752477FEF}"/>
    <cellStyle name="20% - Accent5 38 4" xfId="7029" xr:uid="{D53566ED-019A-447D-806F-4C3C018EB487}"/>
    <cellStyle name="20% - Accent5 38_Requirements CBS" xfId="16127" xr:uid="{49F22034-E284-43F4-961F-BCA8163FACA6}"/>
    <cellStyle name="20% - Accent5 39" xfId="7030" xr:uid="{AA9972B2-56EB-4034-B000-5C97F59EC36B}"/>
    <cellStyle name="20% - Accent5 39 2" xfId="7031" xr:uid="{82F5AC07-D8CE-4641-AD81-D922554D6FBF}"/>
    <cellStyle name="20% - Accent5 39 2 2" xfId="7032" xr:uid="{6BB080F3-E825-42F0-9D01-C25DBC25DED8}"/>
    <cellStyle name="20% - Accent5 39 2_Requirements CBS" xfId="16130" xr:uid="{0E507027-DA42-4F63-8377-084E03DE5F19}"/>
    <cellStyle name="20% - Accent5 39 3" xfId="7033" xr:uid="{30A342B6-F986-4FA9-A943-68097921BF2C}"/>
    <cellStyle name="20% - Accent5 39 4" xfId="7034" xr:uid="{14615D2A-35D4-4578-A4EC-967EFA1F2DC3}"/>
    <cellStyle name="20% - Accent5 39_Requirements CBS" xfId="16129" xr:uid="{0B011035-D514-45D2-81F1-6BE00606AD95}"/>
    <cellStyle name="20% - Accent5 4" xfId="1877" xr:uid="{118A0612-9ECD-437A-B83E-8026CF4C4864}"/>
    <cellStyle name="20% - Accent5 4 2" xfId="7036" xr:uid="{D070977B-1928-4B94-AB74-DD3906AE1C85}"/>
    <cellStyle name="20% - Accent5 4 2 2" xfId="7037" xr:uid="{B9F90BF0-E84E-40F4-98B7-6A8AB3270B62}"/>
    <cellStyle name="20% - Accent5 4 2 2 2" xfId="7038" xr:uid="{41D76388-EF17-4986-B8DF-069DD1B3D991}"/>
    <cellStyle name="20% - Accent5 4 2 2_Requirements CBS" xfId="16132" xr:uid="{B0766443-1DC0-4135-B23E-9A0A99F12E12}"/>
    <cellStyle name="20% - Accent5 4 2 3" xfId="7039" xr:uid="{A1078F5B-B3EB-4F54-979C-B115E222BD74}"/>
    <cellStyle name="20% - Accent5 4 2 4" xfId="7040" xr:uid="{84ED259B-F44F-41FB-BC18-FE3224AD1912}"/>
    <cellStyle name="20% - Accent5 4 2_Requirements CBS" xfId="16131" xr:uid="{0AA8A542-17BD-4829-BC46-5112712B4BC5}"/>
    <cellStyle name="20% - Accent5 4 3" xfId="7041" xr:uid="{5B147458-B480-4A5B-809C-D51E799ECBD9}"/>
    <cellStyle name="20% - Accent5 4 3 2" xfId="7042" xr:uid="{DDE63F51-DEB4-48E1-971C-6A1E22FE9D49}"/>
    <cellStyle name="20% - Accent5 4 3_Requirements CBS" xfId="16133" xr:uid="{487DD574-2D4C-4C1B-B8F6-2FECF339D564}"/>
    <cellStyle name="20% - Accent5 4 4" xfId="7043" xr:uid="{9B1A49A7-8A61-48DA-85C4-C1BDACE0972F}"/>
    <cellStyle name="20% - Accent5 4 5" xfId="7044" xr:uid="{E2BDEC37-6FB1-4868-83D5-26642E069B94}"/>
    <cellStyle name="20% - Accent5 4 6" xfId="17612" xr:uid="{6C371C0B-7EDB-4673-9D89-5EDCC17C7348}"/>
    <cellStyle name="20% - Accent5 4 7" xfId="18181" xr:uid="{03194EEA-1775-40F8-89F0-068655026840}"/>
    <cellStyle name="20% - Accent5 4 8" xfId="7035" xr:uid="{3E3B4FE1-EA61-4A67-A6DA-1A8BFEFF0CCF}"/>
    <cellStyle name="20% - Accent5 4_Not_for_upload_before_M4_correc" xfId="14052" xr:uid="{BF923ACA-4072-4926-9B10-C87DFA700ED2}"/>
    <cellStyle name="20% - Accent5 40" xfId="7045" xr:uid="{17CFE7E9-071F-4626-A23D-1162A8B616F2}"/>
    <cellStyle name="20% - Accent5 40 2" xfId="7046" xr:uid="{3B1CA3A2-544E-4F3B-95AD-04818C3967EB}"/>
    <cellStyle name="20% - Accent5 40 2 2" xfId="7047" xr:uid="{DF132723-9FF4-4CCE-832E-048F4FA0C9B4}"/>
    <cellStyle name="20% - Accent5 40 2_Requirements CBS" xfId="16135" xr:uid="{B209BAC3-CEE7-48B7-9A8F-BE437B01BBBB}"/>
    <cellStyle name="20% - Accent5 40 3" xfId="7048" xr:uid="{DB9CA113-1A00-4540-96A9-D4455E695E1D}"/>
    <cellStyle name="20% - Accent5 40 4" xfId="7049" xr:uid="{4D42065B-D48A-46BE-A6CE-14C77F9B5950}"/>
    <cellStyle name="20% - Accent5 40_Requirements CBS" xfId="16134" xr:uid="{78020393-A465-4909-BE04-B8B49CF4BF66}"/>
    <cellStyle name="20% - Accent5 41" xfId="7050" xr:uid="{FE66BA22-180D-4498-8E79-E28635B51F43}"/>
    <cellStyle name="20% - Accent5 41 2" xfId="7051" xr:uid="{EAB7E085-F86A-4606-9A1C-215A325710C4}"/>
    <cellStyle name="20% - Accent5 41 2 2" xfId="7052" xr:uid="{A97D341F-6105-4CB6-BC51-3E7FAD5F8A23}"/>
    <cellStyle name="20% - Accent5 41 2_Requirements CBS" xfId="16137" xr:uid="{C1A5FC07-F74F-4DC0-9A1E-56DBCC318C5A}"/>
    <cellStyle name="20% - Accent5 41 3" xfId="7053" xr:uid="{D68C2212-2702-4774-BD77-4CFC188DE1D3}"/>
    <cellStyle name="20% - Accent5 41 4" xfId="7054" xr:uid="{76DE6CD7-A05E-4DBC-AA97-0FC16A7297D5}"/>
    <cellStyle name="20% - Accent5 41_Requirements CBS" xfId="16136" xr:uid="{CC28B223-7343-4EC0-9A71-57E5BC67D4BA}"/>
    <cellStyle name="20% - Accent5 42" xfId="7055" xr:uid="{E22EDF0E-646F-49B0-BCFC-568C3DC08DD8}"/>
    <cellStyle name="20% - Accent5 42 2" xfId="7056" xr:uid="{4AF585E9-6691-405B-A167-FB533792FB63}"/>
    <cellStyle name="20% - Accent5 42 2 2" xfId="7057" xr:uid="{983847D4-94F1-4950-A443-BFF5261E7696}"/>
    <cellStyle name="20% - Accent5 42 2_Requirements CBS" xfId="16139" xr:uid="{4E9D423F-AF65-410C-9F51-44089615E203}"/>
    <cellStyle name="20% - Accent5 42 3" xfId="7058" xr:uid="{A31F31CB-FB9C-42EB-A5C0-C948EA909E14}"/>
    <cellStyle name="20% - Accent5 42 4" xfId="7059" xr:uid="{4C912321-BD25-4114-9B05-5AB1FFFABFF2}"/>
    <cellStyle name="20% - Accent5 42_Requirements CBS" xfId="16138" xr:uid="{4FF3D6AC-1404-409A-B740-ADFCFD85E227}"/>
    <cellStyle name="20% - Accent5 43" xfId="7060" xr:uid="{BD177836-7519-4CC2-AFF6-8C12AD386120}"/>
    <cellStyle name="20% - Accent5 43 2" xfId="7061" xr:uid="{72B30BD5-A409-4B7A-A413-C023C2A022D4}"/>
    <cellStyle name="20% - Accent5 43 2 2" xfId="7062" xr:uid="{BD5FA46A-2D36-45EE-8364-75887391CBED}"/>
    <cellStyle name="20% - Accent5 43 2_Requirements CBS" xfId="16141" xr:uid="{98D9348D-2BA8-4C29-8157-3ABB7CDAFFFE}"/>
    <cellStyle name="20% - Accent5 43 3" xfId="7063" xr:uid="{4CB9C00D-6286-4D3F-8325-7613647C8714}"/>
    <cellStyle name="20% - Accent5 43 4" xfId="7064" xr:uid="{51ADCFE9-843A-4881-954F-E9966EBE01F0}"/>
    <cellStyle name="20% - Accent5 43_Requirements CBS" xfId="16140" xr:uid="{EADF38DB-8C7D-432F-847F-89A87DEAA316}"/>
    <cellStyle name="20% - Accent5 44" xfId="7065" xr:uid="{C0EF78B4-1F7A-404D-8265-26ABE2812601}"/>
    <cellStyle name="20% - Accent5 44 2" xfId="7066" xr:uid="{228C305D-63F7-436D-B670-69122CE0885D}"/>
    <cellStyle name="20% - Accent5 44 2 2" xfId="7067" xr:uid="{A6CBF386-9D10-446E-9D03-4E5B7A4476D7}"/>
    <cellStyle name="20% - Accent5 44 2_Requirements CBS" xfId="16143" xr:uid="{94DBDA8E-4B10-4448-95C3-BD7E865B998E}"/>
    <cellStyle name="20% - Accent5 44 3" xfId="7068" xr:uid="{73C7E3EC-9987-4076-A807-C90C79618A6C}"/>
    <cellStyle name="20% - Accent5 44 4" xfId="7069" xr:uid="{BE60304B-35EE-459C-BADB-178A440CFE27}"/>
    <cellStyle name="20% - Accent5 44_Requirements CBS" xfId="16142" xr:uid="{2BD0F806-4614-4762-B4C1-B265FA632C2F}"/>
    <cellStyle name="20% - Accent5 45" xfId="7070" xr:uid="{4EB0FCBD-4F33-4D19-ABE7-FC2F76AE66E8}"/>
    <cellStyle name="20% - Accent5 45 2" xfId="7071" xr:uid="{39916C78-799B-4488-A9F4-1A808C66B10A}"/>
    <cellStyle name="20% - Accent5 45 2 2" xfId="7072" xr:uid="{18022EAF-D808-4AB2-9232-E15766A0398D}"/>
    <cellStyle name="20% - Accent5 45 2_Requirements CBS" xfId="16145" xr:uid="{9C0225F3-DCF2-4076-B6C1-582A1B108CD5}"/>
    <cellStyle name="20% - Accent5 45 3" xfId="7073" xr:uid="{30F2F50B-621A-47A8-8355-9B8D25290476}"/>
    <cellStyle name="20% - Accent5 45 4" xfId="7074" xr:uid="{72EE61FD-CDE8-46BE-A0CA-54AE73C4740F}"/>
    <cellStyle name="20% - Accent5 45_Requirements CBS" xfId="16144" xr:uid="{96D453B7-C4A6-49CA-BAE6-386B5F2E6842}"/>
    <cellStyle name="20% - Accent5 46" xfId="7075" xr:uid="{C5B7B1EB-8553-4C57-B0B7-DCFA27551B0A}"/>
    <cellStyle name="20% - Accent5 46 2" xfId="7076" xr:uid="{600C9CD9-5433-449A-B56D-29F8869E0979}"/>
    <cellStyle name="20% - Accent5 46 2 2" xfId="7077" xr:uid="{0A2B6FAA-FA6A-4026-A133-6222E69CFE9A}"/>
    <cellStyle name="20% - Accent5 46 2_Requirements CBS" xfId="16147" xr:uid="{854BA012-C0D4-43A5-A826-1503A47E1995}"/>
    <cellStyle name="20% - Accent5 46 3" xfId="7078" xr:uid="{629ED9C3-7C08-4383-A762-BF18B4CF0799}"/>
    <cellStyle name="20% - Accent5 46 4" xfId="7079" xr:uid="{9AF7131B-1B41-479F-88D4-BCF74D1488A2}"/>
    <cellStyle name="20% - Accent5 46_Requirements CBS" xfId="16146" xr:uid="{53366FA6-CDB2-4933-B87C-0A1D959F299F}"/>
    <cellStyle name="20% - Accent5 47" xfId="7080" xr:uid="{A84F81BB-2273-4D74-AF92-B4DE8DFAFBE0}"/>
    <cellStyle name="20% - Accent5 47 2" xfId="7081" xr:uid="{DE449349-184B-40A2-8D8B-910856D16732}"/>
    <cellStyle name="20% - Accent5 47 2 2" xfId="7082" xr:uid="{F8FE5218-3E6C-472B-BA47-02EF7CFF0D24}"/>
    <cellStyle name="20% - Accent5 47 2_Requirements CBS" xfId="16149" xr:uid="{B50A4C4D-D626-435D-8AB9-581B7E61ADFC}"/>
    <cellStyle name="20% - Accent5 47 3" xfId="7083" xr:uid="{50AB8E33-9EA4-4DE0-81BA-EFB90076CA40}"/>
    <cellStyle name="20% - Accent5 47 4" xfId="7084" xr:uid="{D91B968B-4361-457A-8D7C-17E1244489AB}"/>
    <cellStyle name="20% - Accent5 47_Requirements CBS" xfId="16148" xr:uid="{E579D9FC-0BB1-4E67-8CB0-DF8C23D3D562}"/>
    <cellStyle name="20% - Accent5 48" xfId="7085" xr:uid="{7B54CD48-81CA-4837-AB05-84D3B06035B5}"/>
    <cellStyle name="20% - Accent5 48 2" xfId="7086" xr:uid="{F5158411-A00E-466C-A387-F81E8DF0CFD2}"/>
    <cellStyle name="20% - Accent5 48 2 2" xfId="7087" xr:uid="{7852F0B2-BB15-46A7-9DBC-BAEBF1820003}"/>
    <cellStyle name="20% - Accent5 48 2_Requirements CBS" xfId="16151" xr:uid="{ED7B8550-46BF-487F-9F40-08BD457DBCA8}"/>
    <cellStyle name="20% - Accent5 48 3" xfId="7088" xr:uid="{701361A6-CDF9-4A72-AA64-7F2784F00363}"/>
    <cellStyle name="20% - Accent5 48 4" xfId="7089" xr:uid="{80F4E252-C868-41E0-9081-FC273CFA24BF}"/>
    <cellStyle name="20% - Accent5 48_Requirements CBS" xfId="16150" xr:uid="{5008FCBC-C216-4BE3-A31F-DA4219AB8BF8}"/>
    <cellStyle name="20% - Accent5 49" xfId="7090" xr:uid="{90CECF6F-B735-4C95-9B8B-5822AA2A4D0B}"/>
    <cellStyle name="20% - Accent5 49 2" xfId="7091" xr:uid="{E9E1097D-ED30-4595-8B6E-236B15FA5C9E}"/>
    <cellStyle name="20% - Accent5 49 2 2" xfId="7092" xr:uid="{A5825A63-095A-436F-AC48-7B5A6BC9D320}"/>
    <cellStyle name="20% - Accent5 49 2_Requirements CBS" xfId="16153" xr:uid="{643D75CA-1DD6-418A-896A-22F59B5BB499}"/>
    <cellStyle name="20% - Accent5 49 3" xfId="7093" xr:uid="{1CD4FA4A-95B8-40B2-A28C-2396FF3ED334}"/>
    <cellStyle name="20% - Accent5 49 4" xfId="7094" xr:uid="{BEB1A752-25E2-4A1C-90E4-7E500BC56B2E}"/>
    <cellStyle name="20% - Accent5 49_Requirements CBS" xfId="16152" xr:uid="{031747D1-8B74-48E8-813F-FB6EAB66ED26}"/>
    <cellStyle name="20% - Accent5 5" xfId="7095" xr:uid="{AB8701C6-C5F3-4926-BF67-CCB907EBA03E}"/>
    <cellStyle name="20% - Accent5 5 2" xfId="7096" xr:uid="{48223350-510C-4B1F-89A1-BA10BD191C2B}"/>
    <cellStyle name="20% - Accent5 5 2 2" xfId="7097" xr:uid="{5ECD7311-06A6-43F5-A808-60AD03ECB166}"/>
    <cellStyle name="20% - Accent5 5 2 2 2" xfId="7098" xr:uid="{65CFDFF0-D23F-4908-8A81-6CCDB3AEAD37}"/>
    <cellStyle name="20% - Accent5 5 2 2_Requirements CBS" xfId="16155" xr:uid="{BBBB688E-0D08-467E-9361-6CF6EF964149}"/>
    <cellStyle name="20% - Accent5 5 2 3" xfId="7099" xr:uid="{298B7FBB-696B-4876-BBB8-5866913044F5}"/>
    <cellStyle name="20% - Accent5 5 2 4" xfId="7100" xr:uid="{2BEFA421-B2B7-4C44-902F-905C1D064D26}"/>
    <cellStyle name="20% - Accent5 5 2_Requirements CBS" xfId="16154" xr:uid="{465DFC62-6FAB-4922-BECF-87BBBDAC1649}"/>
    <cellStyle name="20% - Accent5 5 3" xfId="7101" xr:uid="{82FB9952-8B07-4778-8449-B49D88E8C34F}"/>
    <cellStyle name="20% - Accent5 5 3 2" xfId="7102" xr:uid="{634E56E7-B4EB-4B10-A1B2-F337C1CB5CF6}"/>
    <cellStyle name="20% - Accent5 5 3_Requirements CBS" xfId="16156" xr:uid="{A6C5650E-E349-42F9-B677-FF8AF5F7C851}"/>
    <cellStyle name="20% - Accent5 5 4" xfId="7103" xr:uid="{51BA61EC-4F3A-42F6-8365-CA1D56D538B5}"/>
    <cellStyle name="20% - Accent5 5 5" xfId="7104" xr:uid="{BF67BDEE-F9AE-4ED4-826F-A851B57B2BFE}"/>
    <cellStyle name="20% - Accent5 5_Not_for_upload_before_M4_correc" xfId="14053" xr:uid="{E2A6E028-D868-47CB-B4B5-DAC88643A5B5}"/>
    <cellStyle name="20% - Accent5 50" xfId="7105" xr:uid="{A51E51D7-3E23-4AE9-B158-A84321C4E941}"/>
    <cellStyle name="20% - Accent5 50 2" xfId="7106" xr:uid="{91B02805-C85B-4328-9AEE-1FEBB353C4CC}"/>
    <cellStyle name="20% - Accent5 50 2 2" xfId="7107" xr:uid="{595BB09E-31DC-454E-9C19-96EE271F0C92}"/>
    <cellStyle name="20% - Accent5 50 2_Requirements CBS" xfId="16158" xr:uid="{2DAABEB2-6AA1-4C02-B376-4F6377F51259}"/>
    <cellStyle name="20% - Accent5 50 3" xfId="7108" xr:uid="{5AADCB29-40C6-46DF-BB31-C0316E12E684}"/>
    <cellStyle name="20% - Accent5 50 4" xfId="7109" xr:uid="{1C8E0F17-E3E2-47CA-9EC3-D4BA68925F03}"/>
    <cellStyle name="20% - Accent5 50_Requirements CBS" xfId="16157" xr:uid="{A174AE73-1209-4BCC-9692-21F0861431F6}"/>
    <cellStyle name="20% - Accent5 51" xfId="7110" xr:uid="{A44B9416-1796-4BD2-A09A-1CE7E73E7929}"/>
    <cellStyle name="20% - Accent5 51 2" xfId="7111" xr:uid="{BAAD6291-BF27-4494-A7A3-7CA3AFE86AD7}"/>
    <cellStyle name="20% - Accent5 51 2 2" xfId="7112" xr:uid="{3C768BB3-5623-40FB-9392-6A8A525138A4}"/>
    <cellStyle name="20% - Accent5 51 2_Requirements CBS" xfId="16160" xr:uid="{3AC45D56-EA65-468C-A83C-3CD845CE3C74}"/>
    <cellStyle name="20% - Accent5 51 3" xfId="7113" xr:uid="{D49D488A-7063-499A-AA1D-0744621595E5}"/>
    <cellStyle name="20% - Accent5 51 4" xfId="7114" xr:uid="{2FA748AC-F105-49D5-B782-079C7E8372C7}"/>
    <cellStyle name="20% - Accent5 51_Requirements CBS" xfId="16159" xr:uid="{418ACA85-93F4-41CD-8868-5969013B6500}"/>
    <cellStyle name="20% - Accent5 52" xfId="7115" xr:uid="{D295FE88-AD79-4AE4-89E1-4AC38D20FEA7}"/>
    <cellStyle name="20% - Accent5 52 2" xfId="7116" xr:uid="{7E17EA66-AD28-4813-94D0-0A3E3FF65A95}"/>
    <cellStyle name="20% - Accent5 52 2 2" xfId="7117" xr:uid="{401AD3F3-1271-4F3B-85D4-8299CEF8FA30}"/>
    <cellStyle name="20% - Accent5 52 2_Requirements CBS" xfId="16162" xr:uid="{7036D41A-777F-4EFF-9013-241F2A829643}"/>
    <cellStyle name="20% - Accent5 52 3" xfId="7118" xr:uid="{BF8A73C0-D34F-4EDE-9002-31B245ED6EDA}"/>
    <cellStyle name="20% - Accent5 52 4" xfId="7119" xr:uid="{A0B6965E-299E-408E-8327-79E7E1D57F2C}"/>
    <cellStyle name="20% - Accent5 52_Requirements CBS" xfId="16161" xr:uid="{8DF7F356-6631-4376-8B05-C4CCB92297AE}"/>
    <cellStyle name="20% - Accent5 53" xfId="7120" xr:uid="{33FCBC4F-9A5F-4CBA-ADB6-81EC201308F5}"/>
    <cellStyle name="20% - Accent5 53 2" xfId="7121" xr:uid="{522827BD-6592-4AE6-A457-11EE95199683}"/>
    <cellStyle name="20% - Accent5 53 2 2" xfId="7122" xr:uid="{0BB62164-DC27-4D0A-AC9B-D468C493F711}"/>
    <cellStyle name="20% - Accent5 53 2_Requirements CBS" xfId="16164" xr:uid="{53545560-6FD0-49E7-8FB8-BACE9C0D5368}"/>
    <cellStyle name="20% - Accent5 53 3" xfId="7123" xr:uid="{FF375903-55EE-43C0-BAFF-777D5B04703E}"/>
    <cellStyle name="20% - Accent5 53 4" xfId="7124" xr:uid="{E8216935-DB73-4197-8D6C-DB85E44C662A}"/>
    <cellStyle name="20% - Accent5 53_Requirements CBS" xfId="16163" xr:uid="{5E859242-88D4-4196-92F3-856F4D66B96F}"/>
    <cellStyle name="20% - Accent5 54" xfId="7125" xr:uid="{F9CE68B0-310B-4C06-97D1-54DB8AA74E38}"/>
    <cellStyle name="20% - Accent5 54 2" xfId="7126" xr:uid="{CB4A9256-7256-4DCD-BB37-AFC8578EAACA}"/>
    <cellStyle name="20% - Accent5 54 2 2" xfId="7127" xr:uid="{3FEF07E8-E3BB-4F56-BA87-94D143189AC5}"/>
    <cellStyle name="20% - Accent5 54 2_Requirements CBS" xfId="16166" xr:uid="{1DFB9781-75A0-41E7-B01F-CF18C3D99A39}"/>
    <cellStyle name="20% - Accent5 54 3" xfId="7128" xr:uid="{1A5DDFE8-2071-4C27-A3C0-04F95F3F723A}"/>
    <cellStyle name="20% - Accent5 54 4" xfId="7129" xr:uid="{9D61B108-AA28-4AB6-A83D-6A8EFB84B12C}"/>
    <cellStyle name="20% - Accent5 54_Requirements CBS" xfId="16165" xr:uid="{8A28469A-D0A3-48E6-BB84-73A73B4017C1}"/>
    <cellStyle name="20% - Accent5 55" xfId="7130" xr:uid="{53F5AD47-47CD-42F5-B947-03A97526399F}"/>
    <cellStyle name="20% - Accent5 55 2" xfId="7131" xr:uid="{CA90F67B-D126-47E8-8F2E-3BD7EE9D6DA2}"/>
    <cellStyle name="20% - Accent5 55 2 2" xfId="7132" xr:uid="{4E5798A4-9A4F-47E6-98CF-409E6900FFF8}"/>
    <cellStyle name="20% - Accent5 55 2_Requirements CBS" xfId="16168" xr:uid="{A8E2F5C8-8026-4F4F-BB98-5B0792D4D113}"/>
    <cellStyle name="20% - Accent5 55 3" xfId="7133" xr:uid="{A336152B-004E-461C-B928-0DAF19CDDC09}"/>
    <cellStyle name="20% - Accent5 55 4" xfId="7134" xr:uid="{F44DCD5B-E761-4408-A4AA-CCFDA4418765}"/>
    <cellStyle name="20% - Accent5 55_Requirements CBS" xfId="16167" xr:uid="{A563B270-B0B6-40BB-87D0-1B0343EBB9A4}"/>
    <cellStyle name="20% - Accent5 56" xfId="7135" xr:uid="{EB0B8E0F-F319-4149-9667-0000716FC2BA}"/>
    <cellStyle name="20% - Accent5 56 2" xfId="7136" xr:uid="{6442F894-993D-432E-A1C7-B14AB13DD4EB}"/>
    <cellStyle name="20% - Accent5 56 2 2" xfId="7137" xr:uid="{A7306710-0699-451F-988E-A696AC34017C}"/>
    <cellStyle name="20% - Accent5 56 2_Requirements CBS" xfId="16170" xr:uid="{A6F172DA-695A-4856-8EEF-96F9A8F83B89}"/>
    <cellStyle name="20% - Accent5 56 3" xfId="7138" xr:uid="{C2DD25A0-D31A-43B7-9C3D-EFC863E442DD}"/>
    <cellStyle name="20% - Accent5 56 4" xfId="7139" xr:uid="{2431129E-8B9A-4358-B130-CDCC17AD90F5}"/>
    <cellStyle name="20% - Accent5 56_Requirements CBS" xfId="16169" xr:uid="{6F387DE5-6637-4653-8277-30E24EC508DC}"/>
    <cellStyle name="20% - Accent5 57" xfId="7140" xr:uid="{5A32ECC0-9678-4C26-BDEB-36CB466BDAAF}"/>
    <cellStyle name="20% - Accent5 57 2" xfId="7141" xr:uid="{1E52D6DF-80BE-457B-8BF1-D3BAD9862418}"/>
    <cellStyle name="20% - Accent5 57 2 2" xfId="7142" xr:uid="{E318CAD6-05FF-42F3-B87E-8507D7BF5B5A}"/>
    <cellStyle name="20% - Accent5 57 2_Requirements CBS" xfId="16172" xr:uid="{5A387DE9-A46E-4FBB-945C-27A8DF1639E0}"/>
    <cellStyle name="20% - Accent5 57 3" xfId="7143" xr:uid="{F0C807B9-6A06-45EF-8772-163A440FE30A}"/>
    <cellStyle name="20% - Accent5 57 4" xfId="7144" xr:uid="{7FDCB9E0-AA33-41C1-9651-2AE72B177CA0}"/>
    <cellStyle name="20% - Accent5 57_Requirements CBS" xfId="16171" xr:uid="{AC9A4B49-ADB0-4B32-B4C9-4FF07118C64D}"/>
    <cellStyle name="20% - Accent5 58" xfId="7145" xr:uid="{46D5AEFB-37B2-4B99-BC32-F600430B3CAF}"/>
    <cellStyle name="20% - Accent5 58 2" xfId="7146" xr:uid="{BE723FC1-6062-414F-9AE1-E89ACDDA41E5}"/>
    <cellStyle name="20% - Accent5 58 2 2" xfId="7147" xr:uid="{FE62B442-C9A6-4419-B3E2-CD09D590018F}"/>
    <cellStyle name="20% - Accent5 58 2_Requirements CBS" xfId="16174" xr:uid="{68440565-D876-4C06-BEE9-D628374EB26D}"/>
    <cellStyle name="20% - Accent5 58 3" xfId="7148" xr:uid="{B1A6434D-2F5C-40A3-831C-55653040F9D0}"/>
    <cellStyle name="20% - Accent5 58 4" xfId="7149" xr:uid="{1D8E8C16-F109-4017-960A-99273D70B4C9}"/>
    <cellStyle name="20% - Accent5 58_Requirements CBS" xfId="16173" xr:uid="{5636DACA-B457-49FD-8949-5008252E93F1}"/>
    <cellStyle name="20% - Accent5 59" xfId="7150" xr:uid="{4DE1DDFB-F476-4963-9973-1296C9A5255B}"/>
    <cellStyle name="20% - Accent5 59 2" xfId="7151" xr:uid="{B9D40E87-CDC8-46E2-B73A-B05C33994E9E}"/>
    <cellStyle name="20% - Accent5 59 2 2" xfId="7152" xr:uid="{305792D8-3DC3-4127-B560-69343CD90A0A}"/>
    <cellStyle name="20% - Accent5 59 2_Requirements CBS" xfId="16176" xr:uid="{51113389-EBB2-4764-BDAF-4D3A007377AE}"/>
    <cellStyle name="20% - Accent5 59 3" xfId="7153" xr:uid="{39B824D1-5931-4092-A4BF-513732E79B4A}"/>
    <cellStyle name="20% - Accent5 59 4" xfId="7154" xr:uid="{7EF7D027-BC3F-4CFF-B99E-B6F9E3EE12C3}"/>
    <cellStyle name="20% - Accent5 59_Requirements CBS" xfId="16175" xr:uid="{40C3F03A-CF54-4155-B103-2EFB013C3415}"/>
    <cellStyle name="20% - Accent5 6" xfId="7155" xr:uid="{F6886C44-EF0E-438A-8543-E48B3C4FB802}"/>
    <cellStyle name="20% - Accent5 6 2" xfId="7156" xr:uid="{24B08B03-B363-4920-834E-176C975EAE0C}"/>
    <cellStyle name="20% - Accent5 6 2 2" xfId="7157" xr:uid="{073D7796-8858-48E6-B7BF-4EB670EBF7BD}"/>
    <cellStyle name="20% - Accent5 6 2 2 2" xfId="7158" xr:uid="{07AD4BBD-1D0F-42EF-8204-FDB6B3F1254B}"/>
    <cellStyle name="20% - Accent5 6 2 2_Requirements CBS" xfId="16178" xr:uid="{C3AC8D4D-8C79-4537-8251-5D6B02680907}"/>
    <cellStyle name="20% - Accent5 6 2 3" xfId="7159" xr:uid="{8FAE84E5-D906-4B97-B006-605CC93BB1B5}"/>
    <cellStyle name="20% - Accent5 6 2 4" xfId="7160" xr:uid="{0CC1D1E9-5864-499B-8DAD-5BAC2E8B2332}"/>
    <cellStyle name="20% - Accent5 6 2_Requirements CBS" xfId="16177" xr:uid="{5B44C367-1506-4375-A93C-2E71670EBD60}"/>
    <cellStyle name="20% - Accent5 6 3" xfId="7161" xr:uid="{D84105EB-27D6-45AC-B499-9BB466C39449}"/>
    <cellStyle name="20% - Accent5 6 3 2" xfId="7162" xr:uid="{BF8860C0-0323-473E-AD31-519F3A39FBAA}"/>
    <cellStyle name="20% - Accent5 6 3_Requirements CBS" xfId="16179" xr:uid="{875BFE0B-83B2-4094-BCC9-6CEC22985994}"/>
    <cellStyle name="20% - Accent5 6 4" xfId="7163" xr:uid="{8863F224-BA12-46C9-B55E-7CCBB4131A79}"/>
    <cellStyle name="20% - Accent5 6 5" xfId="7164" xr:uid="{B7F3C9C7-AB84-4731-B3B2-5E00065B03F1}"/>
    <cellStyle name="20% - Accent5 6_Not_for_upload_before_M4_correc" xfId="14054" xr:uid="{91F0B539-B5DC-4C92-8A1D-FEF0FA511548}"/>
    <cellStyle name="20% - Accent5 60" xfId="7165" xr:uid="{A8291FE0-4834-4538-B3DC-4DAD543F0975}"/>
    <cellStyle name="20% - Accent5 60 2" xfId="7166" xr:uid="{FF004FCC-851B-408B-AF04-D5FDCCA77497}"/>
    <cellStyle name="20% - Accent5 60 2 2" xfId="7167" xr:uid="{2E96E949-BE4C-4220-A74C-990865C5EBFB}"/>
    <cellStyle name="20% - Accent5 60 2_Requirements CBS" xfId="16181" xr:uid="{D25363ED-8A63-4A60-ACAE-898FB1B69E83}"/>
    <cellStyle name="20% - Accent5 60 3" xfId="7168" xr:uid="{2F137803-CD35-4393-8A72-348C776EA728}"/>
    <cellStyle name="20% - Accent5 60 4" xfId="7169" xr:uid="{0B39E21D-5CB8-4EA0-BC47-4FE22186B8D1}"/>
    <cellStyle name="20% - Accent5 60_Requirements CBS" xfId="16180" xr:uid="{A8100680-317B-4D83-A9CD-3BD5BF358D07}"/>
    <cellStyle name="20% - Accent5 61" xfId="7170" xr:uid="{D82CEFE1-1929-473E-A8E2-DFFBD92DF2C2}"/>
    <cellStyle name="20% - Accent5 61 2" xfId="7171" xr:uid="{44D96364-7711-4E2B-9469-F8106ABE3630}"/>
    <cellStyle name="20% - Accent5 61 2 2" xfId="7172" xr:uid="{FFA1E0B0-D0AB-48DE-9FC3-4534634DCF9C}"/>
    <cellStyle name="20% - Accent5 61 2_Requirements CBS" xfId="16183" xr:uid="{0B3CEF66-5071-4C5A-94B2-8957993069E8}"/>
    <cellStyle name="20% - Accent5 61 3" xfId="7173" xr:uid="{DDF4A112-CEF1-402E-B144-B593DAB993E4}"/>
    <cellStyle name="20% - Accent5 61 4" xfId="7174" xr:uid="{D8293A16-D63B-4313-A323-0E9CC325B2A4}"/>
    <cellStyle name="20% - Accent5 61_Requirements CBS" xfId="16182" xr:uid="{2FB92E55-D4A1-477E-BFF0-404384298094}"/>
    <cellStyle name="20% - Accent5 62" xfId="7175" xr:uid="{AB3145BA-D14A-46A7-8E3A-7EAB0E9F1E76}"/>
    <cellStyle name="20% - Accent5 62 2" xfId="7176" xr:uid="{A1962F5D-7F85-44C5-911A-37DB2DBC31A3}"/>
    <cellStyle name="20% - Accent5 62 2 2" xfId="7177" xr:uid="{17AD4D08-CF89-41F9-B8B7-859DFAFBFCD8}"/>
    <cellStyle name="20% - Accent5 62 2_Requirements CBS" xfId="16185" xr:uid="{B3749316-D2C4-4762-B51C-936A102C5E78}"/>
    <cellStyle name="20% - Accent5 62 3" xfId="7178" xr:uid="{E93E4D8A-7A2C-4F47-B194-2E7F0F8F822C}"/>
    <cellStyle name="20% - Accent5 62 4" xfId="7179" xr:uid="{D298E2EC-68CB-4CB2-B1A7-EC8342DBC64F}"/>
    <cellStyle name="20% - Accent5 62_Requirements CBS" xfId="16184" xr:uid="{2C37E785-25E0-44FF-AE99-495AC5AB5184}"/>
    <cellStyle name="20% - Accent5 63" xfId="7180" xr:uid="{4581BF6A-1423-469D-BC33-EF1086CA4661}"/>
    <cellStyle name="20% - Accent5 63 2" xfId="7181" xr:uid="{CE9FCE26-5360-4C27-9F9A-39270CEFFE13}"/>
    <cellStyle name="20% - Accent5 63 2 2" xfId="7182" xr:uid="{FE309C90-0B3D-40F8-BDEE-259D85327065}"/>
    <cellStyle name="20% - Accent5 63 2_Requirements CBS" xfId="16187" xr:uid="{E68D7EFE-8D10-4F53-BD10-1EB2B5D58343}"/>
    <cellStyle name="20% - Accent5 63 3" xfId="7183" xr:uid="{E20FC9ED-3920-4891-9B57-21A62DBBB2B0}"/>
    <cellStyle name="20% - Accent5 63 4" xfId="7184" xr:uid="{8D440246-0DD8-4D93-B7C9-24ECFE891325}"/>
    <cellStyle name="20% - Accent5 63_Requirements CBS" xfId="16186" xr:uid="{E565F498-8FAE-48D0-9B90-E040B904E10F}"/>
    <cellStyle name="20% - Accent5 64" xfId="7185" xr:uid="{CDE0F0A1-2E9B-40EC-B7D1-5D372F98D5F1}"/>
    <cellStyle name="20% - Accent5 64 2" xfId="7186" xr:uid="{B84FC11A-8C49-4EA0-BC58-37586409BC72}"/>
    <cellStyle name="20% - Accent5 64 2 2" xfId="7187" xr:uid="{70B48886-0E89-49F1-A92A-D2B60B3D6E48}"/>
    <cellStyle name="20% - Accent5 64 2_Requirements CBS" xfId="16189" xr:uid="{DC53CDDF-87FC-4B6D-9503-C188484B84E5}"/>
    <cellStyle name="20% - Accent5 64 3" xfId="7188" xr:uid="{60557EE8-563C-4C30-A08A-1AC770BF816B}"/>
    <cellStyle name="20% - Accent5 64 4" xfId="7189" xr:uid="{48FD21EF-750F-456D-84A2-FB48EB48789C}"/>
    <cellStyle name="20% - Accent5 64_Requirements CBS" xfId="16188" xr:uid="{8D79FD11-A17F-4605-8E36-3B24A8009371}"/>
    <cellStyle name="20% - Accent5 65" xfId="7190" xr:uid="{CF5C4F4C-781D-44D3-855A-B641636F9C94}"/>
    <cellStyle name="20% - Accent5 65 2" xfId="7191" xr:uid="{D2A905CA-268E-4662-998C-B8D9FD7A4B0C}"/>
    <cellStyle name="20% - Accent5 65 2 2" xfId="7192" xr:uid="{1A934E47-BD4D-4EB3-BCE3-E16E76C30FB3}"/>
    <cellStyle name="20% - Accent5 65 2_Requirements CBS" xfId="16191" xr:uid="{73D03747-BBD2-4E71-B3F1-23F26E09165C}"/>
    <cellStyle name="20% - Accent5 65 3" xfId="7193" xr:uid="{D0DD0D64-E399-4A64-AC1B-2C1F3F48B6E1}"/>
    <cellStyle name="20% - Accent5 65 4" xfId="7194" xr:uid="{3700029E-80FE-470B-855D-D790097F76CB}"/>
    <cellStyle name="20% - Accent5 65_Requirements CBS" xfId="16190" xr:uid="{E07AB37F-2F15-4802-80CD-EFAC53B2CDA2}"/>
    <cellStyle name="20% - Accent5 66" xfId="7195" xr:uid="{774F09F4-C76E-4F25-A77D-CF8181D1F25C}"/>
    <cellStyle name="20% - Accent5 66 2" xfId="7196" xr:uid="{8C7BAC79-E047-485C-8F65-D29946ECB3C0}"/>
    <cellStyle name="20% - Accent5 66 2 2" xfId="7197" xr:uid="{6DFDFB21-2C59-4E8C-9432-9FF979B08D68}"/>
    <cellStyle name="20% - Accent5 66 2_Requirements CBS" xfId="16193" xr:uid="{5CF4AF65-9EB0-4F13-A807-E33675D15967}"/>
    <cellStyle name="20% - Accent5 66 3" xfId="7198" xr:uid="{2C6FB079-9900-48D6-AF97-B96579855299}"/>
    <cellStyle name="20% - Accent5 66 4" xfId="7199" xr:uid="{3EBEB99B-A395-4142-B957-648A817B1D19}"/>
    <cellStyle name="20% - Accent5 66_Requirements CBS" xfId="16192" xr:uid="{1917FF37-99C4-4F98-8202-AFEAA150FA58}"/>
    <cellStyle name="20% - Accent5 67" xfId="7200" xr:uid="{E4E7B778-F90B-44D4-ADF0-F40570769438}"/>
    <cellStyle name="20% - Accent5 67 2" xfId="7201" xr:uid="{BF1305CB-AAE2-41C3-B370-7EF247D42D0B}"/>
    <cellStyle name="20% - Accent5 67 2 2" xfId="7202" xr:uid="{FCE57146-A2D0-4ADB-93E3-FA018AF26B3B}"/>
    <cellStyle name="20% - Accent5 67 2_Requirements CBS" xfId="16195" xr:uid="{CA802016-7081-4C18-B4A1-C4D7452F06D0}"/>
    <cellStyle name="20% - Accent5 67 3" xfId="7203" xr:uid="{639650F5-B4CD-4D97-98A8-BB3C9598A486}"/>
    <cellStyle name="20% - Accent5 67 4" xfId="7204" xr:uid="{6A5E8EB1-8E35-43E0-B163-AAD67F73F723}"/>
    <cellStyle name="20% - Accent5 67_Requirements CBS" xfId="16194" xr:uid="{A9212906-1356-425C-B610-CF308D802D0D}"/>
    <cellStyle name="20% - Accent5 68" xfId="7205" xr:uid="{AA2A652F-95B8-4D16-9B72-F1287FE14FFC}"/>
    <cellStyle name="20% - Accent5 68 2" xfId="7206" xr:uid="{38500BC0-CC32-4890-BE93-2923533849B4}"/>
    <cellStyle name="20% - Accent5 68 2 2" xfId="7207" xr:uid="{9039BBE3-6B33-45FD-8570-58203AD13049}"/>
    <cellStyle name="20% - Accent5 68 2_Requirements CBS" xfId="16197" xr:uid="{127EFFF8-5AB1-4CAA-B500-0080E1649C08}"/>
    <cellStyle name="20% - Accent5 68 3" xfId="7208" xr:uid="{B57D4983-E2B4-4763-9E5F-AA228B5D522C}"/>
    <cellStyle name="20% - Accent5 68 4" xfId="7209" xr:uid="{A2D8403F-0B9B-489D-8025-35DEFC5CEADC}"/>
    <cellStyle name="20% - Accent5 68_Requirements CBS" xfId="16196" xr:uid="{E3D4E346-7B45-4A20-9290-C5CB7FA9E129}"/>
    <cellStyle name="20% - Accent5 69" xfId="7210" xr:uid="{2E6B8CFF-B708-4693-8691-0874C0D43C87}"/>
    <cellStyle name="20% - Accent5 69 2" xfId="7211" xr:uid="{B1F6B246-E48B-4039-98F5-585D6F6DA38E}"/>
    <cellStyle name="20% - Accent5 69 2 2" xfId="7212" xr:uid="{D8CFA439-B7D4-4C2D-9634-826CEDDC8859}"/>
    <cellStyle name="20% - Accent5 69 2_Requirements CBS" xfId="16199" xr:uid="{39D51F28-09CB-4C7E-AA40-3B719A5EB4A3}"/>
    <cellStyle name="20% - Accent5 69 3" xfId="7213" xr:uid="{2D52D177-A695-4348-A36F-33C0D9DE14F2}"/>
    <cellStyle name="20% - Accent5 69 4" xfId="7214" xr:uid="{5CEB4B27-803F-4D25-837F-0D70ADA1AF69}"/>
    <cellStyle name="20% - Accent5 69_Requirements CBS" xfId="16198" xr:uid="{E4B75BD4-480D-4EE1-88DE-5148141779D4}"/>
    <cellStyle name="20% - Accent5 7" xfId="7215" xr:uid="{FB91BE75-F055-4065-AB24-A517690DC12E}"/>
    <cellStyle name="20% - Accent5 7 2" xfId="7216" xr:uid="{BBE2DEA6-8CB2-45E3-A8C0-5FCFFEAAC044}"/>
    <cellStyle name="20% - Accent5 7 2 2" xfId="7217" xr:uid="{32F5C01D-5298-4788-925C-0CF1AB7A4FBF}"/>
    <cellStyle name="20% - Accent5 7 2 2 2" xfId="7218" xr:uid="{F970CA42-274E-446F-A55B-C8021501078D}"/>
    <cellStyle name="20% - Accent5 7 2 2_Requirements CBS" xfId="16201" xr:uid="{D7B19D4F-023A-4B5E-B105-90856F5876F0}"/>
    <cellStyle name="20% - Accent5 7 2 3" xfId="7219" xr:uid="{54B887DA-0DF9-4C57-8E74-39ECF7BBBAC5}"/>
    <cellStyle name="20% - Accent5 7 2 4" xfId="7220" xr:uid="{7AF19D37-C696-48F6-9317-0E94CB63731E}"/>
    <cellStyle name="20% - Accent5 7 2_Requirements CBS" xfId="16200" xr:uid="{9D8EB3D1-40BE-4C05-9FC3-5324875273E6}"/>
    <cellStyle name="20% - Accent5 7 3" xfId="7221" xr:uid="{ECCE09DC-EEAC-43C0-9A63-5E5B7D547D86}"/>
    <cellStyle name="20% - Accent5 7 3 2" xfId="7222" xr:uid="{5827480D-494C-49C4-B215-8A3F3BF942B9}"/>
    <cellStyle name="20% - Accent5 7 3_Requirements CBS" xfId="16202" xr:uid="{DD953D26-0EC7-4C70-9FDF-2971A882A473}"/>
    <cellStyle name="20% - Accent5 7 4" xfId="7223" xr:uid="{1DB67751-581A-418A-B865-A538F97075F2}"/>
    <cellStyle name="20% - Accent5 7 5" xfId="7224" xr:uid="{9A334CB5-1BB5-462C-AFDF-0ED0A65F3D25}"/>
    <cellStyle name="20% - Accent5 7_Not_for_upload_before_M4_correc" xfId="14055" xr:uid="{93481B57-EB65-4343-B5C9-6AE18D5A7970}"/>
    <cellStyle name="20% - Accent5 70" xfId="7225" xr:uid="{431A75AD-D033-4FA7-9E09-E50A0A3EFA99}"/>
    <cellStyle name="20% - Accent5 70 2" xfId="7226" xr:uid="{9B66C2FA-F439-458A-9EDD-3B500BB51D24}"/>
    <cellStyle name="20% - Accent5 70 2 2" xfId="7227" xr:uid="{09BF86E8-1F85-46B7-9305-E0FBCC77169A}"/>
    <cellStyle name="20% - Accent5 70 2_Requirements CBS" xfId="16204" xr:uid="{451205F5-9D93-4D55-9448-9FCCCE8D20A4}"/>
    <cellStyle name="20% - Accent5 70 3" xfId="7228" xr:uid="{562CBCF2-2FE3-4BE7-82FA-76F7F1DE2AFB}"/>
    <cellStyle name="20% - Accent5 70 4" xfId="7229" xr:uid="{8A230440-0C3E-4629-AE47-5C79AB535D9A}"/>
    <cellStyle name="20% - Accent5 70_Requirements CBS" xfId="16203" xr:uid="{8C530BE8-3ADA-4305-9ADA-4B1AC15FEB66}"/>
    <cellStyle name="20% - Accent5 71" xfId="7230" xr:uid="{A27B8EDA-D675-413D-973E-713610A85B7B}"/>
    <cellStyle name="20% - Accent5 71 2" xfId="7231" xr:uid="{385421AA-0516-4740-98AD-86B9EBA3D1AB}"/>
    <cellStyle name="20% - Accent5 71 2 2" xfId="7232" xr:uid="{809CE518-DD9F-4F46-92F6-872BD79EA66D}"/>
    <cellStyle name="20% - Accent5 71 2_Requirements CBS" xfId="16206" xr:uid="{C0A36F2E-115A-487F-933E-56CF66E97BDC}"/>
    <cellStyle name="20% - Accent5 71 3" xfId="7233" xr:uid="{E18CF7BF-7CC9-41BA-A6DA-4D8CC2907859}"/>
    <cellStyle name="20% - Accent5 71 4" xfId="7234" xr:uid="{06082B5F-A9FB-4EC5-AD49-2406489685AD}"/>
    <cellStyle name="20% - Accent5 71_Requirements CBS" xfId="16205" xr:uid="{F1FA8D47-08B0-4698-BB21-87DEF12B5BBD}"/>
    <cellStyle name="20% - Accent5 72" xfId="7235" xr:uid="{355EF557-6529-4E9C-A2D4-1BB792AA12AD}"/>
    <cellStyle name="20% - Accent5 72 2" xfId="7236" xr:uid="{B1411983-A0B1-44B9-8380-CD0EB016DD66}"/>
    <cellStyle name="20% - Accent5 72 2 2" xfId="7237" xr:uid="{C95AC96C-7EE7-483E-9BC4-2C92E6B28D8D}"/>
    <cellStyle name="20% - Accent5 72 2_Requirements CBS" xfId="16208" xr:uid="{FD0DBA7E-C833-4EC9-819F-9C7C4F873396}"/>
    <cellStyle name="20% - Accent5 72 3" xfId="7238" xr:uid="{E5855743-3B8E-47E4-A30E-E227ED543D74}"/>
    <cellStyle name="20% - Accent5 72 4" xfId="7239" xr:uid="{09AD5B4F-A324-4411-B60F-409C6E7A50A5}"/>
    <cellStyle name="20% - Accent5 72_Requirements CBS" xfId="16207" xr:uid="{940E663F-3EF2-4A4D-90D1-33BE903A6CAD}"/>
    <cellStyle name="20% - Accent5 73" xfId="7240" xr:uid="{2F04837D-D41B-47D5-A774-30AF8DD079E7}"/>
    <cellStyle name="20% - Accent5 73 2" xfId="7241" xr:uid="{67392444-2EFC-46DF-82C8-AEE1F1CC74C3}"/>
    <cellStyle name="20% - Accent5 73 2 2" xfId="7242" xr:uid="{AB8B1356-577A-423E-A000-242DFD0E47D7}"/>
    <cellStyle name="20% - Accent5 73 2_Requirements CBS" xfId="16210" xr:uid="{C39153AD-DDFC-49D0-ACB9-6B5C9025CA6C}"/>
    <cellStyle name="20% - Accent5 73 3" xfId="7243" xr:uid="{753A3EDA-9B58-469D-9DF6-0301D92351C5}"/>
    <cellStyle name="20% - Accent5 73 4" xfId="7244" xr:uid="{BBBB3B7F-6DB3-4233-AF6F-CBBB634BBD99}"/>
    <cellStyle name="20% - Accent5 73_Requirements CBS" xfId="16209" xr:uid="{7F4CA7AC-ED58-4B6D-B0AB-E41BBC87616E}"/>
    <cellStyle name="20% - Accent5 74" xfId="7245" xr:uid="{14EC0755-F810-41A6-9E28-1E4CB2EBB6D6}"/>
    <cellStyle name="20% - Accent5 74 2" xfId="7246" xr:uid="{3893574B-2A03-43B4-903F-9D2870F17D24}"/>
    <cellStyle name="20% - Accent5 74 2 2" xfId="7247" xr:uid="{85FFA5E6-0DCE-4034-9B0D-23AAA8066F7C}"/>
    <cellStyle name="20% - Accent5 74 2_Requirements CBS" xfId="16212" xr:uid="{C77EE6A1-7414-4EFD-8611-3F688F30DD9B}"/>
    <cellStyle name="20% - Accent5 74 3" xfId="7248" xr:uid="{D3EC8D77-1DA1-45EC-A178-DB1EBECFE600}"/>
    <cellStyle name="20% - Accent5 74 4" xfId="7249" xr:uid="{59E8B66B-7313-4713-9C4C-F358E7B9027F}"/>
    <cellStyle name="20% - Accent5 74_Requirements CBS" xfId="16211" xr:uid="{C87128BA-4624-4C5A-B08A-3D86C7791B61}"/>
    <cellStyle name="20% - Accent5 75" xfId="7250" xr:uid="{DA8A421F-AED3-4A29-8B56-92AA8F0B8217}"/>
    <cellStyle name="20% - Accent5 75 2" xfId="7251" xr:uid="{5045BE16-CC1B-4B3E-88CB-923CD40AE635}"/>
    <cellStyle name="20% - Accent5 75 2 2" xfId="7252" xr:uid="{D15B8195-60BB-4EDA-94FB-ED4E537195AE}"/>
    <cellStyle name="20% - Accent5 75 2_Requirements CBS" xfId="16214" xr:uid="{40C564B2-31EF-4FB9-8CCF-B5744FE865B8}"/>
    <cellStyle name="20% - Accent5 75 3" xfId="7253" xr:uid="{BC8C53F4-B576-400A-AF05-87B18C80D6F4}"/>
    <cellStyle name="20% - Accent5 75 4" xfId="7254" xr:uid="{1EA990FC-7054-4CD5-B12F-C9F32550E68E}"/>
    <cellStyle name="20% - Accent5 75_Requirements CBS" xfId="16213" xr:uid="{7237AFEE-79C3-4AD5-AD2C-AE87C8355184}"/>
    <cellStyle name="20% - Accent5 76" xfId="7255" xr:uid="{CBCF9A2E-74EA-4E6E-93B6-3D7DFC4B7B78}"/>
    <cellStyle name="20% - Accent5 76 2" xfId="7256" xr:uid="{A1191E32-A6C2-40EF-9CF9-9E9A3F8BDEBF}"/>
    <cellStyle name="20% - Accent5 76 2 2" xfId="7257" xr:uid="{3DD4FA12-3DD8-4059-8589-E645949ACBBC}"/>
    <cellStyle name="20% - Accent5 76 2_Requirements CBS" xfId="16216" xr:uid="{4E79DED6-F408-48B6-9D91-7C63C56E0763}"/>
    <cellStyle name="20% - Accent5 76 3" xfId="7258" xr:uid="{8BCA9653-9ECA-4C1F-A115-623578081DC9}"/>
    <cellStyle name="20% - Accent5 76 4" xfId="7259" xr:uid="{BE851952-DE33-4431-80F9-5330251EC050}"/>
    <cellStyle name="20% - Accent5 76_Requirements CBS" xfId="16215" xr:uid="{E88CBDFB-B51D-492D-AF21-85F46972A077}"/>
    <cellStyle name="20% - Accent5 77" xfId="7260" xr:uid="{26276234-F533-4415-954C-D70A8946499F}"/>
    <cellStyle name="20% - Accent5 77 2" xfId="7261" xr:uid="{461DC0F9-B64A-4CE3-BDA0-F0AAEBA43145}"/>
    <cellStyle name="20% - Accent5 77 2 2" xfId="7262" xr:uid="{D868E6AE-2CD4-43C9-9EA3-A317B557F6E2}"/>
    <cellStyle name="20% - Accent5 77 2_Requirements CBS" xfId="16218" xr:uid="{F1ECA062-E0BD-4604-B5A1-7B991F9C5EC1}"/>
    <cellStyle name="20% - Accent5 77 3" xfId="7263" xr:uid="{C42AA3F9-DAF1-4ADA-AA7B-BA2AD3CD8923}"/>
    <cellStyle name="20% - Accent5 77 4" xfId="7264" xr:uid="{7063524E-2510-42CE-807F-DAF0A426AAD6}"/>
    <cellStyle name="20% - Accent5 77_Requirements CBS" xfId="16217" xr:uid="{F6D6A8E8-409A-4AB2-9678-0FA08B24680F}"/>
    <cellStyle name="20% - Accent5 78" xfId="7265" xr:uid="{95E9E16C-6AFD-4D02-B39C-EBE81C0F4219}"/>
    <cellStyle name="20% - Accent5 78 2" xfId="7266" xr:uid="{059592D8-74FB-4C94-B523-4D5A9B9C15CC}"/>
    <cellStyle name="20% - Accent5 78 2 2" xfId="7267" xr:uid="{BE09FEC7-A609-48C5-9727-AA33F015653A}"/>
    <cellStyle name="20% - Accent5 78 2_Requirements CBS" xfId="16220" xr:uid="{B44BBB58-F35A-4EB0-99BD-FA723AA2DE40}"/>
    <cellStyle name="20% - Accent5 78 3" xfId="7268" xr:uid="{D257690F-1AE5-44A8-B78C-B7E0BD7B845B}"/>
    <cellStyle name="20% - Accent5 78 4" xfId="7269" xr:uid="{725B9F07-B401-4BB2-8DF4-0AAB8B4216E4}"/>
    <cellStyle name="20% - Accent5 78_Requirements CBS" xfId="16219" xr:uid="{E1DAE66A-2DB9-44C6-958B-DFA88E508624}"/>
    <cellStyle name="20% - Accent5 79" xfId="7270" xr:uid="{F53D4E11-6097-45B9-8B09-C918E7E3BBDB}"/>
    <cellStyle name="20% - Accent5 79 2" xfId="7271" xr:uid="{B0E42019-B9F7-4FA3-8D90-5D6A9D203223}"/>
    <cellStyle name="20% - Accent5 79 2 2" xfId="7272" xr:uid="{CBB89CCA-F1E6-4869-AAC2-AA819305D43C}"/>
    <cellStyle name="20% - Accent5 79 2_Requirements CBS" xfId="16222" xr:uid="{EF9E7DF7-BAD1-4078-85B7-B94CC617BC64}"/>
    <cellStyle name="20% - Accent5 79 3" xfId="7273" xr:uid="{AAFC6196-B53B-44B5-B45F-6880C791F32E}"/>
    <cellStyle name="20% - Accent5 79 4" xfId="7274" xr:uid="{B4D04AF9-3267-4B22-ADEE-D93E27799060}"/>
    <cellStyle name="20% - Accent5 79_Requirements CBS" xfId="16221" xr:uid="{ED9E9F57-80F7-418F-B307-82321D170419}"/>
    <cellStyle name="20% - Accent5 8" xfId="7275" xr:uid="{0B6AED8C-E09D-4488-A723-BC42D9BF51DF}"/>
    <cellStyle name="20% - Accent5 8 2" xfId="7276" xr:uid="{CB92C61B-2A9C-4DFF-8052-280B7B2F7A11}"/>
    <cellStyle name="20% - Accent5 8 2 2" xfId="7277" xr:uid="{7282922E-1E28-4F57-B96A-DC5721B5E7E3}"/>
    <cellStyle name="20% - Accent5 8 2 2 2" xfId="7278" xr:uid="{3A0C3BC2-EE70-4429-BE29-26006AEF4566}"/>
    <cellStyle name="20% - Accent5 8 2 2_Requirements CBS" xfId="16224" xr:uid="{8D82B457-4095-4C3C-813F-1E7C8707957E}"/>
    <cellStyle name="20% - Accent5 8 2 3" xfId="7279" xr:uid="{86974F2B-813D-4C08-B0C9-FCBBE4B1F547}"/>
    <cellStyle name="20% - Accent5 8 2 4" xfId="7280" xr:uid="{27D35284-9F78-43F1-87AB-BCAEE6E13475}"/>
    <cellStyle name="20% - Accent5 8 2_Requirements CBS" xfId="16223" xr:uid="{6586B12F-45C1-4200-BC0B-C22A0DB104B2}"/>
    <cellStyle name="20% - Accent5 8 3" xfId="7281" xr:uid="{692C0E77-2A65-4050-A23A-5D7507B87A84}"/>
    <cellStyle name="20% - Accent5 8 3 2" xfId="7282" xr:uid="{E5AB808E-269F-4433-80E4-891E7CE7FEFB}"/>
    <cellStyle name="20% - Accent5 8 3_Requirements CBS" xfId="16225" xr:uid="{48F3F8AF-0DAA-4E06-8968-750D1E10541A}"/>
    <cellStyle name="20% - Accent5 8 4" xfId="7283" xr:uid="{3DD5457D-7D45-4698-A18A-0F1CCA3F0D3F}"/>
    <cellStyle name="20% - Accent5 8 5" xfId="7284" xr:uid="{A1B146EF-9660-4E99-A9E8-26D0C03359C8}"/>
    <cellStyle name="20% - Accent5 8_Not_for_upload_before_M4_correc" xfId="14056" xr:uid="{F687C3CD-53F1-465D-8894-941CD5DDFA86}"/>
    <cellStyle name="20% - Accent5 80" xfId="7285" xr:uid="{3FD17655-8334-4E81-AE7F-FAFA9B4256ED}"/>
    <cellStyle name="20% - Accent5 80 2" xfId="7286" xr:uid="{EDCE316B-E55E-48F4-ADC6-1DFE3FD73DB8}"/>
    <cellStyle name="20% - Accent5 80 2 2" xfId="7287" xr:uid="{6817FE64-AE84-4A2D-8A2F-AF8FDB2F79F8}"/>
    <cellStyle name="20% - Accent5 80 2_Requirements CBS" xfId="16227" xr:uid="{7010326A-E86C-4629-A34F-23D56D059118}"/>
    <cellStyle name="20% - Accent5 80 3" xfId="7288" xr:uid="{402354DD-58FC-441C-B794-B0310D609AB0}"/>
    <cellStyle name="20% - Accent5 80 4" xfId="7289" xr:uid="{343AC413-2CD5-42A9-9301-58A75B2B0573}"/>
    <cellStyle name="20% - Accent5 80_Requirements CBS" xfId="16226" xr:uid="{581AA952-D4DB-43A7-8318-46EA2146DF88}"/>
    <cellStyle name="20% - Accent5 81" xfId="7290" xr:uid="{0B2DBA74-8756-4C0D-BAF7-2263F3F50507}"/>
    <cellStyle name="20% - Accent5 81 2" xfId="7291" xr:uid="{613CB626-D437-4EFE-BBA0-A9EBF1E9E0D6}"/>
    <cellStyle name="20% - Accent5 81 2 2" xfId="7292" xr:uid="{1EB7DDF5-4552-44F0-8DB8-38D183F38FDE}"/>
    <cellStyle name="20% - Accent5 81 2_Requirements CBS" xfId="16229" xr:uid="{80BB0565-7D09-48F6-8364-76F6242ACC6E}"/>
    <cellStyle name="20% - Accent5 81 3" xfId="7293" xr:uid="{4A19060B-A3EE-4D5E-AB42-85E1EB55C922}"/>
    <cellStyle name="20% - Accent5 81 4" xfId="7294" xr:uid="{27C8CD68-B3AA-4FEC-8895-6F98A5ABD9D8}"/>
    <cellStyle name="20% - Accent5 81_Requirements CBS" xfId="16228" xr:uid="{C768CA71-70A0-4974-9933-C88858164282}"/>
    <cellStyle name="20% - Accent5 82" xfId="7295" xr:uid="{CE7A57A9-3DFF-4FB7-8DE4-C532C63482A7}"/>
    <cellStyle name="20% - Accent5 82 2" xfId="7296" xr:uid="{6E775BED-4DCF-49FA-A7AC-FAA2D391995F}"/>
    <cellStyle name="20% - Accent5 82 2 2" xfId="7297" xr:uid="{3E083F78-4B6F-42C8-9069-379B1304DB02}"/>
    <cellStyle name="20% - Accent5 82 2_Requirements CBS" xfId="16231" xr:uid="{4C0C9E81-4A92-4C42-A2E3-000C9464F7FF}"/>
    <cellStyle name="20% - Accent5 82 3" xfId="7298" xr:uid="{1311B4A7-6C8F-47A7-9446-807F3176BCBD}"/>
    <cellStyle name="20% - Accent5 82 4" xfId="7299" xr:uid="{45B2A2FA-0036-4AFB-8C9E-0BBBBA49E59D}"/>
    <cellStyle name="20% - Accent5 82_Requirements CBS" xfId="16230" xr:uid="{8155E279-D5DC-4517-B533-225E297B69EA}"/>
    <cellStyle name="20% - Accent5 83" xfId="7300" xr:uid="{7347DEA2-FD88-4AAB-A4E8-C2E0261D6CEC}"/>
    <cellStyle name="20% - Accent5 83 2" xfId="7301" xr:uid="{24BBD72E-63F9-4479-B42B-1E14DB3AFB40}"/>
    <cellStyle name="20% - Accent5 83 2 2" xfId="7302" xr:uid="{0C374165-2290-4AA0-9DEE-C4E28F8C1883}"/>
    <cellStyle name="20% - Accent5 83 2_Requirements CBS" xfId="16233" xr:uid="{BED95A56-DFC7-4CE6-9125-2D65D77D2B71}"/>
    <cellStyle name="20% - Accent5 83 3" xfId="7303" xr:uid="{2850659B-D6D6-4542-899D-A534827618B0}"/>
    <cellStyle name="20% - Accent5 83 4" xfId="7304" xr:uid="{F5E7DB70-CF6D-4713-AA4D-19317C5A477E}"/>
    <cellStyle name="20% - Accent5 83_Requirements CBS" xfId="16232" xr:uid="{AB602B96-D0FA-4492-80A7-DC9298530C64}"/>
    <cellStyle name="20% - Accent5 84" xfId="7305" xr:uid="{0D59B239-BA1C-4080-AEAD-7561922CF767}"/>
    <cellStyle name="20% - Accent5 84 2" xfId="7306" xr:uid="{81646180-025E-4BD2-93BB-64C4535E5213}"/>
    <cellStyle name="20% - Accent5 84 2 2" xfId="7307" xr:uid="{FCF48D72-0087-46C9-82B2-94D07A4D1789}"/>
    <cellStyle name="20% - Accent5 84 2_Requirements CBS" xfId="16235" xr:uid="{B151C25C-C248-4AD9-839C-2F14867D4015}"/>
    <cellStyle name="20% - Accent5 84 3" xfId="7308" xr:uid="{0FDC8724-7D17-4B74-B013-5E3A670FF0C5}"/>
    <cellStyle name="20% - Accent5 84 4" xfId="7309" xr:uid="{118001B2-9D60-4207-8341-5BAF427CBBEE}"/>
    <cellStyle name="20% - Accent5 84_Requirements CBS" xfId="16234" xr:uid="{9F40C5A6-C49F-47BD-9753-9642163AC828}"/>
    <cellStyle name="20% - Accent5 85" xfId="7310" xr:uid="{3E7F1206-8476-4994-A111-EFB6653A51A2}"/>
    <cellStyle name="20% - Accent5 85 2" xfId="7311" xr:uid="{DDB6F968-48B5-4BA7-86E9-10D2F58628EF}"/>
    <cellStyle name="20% - Accent5 85 2 2" xfId="7312" xr:uid="{9A89D315-8BBA-4369-A0FF-C06B83D6122D}"/>
    <cellStyle name="20% - Accent5 85 2_Requirements CBS" xfId="16237" xr:uid="{C499B1E0-4A24-4138-819A-C443B9039BBE}"/>
    <cellStyle name="20% - Accent5 85 3" xfId="7313" xr:uid="{034DF217-D57F-419E-AA76-11585F7A44FD}"/>
    <cellStyle name="20% - Accent5 85 4" xfId="7314" xr:uid="{B74141A0-C5BD-452A-9117-D795A2C80AFE}"/>
    <cellStyle name="20% - Accent5 85_Requirements CBS" xfId="16236" xr:uid="{F9389608-CE5D-4172-A7C8-A3CB711A8888}"/>
    <cellStyle name="20% - Accent5 86" xfId="7315" xr:uid="{699015DA-8023-4A7C-8811-395451C9D309}"/>
    <cellStyle name="20% - Accent5 86 2" xfId="7316" xr:uid="{6D7F9ED0-30CD-46D0-9D77-741AEEDC92AF}"/>
    <cellStyle name="20% - Accent5 86 2 2" xfId="7317" xr:uid="{48B5EAE9-D8DA-45DA-9D78-4C0677C97B1E}"/>
    <cellStyle name="20% - Accent5 86 2_Requirements CBS" xfId="16239" xr:uid="{42B25EE6-F7A2-4A60-BF76-47FDF666FAC6}"/>
    <cellStyle name="20% - Accent5 86 3" xfId="7318" xr:uid="{5D3C4316-CDC1-46FE-98D1-1199D2C40196}"/>
    <cellStyle name="20% - Accent5 86 4" xfId="7319" xr:uid="{A0AC0914-22A9-43AD-BC02-4420AA797799}"/>
    <cellStyle name="20% - Accent5 86_Requirements CBS" xfId="16238" xr:uid="{B2BF79F1-161B-433F-A087-32B7A8B2D3AA}"/>
    <cellStyle name="20% - Accent5 87" xfId="7320" xr:uid="{DC8F664B-A66E-4012-8712-4D15700379B3}"/>
    <cellStyle name="20% - Accent5 87 2" xfId="7321" xr:uid="{758EEBF9-CE2D-44E5-B215-CFC0B74B89E8}"/>
    <cellStyle name="20% - Accent5 87 2 2" xfId="7322" xr:uid="{95469DD9-90F4-4E91-9958-22A1A953483D}"/>
    <cellStyle name="20% - Accent5 87 2_Requirements CBS" xfId="16241" xr:uid="{5466A9CE-1B14-4B41-88E4-AE541F39E47E}"/>
    <cellStyle name="20% - Accent5 87 3" xfId="7323" xr:uid="{09F170F8-3E65-405A-A423-E7ED401E2EDB}"/>
    <cellStyle name="20% - Accent5 87 4" xfId="7324" xr:uid="{203E4C58-B6BB-4CF1-B837-287F282FCAD3}"/>
    <cellStyle name="20% - Accent5 87_Requirements CBS" xfId="16240" xr:uid="{620B5F06-A33F-4753-8206-29FD1525BDBC}"/>
    <cellStyle name="20% - Accent5 88" xfId="7325" xr:uid="{62DAA931-AEF4-4E31-B5EB-0EF8A20376B7}"/>
    <cellStyle name="20% - Accent5 88 2" xfId="7326" xr:uid="{8E6461BB-A13E-43BC-A1EA-C4BA3CAAE9ED}"/>
    <cellStyle name="20% - Accent5 88 2 2" xfId="7327" xr:uid="{7D0FBA01-C4A6-459F-8AF5-7EB63B431416}"/>
    <cellStyle name="20% - Accent5 88 2_Requirements CBS" xfId="16243" xr:uid="{C3835761-B4B6-47DE-A1FD-4FC9865DD06F}"/>
    <cellStyle name="20% - Accent5 88 3" xfId="7328" xr:uid="{22B55080-5E70-4790-A72A-DA399BCF3906}"/>
    <cellStyle name="20% - Accent5 88 4" xfId="7329" xr:uid="{012BAB56-82AD-41AF-ADBE-FE2E75D821D5}"/>
    <cellStyle name="20% - Accent5 88_Requirements CBS" xfId="16242" xr:uid="{540D7768-6ADD-416C-B242-9B84FAD412CE}"/>
    <cellStyle name="20% - Accent5 89" xfId="7330" xr:uid="{057F71E7-959D-414A-87B8-E15E80D5339D}"/>
    <cellStyle name="20% - Accent5 89 2" xfId="7331" xr:uid="{E36E7779-918C-40FD-82A3-24855FE4CB31}"/>
    <cellStyle name="20% - Accent5 89 2 2" xfId="7332" xr:uid="{873F90B5-AEFE-4263-AD63-40D6E7F919B6}"/>
    <cellStyle name="20% - Accent5 89 2_Requirements CBS" xfId="16245" xr:uid="{AE5D2A10-30CB-4FBC-8E85-BBAEE8B3E27C}"/>
    <cellStyle name="20% - Accent5 89 3" xfId="7333" xr:uid="{68D652A3-ABEA-4595-AA20-29601A51902E}"/>
    <cellStyle name="20% - Accent5 89 4" xfId="7334" xr:uid="{CC70DD3F-9191-4C5C-8883-7423F9169914}"/>
    <cellStyle name="20% - Accent5 89_Requirements CBS" xfId="16244" xr:uid="{35EF7B2A-74C1-41B2-8C85-6B12464D98B9}"/>
    <cellStyle name="20% - Accent5 9" xfId="7335" xr:uid="{77FBC965-096C-470F-BB0F-92B011008EBD}"/>
    <cellStyle name="20% - Accent5 9 2" xfId="7336" xr:uid="{99F3C7F5-26CA-4948-8F2F-28887044336A}"/>
    <cellStyle name="20% - Accent5 9 2 2" xfId="7337" xr:uid="{2050A7E6-DEB6-45F9-A709-2609B1C9008B}"/>
    <cellStyle name="20% - Accent5 9 2 2 2" xfId="7338" xr:uid="{2A03EE21-E663-41F4-B7F9-D0D30A5F4EC9}"/>
    <cellStyle name="20% - Accent5 9 2 2_Requirements CBS" xfId="16247" xr:uid="{958EC045-C8B4-46AB-882F-ABA442A53572}"/>
    <cellStyle name="20% - Accent5 9 2 3" xfId="7339" xr:uid="{0A88BE56-1B9E-4423-9891-0AF4A86E9862}"/>
    <cellStyle name="20% - Accent5 9 2 4" xfId="7340" xr:uid="{261A10C8-646C-4F58-864E-3113AE85733F}"/>
    <cellStyle name="20% - Accent5 9 2_Requirements CBS" xfId="16246" xr:uid="{930C7313-AC7F-4CF4-8E9A-2FD11BC17B24}"/>
    <cellStyle name="20% - Accent5 9 3" xfId="7341" xr:uid="{50562FCF-F36A-42D0-A1C5-7E7A28F8A5B4}"/>
    <cellStyle name="20% - Accent5 9 3 2" xfId="7342" xr:uid="{AFC3F4F1-56FA-4B93-9603-32DA455FF426}"/>
    <cellStyle name="20% - Accent5 9 3_Requirements CBS" xfId="16248" xr:uid="{E4AC399F-EF32-4754-AF6E-9AA5FFF24675}"/>
    <cellStyle name="20% - Accent5 9 4" xfId="7343" xr:uid="{9AFCF41C-5050-4DB9-80FF-E7F84DD38D21}"/>
    <cellStyle name="20% - Accent5 9 5" xfId="7344" xr:uid="{AA5B142A-EEB0-43BB-B402-D19709667B2B}"/>
    <cellStyle name="20% - Accent5 9_Not_for_upload_before_M4_correc" xfId="14057" xr:uid="{2DE73FF4-ACCE-4BF2-AE9A-D142D5FF51D2}"/>
    <cellStyle name="20% - Accent5 90" xfId="7345" xr:uid="{BB412390-3186-4C50-90BA-66CB961ECF5C}"/>
    <cellStyle name="20% - Accent5 90 2" xfId="7346" xr:uid="{C119CF9D-81C6-48D2-9DD4-F76157CB88A2}"/>
    <cellStyle name="20% - Accent5 90 2 2" xfId="7347" xr:uid="{C1C6669B-3324-4D0F-B14D-947D26383113}"/>
    <cellStyle name="20% - Accent5 90 2_Requirements CBS" xfId="16250" xr:uid="{A857031E-EBB9-49AA-8AF0-A8F6168CDB5B}"/>
    <cellStyle name="20% - Accent5 90 3" xfId="7348" xr:uid="{FF5328A6-6FF5-41DB-9BF4-950A867E1B8F}"/>
    <cellStyle name="20% - Accent5 90 4" xfId="7349" xr:uid="{A7D133DB-BAC4-490A-834A-26A44BA2EF88}"/>
    <cellStyle name="20% - Accent5 90_Requirements CBS" xfId="16249" xr:uid="{71011639-2990-4BA8-A7FA-64EF45832744}"/>
    <cellStyle name="20% - Accent5 91" xfId="7350" xr:uid="{A428256D-96E1-427F-AF86-A8D5D6935681}"/>
    <cellStyle name="20% - Accent5 91 2" xfId="7351" xr:uid="{5FDFE1B2-A3B0-4F41-ACE2-661D7462E1DB}"/>
    <cellStyle name="20% - Accent5 91 2 2" xfId="7352" xr:uid="{B9037408-65E5-4A98-A624-720C9D085FC0}"/>
    <cellStyle name="20% - Accent5 91 2_Requirements CBS" xfId="16252" xr:uid="{03F52C95-D38F-4E0D-95D4-9162EBB2D4D4}"/>
    <cellStyle name="20% - Accent5 91 3" xfId="7353" xr:uid="{5BA04645-8086-4E41-99A0-335453932CC4}"/>
    <cellStyle name="20% - Accent5 91 4" xfId="7354" xr:uid="{FAB09A38-940B-4273-880D-E5E00CCFD600}"/>
    <cellStyle name="20% - Accent5 91_Requirements CBS" xfId="16251" xr:uid="{57856DB0-FDD0-410F-836B-2804692C5A17}"/>
    <cellStyle name="20% - Accent5 92" xfId="7355" xr:uid="{625E94E2-5D13-40BC-BC34-40A39A9253F6}"/>
    <cellStyle name="20% - Accent5 92 2" xfId="7356" xr:uid="{875E8F74-4839-4D3C-8DD3-4A4A9DF7FDE7}"/>
    <cellStyle name="20% - Accent5 92 2 2" xfId="7357" xr:uid="{613EFBFC-71E1-474C-828B-BE61E48ED5B7}"/>
    <cellStyle name="20% - Accent5 92 2_Requirements CBS" xfId="16254" xr:uid="{A3F11442-1D05-4FB0-B150-2C0CBD2519B1}"/>
    <cellStyle name="20% - Accent5 92 3" xfId="7358" xr:uid="{6B5D4D40-56CD-4CA9-BC04-EAB7A6C020F6}"/>
    <cellStyle name="20% - Accent5 92 4" xfId="7359" xr:uid="{621F91BC-610C-4C12-99A1-EF5C8BEDC85A}"/>
    <cellStyle name="20% - Accent5 92_Requirements CBS" xfId="16253" xr:uid="{2073C283-6A88-4FA6-87A6-32C0040F32D1}"/>
    <cellStyle name="20% - Accent5 93" xfId="7360" xr:uid="{A04DB278-7D80-41D7-BEA5-F10719BCBE82}"/>
    <cellStyle name="20% - Accent5 93 2" xfId="7361" xr:uid="{F62C6221-AA63-475A-BB2B-045A9535B907}"/>
    <cellStyle name="20% - Accent5 93 2 2" xfId="7362" xr:uid="{0866A883-5E6C-48FE-9259-F34AE4285ABA}"/>
    <cellStyle name="20% - Accent5 93 2_Requirements CBS" xfId="16256" xr:uid="{DB936C3C-771F-40FC-874E-D0260C8E6F90}"/>
    <cellStyle name="20% - Accent5 93 3" xfId="7363" xr:uid="{BF749532-CFCA-407A-92DF-55CB1BD4C531}"/>
    <cellStyle name="20% - Accent5 93 4" xfId="7364" xr:uid="{B9E46713-2E87-4E39-8E43-1C8B8258047E}"/>
    <cellStyle name="20% - Accent5 93_Requirements CBS" xfId="16255" xr:uid="{A8444D19-0786-4397-AE77-77EB97E87CB3}"/>
    <cellStyle name="20% - Accent5 94" xfId="7365" xr:uid="{FE3B8C41-3F78-4235-8C8D-B6B92E3FE497}"/>
    <cellStyle name="20% - Accent5 94 2" xfId="7366" xr:uid="{9822730F-1ACA-449E-9C3A-28649909C902}"/>
    <cellStyle name="20% - Accent5 94 2 2" xfId="7367" xr:uid="{8426FC15-0A1D-484F-81A7-EB36EB9B1B69}"/>
    <cellStyle name="20% - Accent5 94 2_Requirements CBS" xfId="16258" xr:uid="{993ABC4B-B76A-496D-BBA8-B1FB4E27796A}"/>
    <cellStyle name="20% - Accent5 94 3" xfId="7368" xr:uid="{76BEB05F-E555-442F-B77A-824C72B4A4B2}"/>
    <cellStyle name="20% - Accent5 94 4" xfId="7369" xr:uid="{EC1BAA53-59F3-4B16-9D0F-B970A6674625}"/>
    <cellStyle name="20% - Accent5 94_Requirements CBS" xfId="16257" xr:uid="{525B1E18-9334-4419-B832-DC0C99DCFA47}"/>
    <cellStyle name="20% - Accent5 95" xfId="7370" xr:uid="{8D5B0836-FC88-4298-94D7-DC9B4A1C5DA6}"/>
    <cellStyle name="20% - Accent5 95 2" xfId="7371" xr:uid="{14AA460E-22BC-4FB4-94C4-ABB8E9DF3DB0}"/>
    <cellStyle name="20% - Accent5 95 2 2" xfId="7372" xr:uid="{17B59768-F985-468C-A255-558138E7E7BB}"/>
    <cellStyle name="20% - Accent5 95 2_Requirements CBS" xfId="16260" xr:uid="{C4975C92-01A3-4503-9404-F3496F5725F0}"/>
    <cellStyle name="20% - Accent5 95 3" xfId="7373" xr:uid="{FC43F7FA-E7D5-45B5-9D8F-2F7093FA1712}"/>
    <cellStyle name="20% - Accent5 95 4" xfId="7374" xr:uid="{B6767256-A193-4677-894D-61626556062B}"/>
    <cellStyle name="20% - Accent5 95_Requirements CBS" xfId="16259" xr:uid="{5733EC57-E2EB-40F4-A2F2-DC3B60E20EB3}"/>
    <cellStyle name="20% - Accent5 96" xfId="7375" xr:uid="{20B3D778-AB6F-49DE-AE80-A1C52359B4B4}"/>
    <cellStyle name="20% - Accent5 96 2" xfId="7376" xr:uid="{27D016BB-9518-4FC1-AA84-45315C12CA5B}"/>
    <cellStyle name="20% - Accent5 96 2 2" xfId="7377" xr:uid="{A591BD11-20D7-4457-85A3-37CC11278977}"/>
    <cellStyle name="20% - Accent5 96 2_Requirements CBS" xfId="16262" xr:uid="{574870D1-5819-404A-940F-2038DE8901BA}"/>
    <cellStyle name="20% - Accent5 96 3" xfId="7378" xr:uid="{9A84D883-FFCC-4830-BC48-0AFEC71F90F8}"/>
    <cellStyle name="20% - Accent5 96 4" xfId="7379" xr:uid="{5B4D792F-0BE7-41B0-ADAC-14C0142E5B54}"/>
    <cellStyle name="20% - Accent5 96_Requirements CBS" xfId="16261" xr:uid="{EAF88CD1-31C8-4303-A55B-A2DDA22CA059}"/>
    <cellStyle name="20% - Accent5 97" xfId="7380" xr:uid="{45557657-8188-4251-8E75-58EBA589EA8F}"/>
    <cellStyle name="20% - Accent5 97 2" xfId="7381" xr:uid="{8E686325-E131-4607-937F-7A59D725F9B2}"/>
    <cellStyle name="20% - Accent5 97 2 2" xfId="7382" xr:uid="{A3E70B6E-D255-412F-A3B3-75F044F66B1B}"/>
    <cellStyle name="20% - Accent5 97 2_Requirements CBS" xfId="16264" xr:uid="{BF7B8248-4544-4866-8955-E8F58B932179}"/>
    <cellStyle name="20% - Accent5 97 3" xfId="7383" xr:uid="{E4E14035-4E95-470A-A138-A30F4D04471A}"/>
    <cellStyle name="20% - Accent5 97 4" xfId="7384" xr:uid="{28053732-4F21-418D-A495-1C6FB7EE2CF8}"/>
    <cellStyle name="20% - Accent5 97_Requirements CBS" xfId="16263" xr:uid="{630E78F2-6461-4F03-AD89-061A9F0C9060}"/>
    <cellStyle name="20% - Accent5 98" xfId="7385" xr:uid="{CE8E4ECD-6080-42CB-94FF-D2247773264E}"/>
    <cellStyle name="20% - Accent5 98 2" xfId="7386" xr:uid="{C8E51B19-6BB7-4F32-B622-9DEDEAFA7566}"/>
    <cellStyle name="20% - Accent5 98 2 2" xfId="7387" xr:uid="{F61421BB-F2FF-404A-83C3-4D007D38EA5B}"/>
    <cellStyle name="20% - Accent5 98 2_Requirements CBS" xfId="16266" xr:uid="{DB801947-20FA-47E1-A86C-AE49FF12EB84}"/>
    <cellStyle name="20% - Accent5 98 3" xfId="7388" xr:uid="{DAFF48F6-7F98-4152-A5C7-FECAF80959CA}"/>
    <cellStyle name="20% - Accent5 98 4" xfId="7389" xr:uid="{3D30E345-44FF-4A9E-B63A-1CDFD49DC575}"/>
    <cellStyle name="20% - Accent5 98_Requirements CBS" xfId="16265" xr:uid="{6C0120E1-01EE-433E-A3A7-1B89B9E64109}"/>
    <cellStyle name="20% - Accent5 99" xfId="7390" xr:uid="{DEF24614-7657-4E64-BDE6-1BD4A2A48808}"/>
    <cellStyle name="20% - Accent5 99 2" xfId="7391" xr:uid="{242ACEAD-1D83-4A88-8686-D49642DA6416}"/>
    <cellStyle name="20% - Accent5 99 2 2" xfId="7392" xr:uid="{BD27E87A-4D2F-4935-A6C7-8FAF3D683B10}"/>
    <cellStyle name="20% - Accent5 99 2_Requirements CBS" xfId="16268" xr:uid="{19E1955A-2FE5-4CAF-897D-6ADB2F0251A6}"/>
    <cellStyle name="20% - Accent5 99 3" xfId="7393" xr:uid="{AC2A61FE-A8F3-4BF7-98E8-C80EC55A41D7}"/>
    <cellStyle name="20% - Accent5 99 4" xfId="7394" xr:uid="{F5CD3EEF-1710-4AF2-BB75-89D35FDFAC6B}"/>
    <cellStyle name="20% - Accent5 99_Requirements CBS" xfId="16267" xr:uid="{4C02D997-3551-4BB5-B160-E2D7A61C0562}"/>
    <cellStyle name="20% - Accent6" xfId="43" builtinId="50" customBuiltin="1"/>
    <cellStyle name="20% - Accent6 10" xfId="7395" xr:uid="{2D01A31F-41F1-4A1A-9344-94B24D6E5E7B}"/>
    <cellStyle name="20% - Accent6 10 2" xfId="7396" xr:uid="{0771E276-88D5-4EC0-A3F9-41F9C16EE770}"/>
    <cellStyle name="20% - Accent6 10 2 2" xfId="7397" xr:uid="{435F46FC-0D3B-48BE-847C-AD6A46393C3B}"/>
    <cellStyle name="20% - Accent6 10 2 2 2" xfId="7398" xr:uid="{B72523EA-E3F5-4960-9D6D-91B69C774B1E}"/>
    <cellStyle name="20% - Accent6 10 2 2_Requirements CBS" xfId="16270" xr:uid="{B1E18A29-5F0C-439B-84D7-2AEC648789FF}"/>
    <cellStyle name="20% - Accent6 10 2 3" xfId="7399" xr:uid="{4B53F239-E971-46F7-B289-AA147D2F208F}"/>
    <cellStyle name="20% - Accent6 10 2 4" xfId="7400" xr:uid="{7A26693A-80B2-4644-B40A-258DAB3FF644}"/>
    <cellStyle name="20% - Accent6 10 2_Requirements CBS" xfId="16269" xr:uid="{7D6A3C03-435F-4C95-90F5-C25C39381912}"/>
    <cellStyle name="20% - Accent6 10 3" xfId="7401" xr:uid="{6B9C7EE7-0C36-43FB-9954-F00FDA0E901E}"/>
    <cellStyle name="20% - Accent6 10 3 2" xfId="7402" xr:uid="{352B6F8D-B6E7-4C69-80D8-9124A1D9E280}"/>
    <cellStyle name="20% - Accent6 10 3_Requirements CBS" xfId="16271" xr:uid="{6ABC605E-A0C9-411C-BA08-5BFB1490011C}"/>
    <cellStyle name="20% - Accent6 10 4" xfId="7403" xr:uid="{652F0A44-2F20-4AF7-B833-83848FB7A7AE}"/>
    <cellStyle name="20% - Accent6 10 5" xfId="7404" xr:uid="{9BD5AD37-4A9E-4CFF-8ECB-CA0A0187DCC7}"/>
    <cellStyle name="20% - Accent6 10_Not_for_upload_before_M4_correc" xfId="14058" xr:uid="{2FDEFF55-A3BB-4101-8410-AB3A487158CE}"/>
    <cellStyle name="20% - Accent6 100" xfId="7405" xr:uid="{45E5D6F8-1C99-4316-B879-F5028CA28C57}"/>
    <cellStyle name="20% - Accent6 100 2" xfId="7406" xr:uid="{9212B04E-2572-4CBA-80FA-17492089B841}"/>
    <cellStyle name="20% - Accent6 100 2 2" xfId="7407" xr:uid="{09C7A8F2-5231-4EC8-A0CB-0DDA990E5337}"/>
    <cellStyle name="20% - Accent6 100 2_Requirements CBS" xfId="16273" xr:uid="{87F65DF7-C85A-4B58-8244-3699F13B1524}"/>
    <cellStyle name="20% - Accent6 100 3" xfId="7408" xr:uid="{B34930C9-8E6E-478E-9EAC-3B14182D97AB}"/>
    <cellStyle name="20% - Accent6 100 4" xfId="7409" xr:uid="{8633945A-ED13-44C6-A682-C8AFF1FD3EC0}"/>
    <cellStyle name="20% - Accent6 100_Requirements CBS" xfId="16272" xr:uid="{B539EC39-281B-4D1A-83EE-B6BA8597CD62}"/>
    <cellStyle name="20% - Accent6 101" xfId="7410" xr:uid="{29319322-3ED6-4145-81C3-693F127B7CF9}"/>
    <cellStyle name="20% - Accent6 101 2" xfId="7411" xr:uid="{5F43A5B2-CD13-48F7-AA71-B8B506392476}"/>
    <cellStyle name="20% - Accent6 101 3" xfId="7412" xr:uid="{85848DA0-6826-4DBE-8A99-E08552C8EF09}"/>
    <cellStyle name="20% - Accent6 101_Requirements CBS" xfId="16274" xr:uid="{4D7E8BAB-E427-4314-A258-D8E32EFD4C6D}"/>
    <cellStyle name="20% - Accent6 102" xfId="7413" xr:uid="{727D43E9-09C2-4A55-A448-79AA9DAF57DF}"/>
    <cellStyle name="20% - Accent6 102 2" xfId="7414" xr:uid="{62D9DA85-FBFE-4A9D-A327-EC7BAE113040}"/>
    <cellStyle name="20% - Accent6 102 3" xfId="7415" xr:uid="{B2E05D4E-1DCF-4908-BC62-F934247CB4CB}"/>
    <cellStyle name="20% - Accent6 102_Requirements CBS" xfId="16275" xr:uid="{932DB7F3-C9DA-42F3-948E-850126301026}"/>
    <cellStyle name="20% - Accent6 103" xfId="7416" xr:uid="{4A0017D6-AA4A-4FE8-A991-92BC2245863F}"/>
    <cellStyle name="20% - Accent6 104" xfId="7417" xr:uid="{74B5B450-8B54-445E-BC97-C23A814FA943}"/>
    <cellStyle name="20% - Accent6 105" xfId="14059" xr:uid="{4AE0832C-E3F6-4E5A-9FDC-58E42231E261}"/>
    <cellStyle name="20% - Accent6 106" xfId="16501" xr:uid="{4B1078E3-0D77-431F-A789-C80B6D71BCEC}"/>
    <cellStyle name="20% - Accent6 107" xfId="16982" xr:uid="{872EB459-98D1-4A63-B2AE-099FCB08C993}"/>
    <cellStyle name="20% - Accent6 108" xfId="3896" xr:uid="{9557F535-0181-4C0F-AB6F-D8B3ECD4AC20}"/>
    <cellStyle name="20% - Accent6 109" xfId="18243" xr:uid="{D36AF18E-59EC-40B9-97DA-74D48DB2108E}"/>
    <cellStyle name="20% - Accent6 11" xfId="7418" xr:uid="{409D17FB-3D39-438E-9A31-2E92B9AE03E3}"/>
    <cellStyle name="20% - Accent6 11 2" xfId="7419" xr:uid="{91B0CA06-1F45-4617-BFBE-9067AD606C32}"/>
    <cellStyle name="20% - Accent6 11 2 2" xfId="7420" xr:uid="{DFDD2DFE-98FF-4EF9-AAFA-6BDED492D40B}"/>
    <cellStyle name="20% - Accent6 11 2 2 2" xfId="7421" xr:uid="{AFD897EF-E4ED-46DB-B39B-D0516CD29D1F}"/>
    <cellStyle name="20% - Accent6 11 2 2_Requirements CBS" xfId="16277" xr:uid="{01E08D7C-4CBE-430E-968C-6035D1819994}"/>
    <cellStyle name="20% - Accent6 11 2 3" xfId="7422" xr:uid="{2A02A487-918A-4DEB-BBE8-BA0E2D272177}"/>
    <cellStyle name="20% - Accent6 11 2 4" xfId="7423" xr:uid="{00C110B2-1DB2-4857-8D6C-365D906E8B9B}"/>
    <cellStyle name="20% - Accent6 11 2_Requirements CBS" xfId="16276" xr:uid="{5926E69A-A0AF-49DF-AA2F-32D1E29DB715}"/>
    <cellStyle name="20% - Accent6 11 3" xfId="7424" xr:uid="{51DFBC0A-F502-4AE1-901B-5E5232A97883}"/>
    <cellStyle name="20% - Accent6 11 3 2" xfId="7425" xr:uid="{F79A0C3A-88E2-4A0B-A5C0-B8D1D56520B5}"/>
    <cellStyle name="20% - Accent6 11 3_Requirements CBS" xfId="16278" xr:uid="{F820779D-E893-4321-85E7-216683F2A871}"/>
    <cellStyle name="20% - Accent6 11 4" xfId="7426" xr:uid="{68DB5626-4373-4A09-B57E-A826F667F36F}"/>
    <cellStyle name="20% - Accent6 11 5" xfId="7427" xr:uid="{E2A38BDB-5A21-449B-BC7F-2AE550E37444}"/>
    <cellStyle name="20% - Accent6 11_Not_for_upload_before_M4_correc" xfId="14060" xr:uid="{38F3F423-577E-4807-92B1-CD2641C8B8A9}"/>
    <cellStyle name="20% - Accent6 12" xfId="7428" xr:uid="{6F002B7E-2A90-431E-B594-29FF0B607E9E}"/>
    <cellStyle name="20% - Accent6 12 2" xfId="7429" xr:uid="{598A0B64-E9D1-4A5B-9374-25152019D584}"/>
    <cellStyle name="20% - Accent6 12 2 2" xfId="7430" xr:uid="{A9A30B39-8CE7-4A56-86C2-CD0875062714}"/>
    <cellStyle name="20% - Accent6 12 2 2 2" xfId="7431" xr:uid="{9F1457C8-3297-4488-9E4E-E66CCB6FB082}"/>
    <cellStyle name="20% - Accent6 12 2 2_Requirements CBS" xfId="16280" xr:uid="{45F4176D-3659-477D-8B24-A537A0386F9D}"/>
    <cellStyle name="20% - Accent6 12 2 3" xfId="7432" xr:uid="{5F0D3370-4589-406C-9781-94851C7C09AC}"/>
    <cellStyle name="20% - Accent6 12 2 4" xfId="7433" xr:uid="{16C3800B-2903-41F7-A159-2539B1104D12}"/>
    <cellStyle name="20% - Accent6 12 2_Requirements CBS" xfId="16279" xr:uid="{FCC5F54F-1782-4E27-B7B7-9AADBE765D81}"/>
    <cellStyle name="20% - Accent6 12 3" xfId="7434" xr:uid="{F797FD69-6F66-4C2A-B28A-3916BA960B22}"/>
    <cellStyle name="20% - Accent6 12 3 2" xfId="7435" xr:uid="{8CF805E5-A7A5-49FD-9FA7-D07909D6145A}"/>
    <cellStyle name="20% - Accent6 12 3_Requirements CBS" xfId="16281" xr:uid="{7D097D03-2AB7-43CE-AEB2-46530B71CA33}"/>
    <cellStyle name="20% - Accent6 12 4" xfId="7436" xr:uid="{C501913C-9A3F-4946-B9B4-9FAEAE73CB62}"/>
    <cellStyle name="20% - Accent6 12 5" xfId="7437" xr:uid="{C81F0966-5D9C-47CD-833C-06E7493C19F3}"/>
    <cellStyle name="20% - Accent6 12_Not_for_upload_before_M4_correc" xfId="14061" xr:uid="{01E1DFE4-1579-4C93-9DF3-7052A6896D4E}"/>
    <cellStyle name="20% - Accent6 13" xfId="7438" xr:uid="{DE806364-66FF-4730-9B76-AA09C6DEC7C6}"/>
    <cellStyle name="20% - Accent6 13 2" xfId="7439" xr:uid="{592510B1-16B2-4381-AE3D-93041ED25FA3}"/>
    <cellStyle name="20% - Accent6 13 2 2" xfId="7440" xr:uid="{7DB7F235-1E30-4F6F-99F0-C3431BD82C98}"/>
    <cellStyle name="20% - Accent6 13 2 2 2" xfId="7441" xr:uid="{1AFB1D04-2048-4FFF-B1A0-5CDA3030195A}"/>
    <cellStyle name="20% - Accent6 13 2 2_Requirements CBS" xfId="16283" xr:uid="{A8E6DB6C-2E6B-49E4-8D6B-61BD37F2E735}"/>
    <cellStyle name="20% - Accent6 13 2 3" xfId="7442" xr:uid="{4D294708-E0C9-492B-BE6F-CAA5AAD0695F}"/>
    <cellStyle name="20% - Accent6 13 2 4" xfId="7443" xr:uid="{67CF8B43-2687-4389-92A6-5A61B00547DA}"/>
    <cellStyle name="20% - Accent6 13 2_Requirements CBS" xfId="16282" xr:uid="{69780510-672E-4082-B6FB-F0996AAFED67}"/>
    <cellStyle name="20% - Accent6 13 3" xfId="7444" xr:uid="{CCF1B239-E023-4AA4-8DFF-8DDDC78999E9}"/>
    <cellStyle name="20% - Accent6 13 3 2" xfId="7445" xr:uid="{1CD6951E-872E-4442-B651-A803F74B953A}"/>
    <cellStyle name="20% - Accent6 13 3_Requirements CBS" xfId="16284" xr:uid="{631562FC-BDEF-4397-BAD5-C37D6DC5801A}"/>
    <cellStyle name="20% - Accent6 13 4" xfId="7446" xr:uid="{966D78A1-9C9F-4436-983C-255A317390FC}"/>
    <cellStyle name="20% - Accent6 13 5" xfId="7447" xr:uid="{E875F744-AAB2-4C82-B89C-89765906AA2B}"/>
    <cellStyle name="20% - Accent6 13_Not_for_upload_before_M4_correc" xfId="14062" xr:uid="{EE9F7E1D-4688-4D1C-BF95-E130B2A672A6}"/>
    <cellStyle name="20% - Accent6 14" xfId="7448" xr:uid="{81E15549-0FFC-4BA5-ACF5-573954450F29}"/>
    <cellStyle name="20% - Accent6 14 2" xfId="7449" xr:uid="{BF2AA198-5B59-427C-89F3-6D956C771566}"/>
    <cellStyle name="20% - Accent6 14 2 2" xfId="7450" xr:uid="{1107A05D-D37E-418D-8A90-9E53A947AE57}"/>
    <cellStyle name="20% - Accent6 14 2 2 2" xfId="7451" xr:uid="{E90C5BFC-6A57-44FF-B89C-D7D5FC241C95}"/>
    <cellStyle name="20% - Accent6 14 2 2_Requirements CBS" xfId="16286" xr:uid="{C3087911-F583-4D81-8FF4-CABB3C4C6C2D}"/>
    <cellStyle name="20% - Accent6 14 2 3" xfId="7452" xr:uid="{37F69BC7-B837-4A48-9C3B-9A82B5A375CE}"/>
    <cellStyle name="20% - Accent6 14 2 4" xfId="7453" xr:uid="{E9451A13-2778-469C-9AA9-59316F838647}"/>
    <cellStyle name="20% - Accent6 14 2_Requirements CBS" xfId="16285" xr:uid="{A839F57E-9057-4737-BE2F-F90DCCB7CC2F}"/>
    <cellStyle name="20% - Accent6 14 3" xfId="7454" xr:uid="{FAA2C80F-1F85-4B5D-A459-A271C2BC1997}"/>
    <cellStyle name="20% - Accent6 14 3 2" xfId="7455" xr:uid="{BA9F8647-969D-4D1F-872B-A55562EC2A3E}"/>
    <cellStyle name="20% - Accent6 14 3_Requirements CBS" xfId="16287" xr:uid="{CAE8961C-DE74-40C2-9B4D-139D5F67BB73}"/>
    <cellStyle name="20% - Accent6 14 4" xfId="7456" xr:uid="{FAE1CCD1-D77D-4241-B42C-58186B8E0A4A}"/>
    <cellStyle name="20% - Accent6 14 5" xfId="7457" xr:uid="{A4DF4189-C078-4D83-961D-A7CD1120AB0F}"/>
    <cellStyle name="20% - Accent6 14_Not_for_upload_before_M4_correc" xfId="14063" xr:uid="{29D73EFF-F03F-4386-982C-3AF0951B509E}"/>
    <cellStyle name="20% - Accent6 15" xfId="7458" xr:uid="{0BA11985-0631-4AFC-8DB5-FDAD1DC58AD7}"/>
    <cellStyle name="20% - Accent6 15 2" xfId="7459" xr:uid="{7AFCAD96-F694-414D-8443-90D0E4CBE3A9}"/>
    <cellStyle name="20% - Accent6 15 2 2" xfId="7460" xr:uid="{3E181612-3F32-4E8F-B79C-83E4F984C519}"/>
    <cellStyle name="20% - Accent6 15 2 2 2" xfId="7461" xr:uid="{1F0BD22B-6633-4FFD-8194-4B4B4D536FED}"/>
    <cellStyle name="20% - Accent6 15 2 2_Requirements CBS" xfId="16289" xr:uid="{BDBC93D3-F35D-4820-BE6C-D3D2267381C1}"/>
    <cellStyle name="20% - Accent6 15 2 3" xfId="7462" xr:uid="{38EE337B-B081-4A4E-9687-32B5DBC5ADD4}"/>
    <cellStyle name="20% - Accent6 15 2 4" xfId="7463" xr:uid="{B4031D25-3FA9-41F4-BDAE-9EEDC98357D0}"/>
    <cellStyle name="20% - Accent6 15 2_Requirements CBS" xfId="16288" xr:uid="{9DF7A421-4BA8-4D5B-93A7-0F931C100223}"/>
    <cellStyle name="20% - Accent6 15 3" xfId="7464" xr:uid="{DCE8B72D-4027-4ADE-80F2-D2E68E470070}"/>
    <cellStyle name="20% - Accent6 15 3 2" xfId="7465" xr:uid="{650BF038-577A-494C-A2DB-A758F73C10A6}"/>
    <cellStyle name="20% - Accent6 15 3_Requirements CBS" xfId="16290" xr:uid="{B6012C9E-157D-4A26-AD1C-221B3095437F}"/>
    <cellStyle name="20% - Accent6 15 4" xfId="7466" xr:uid="{96547614-0CDD-4E65-8DA6-4A3F8242F7C5}"/>
    <cellStyle name="20% - Accent6 15 5" xfId="7467" xr:uid="{5D7F31C6-621D-4E8F-B105-F833FA30C329}"/>
    <cellStyle name="20% - Accent6 15_Not_for_upload_before_M4_correc" xfId="14064" xr:uid="{6D899455-CAF2-4382-81B6-3C6BBECA7330}"/>
    <cellStyle name="20% - Accent6 16" xfId="7468" xr:uid="{76566D06-35E9-439A-A14E-41E95C9C7E30}"/>
    <cellStyle name="20% - Accent6 16 2" xfId="7469" xr:uid="{EDEFDB5D-0B52-472D-BF5A-981F28D5F70A}"/>
    <cellStyle name="20% - Accent6 16 2 2" xfId="7470" xr:uid="{90F70569-EFCC-499E-BFF9-C81F24903039}"/>
    <cellStyle name="20% - Accent6 16 2 2 2" xfId="7471" xr:uid="{0F5EBC76-0101-49FA-9497-10A608249F8F}"/>
    <cellStyle name="20% - Accent6 16 2 2_Requirements CBS" xfId="16292" xr:uid="{E4F82564-C286-4899-B572-86D4803F2199}"/>
    <cellStyle name="20% - Accent6 16 2 3" xfId="7472" xr:uid="{8672A1CF-F5DA-4AAD-858E-B53FB3892382}"/>
    <cellStyle name="20% - Accent6 16 2 4" xfId="7473" xr:uid="{819513D0-7C45-46AF-A2EA-A48EDC133BED}"/>
    <cellStyle name="20% - Accent6 16 2_Requirements CBS" xfId="16291" xr:uid="{8C32E072-342B-41C8-88C6-FFBCDFB6F268}"/>
    <cellStyle name="20% - Accent6 16 3" xfId="7474" xr:uid="{4433F338-3F74-48F2-8A05-29C3C2B14135}"/>
    <cellStyle name="20% - Accent6 16 3 2" xfId="7475" xr:uid="{E9E51C25-AE8E-403D-920B-010E010D11E7}"/>
    <cellStyle name="20% - Accent6 16 3_Requirements CBS" xfId="16293" xr:uid="{532CF4E4-9808-4F23-8090-31358E2062CE}"/>
    <cellStyle name="20% - Accent6 16 4" xfId="7476" xr:uid="{9A8D8557-065B-4FB1-9249-BD6C66FADEB9}"/>
    <cellStyle name="20% - Accent6 16 5" xfId="7477" xr:uid="{664D322A-0DD5-4C5C-8726-D3BEAE3A2E55}"/>
    <cellStyle name="20% - Accent6 16_Not_for_upload_before_M4_correc" xfId="14065" xr:uid="{42D7FD2B-4179-4867-9A59-C9467032D6C3}"/>
    <cellStyle name="20% - Accent6 17" xfId="7478" xr:uid="{8DD1DD95-7B3E-46F7-A783-65F49A74B48B}"/>
    <cellStyle name="20% - Accent6 17 2" xfId="7479" xr:uid="{DE4BF6DD-73C7-4365-BD23-74E7DC0B248D}"/>
    <cellStyle name="20% - Accent6 17 2 2" xfId="7480" xr:uid="{F2817FDC-F834-4DF2-81BE-E97DC23A1D0E}"/>
    <cellStyle name="20% - Accent6 17 2 2 2" xfId="7481" xr:uid="{8A58E3EF-318D-4901-8925-2348BBEA88D4}"/>
    <cellStyle name="20% - Accent6 17 2 2_Requirements CBS" xfId="16295" xr:uid="{1D693C8B-CEFC-46FF-B724-70BD2950694E}"/>
    <cellStyle name="20% - Accent6 17 2 3" xfId="7482" xr:uid="{80231F6F-A2EE-404D-850F-41DA7F8A369A}"/>
    <cellStyle name="20% - Accent6 17 2 4" xfId="7483" xr:uid="{1E79B177-1A91-43F4-991C-32DA16CA6A4F}"/>
    <cellStyle name="20% - Accent6 17 2_Requirements CBS" xfId="16294" xr:uid="{4E37895C-3D9E-482B-8284-DD51F39E5F79}"/>
    <cellStyle name="20% - Accent6 17 3" xfId="7484" xr:uid="{CD8798F4-2C01-476D-98A7-4AC1AD8C3330}"/>
    <cellStyle name="20% - Accent6 17 3 2" xfId="7485" xr:uid="{C845631C-D729-4786-9BA5-0DB424101BF0}"/>
    <cellStyle name="20% - Accent6 17 3_Requirements CBS" xfId="16296" xr:uid="{48CC14F7-2D1D-4E5C-87F0-6CDC88C4783A}"/>
    <cellStyle name="20% - Accent6 17 4" xfId="7486" xr:uid="{47669FD4-90AC-4B26-A541-14116F3266AA}"/>
    <cellStyle name="20% - Accent6 17 5" xfId="7487" xr:uid="{F32FAFDF-69F5-4F28-B4ED-0751A523C76F}"/>
    <cellStyle name="20% - Accent6 17_Not_for_upload_before_M4_correc" xfId="14066" xr:uid="{0F9C003C-745F-4A17-BAE1-DDE49B521E50}"/>
    <cellStyle name="20% - Accent6 18" xfId="7488" xr:uid="{8B0C14BF-D7C1-4A21-AF70-F80BF83C6008}"/>
    <cellStyle name="20% - Accent6 18 2" xfId="7489" xr:uid="{F7714A9D-FD04-42CF-A9DE-BCF2056358AE}"/>
    <cellStyle name="20% - Accent6 18 2 2" xfId="7490" xr:uid="{9B39353F-613C-4A0C-AC2D-B4C275B97CCF}"/>
    <cellStyle name="20% - Accent6 18 2 2 2" xfId="7491" xr:uid="{044C58BC-9505-4101-8778-F44AA3968FC0}"/>
    <cellStyle name="20% - Accent6 18 2 2_Requirements CBS" xfId="16298" xr:uid="{77F6994E-6B8D-4C55-A70A-D82C84456593}"/>
    <cellStyle name="20% - Accent6 18 2 3" xfId="7492" xr:uid="{A085E5A5-0310-43C0-B677-AFCFF48B0E75}"/>
    <cellStyle name="20% - Accent6 18 2 4" xfId="7493" xr:uid="{CB64C60D-78E6-4FCB-9511-BF2040DD15FE}"/>
    <cellStyle name="20% - Accent6 18 2_Requirements CBS" xfId="16297" xr:uid="{0E672D49-83F7-4D61-A3F7-50B7BBA72058}"/>
    <cellStyle name="20% - Accent6 18 3" xfId="7494" xr:uid="{6172BEFC-2E98-48E1-94B1-3525DEF3D020}"/>
    <cellStyle name="20% - Accent6 18 3 2" xfId="7495" xr:uid="{14A2AF19-A6D7-4654-AF88-A32E2888FE2F}"/>
    <cellStyle name="20% - Accent6 18 3_Requirements CBS" xfId="16299" xr:uid="{18524149-CBDC-4537-A0AA-2548CD55E318}"/>
    <cellStyle name="20% - Accent6 18 4" xfId="7496" xr:uid="{829E16DB-EE8D-423E-9D2B-6CE11E02DCA4}"/>
    <cellStyle name="20% - Accent6 18 5" xfId="7497" xr:uid="{35DD7B3E-D959-4194-8428-793878CDD335}"/>
    <cellStyle name="20% - Accent6 18_Not_for_upload_before_M4_correc" xfId="14067" xr:uid="{4E02BEEF-E2A4-4181-84ED-8B7D024EA4FD}"/>
    <cellStyle name="20% - Accent6 19" xfId="7498" xr:uid="{B0102746-F327-4848-9523-4C09BDEA2367}"/>
    <cellStyle name="20% - Accent6 19 2" xfId="7499" xr:uid="{1493D394-8200-42DA-8CF9-0D7EC1237124}"/>
    <cellStyle name="20% - Accent6 19 2 2" xfId="7500" xr:uid="{12E55FC8-0E85-4FA2-A114-ACAC089219AE}"/>
    <cellStyle name="20% - Accent6 19 2 2 2" xfId="7501" xr:uid="{B1BEF309-C652-47D2-9754-B0FC0ABEE878}"/>
    <cellStyle name="20% - Accent6 19 2 2_Requirements CBS" xfId="16301" xr:uid="{46E2CCB3-20E6-4CB4-8873-4D837C4F4087}"/>
    <cellStyle name="20% - Accent6 19 2 3" xfId="7502" xr:uid="{7D2C3FB4-9FE8-4F90-8B79-427299E33A7F}"/>
    <cellStyle name="20% - Accent6 19 2 4" xfId="7503" xr:uid="{8BE35EA7-569C-45BB-90D7-86ECF243BD24}"/>
    <cellStyle name="20% - Accent6 19 2_Requirements CBS" xfId="16300" xr:uid="{5B5E3304-B4B1-463B-9D0E-67BBD6073323}"/>
    <cellStyle name="20% - Accent6 19 3" xfId="7504" xr:uid="{B3017BF1-3FE0-47CB-81E3-E1E2998A1338}"/>
    <cellStyle name="20% - Accent6 19 3 2" xfId="7505" xr:uid="{EB0A05F1-11B9-4E7F-902D-A05D4ADCC78C}"/>
    <cellStyle name="20% - Accent6 19 3_Requirements CBS" xfId="16302" xr:uid="{D8875B0C-E9DA-489A-9821-309DCA3C8F74}"/>
    <cellStyle name="20% - Accent6 19 4" xfId="7506" xr:uid="{C066C973-D600-4901-B151-24D349C43D33}"/>
    <cellStyle name="20% - Accent6 19 5" xfId="7507" xr:uid="{7DDB5AC5-1568-4AA4-9F30-09FD4C0FC14C}"/>
    <cellStyle name="20% - Accent6 19_Not_for_upload_before_M4_correc" xfId="14068" xr:uid="{ACB90BC1-008D-4F59-9BC5-902DA389F5BC}"/>
    <cellStyle name="20% - Accent6 2" xfId="87" xr:uid="{E9B6F5E1-70F3-4C69-8C50-A0BF72A2A32E}"/>
    <cellStyle name="20% - Accent6 2 10" xfId="7508" xr:uid="{11CC74E0-BCF5-4C5C-A99D-D1FCDA45490C}"/>
    <cellStyle name="20% - Accent6 2 11" xfId="17563" xr:uid="{F6410AFF-F98B-4020-871D-C4B5B5EAEC7E}"/>
    <cellStyle name="20% - Accent6 2 2" xfId="88" xr:uid="{5966B549-59C0-4A01-B5F3-AB102B9387CC}"/>
    <cellStyle name="20% - Accent6 2 2 2" xfId="1918" xr:uid="{616C0ADF-69A9-4089-B782-C5EE46E2A763}"/>
    <cellStyle name="20% - Accent6 2 2 2 2" xfId="7511" xr:uid="{B9E3DBA6-71D2-422D-8D9C-74C93077E844}"/>
    <cellStyle name="20% - Accent6 2 2 2 2 2" xfId="7512" xr:uid="{ECEF0E62-578B-4EFA-94D9-160B163D4FA8}"/>
    <cellStyle name="20% - Accent6 2 2 2 2_Requirements CBS" xfId="16304" xr:uid="{09C5F70A-5DD2-404E-8DB9-2DE0DB9CADF7}"/>
    <cellStyle name="20% - Accent6 2 2 2 3" xfId="7513" xr:uid="{DF404B51-78D7-47DA-BC01-F763AB714572}"/>
    <cellStyle name="20% - Accent6 2 2 2 4" xfId="7514" xr:uid="{777BF99B-31B5-4ADA-8173-1FABDB74F79C}"/>
    <cellStyle name="20% - Accent6 2 2 2 5" xfId="17648" xr:uid="{1843092E-32C8-4318-92A2-EA762B176CCD}"/>
    <cellStyle name="20% - Accent6 2 2 2 6" xfId="18201" xr:uid="{018E8F2A-637A-4E6C-9C2D-9A92434BA5B1}"/>
    <cellStyle name="20% - Accent6 2 2 2 7" xfId="7510" xr:uid="{D9F1FAB3-98DB-4CB5-A043-45A590430A2E}"/>
    <cellStyle name="20% - Accent6 2 2 2_Requirements CBS" xfId="16303" xr:uid="{707E5076-17C4-4ABE-9D48-3996845F59C3}"/>
    <cellStyle name="20% - Accent6 2 2 3" xfId="7515" xr:uid="{DE467AFD-A091-4F9E-83F2-4914189CE277}"/>
    <cellStyle name="20% - Accent6 2 2 3 2" xfId="7516" xr:uid="{AD4AE2F0-22A7-4D32-9255-432377E1CCFF}"/>
    <cellStyle name="20% - Accent6 2 2 3_Requirements CBS" xfId="16305" xr:uid="{F5DFEA53-215D-475A-BA6D-34E50E614318}"/>
    <cellStyle name="20% - Accent6 2 2 4" xfId="7517" xr:uid="{F35A5CC4-E339-490B-9DFE-7269470A4850}"/>
    <cellStyle name="20% - Accent6 2 2 5" xfId="7518" xr:uid="{D48CD28A-0E60-4A01-9486-0FBAA7B196A5}"/>
    <cellStyle name="20% - Accent6 2 2 6" xfId="7509" xr:uid="{10756D95-1805-410C-AFB9-6D65F54A52FD}"/>
    <cellStyle name="20% - Accent6 2 2 7" xfId="16520" xr:uid="{384F7834-5983-403D-92C5-C0D51FE0D2E9}"/>
    <cellStyle name="20% - Accent6 2 2 8" xfId="16975" xr:uid="{7D3F2602-01F9-4CB8-93BC-19E88670B3DC}"/>
    <cellStyle name="20% - Accent6 2 2_Not_for_upload_before_M4_correc" xfId="14069" xr:uid="{7BB52667-933B-435B-BF08-FFC7F1B77E6B}"/>
    <cellStyle name="20% - Accent6 2 3" xfId="1917" xr:uid="{AF2C58C7-24F7-4DE9-8F4C-2F4CA283ABFF}"/>
    <cellStyle name="20% - Accent6 2 3 2" xfId="7520" xr:uid="{E46A44E9-085F-4BEF-AAE6-DBA83834F26E}"/>
    <cellStyle name="20% - Accent6 2 3 2 2" xfId="7521" xr:uid="{CECB00A0-CFE7-4867-AD3A-FB6D383DAEF8}"/>
    <cellStyle name="20% - Accent6 2 3 2 2 2" xfId="7522" xr:uid="{E094487A-B10F-42BC-B48A-002B5D47D13D}"/>
    <cellStyle name="20% - Accent6 2 3 2 2_Requirements CBS" xfId="16307" xr:uid="{CAC22F2E-87C2-4927-BE0E-C140EF4C7EFD}"/>
    <cellStyle name="20% - Accent6 2 3 2 3" xfId="7523" xr:uid="{C401FA95-CEE9-4439-A5B6-F2B11C20C0C4}"/>
    <cellStyle name="20% - Accent6 2 3 2 4" xfId="7524" xr:uid="{146E4865-A700-4C43-8336-4183BCAB2FE4}"/>
    <cellStyle name="20% - Accent6 2 3 2_Requirements CBS" xfId="16306" xr:uid="{BB848282-5C76-4934-9D78-887A6F3E3AE2}"/>
    <cellStyle name="20% - Accent6 2 3 3" xfId="7525" xr:uid="{D6EDBBEF-E81E-45F1-829A-CCAB0F8BACC7}"/>
    <cellStyle name="20% - Accent6 2 3 3 2" xfId="7526" xr:uid="{2D4FE0DB-1E2E-43CF-A46C-3C6C2322122F}"/>
    <cellStyle name="20% - Accent6 2 3 3_Requirements CBS" xfId="16308" xr:uid="{BF1A25E9-81BE-461F-ACFE-0776C6FEFABD}"/>
    <cellStyle name="20% - Accent6 2 3 4" xfId="7527" xr:uid="{2D79EC03-D275-4C70-B550-19C8892671DC}"/>
    <cellStyle name="20% - Accent6 2 3 5" xfId="7528" xr:uid="{EFDF2652-2E4D-49A8-AEB9-8748E8E8809C}"/>
    <cellStyle name="20% - Accent6 2 3 6" xfId="17647" xr:uid="{0B1156DB-2BC3-4C10-ADDF-40EA245DDEFB}"/>
    <cellStyle name="20% - Accent6 2 3 7" xfId="18200" xr:uid="{9FF57943-E8BB-4E1A-9E25-168F800EC2A5}"/>
    <cellStyle name="20% - Accent6 2 3 8" xfId="7519" xr:uid="{336FF275-251B-4B74-A909-7F85722639C3}"/>
    <cellStyle name="20% - Accent6 2 3_Not_for_upload_before_M4_correc" xfId="14070" xr:uid="{056F4CE3-F1E0-43AB-BA02-A9FB7F010239}"/>
    <cellStyle name="20% - Accent6 2 4" xfId="7529" xr:uid="{A6528E6A-8AD3-4136-98E4-973801BCBB9E}"/>
    <cellStyle name="20% - Accent6 2 4 2" xfId="7530" xr:uid="{032E312C-90DD-4C76-950F-D02EFFAB2A57}"/>
    <cellStyle name="20% - Accent6 2 4 2 2" xfId="7531" xr:uid="{EC5C17B7-1D05-483B-B51D-8770F17F2AB1}"/>
    <cellStyle name="20% - Accent6 2 4 2 2 2" xfId="7532" xr:uid="{7BB4E4B5-9C17-4464-BC16-A3F5C6D2F433}"/>
    <cellStyle name="20% - Accent6 2 4 2 2_Requirements CBS" xfId="16310" xr:uid="{0A03971B-88AA-466D-939F-E6249929B8D6}"/>
    <cellStyle name="20% - Accent6 2 4 2 3" xfId="7533" xr:uid="{23D25DD3-8EA6-4855-AF02-0B859532E2F6}"/>
    <cellStyle name="20% - Accent6 2 4 2 4" xfId="7534" xr:uid="{15B4010C-944F-44EF-80CF-27A57E354747}"/>
    <cellStyle name="20% - Accent6 2 4 2_Requirements CBS" xfId="16309" xr:uid="{3531798C-88DF-4926-86BA-FB8E38271E87}"/>
    <cellStyle name="20% - Accent6 2 4 3" xfId="7535" xr:uid="{E4D021EC-046F-4D93-A055-8DA11FCAAA07}"/>
    <cellStyle name="20% - Accent6 2 4 3 2" xfId="7536" xr:uid="{C007B5FF-FC32-46E8-9D29-756F4102C86D}"/>
    <cellStyle name="20% - Accent6 2 4 3_Requirements CBS" xfId="16311" xr:uid="{53C763A8-F192-41C2-AD3A-AE2EA5C122F5}"/>
    <cellStyle name="20% - Accent6 2 4 4" xfId="7537" xr:uid="{503E08D8-D708-4E59-BED7-D445600BF60D}"/>
    <cellStyle name="20% - Accent6 2 4 5" xfId="7538" xr:uid="{64BFA35B-8DCE-4F9E-ABCA-BFF139916CE4}"/>
    <cellStyle name="20% - Accent6 2 4_Not_for_upload_before_M4_correc" xfId="14071" xr:uid="{001F1A62-33E5-475D-972C-C016AEF2D984}"/>
    <cellStyle name="20% - Accent6 2 5" xfId="7539" xr:uid="{00E07F8A-D1F0-4C5F-81B6-050C3D0F5354}"/>
    <cellStyle name="20% - Accent6 2 5 2" xfId="7540" xr:uid="{B98BBBDF-F912-465C-8F35-400202105E50}"/>
    <cellStyle name="20% - Accent6 2 5 2 2" xfId="7541" xr:uid="{E97BFA17-EADF-45BE-BA9E-6E683C514EDF}"/>
    <cellStyle name="20% - Accent6 2 5 2_Requirements CBS" xfId="16313" xr:uid="{97F3266E-BDB0-48C4-B753-4F6D1BE17D64}"/>
    <cellStyle name="20% - Accent6 2 5 3" xfId="7542" xr:uid="{757B256A-0D2D-40DB-A282-D2944724E90C}"/>
    <cellStyle name="20% - Accent6 2 5_Requirements CBS" xfId="16312" xr:uid="{3D25CAF3-60DB-4F77-B5C2-A5EE580741AC}"/>
    <cellStyle name="20% - Accent6 2 6" xfId="7543" xr:uid="{0BB68425-68B2-4F81-BB1E-5528D15AAEFA}"/>
    <cellStyle name="20% - Accent6 2 6 2" xfId="7544" xr:uid="{AE68423D-4EA4-4906-9D86-2F197DB50019}"/>
    <cellStyle name="20% - Accent6 2 6_Requirements CBS" xfId="16314" xr:uid="{5FB09405-4869-48DD-A264-A6309453E387}"/>
    <cellStyle name="20% - Accent6 2 7" xfId="7545" xr:uid="{1A40843D-4BDF-4B46-9F7F-F2B962E1A64F}"/>
    <cellStyle name="20% - Accent6 2 7 2" xfId="7546" xr:uid="{EA516611-0C92-4CE6-A926-394B7EFB2875}"/>
    <cellStyle name="20% - Accent6 2 7_Requirements CBS" xfId="16315" xr:uid="{1B9A5F20-4308-4508-8E82-6ECC6D718678}"/>
    <cellStyle name="20% - Accent6 2 8" xfId="7547" xr:uid="{AD50E177-697C-4415-9DBA-601C0762362D}"/>
    <cellStyle name="20% - Accent6 2 9" xfId="7548" xr:uid="{22AC329A-BB2D-4E14-8112-0E7BD5C76BA6}"/>
    <cellStyle name="20% - Accent6 2_Not_for_upload_before_M4_correc" xfId="14072" xr:uid="{87D1C6D3-5F46-4E76-A62F-5E5DAFAC2980}"/>
    <cellStyle name="20% - Accent6 20" xfId="7549" xr:uid="{BC559182-7EF3-495E-8659-0748836F45B7}"/>
    <cellStyle name="20% - Accent6 20 2" xfId="7550" xr:uid="{F44352B1-937F-4A48-A8E0-CE8512C4D957}"/>
    <cellStyle name="20% - Accent6 20 2 2" xfId="7551" xr:uid="{9A762F8B-BD55-4F91-916F-E603C216CDAF}"/>
    <cellStyle name="20% - Accent6 20 2 2 2" xfId="7552" xr:uid="{E26988C3-94FE-4D80-BC21-DD9397B5E17E}"/>
    <cellStyle name="20% - Accent6 20 2 2_Requirements CBS" xfId="16317" xr:uid="{9B31CBC9-7147-4FD9-BFEF-6649064802F5}"/>
    <cellStyle name="20% - Accent6 20 2 3" xfId="7553" xr:uid="{719C0604-3D6D-4EEF-A4D8-037B03E976CA}"/>
    <cellStyle name="20% - Accent6 20 2 4" xfId="7554" xr:uid="{FE4AB297-D457-4A6D-8DC1-DC3C3FFB0B50}"/>
    <cellStyle name="20% - Accent6 20 2_Requirements CBS" xfId="16316" xr:uid="{B25AC424-BD07-4F80-9304-95171A431241}"/>
    <cellStyle name="20% - Accent6 20 3" xfId="7555" xr:uid="{D8D68E36-D21E-4907-9B0B-BDA9FB2BA857}"/>
    <cellStyle name="20% - Accent6 20 3 2" xfId="7556" xr:uid="{030A2F58-6E2E-402E-864F-4C50FA5A8C20}"/>
    <cellStyle name="20% - Accent6 20 3_Requirements CBS" xfId="16318" xr:uid="{43EE534E-F3AF-498E-A821-ADA72D4722A5}"/>
    <cellStyle name="20% - Accent6 20 4" xfId="7557" xr:uid="{6457604A-C537-4BE2-A1F9-0DCDE9FB0867}"/>
    <cellStyle name="20% - Accent6 20 5" xfId="7558" xr:uid="{5EB5DF06-2EB5-4018-86DD-8196D2F63737}"/>
    <cellStyle name="20% - Accent6 20_Not_for_upload_before_M4_correc" xfId="14073" xr:uid="{0986CA8D-77E0-4545-893C-E5315AA0D817}"/>
    <cellStyle name="20% - Accent6 21" xfId="7559" xr:uid="{3F8D27B4-7607-412B-BDBF-6E1A6BD22D32}"/>
    <cellStyle name="20% - Accent6 21 2" xfId="7560" xr:uid="{4C825459-B8FC-4E88-B778-5290FCBA1D54}"/>
    <cellStyle name="20% - Accent6 21 2 2" xfId="7561" xr:uid="{0C1A8447-11D0-4FBE-8FE4-B5B0CCF5B9C4}"/>
    <cellStyle name="20% - Accent6 21 2 2 2" xfId="7562" xr:uid="{8134CC9F-9A09-4911-B865-CC50CD0A77DE}"/>
    <cellStyle name="20% - Accent6 21 2 2_Requirements CBS" xfId="16320" xr:uid="{4EEB3F67-2E95-432A-BDA6-111EEA7399BF}"/>
    <cellStyle name="20% - Accent6 21 2 3" xfId="7563" xr:uid="{36B916C0-88B5-4414-9F45-514628F34242}"/>
    <cellStyle name="20% - Accent6 21 2 4" xfId="7564" xr:uid="{019F4DAD-EA65-4CE4-AD4E-CF26DDDDB361}"/>
    <cellStyle name="20% - Accent6 21 2_Requirements CBS" xfId="16319" xr:uid="{9ED66818-3471-4296-8289-A88568A26963}"/>
    <cellStyle name="20% - Accent6 21 3" xfId="7565" xr:uid="{E62E38C8-6D87-4438-8267-DBA9E278CC31}"/>
    <cellStyle name="20% - Accent6 21 3 2" xfId="7566" xr:uid="{0210F045-9562-4ADD-830F-47A085B12D7E}"/>
    <cellStyle name="20% - Accent6 21 3_Requirements CBS" xfId="16321" xr:uid="{5757013A-D5A6-47C9-B807-61149AA2AF4D}"/>
    <cellStyle name="20% - Accent6 21 4" xfId="7567" xr:uid="{5E7EEC68-423A-45AE-98E7-1F42EA466084}"/>
    <cellStyle name="20% - Accent6 21 5" xfId="7568" xr:uid="{48E76BCF-A4B1-4803-BA57-BD553FCA86A5}"/>
    <cellStyle name="20% - Accent6 21_Not_for_upload_before_M4_correc" xfId="14074" xr:uid="{0D73BABD-57FA-4239-BEA6-82F0B885D953}"/>
    <cellStyle name="20% - Accent6 22" xfId="7569" xr:uid="{1B8CCA4B-33D8-4AB9-BA18-7358302A3A8B}"/>
    <cellStyle name="20% - Accent6 22 2" xfId="7570" xr:uid="{E712E90D-6AD8-4AB7-8811-F650C939B134}"/>
    <cellStyle name="20% - Accent6 22 2 2" xfId="7571" xr:uid="{A6505342-0BB5-40FA-9932-8947CC116928}"/>
    <cellStyle name="20% - Accent6 22 2 2 2" xfId="7572" xr:uid="{AE497EB9-EC25-44E0-9EF9-E78D15FF6384}"/>
    <cellStyle name="20% - Accent6 22 2 2_Requirements CBS" xfId="16323" xr:uid="{02B76AE1-94C4-499C-93CF-C2464020CAC8}"/>
    <cellStyle name="20% - Accent6 22 2 3" xfId="7573" xr:uid="{870F7152-E21C-4BCF-B34D-B03169183520}"/>
    <cellStyle name="20% - Accent6 22 2 4" xfId="7574" xr:uid="{8897DD87-84BD-4ABB-BB5F-C3BA4A08E52C}"/>
    <cellStyle name="20% - Accent6 22 2_Requirements CBS" xfId="16322" xr:uid="{89E75C55-4C24-486C-AE12-DDDDBA4FAEAA}"/>
    <cellStyle name="20% - Accent6 22 3" xfId="7575" xr:uid="{BC87E406-F423-45A9-91F4-6FB64EFD3FC7}"/>
    <cellStyle name="20% - Accent6 22 3 2" xfId="7576" xr:uid="{F240421B-7CDF-415C-8AF2-5024669F2535}"/>
    <cellStyle name="20% - Accent6 22 3_Requirements CBS" xfId="16324" xr:uid="{913628DF-AAB9-41FF-BDA1-81FF8D1449FA}"/>
    <cellStyle name="20% - Accent6 22 4" xfId="7577" xr:uid="{109924A6-993A-47B0-A9B6-0865C9C46D32}"/>
    <cellStyle name="20% - Accent6 22 5" xfId="7578" xr:uid="{E0DF4DE5-7F19-46E0-ABA0-B8722A7DAB1F}"/>
    <cellStyle name="20% - Accent6 22_Not_for_upload_before_M4_correc" xfId="14075" xr:uid="{E93DC460-C23C-4DA8-A3BC-37D2E5483BAA}"/>
    <cellStyle name="20% - Accent6 23" xfId="7579" xr:uid="{9AB3DAF4-5D26-492B-A021-CEAA8C5D99CB}"/>
    <cellStyle name="20% - Accent6 23 2" xfId="7580" xr:uid="{A2438381-5D9A-4C18-BED3-A294EB269D4A}"/>
    <cellStyle name="20% - Accent6 23 2 2" xfId="7581" xr:uid="{0E11BD78-AB16-4F20-BE51-73DF564CB66B}"/>
    <cellStyle name="20% - Accent6 23 2 2 2" xfId="7582" xr:uid="{20755B03-5C71-41D7-87C3-8591A77EC058}"/>
    <cellStyle name="20% - Accent6 23 2 2_Requirements CBS" xfId="16326" xr:uid="{7DFB5711-17A2-48E8-B6FE-1EF65F5AA171}"/>
    <cellStyle name="20% - Accent6 23 2 3" xfId="7583" xr:uid="{76123A65-9277-47F3-837F-A9A5388B40EA}"/>
    <cellStyle name="20% - Accent6 23 2 4" xfId="7584" xr:uid="{F611BB75-6C2B-45F5-B435-6C19773B8371}"/>
    <cellStyle name="20% - Accent6 23 2_Requirements CBS" xfId="16325" xr:uid="{3EA8A12F-597F-4596-AF99-86499500AF49}"/>
    <cellStyle name="20% - Accent6 23 3" xfId="7585" xr:uid="{15036DA3-52CD-47BA-8C86-13287E42D097}"/>
    <cellStyle name="20% - Accent6 23 3 2" xfId="7586" xr:uid="{E65F4777-C47F-4748-B31B-6934E7A2187F}"/>
    <cellStyle name="20% - Accent6 23 3_Requirements CBS" xfId="16327" xr:uid="{762982D6-4489-457D-A05A-C7C547EAEB8A}"/>
    <cellStyle name="20% - Accent6 23 4" xfId="7587" xr:uid="{3B17497C-CC56-4CFD-9592-AFB91B528C32}"/>
    <cellStyle name="20% - Accent6 23 5" xfId="7588" xr:uid="{90AE0FF9-58AA-4AB7-9167-E53AE84049E5}"/>
    <cellStyle name="20% - Accent6 23_Not_for_upload_before_M4_correc" xfId="14076" xr:uid="{386319DD-963B-4A21-9C2B-BCAF0BDAA766}"/>
    <cellStyle name="20% - Accent6 24" xfId="7589" xr:uid="{011B41E6-8BC2-4ACF-AA09-FFE9643CE077}"/>
    <cellStyle name="20% - Accent6 24 2" xfId="7590" xr:uid="{B947058D-B255-423B-911B-79DA872013A0}"/>
    <cellStyle name="20% - Accent6 24 2 2" xfId="7591" xr:uid="{15942353-C5FE-496F-A0E2-9A1CE445FACB}"/>
    <cellStyle name="20% - Accent6 24 2 2 2" xfId="7592" xr:uid="{4196BFA0-0E4B-4B88-A63A-D996A5C43654}"/>
    <cellStyle name="20% - Accent6 24 2 2_Requirements CBS" xfId="16329" xr:uid="{569DE22D-A038-45D3-88E5-588611ECC5CC}"/>
    <cellStyle name="20% - Accent6 24 2 3" xfId="7593" xr:uid="{0A55AD8B-A92F-4BB1-A7BF-457B7CA7036C}"/>
    <cellStyle name="20% - Accent6 24 2 4" xfId="7594" xr:uid="{3C9D991B-CC76-4096-88D8-6425FC1A606E}"/>
    <cellStyle name="20% - Accent6 24 2_Requirements CBS" xfId="16328" xr:uid="{FE570C0F-D8DB-4E1A-B035-A045D108E5D3}"/>
    <cellStyle name="20% - Accent6 24 3" xfId="7595" xr:uid="{CDCD1306-FB6A-493E-95A9-62E3916DBA25}"/>
    <cellStyle name="20% - Accent6 24 3 2" xfId="7596" xr:uid="{A3E46B08-C258-48F5-AB79-AF577F4AC2D5}"/>
    <cellStyle name="20% - Accent6 24 3_Requirements CBS" xfId="16330" xr:uid="{8A52FBA2-902B-4020-9AD9-F3971F392123}"/>
    <cellStyle name="20% - Accent6 24 4" xfId="7597" xr:uid="{464E9EE7-1FC3-4F86-807F-51073DDEBC9F}"/>
    <cellStyle name="20% - Accent6 24 5" xfId="7598" xr:uid="{AA4614CD-61C1-4642-9A33-1CE68DE26EB6}"/>
    <cellStyle name="20% - Accent6 24_Not_for_upload_before_M4_correc" xfId="14077" xr:uid="{502BF2D8-8EBA-4FED-B4CD-4C851E7987E4}"/>
    <cellStyle name="20% - Accent6 25" xfId="7599" xr:uid="{61A7C361-FD9E-42A0-BE6E-5BD1CBAC9F2D}"/>
    <cellStyle name="20% - Accent6 25 2" xfId="7600" xr:uid="{78D6C554-1A2F-49E9-AB98-0579C9BFF5EC}"/>
    <cellStyle name="20% - Accent6 25 2 2" xfId="7601" xr:uid="{F4A74E56-AAB3-4EA9-81AF-0FD8F662E0A9}"/>
    <cellStyle name="20% - Accent6 25 2 2 2" xfId="7602" xr:uid="{61905007-B96B-4236-801C-19D3CDAFFA23}"/>
    <cellStyle name="20% - Accent6 25 2 2_Requirements CBS" xfId="16332" xr:uid="{0B6C2BF4-0DEC-411C-90DD-14C9B470B90A}"/>
    <cellStyle name="20% - Accent6 25 2 3" xfId="7603" xr:uid="{B36ECA20-48A4-4140-8D24-2A51ADF7C6CA}"/>
    <cellStyle name="20% - Accent6 25 2 4" xfId="7604" xr:uid="{0C0F49E7-5862-4D82-B156-D23A8B279C15}"/>
    <cellStyle name="20% - Accent6 25 2_Requirements CBS" xfId="16331" xr:uid="{90698B15-6EAC-42AB-A3CB-59807BF0F565}"/>
    <cellStyle name="20% - Accent6 25 3" xfId="7605" xr:uid="{364F4D50-E64A-4505-B2C0-CCE84FA97C2C}"/>
    <cellStyle name="20% - Accent6 25 3 2" xfId="7606" xr:uid="{1CDD8595-B41F-4A6A-A9B6-9FBE19F816F6}"/>
    <cellStyle name="20% - Accent6 25 3_Requirements CBS" xfId="16333" xr:uid="{4E20B929-0866-4190-BFB9-B6CC11CFF113}"/>
    <cellStyle name="20% - Accent6 25 4" xfId="7607" xr:uid="{118935F3-7325-4F2A-90A0-8EBDADFBE0F4}"/>
    <cellStyle name="20% - Accent6 25 5" xfId="7608" xr:uid="{EF968250-6522-423C-BA4B-DADA65BE0465}"/>
    <cellStyle name="20% - Accent6 25_Not_for_upload_before_M4_correc" xfId="14078" xr:uid="{BFD900B0-98B8-4879-8FBA-EAAEC33425DF}"/>
    <cellStyle name="20% - Accent6 26" xfId="7609" xr:uid="{28B79B71-C72A-4A59-AA63-2E30A00BE80F}"/>
    <cellStyle name="20% - Accent6 26 2" xfId="7610" xr:uid="{6F8C6D8C-C148-4AF6-A723-CB50EC4A1EB7}"/>
    <cellStyle name="20% - Accent6 26 2 2" xfId="7611" xr:uid="{8484CE71-759A-455D-86D4-EF6BC820F567}"/>
    <cellStyle name="20% - Accent6 26 2 3" xfId="7612" xr:uid="{DF767DD9-F1EA-4325-9ECC-5B4411C2A241}"/>
    <cellStyle name="20% - Accent6 26 2_Requirements CBS" xfId="16334" xr:uid="{CC991C8E-7353-46CC-ADC2-3813C55CC642}"/>
    <cellStyle name="20% - Accent6 26 3" xfId="7613" xr:uid="{EB001CB9-E67E-4637-AD3D-7A2349CFECA7}"/>
    <cellStyle name="20% - Accent6 26 3 2" xfId="7614" xr:uid="{0E0CC1BE-0B24-4398-A5D6-CD808DBE9859}"/>
    <cellStyle name="20% - Accent6 26 3_Requirements CBS" xfId="16335" xr:uid="{7391F689-C93C-4D90-B16E-FDE3ECA144A7}"/>
    <cellStyle name="20% - Accent6 26 4" xfId="7615" xr:uid="{2FF6451B-5A03-41CB-8B23-FB5838B1C0BE}"/>
    <cellStyle name="20% - Accent6 26 5" xfId="7616" xr:uid="{0696304D-C89D-483B-B8F0-365AF26C2C76}"/>
    <cellStyle name="20% - Accent6 26_Not_for_upload_before_M4_correc" xfId="14079" xr:uid="{C49A580C-87DF-4678-9064-96022EBC1152}"/>
    <cellStyle name="20% - Accent6 27" xfId="7617" xr:uid="{E7E9F9C7-A6DC-4BB9-AC02-946C39173DDE}"/>
    <cellStyle name="20% - Accent6 27 2" xfId="7618" xr:uid="{296E93BC-35FA-4A55-8066-266D8949F250}"/>
    <cellStyle name="20% - Accent6 27 2 2" xfId="7619" xr:uid="{D079D405-BE61-4549-9D33-B5C7F12CF2C8}"/>
    <cellStyle name="20% - Accent6 27 2 3" xfId="7620" xr:uid="{61B5FD25-7253-4CC4-8C8C-B5ADA4C4108F}"/>
    <cellStyle name="20% - Accent6 27 2_Requirements CBS" xfId="16336" xr:uid="{FCD4572F-3507-40C2-B612-913F629AB0FE}"/>
    <cellStyle name="20% - Accent6 27 3" xfId="7621" xr:uid="{5347C736-BABD-423C-A4F3-0E1D32B63E3A}"/>
    <cellStyle name="20% - Accent6 27 3 2" xfId="7622" xr:uid="{90344C08-5A26-40F5-BFFD-F1122B561127}"/>
    <cellStyle name="20% - Accent6 27 3_Requirements CBS" xfId="16337" xr:uid="{B8F9808F-EB95-44F7-87C4-410604E9AC99}"/>
    <cellStyle name="20% - Accent6 27 4" xfId="7623" xr:uid="{455CABE6-C3BA-4394-A896-6C36E62F1046}"/>
    <cellStyle name="20% - Accent6 27 5" xfId="7624" xr:uid="{2A60A77A-DC2E-4C81-A618-82DAB6CA727C}"/>
    <cellStyle name="20% - Accent6 27_Not_for_upload_before_M4_correc" xfId="14080" xr:uid="{51CE6E67-5A48-4CB4-B59B-234B842794A4}"/>
    <cellStyle name="20% - Accent6 28" xfId="7625" xr:uid="{9D2D9ABA-8DFC-4D14-8CB2-D49019335E5A}"/>
    <cellStyle name="20% - Accent6 28 2" xfId="7626" xr:uid="{15448273-26AB-450E-A81F-54B5DF1EDCA7}"/>
    <cellStyle name="20% - Accent6 28 2 2" xfId="7627" xr:uid="{474FE499-6F77-4C17-880B-6FD468BB1C2A}"/>
    <cellStyle name="20% - Accent6 28 2 3" xfId="7628" xr:uid="{D24D5407-3D5A-4103-A9A1-F9FC6DF466EA}"/>
    <cellStyle name="20% - Accent6 28 2_Requirements CBS" xfId="16338" xr:uid="{16B44F60-D215-4C0C-96A4-6453D2907D8A}"/>
    <cellStyle name="20% - Accent6 28 3" xfId="7629" xr:uid="{5F78FE94-9154-4387-8E46-51A12A2BCF46}"/>
    <cellStyle name="20% - Accent6 28 3 2" xfId="7630" xr:uid="{E16BAB36-6E65-47C3-9130-2B28D7653ABC}"/>
    <cellStyle name="20% - Accent6 28 3_Requirements CBS" xfId="16339" xr:uid="{94A0C115-15B8-4370-81FE-AF7BEEA47389}"/>
    <cellStyle name="20% - Accent6 28 4" xfId="7631" xr:uid="{52218EB4-A512-46AE-B825-EA3A3B5EDA51}"/>
    <cellStyle name="20% - Accent6 28 5" xfId="7632" xr:uid="{C42C9679-8269-4E35-8F0F-A0FA7D7A83C1}"/>
    <cellStyle name="20% - Accent6 28_Not_for_upload_before_M4_correc" xfId="14081" xr:uid="{913C5A11-DFA3-4EFF-9833-836C9DE86955}"/>
    <cellStyle name="20% - Accent6 29" xfId="7633" xr:uid="{0B4B7C62-B74C-4CBA-85BD-F3D34EFDBB33}"/>
    <cellStyle name="20% - Accent6 29 2" xfId="7634" xr:uid="{BC228F91-688A-4A18-B46B-06FB3C549129}"/>
    <cellStyle name="20% - Accent6 29 2 2" xfId="7635" xr:uid="{9EE77247-90DF-4C31-9F4F-B7F316607AD0}"/>
    <cellStyle name="20% - Accent6 29 2_Requirements CBS" xfId="16340" xr:uid="{81C26DDA-E5B2-4BC5-9F44-A01D31984DC1}"/>
    <cellStyle name="20% - Accent6 29 3" xfId="7636" xr:uid="{B5E54F8D-0CEE-4C78-8118-48E9D689AB4D}"/>
    <cellStyle name="20% - Accent6 29 4" xfId="7637" xr:uid="{1A1AC4B1-6D96-4E1F-9D4F-95404C55C9C7}"/>
    <cellStyle name="20% - Accent6 29_Not_for_upload_before_M4_correc" xfId="14082" xr:uid="{CF6DFE58-4B48-4EA1-A4EB-8DCB23BEA389}"/>
    <cellStyle name="20% - Accent6 3" xfId="89" xr:uid="{F1903401-38C5-4A8F-A648-0C8C420742A4}"/>
    <cellStyle name="20% - Accent6 3 2" xfId="1919" xr:uid="{B96A12AD-225A-4966-985F-5BEFFF483CD5}"/>
    <cellStyle name="20% - Accent6 3 2 2" xfId="7640" xr:uid="{D55957B0-4BC9-43AA-B7A2-315ED03067E5}"/>
    <cellStyle name="20% - Accent6 3 2 2 2" xfId="7641" xr:uid="{BB67EB5D-1E58-4B2B-BB27-ABE1523C1F87}"/>
    <cellStyle name="20% - Accent6 3 2 2 2 2" xfId="7642" xr:uid="{D2044FC9-3BAF-400B-A612-AF82EFAEEA9A}"/>
    <cellStyle name="20% - Accent6 3 2 2 2_Requirements CBS" xfId="16342" xr:uid="{9D1535D6-F7AF-40E6-9E00-1D7EF92E3F8C}"/>
    <cellStyle name="20% - Accent6 3 2 2 3" xfId="7643" xr:uid="{C1E42C24-8358-4A06-8597-323708AE5FB2}"/>
    <cellStyle name="20% - Accent6 3 2 2 4" xfId="7644" xr:uid="{A82B5DAD-88B6-4747-A34D-B50A9A1990ED}"/>
    <cellStyle name="20% - Accent6 3 2 2_Requirements CBS" xfId="16341" xr:uid="{AABEA300-DF43-4C1C-959A-588DA38649C3}"/>
    <cellStyle name="20% - Accent6 3 2 3" xfId="7645" xr:uid="{96C85A94-7717-4A2E-AF99-9249DD656445}"/>
    <cellStyle name="20% - Accent6 3 2 3 2" xfId="7646" xr:uid="{6D28F990-9A17-4AC8-A223-E50CA98CF1CC}"/>
    <cellStyle name="20% - Accent6 3 2 3_Requirements CBS" xfId="16343" xr:uid="{6BFC9496-67D7-4B7A-9A54-C38B3C7E91F9}"/>
    <cellStyle name="20% - Accent6 3 2 4" xfId="7647" xr:uid="{A9000094-19EF-4B23-B011-7C131CE6BDE4}"/>
    <cellStyle name="20% - Accent6 3 2 5" xfId="7648" xr:uid="{495E328F-8422-49D8-A516-F8D8876A5AA8}"/>
    <cellStyle name="20% - Accent6 3 2 6" xfId="17649" xr:uid="{A3A16C52-4842-4A60-8A4E-3C635D534D71}"/>
    <cellStyle name="20% - Accent6 3 2 7" xfId="18202" xr:uid="{854ACD76-CBD5-40F5-9854-934DF68EF4A3}"/>
    <cellStyle name="20% - Accent6 3 2 8" xfId="7639" xr:uid="{FE306BE7-C230-4CDA-9229-6D35E2338587}"/>
    <cellStyle name="20% - Accent6 3 2_Not_for_upload_before_M4_correc" xfId="14083" xr:uid="{D9F63FE8-CF47-4904-B5AC-AC6274A145A9}"/>
    <cellStyle name="20% - Accent6 3 3" xfId="7649" xr:uid="{5521684C-A207-4B40-B373-B9FF72515807}"/>
    <cellStyle name="20% - Accent6 3 3 2" xfId="7650" xr:uid="{E25AE72A-FB44-47AC-8A35-5E5A99F645E3}"/>
    <cellStyle name="20% - Accent6 3 3 2 2" xfId="7651" xr:uid="{A98BB0CC-7707-4D4C-B73C-DDC55E0A85ED}"/>
    <cellStyle name="20% - Accent6 3 3 2 2 2" xfId="7652" xr:uid="{56ED037C-1E9A-41FE-BD27-9911438F39DD}"/>
    <cellStyle name="20% - Accent6 3 3 2 2_Requirements CBS" xfId="16345" xr:uid="{9D32443E-7712-4999-B64C-25065634F579}"/>
    <cellStyle name="20% - Accent6 3 3 2 3" xfId="7653" xr:uid="{116C81F1-779B-496A-B0D5-62AC77925588}"/>
    <cellStyle name="20% - Accent6 3 3 2 4" xfId="7654" xr:uid="{2A0C737B-CC02-4FBE-B037-6F0A82B8414D}"/>
    <cellStyle name="20% - Accent6 3 3 2_Requirements CBS" xfId="16344" xr:uid="{F04617F4-C41F-4E8B-8DD0-D52F893E2373}"/>
    <cellStyle name="20% - Accent6 3 3 3" xfId="7655" xr:uid="{F90EAF99-4DEB-4F40-89A3-61B9197065A3}"/>
    <cellStyle name="20% - Accent6 3 3 3 2" xfId="7656" xr:uid="{71A6A3D7-B83D-4EF1-8073-7A93FD2935EB}"/>
    <cellStyle name="20% - Accent6 3 3 3_Requirements CBS" xfId="16346" xr:uid="{F4429CF9-E6B3-47EA-86F1-2F9185A49284}"/>
    <cellStyle name="20% - Accent6 3 3 4" xfId="7657" xr:uid="{B4023A65-CD98-4170-A43F-6F7A6B99FBAA}"/>
    <cellStyle name="20% - Accent6 3 3 5" xfId="7658" xr:uid="{BA697008-CFEA-4800-A213-5AD1224AB7B6}"/>
    <cellStyle name="20% - Accent6 3 3_Not_for_upload_before_M4_correc" xfId="14084" xr:uid="{2FE7DA93-0D82-4815-881F-F2C3DFBD0CEC}"/>
    <cellStyle name="20% - Accent6 3 4" xfId="7659" xr:uid="{3AD436F5-064F-48FC-B293-264B417836C1}"/>
    <cellStyle name="20% - Accent6 3 4 2" xfId="7660" xr:uid="{B08904FA-D314-44D2-8EA0-37540EA4AE6A}"/>
    <cellStyle name="20% - Accent6 3 4 2 2" xfId="7661" xr:uid="{4EEC2CEE-3839-4A00-900A-265F163FF624}"/>
    <cellStyle name="20% - Accent6 3 4 2 2 2" xfId="7662" xr:uid="{968E43A5-CCF8-4B14-A0DE-76706F3CD260}"/>
    <cellStyle name="20% - Accent6 3 4 2 2_Requirements CBS" xfId="16348" xr:uid="{E9D886D0-C964-4607-870C-8E3F1C8E13F9}"/>
    <cellStyle name="20% - Accent6 3 4 2 3" xfId="7663" xr:uid="{017F9C61-75DF-49FD-9633-5334C9E2F028}"/>
    <cellStyle name="20% - Accent6 3 4 2 4" xfId="7664" xr:uid="{7FDAA7F9-6839-4E11-88DE-145EFCE22F9D}"/>
    <cellStyle name="20% - Accent6 3 4 2_Requirements CBS" xfId="16347" xr:uid="{DACBBA47-5DC9-4714-A2BE-21F5A6917A65}"/>
    <cellStyle name="20% - Accent6 3 4 3" xfId="7665" xr:uid="{69361E59-57E4-4F07-8BA7-71E55C1FAFCD}"/>
    <cellStyle name="20% - Accent6 3 4 3 2" xfId="7666" xr:uid="{5A1AD132-F372-46C8-91C4-F407A48B64C6}"/>
    <cellStyle name="20% - Accent6 3 4 3_Requirements CBS" xfId="16349" xr:uid="{F9697DD8-C03A-4BAA-B378-1E9C285E86F2}"/>
    <cellStyle name="20% - Accent6 3 4 4" xfId="7667" xr:uid="{A8836FC6-6537-4B20-9F46-E22D74029E92}"/>
    <cellStyle name="20% - Accent6 3 4 5" xfId="7668" xr:uid="{9B555A4E-FC32-41B2-BF75-7C9DD0350FAA}"/>
    <cellStyle name="20% - Accent6 3 4_Not_for_upload_before_M4_correc" xfId="14085" xr:uid="{E4594D98-518B-4AA1-B9CF-6B0A61982E1C}"/>
    <cellStyle name="20% - Accent6 3 5" xfId="7669" xr:uid="{6E6B6404-7742-4E3E-B017-ECFC47FCFCE2}"/>
    <cellStyle name="20% - Accent6 3 5 2" xfId="7670" xr:uid="{4BC779E0-FD44-4948-BA82-504DD9C5E987}"/>
    <cellStyle name="20% - Accent6 3 5 2 2" xfId="7671" xr:uid="{AAC53F08-11D9-40D4-8E99-05F1B401C52B}"/>
    <cellStyle name="20% - Accent6 3 5 2_Requirements CBS" xfId="16351" xr:uid="{E5735392-698A-427B-93B2-AB84D4AE237D}"/>
    <cellStyle name="20% - Accent6 3 5 3" xfId="7672" xr:uid="{19CE62FA-3EA2-4F40-B1D8-A3EC318B384D}"/>
    <cellStyle name="20% - Accent6 3 5 4" xfId="7673" xr:uid="{C01EEE7E-59CC-4C48-8EDF-B441AEBB1A76}"/>
    <cellStyle name="20% - Accent6 3 5_Requirements CBS" xfId="16350" xr:uid="{1DAD213F-5FFC-4B97-B65A-D5D66C815904}"/>
    <cellStyle name="20% - Accent6 3 6" xfId="7674" xr:uid="{9D73FD6E-9D62-4DB8-B4FC-5A6E0C020F80}"/>
    <cellStyle name="20% - Accent6 3 6 2" xfId="7675" xr:uid="{D63F8FD3-2A69-441A-92B7-F842A39931AA}"/>
    <cellStyle name="20% - Accent6 3 6_Requirements CBS" xfId="16352" xr:uid="{D01AD2E7-DFB2-4EDE-B100-600E38C07577}"/>
    <cellStyle name="20% - Accent6 3 7" xfId="7676" xr:uid="{109B0AE3-C798-4930-A84D-20EAA76F8228}"/>
    <cellStyle name="20% - Accent6 3 8" xfId="7677" xr:uid="{881A1A5D-D8FB-4A1F-8202-5AD30E4A7077}"/>
    <cellStyle name="20% - Accent6 3 9" xfId="7638" xr:uid="{AB55D12B-748C-4A72-82B8-638991F2AEBC}"/>
    <cellStyle name="20% - Accent6 3_Not_for_upload_before_M4_correc" xfId="14086" xr:uid="{E915C3A3-F305-4216-BD74-60D79C524566}"/>
    <cellStyle name="20% - Accent6 30" xfId="7678" xr:uid="{C4358FFD-1C72-4731-9F97-D6C6A886C547}"/>
    <cellStyle name="20% - Accent6 30 2" xfId="7679" xr:uid="{3A90013F-CCA2-43EB-B6D2-A0302D84FEA0}"/>
    <cellStyle name="20% - Accent6 30 2 2" xfId="7680" xr:uid="{DEF42BB2-CCEF-42A2-A868-50079BDDC8FA}"/>
    <cellStyle name="20% - Accent6 30 2_Requirements CBS" xfId="16354" xr:uid="{33C1C779-30F9-4064-A81F-8C3D8715F5F7}"/>
    <cellStyle name="20% - Accent6 30 3" xfId="7681" xr:uid="{A3D11AAE-C8C7-4875-8261-BE6C4E6E09C4}"/>
    <cellStyle name="20% - Accent6 30 4" xfId="7682" xr:uid="{05380671-1C0B-4F18-A9D0-A485E5D2F48E}"/>
    <cellStyle name="20% - Accent6 30_Requirements CBS" xfId="16353" xr:uid="{0B2638C4-5FAA-44E0-9193-A37260AFB929}"/>
    <cellStyle name="20% - Accent6 31" xfId="7683" xr:uid="{B4F67A79-6FE5-4BC5-9F4F-437729A441A0}"/>
    <cellStyle name="20% - Accent6 31 2" xfId="7684" xr:uid="{39A83168-814D-460E-86B1-30BC8F4DE69E}"/>
    <cellStyle name="20% - Accent6 31 2 2" xfId="7685" xr:uid="{98DCFAF0-EA90-47AC-9402-33A5753779AE}"/>
    <cellStyle name="20% - Accent6 31 2_Requirements CBS" xfId="16356" xr:uid="{43DCB2F3-BB94-45D9-8C22-DA176766ADF5}"/>
    <cellStyle name="20% - Accent6 31 3" xfId="7686" xr:uid="{90CA0407-2655-4141-ACA7-89487DD9E73E}"/>
    <cellStyle name="20% - Accent6 31 4" xfId="7687" xr:uid="{A15D9610-E71F-48E6-9F62-61EAD0137516}"/>
    <cellStyle name="20% - Accent6 31_Requirements CBS" xfId="16355" xr:uid="{975E82DC-597E-4284-AF9B-190DED43540F}"/>
    <cellStyle name="20% - Accent6 32" xfId="7688" xr:uid="{A3493CA4-3171-4634-BD1D-9E1DB45EFE98}"/>
    <cellStyle name="20% - Accent6 32 2" xfId="7689" xr:uid="{B882368A-F561-4AD8-9EBB-7C91CFC9152D}"/>
    <cellStyle name="20% - Accent6 32 2 2" xfId="7690" xr:uid="{593379D2-CB7A-4F4B-84E3-CB1856E036A7}"/>
    <cellStyle name="20% - Accent6 32 2_Requirements CBS" xfId="16358" xr:uid="{CEEB526B-980F-43B2-B6F3-6633950FA851}"/>
    <cellStyle name="20% - Accent6 32 3" xfId="7691" xr:uid="{6ED515E9-9914-4047-A3B2-E049546F8FA6}"/>
    <cellStyle name="20% - Accent6 32 4" xfId="7692" xr:uid="{41FC6190-3B81-4771-A45B-2936DF048CB8}"/>
    <cellStyle name="20% - Accent6 32_Requirements CBS" xfId="16357" xr:uid="{6A195422-3DD5-4B89-AF42-29F2A795E311}"/>
    <cellStyle name="20% - Accent6 33" xfId="7693" xr:uid="{1B2C49C4-E8BC-4F5C-A7B5-A93E1ADF7B06}"/>
    <cellStyle name="20% - Accent6 33 2" xfId="7694" xr:uid="{FC19B6F0-499A-4ED4-8FC5-19F4E7113747}"/>
    <cellStyle name="20% - Accent6 33 2 2" xfId="7695" xr:uid="{682516D2-F8D4-4E00-9C3A-A659EE8B946B}"/>
    <cellStyle name="20% - Accent6 33 2_Requirements CBS" xfId="16360" xr:uid="{6688FADF-CD52-480A-B380-5306B4F19CF6}"/>
    <cellStyle name="20% - Accent6 33 3" xfId="7696" xr:uid="{F696A9E0-B1AD-451E-BB3E-04E151059365}"/>
    <cellStyle name="20% - Accent6 33 4" xfId="7697" xr:uid="{32C65C8C-F5B9-41A4-A810-A62B6941E8CF}"/>
    <cellStyle name="20% - Accent6 33_Requirements CBS" xfId="16359" xr:uid="{9A38FD91-634A-4924-AE80-AE2B21A123B1}"/>
    <cellStyle name="20% - Accent6 34" xfId="7698" xr:uid="{FBA0CCE2-9BA0-4143-95D9-764C999D68B7}"/>
    <cellStyle name="20% - Accent6 34 2" xfId="7699" xr:uid="{E71383BA-295F-47CB-92ED-0AC118697B11}"/>
    <cellStyle name="20% - Accent6 34 2 2" xfId="7700" xr:uid="{B0EC3B6C-D3D3-41DA-B458-5820B37CA998}"/>
    <cellStyle name="20% - Accent6 34 2_Requirements CBS" xfId="16362" xr:uid="{EAB40846-610C-45D5-9C14-2F8065696B40}"/>
    <cellStyle name="20% - Accent6 34 3" xfId="7701" xr:uid="{5C71982F-A5CB-47C1-AF5B-3B778C7BD334}"/>
    <cellStyle name="20% - Accent6 34 4" xfId="7702" xr:uid="{609F0E6E-7903-472C-89A0-242E3E0CE742}"/>
    <cellStyle name="20% - Accent6 34_Requirements CBS" xfId="16361" xr:uid="{B95475C6-A636-405A-99AF-64094F9CF439}"/>
    <cellStyle name="20% - Accent6 35" xfId="7703" xr:uid="{A33D9F98-0BB8-4570-99B5-F05D10B38137}"/>
    <cellStyle name="20% - Accent6 35 2" xfId="7704" xr:uid="{F7077649-68FD-4CD1-861F-7AEFD7FC7711}"/>
    <cellStyle name="20% - Accent6 35 2 2" xfId="7705" xr:uid="{C5D2DCCF-6BFC-46AC-BEDB-9CF4324FE964}"/>
    <cellStyle name="20% - Accent6 35 2_Requirements CBS" xfId="16364" xr:uid="{B579081B-61E1-4228-8CF4-EED0231BADF1}"/>
    <cellStyle name="20% - Accent6 35 3" xfId="7706" xr:uid="{DF9EE540-A7C8-4B88-AC98-B692B09901F7}"/>
    <cellStyle name="20% - Accent6 35 4" xfId="7707" xr:uid="{EDCBF776-2A8D-44E0-AD1C-825D35792750}"/>
    <cellStyle name="20% - Accent6 35_Requirements CBS" xfId="16363" xr:uid="{BCA5F7FB-8A32-4F52-B000-4FD9CB779B3C}"/>
    <cellStyle name="20% - Accent6 36" xfId="7708" xr:uid="{8FB91BE8-A8AE-4325-B552-3F591C68B455}"/>
    <cellStyle name="20% - Accent6 36 2" xfId="7709" xr:uid="{0C372AB0-5AD4-47E0-8187-0A5C9DE60841}"/>
    <cellStyle name="20% - Accent6 36 2 2" xfId="7710" xr:uid="{08526DF5-EC95-49B9-B8AE-F901CEF928A0}"/>
    <cellStyle name="20% - Accent6 36 2_Requirements CBS" xfId="16366" xr:uid="{0A80D4B0-9E9B-497C-9FDD-4B9697E37CC5}"/>
    <cellStyle name="20% - Accent6 36 3" xfId="7711" xr:uid="{DF585FA9-336B-4647-8D62-1C0725C1816B}"/>
    <cellStyle name="20% - Accent6 36 4" xfId="7712" xr:uid="{FC6FAD15-525C-4DFA-8E89-C06072392848}"/>
    <cellStyle name="20% - Accent6 36_Requirements CBS" xfId="16365" xr:uid="{66EC6629-7C08-4370-B4C9-CDDA77A76B4F}"/>
    <cellStyle name="20% - Accent6 37" xfId="7713" xr:uid="{E5B8DE95-7970-4952-B7EA-625995AEDF8C}"/>
    <cellStyle name="20% - Accent6 37 2" xfId="7714" xr:uid="{1468AA80-A953-4A26-BB5D-61E66F18DCD9}"/>
    <cellStyle name="20% - Accent6 37 2 2" xfId="7715" xr:uid="{DEBA6145-A47E-4817-A1DE-02A70EE5BF4E}"/>
    <cellStyle name="20% - Accent6 37 2_Requirements CBS" xfId="16368" xr:uid="{72851299-26A6-4FB8-8039-D0CC6A005071}"/>
    <cellStyle name="20% - Accent6 37 3" xfId="7716" xr:uid="{F6DD96A5-4893-4B2C-A98E-274CA7814263}"/>
    <cellStyle name="20% - Accent6 37 4" xfId="7717" xr:uid="{E7127469-2E1B-414F-90BC-F5AEA2039D1E}"/>
    <cellStyle name="20% - Accent6 37_Requirements CBS" xfId="16367" xr:uid="{6493AE42-786F-4F50-A9A2-D8E7C0DBBD1F}"/>
    <cellStyle name="20% - Accent6 38" xfId="7718" xr:uid="{9ED46F52-932E-472F-9743-3FE935FF45B4}"/>
    <cellStyle name="20% - Accent6 38 2" xfId="7719" xr:uid="{1E991D46-FDA9-4DE0-A6AA-C3A34408ED4C}"/>
    <cellStyle name="20% - Accent6 38 2 2" xfId="7720" xr:uid="{939099A7-4619-4136-AE66-ABA44557774E}"/>
    <cellStyle name="20% - Accent6 38 2_Requirements CBS" xfId="16370" xr:uid="{0CBA2232-DAB3-48BF-8171-9FEAE544C9E0}"/>
    <cellStyle name="20% - Accent6 38 3" xfId="7721" xr:uid="{931CCA6A-D27B-41BE-BBB0-FB72B717A8D6}"/>
    <cellStyle name="20% - Accent6 38 4" xfId="7722" xr:uid="{AE42E0E2-24F7-4ACA-A4F6-235B1CAE4907}"/>
    <cellStyle name="20% - Accent6 38_Requirements CBS" xfId="16369" xr:uid="{C8F3F6DC-E32C-4F79-93F1-0B35610BE64E}"/>
    <cellStyle name="20% - Accent6 39" xfId="7723" xr:uid="{76F85F6D-5E45-4397-8C74-BEACF79F69CD}"/>
    <cellStyle name="20% - Accent6 39 2" xfId="7724" xr:uid="{DBECD633-8B46-4A80-B4BF-550774A90BF3}"/>
    <cellStyle name="20% - Accent6 39 2 2" xfId="7725" xr:uid="{533BE74F-9F46-4721-87CD-6160ED55F467}"/>
    <cellStyle name="20% - Accent6 39 2_Requirements CBS" xfId="16372" xr:uid="{78556479-D5E0-4D6C-874B-C1C965B839D6}"/>
    <cellStyle name="20% - Accent6 39 3" xfId="7726" xr:uid="{5278F4B5-BAF1-4A98-AF0D-E1E7528CCD93}"/>
    <cellStyle name="20% - Accent6 39 4" xfId="7727" xr:uid="{57196A36-8511-475B-8E40-3BF45217DE21}"/>
    <cellStyle name="20% - Accent6 39_Requirements CBS" xfId="16371" xr:uid="{7B42E7EC-65A3-4971-82CC-8223B6A70EA0}"/>
    <cellStyle name="20% - Accent6 4" xfId="1880" xr:uid="{5C2F334A-F70E-4A80-A7A0-DD335D458B84}"/>
    <cellStyle name="20% - Accent6 4 2" xfId="7729" xr:uid="{1C4C146C-A389-47EC-A9D9-8A86425F1D39}"/>
    <cellStyle name="20% - Accent6 4 2 2" xfId="7730" xr:uid="{189B612D-2752-4BFF-A63C-547E0060265B}"/>
    <cellStyle name="20% - Accent6 4 2 2 2" xfId="7731" xr:uid="{57668577-8612-43C8-A725-B102DDE2306B}"/>
    <cellStyle name="20% - Accent6 4 2 2_Requirements CBS" xfId="16374" xr:uid="{3B8ACDB9-4078-4BEB-BA52-056E1C4962B6}"/>
    <cellStyle name="20% - Accent6 4 2 3" xfId="7732" xr:uid="{DBD28384-BA14-4F5A-A6D7-851031201A29}"/>
    <cellStyle name="20% - Accent6 4 2 4" xfId="7733" xr:uid="{BDB98EF5-AE47-4F2C-8C7E-34D95C5C9F92}"/>
    <cellStyle name="20% - Accent6 4 2_Requirements CBS" xfId="16373" xr:uid="{D6669270-867F-4D6F-A5B0-1A596C0690F9}"/>
    <cellStyle name="20% - Accent6 4 3" xfId="7734" xr:uid="{A6C1A7A9-1187-4074-9D67-A1A536069B31}"/>
    <cellStyle name="20% - Accent6 4 3 2" xfId="7735" xr:uid="{45DF98C0-F879-4475-B683-B10A2AD3AD01}"/>
    <cellStyle name="20% - Accent6 4 3_Requirements CBS" xfId="16375" xr:uid="{7ED5FF4F-09DD-4FDC-BDE4-EF5DE9DC9040}"/>
    <cellStyle name="20% - Accent6 4 4" xfId="7736" xr:uid="{D92A266E-C975-4872-B361-481D1A71531C}"/>
    <cellStyle name="20% - Accent6 4 5" xfId="7737" xr:uid="{C7525DEA-9232-481E-9C37-EFFD73894624}"/>
    <cellStyle name="20% - Accent6 4 6" xfId="17614" xr:uid="{1427F2FD-6EE2-4492-B7EF-3112A03D48B4}"/>
    <cellStyle name="20% - Accent6 4 7" xfId="18183" xr:uid="{B886790C-8F79-4162-9949-62DF5CD388A2}"/>
    <cellStyle name="20% - Accent6 4 8" xfId="7728" xr:uid="{6CEB39A3-F0E9-4C42-8AB4-4BCF37444C8E}"/>
    <cellStyle name="20% - Accent6 4_Not_for_upload_before_M4_correc" xfId="14087" xr:uid="{677B08FE-53C3-4523-8E78-56DFD973AD91}"/>
    <cellStyle name="20% - Accent6 40" xfId="7738" xr:uid="{D06FF69D-4FE7-476B-9EE5-22FFB182D1EB}"/>
    <cellStyle name="20% - Accent6 40 2" xfId="7739" xr:uid="{190CD2D6-4E61-4B70-A6BE-82C802A79B33}"/>
    <cellStyle name="20% - Accent6 40 2 2" xfId="7740" xr:uid="{69F19C14-EA8C-40A6-A3A7-3F2EDDCE4A2B}"/>
    <cellStyle name="20% - Accent6 40 2_Requirements CBS" xfId="16377" xr:uid="{DDFA7CF8-F2FF-4CA6-A235-30172DB552AF}"/>
    <cellStyle name="20% - Accent6 40 3" xfId="7741" xr:uid="{D7623C86-26D3-45FF-8CFD-9F84BA66AE4C}"/>
    <cellStyle name="20% - Accent6 40 4" xfId="7742" xr:uid="{D80FCC9C-DC42-4653-914E-25B157642D0E}"/>
    <cellStyle name="20% - Accent6 40_Requirements CBS" xfId="16376" xr:uid="{8C01B104-D1E1-40E6-BA8D-B2068A0BD6BA}"/>
    <cellStyle name="20% - Accent6 41" xfId="7743" xr:uid="{B687335E-149F-4A63-BB62-BE2F56213E18}"/>
    <cellStyle name="20% - Accent6 41 2" xfId="7744" xr:uid="{ECC93AA0-4203-45A8-BBB1-3A2EAE3A82B7}"/>
    <cellStyle name="20% - Accent6 41 2 2" xfId="7745" xr:uid="{51850538-7ABB-4850-8EDB-8E341C312F72}"/>
    <cellStyle name="20% - Accent6 41 2_Requirements CBS" xfId="16379" xr:uid="{B5B1D1A3-CE3C-44D4-BBED-A2C3E56FF517}"/>
    <cellStyle name="20% - Accent6 41 3" xfId="7746" xr:uid="{D76792A3-9AAA-463E-9A1C-25776E809CC9}"/>
    <cellStyle name="20% - Accent6 41 4" xfId="7747" xr:uid="{827A4527-0BCF-49AF-B707-5C4AE9244346}"/>
    <cellStyle name="20% - Accent6 41_Requirements CBS" xfId="16378" xr:uid="{A06BA038-FFE2-4832-A4D3-445EB7A18BDA}"/>
    <cellStyle name="20% - Accent6 42" xfId="7748" xr:uid="{75DDA4BB-98F1-4D97-8A64-76D2E8959D0D}"/>
    <cellStyle name="20% - Accent6 42 2" xfId="7749" xr:uid="{05581A6A-9997-4FA9-963D-DB26B0D137DA}"/>
    <cellStyle name="20% - Accent6 42 2 2" xfId="7750" xr:uid="{FF0AD63C-ACEC-45B5-B963-354CBFD7E37B}"/>
    <cellStyle name="20% - Accent6 42 2_Requirements CBS" xfId="16381" xr:uid="{F067AC2A-D118-4A50-916D-49D8A6D2C78A}"/>
    <cellStyle name="20% - Accent6 42 3" xfId="7751" xr:uid="{47D9E147-19E8-4E0F-A3D7-9ACB18DD0E8C}"/>
    <cellStyle name="20% - Accent6 42 4" xfId="7752" xr:uid="{8973F04E-F9E4-4801-B6F0-251A62C72A7D}"/>
    <cellStyle name="20% - Accent6 42_Requirements CBS" xfId="16380" xr:uid="{73B6115B-8ACF-4159-9DDA-630117E71327}"/>
    <cellStyle name="20% - Accent6 43" xfId="7753" xr:uid="{FD7C13E4-A222-405A-B723-BB2D098DF0CA}"/>
    <cellStyle name="20% - Accent6 43 2" xfId="7754" xr:uid="{709A7676-FCE3-435F-B900-2464909D466B}"/>
    <cellStyle name="20% - Accent6 43 2 2" xfId="7755" xr:uid="{A0C76053-5DD7-4F89-9C81-039D9860AF79}"/>
    <cellStyle name="20% - Accent6 43 2_Requirements CBS" xfId="16383" xr:uid="{E61A57C2-BA2A-43AF-974C-4A38583C19BF}"/>
    <cellStyle name="20% - Accent6 43 3" xfId="7756" xr:uid="{EF837743-63CA-4BBD-8A5E-20FF84620333}"/>
    <cellStyle name="20% - Accent6 43 4" xfId="7757" xr:uid="{92ABACA3-2CAA-40DF-B50F-2ECDECBF2FB7}"/>
    <cellStyle name="20% - Accent6 43_Requirements CBS" xfId="16382" xr:uid="{BEA1432B-6AFA-42B0-AE41-06B537CCB0FF}"/>
    <cellStyle name="20% - Accent6 44" xfId="7758" xr:uid="{EC1F49BB-309B-464E-9BEB-0F65DE5ECCCB}"/>
    <cellStyle name="20% - Accent6 44 2" xfId="7759" xr:uid="{04F10945-D66C-47A1-8304-AFE00E9FAF3D}"/>
    <cellStyle name="20% - Accent6 44 2 2" xfId="7760" xr:uid="{8DE8C5B2-554F-40CB-8C6A-E83A36802B48}"/>
    <cellStyle name="20% - Accent6 44 2_Requirements CBS" xfId="16385" xr:uid="{7CB3E79F-F6D3-4486-9D12-1CD3E7438F8E}"/>
    <cellStyle name="20% - Accent6 44 3" xfId="7761" xr:uid="{3E70849A-637E-4036-92FF-CC28F7FAFA53}"/>
    <cellStyle name="20% - Accent6 44 4" xfId="7762" xr:uid="{4D6888ED-048B-485E-A03B-85DCC5436364}"/>
    <cellStyle name="20% - Accent6 44_Requirements CBS" xfId="16384" xr:uid="{F2FF14DF-33E9-40AF-B456-BF4783C3CE7C}"/>
    <cellStyle name="20% - Accent6 45" xfId="7763" xr:uid="{5CE29E93-E307-4B9C-93A2-505785F0A6F4}"/>
    <cellStyle name="20% - Accent6 45 2" xfId="7764" xr:uid="{7086D995-5A00-4889-B0F3-6306F90335B5}"/>
    <cellStyle name="20% - Accent6 45 2 2" xfId="7765" xr:uid="{DAAF1963-6811-4D26-B015-49EC8BF404CC}"/>
    <cellStyle name="20% - Accent6 45 2_Requirements CBS" xfId="16387" xr:uid="{0EBD4D50-CF45-4808-AF8E-477F738518F1}"/>
    <cellStyle name="20% - Accent6 45 3" xfId="7766" xr:uid="{B4EE0231-DFEA-46DF-B25B-945E23B068B6}"/>
    <cellStyle name="20% - Accent6 45 4" xfId="7767" xr:uid="{26D948B0-9277-4260-9328-6005EBFF07FD}"/>
    <cellStyle name="20% - Accent6 45_Requirements CBS" xfId="16386" xr:uid="{2CAF168D-1510-41E1-B28E-969DB226C9A2}"/>
    <cellStyle name="20% - Accent6 46" xfId="7768" xr:uid="{80CE95A3-3E06-4969-B13B-E825C3BF3EE7}"/>
    <cellStyle name="20% - Accent6 46 2" xfId="7769" xr:uid="{652BF9B0-9D33-485D-A9BE-6795F1C99ED0}"/>
    <cellStyle name="20% - Accent6 46 2 2" xfId="7770" xr:uid="{925ED22D-51E3-4AA2-BCF5-16CC0DD7CCB0}"/>
    <cellStyle name="20% - Accent6 46 2_Requirements CBS" xfId="16389" xr:uid="{29BB9E15-2451-4A7A-9D47-63BF6A3DE10C}"/>
    <cellStyle name="20% - Accent6 46 3" xfId="7771" xr:uid="{06423B77-D3E3-4261-84AE-0281F308A071}"/>
    <cellStyle name="20% - Accent6 46 4" xfId="7772" xr:uid="{4DCC9FC2-FB69-4387-B26C-4905465EC776}"/>
    <cellStyle name="20% - Accent6 46_Requirements CBS" xfId="16388" xr:uid="{DBC770A5-F7C3-4527-9493-14A2D2C426D0}"/>
    <cellStyle name="20% - Accent6 47" xfId="7773" xr:uid="{DF6C2258-E01F-4BBB-A3AD-39D18C360409}"/>
    <cellStyle name="20% - Accent6 47 2" xfId="7774" xr:uid="{AF4FDD3B-F5E7-417B-B5A8-4C0AC78F6EEE}"/>
    <cellStyle name="20% - Accent6 47 2 2" xfId="7775" xr:uid="{99A39D96-1C60-4B7D-B032-D0949BC2CB43}"/>
    <cellStyle name="20% - Accent6 47 2_Requirements CBS" xfId="16391" xr:uid="{F5DEAA22-45F9-4051-8DA2-951E64EB5FD2}"/>
    <cellStyle name="20% - Accent6 47 3" xfId="7776" xr:uid="{90389ABF-E97B-4410-A5C4-9DD18991971C}"/>
    <cellStyle name="20% - Accent6 47 4" xfId="7777" xr:uid="{A00FFCC9-1F54-4505-ACF3-FD2517957C68}"/>
    <cellStyle name="20% - Accent6 47_Requirements CBS" xfId="16390" xr:uid="{31BCB7B2-9577-4663-9B3B-3DC1015844C6}"/>
    <cellStyle name="20% - Accent6 48" xfId="7778" xr:uid="{D2873703-9D72-42FC-9A08-F2AB15C5215B}"/>
    <cellStyle name="20% - Accent6 48 2" xfId="7779" xr:uid="{14879804-1F03-4C4B-8E95-6A987590E06F}"/>
    <cellStyle name="20% - Accent6 48 2 2" xfId="7780" xr:uid="{35443AD7-E4A2-4252-8DA5-A5B05EE93552}"/>
    <cellStyle name="20% - Accent6 48 2_Requirements CBS" xfId="16393" xr:uid="{D9D707F3-E23D-41B4-AC2D-DBED8F829EE9}"/>
    <cellStyle name="20% - Accent6 48 3" xfId="7781" xr:uid="{F652E39C-A6D0-4449-83C2-D1B1D83F1A79}"/>
    <cellStyle name="20% - Accent6 48 4" xfId="7782" xr:uid="{5A4E6A25-728B-4890-9842-4872F14D7549}"/>
    <cellStyle name="20% - Accent6 48_Requirements CBS" xfId="16392" xr:uid="{E3F9CF8E-A1D1-4A4C-A82C-1E2EEA39B95D}"/>
    <cellStyle name="20% - Accent6 49" xfId="7783" xr:uid="{0D9DC4EA-063C-49B6-9651-3289390E1746}"/>
    <cellStyle name="20% - Accent6 49 2" xfId="7784" xr:uid="{79AB4FC2-9811-4DDB-A1A3-BF1A28BA7A56}"/>
    <cellStyle name="20% - Accent6 49 2 2" xfId="7785" xr:uid="{05B61616-5CAE-4D1B-B49D-3F0F23C493C1}"/>
    <cellStyle name="20% - Accent6 49 2_Requirements CBS" xfId="16395" xr:uid="{8CC3EBB5-23F1-4D83-83BD-9EBCE9ABBE41}"/>
    <cellStyle name="20% - Accent6 49 3" xfId="7786" xr:uid="{440A3343-29B6-4B33-B155-5FFC9929D6C3}"/>
    <cellStyle name="20% - Accent6 49 4" xfId="7787" xr:uid="{D136BA6E-D81F-4E29-B7CB-16D33C732083}"/>
    <cellStyle name="20% - Accent6 49_Requirements CBS" xfId="16394" xr:uid="{813FD014-6D89-4476-92C1-E82AF39A9676}"/>
    <cellStyle name="20% - Accent6 5" xfId="7788" xr:uid="{65116EE4-2B02-4FA5-8B69-5034058FBD23}"/>
    <cellStyle name="20% - Accent6 5 2" xfId="7789" xr:uid="{4CD3E843-F396-4A3E-BC09-2B35B2F14123}"/>
    <cellStyle name="20% - Accent6 5 2 2" xfId="7790" xr:uid="{EB3F3C09-EB0C-4B86-8542-343EC1208A99}"/>
    <cellStyle name="20% - Accent6 5 2 2 2" xfId="7791" xr:uid="{C31F0B56-5CE1-4777-993D-4E324F265D19}"/>
    <cellStyle name="20% - Accent6 5 2 2_Requirements CBS" xfId="16397" xr:uid="{AA0F79FC-34C7-478F-B88C-44402F08DDF1}"/>
    <cellStyle name="20% - Accent6 5 2 3" xfId="7792" xr:uid="{79F90EA7-B5B7-4E02-8560-6B8DDF00DF32}"/>
    <cellStyle name="20% - Accent6 5 2 4" xfId="7793" xr:uid="{82FFCD2C-8979-45C2-87D1-12EE6A429D71}"/>
    <cellStyle name="20% - Accent6 5 2_Requirements CBS" xfId="16396" xr:uid="{90593DBA-3C4C-4CD6-AFBE-B08F8E68B735}"/>
    <cellStyle name="20% - Accent6 5 3" xfId="7794" xr:uid="{05E2D788-12ED-43EA-BCC3-A0FA98E0D60C}"/>
    <cellStyle name="20% - Accent6 5 3 2" xfId="7795" xr:uid="{64616045-DB46-4200-874B-16DCD30A6A37}"/>
    <cellStyle name="20% - Accent6 5 3_Requirements CBS" xfId="16398" xr:uid="{08602047-E604-4BD7-ACF0-135A4289E742}"/>
    <cellStyle name="20% - Accent6 5 4" xfId="7796" xr:uid="{B648A8B6-F3DB-4AD1-8CEB-4BC2890DA549}"/>
    <cellStyle name="20% - Accent6 5 5" xfId="7797" xr:uid="{7EDCD03B-BBF9-4F03-8AE8-DC6911654231}"/>
    <cellStyle name="20% - Accent6 5_Not_for_upload_before_M4_correc" xfId="14088" xr:uid="{B4D52205-0016-4A78-BA4C-07B26759C0DE}"/>
    <cellStyle name="20% - Accent6 50" xfId="7798" xr:uid="{4121BB77-4155-46E1-B2AE-EC0EF150E46A}"/>
    <cellStyle name="20% - Accent6 50 2" xfId="7799" xr:uid="{D4EDE32C-F0C3-4C6B-B634-7652E5CBAA18}"/>
    <cellStyle name="20% - Accent6 50 2 2" xfId="7800" xr:uid="{CA8252E4-91DB-43CF-AF2D-8FD02658FF01}"/>
    <cellStyle name="20% - Accent6 50 2_Requirements CBS" xfId="16400" xr:uid="{5A1BC82C-3421-4E77-A56D-7C07333AC3AD}"/>
    <cellStyle name="20% - Accent6 50 3" xfId="7801" xr:uid="{641AB0B5-7F8C-401B-8426-798D839D30CF}"/>
    <cellStyle name="20% - Accent6 50 4" xfId="7802" xr:uid="{DDB6FC46-07BB-4FA4-9502-FFFFB10C4D0F}"/>
    <cellStyle name="20% - Accent6 50_Requirements CBS" xfId="16399" xr:uid="{DD828C91-6382-493D-A3D4-1EBB43B660B8}"/>
    <cellStyle name="20% - Accent6 51" xfId="7803" xr:uid="{8C4A4BCE-562F-4E08-94B5-555CB91892EF}"/>
    <cellStyle name="20% - Accent6 51 2" xfId="7804" xr:uid="{658895D8-34E0-46F0-AB58-F50CD8CF486A}"/>
    <cellStyle name="20% - Accent6 51 2 2" xfId="7805" xr:uid="{960E795F-0FC8-4CB9-883A-8EA45DD6D8BB}"/>
    <cellStyle name="20% - Accent6 51 2_Requirements CBS" xfId="16402" xr:uid="{04BDCA63-5F24-4CEC-A3F1-4692F15EBE64}"/>
    <cellStyle name="20% - Accent6 51 3" xfId="7806" xr:uid="{053BE051-1CEB-465B-96B8-7134CBA507E9}"/>
    <cellStyle name="20% - Accent6 51 4" xfId="7807" xr:uid="{5E47B930-0914-4C78-BB71-E7D62EE29C00}"/>
    <cellStyle name="20% - Accent6 51_Requirements CBS" xfId="16401" xr:uid="{AABDC6AD-A36E-44B7-868C-C809517B5C9B}"/>
    <cellStyle name="20% - Accent6 52" xfId="7808" xr:uid="{B87521CD-5FB3-4EA2-9762-C6F2A6E93AF5}"/>
    <cellStyle name="20% - Accent6 52 2" xfId="7809" xr:uid="{41A82485-C4AF-4AE5-9617-0301E630A3E0}"/>
    <cellStyle name="20% - Accent6 52 2 2" xfId="7810" xr:uid="{059B472C-BEBA-4B1A-8465-5A2A684E9255}"/>
    <cellStyle name="20% - Accent6 52 2_Requirements CBS" xfId="16404" xr:uid="{6D8084EC-1D2B-4825-A5F8-F95B6BFE3E65}"/>
    <cellStyle name="20% - Accent6 52 3" xfId="7811" xr:uid="{0F8534C3-1E7A-4940-9E7D-B9E69A5EF0E7}"/>
    <cellStyle name="20% - Accent6 52 4" xfId="7812" xr:uid="{2B60E86E-4BC0-467F-9760-583313683F49}"/>
    <cellStyle name="20% - Accent6 52_Requirements CBS" xfId="16403" xr:uid="{C58C2D9D-9F96-49FF-8126-FB6B86186E71}"/>
    <cellStyle name="20% - Accent6 53" xfId="7813" xr:uid="{90FDD326-89DF-48A3-8CC4-33C4B5F7956D}"/>
    <cellStyle name="20% - Accent6 53 2" xfId="7814" xr:uid="{A08410CA-3F12-4EB7-9D43-C119D2D4BEF4}"/>
    <cellStyle name="20% - Accent6 53 2 2" xfId="7815" xr:uid="{9B776A52-70CC-4974-901B-3B255B50F316}"/>
    <cellStyle name="20% - Accent6 53 2_Requirements CBS" xfId="16406" xr:uid="{4864A5CB-2A06-49C6-B3D3-69CB1887EBE1}"/>
    <cellStyle name="20% - Accent6 53 3" xfId="7816" xr:uid="{A4A1A7DC-8727-4A86-8D27-610ED2660DB1}"/>
    <cellStyle name="20% - Accent6 53 4" xfId="7817" xr:uid="{A92A6638-5C9D-4AC0-B3C0-3A7F7A631CA7}"/>
    <cellStyle name="20% - Accent6 53_Requirements CBS" xfId="16405" xr:uid="{7AB52339-09AB-411A-BF66-6357BFAB9507}"/>
    <cellStyle name="20% - Accent6 54" xfId="7818" xr:uid="{32E5FD22-54D6-4C9E-B81E-080303DC0A27}"/>
    <cellStyle name="20% - Accent6 54 2" xfId="7819" xr:uid="{544C4C7D-1B4E-4661-BBFC-A8FDB95D90BF}"/>
    <cellStyle name="20% - Accent6 54 2 2" xfId="7820" xr:uid="{8B20C706-5950-4100-B6FF-EFACA9294B06}"/>
    <cellStyle name="20% - Accent6 54 2_Requirements CBS" xfId="16408" xr:uid="{87BA0577-11E8-4143-856D-C8EAE4748842}"/>
    <cellStyle name="20% - Accent6 54 3" xfId="7821" xr:uid="{C5FA2013-3BCF-419D-AF4D-1A11684689F8}"/>
    <cellStyle name="20% - Accent6 54 4" xfId="7822" xr:uid="{0562B0BE-3EAB-4881-9CEA-CB980FAA36F4}"/>
    <cellStyle name="20% - Accent6 54_Requirements CBS" xfId="16407" xr:uid="{4F14DCF9-3B96-43D1-9EA5-E3226C2EE8A0}"/>
    <cellStyle name="20% - Accent6 55" xfId="7823" xr:uid="{114C1F0D-A84B-48C5-93CE-C17BE839E4FA}"/>
    <cellStyle name="20% - Accent6 55 2" xfId="7824" xr:uid="{7DE7BEBF-27EC-469F-9607-1DE36F527D55}"/>
    <cellStyle name="20% - Accent6 55 2 2" xfId="7825" xr:uid="{C47F7522-0E9C-4687-9178-762FD030A410}"/>
    <cellStyle name="20% - Accent6 55 2_Requirements CBS" xfId="16410" xr:uid="{A9A2BBCA-DD47-4CEE-ADE5-DBC73FE54BD3}"/>
    <cellStyle name="20% - Accent6 55 3" xfId="7826" xr:uid="{CBD20409-FF6C-49FE-A983-EF80AF115B69}"/>
    <cellStyle name="20% - Accent6 55 4" xfId="7827" xr:uid="{94A9C4ED-81AF-4407-92E1-9A2E0F122B7F}"/>
    <cellStyle name="20% - Accent6 55_Requirements CBS" xfId="16409" xr:uid="{7A143B96-47E3-4705-9AD1-EE8DD1CC6F6C}"/>
    <cellStyle name="20% - Accent6 56" xfId="7828" xr:uid="{AAAA8DA1-A406-4E63-B0ED-E5D651D70E75}"/>
    <cellStyle name="20% - Accent6 56 2" xfId="7829" xr:uid="{384A6390-A457-4F4D-B4F6-B2E4FFC30C65}"/>
    <cellStyle name="20% - Accent6 56 2 2" xfId="7830" xr:uid="{0EE47030-8372-437B-9BE7-634B680E1A5C}"/>
    <cellStyle name="20% - Accent6 56 2_Requirements CBS" xfId="16412" xr:uid="{A7F864CA-4A6E-42E9-9BC9-4927DF3CF59F}"/>
    <cellStyle name="20% - Accent6 56 3" xfId="7831" xr:uid="{1B844F03-D5AA-4641-8755-ABD0885FAA8D}"/>
    <cellStyle name="20% - Accent6 56 4" xfId="7832" xr:uid="{DD77FE86-A5C6-484C-821B-8CEE90505007}"/>
    <cellStyle name="20% - Accent6 56_Requirements CBS" xfId="16411" xr:uid="{9341BBF8-E802-4902-A275-108646CBFD7D}"/>
    <cellStyle name="20% - Accent6 57" xfId="7833" xr:uid="{005A2FAC-1375-405B-AB24-CABDAA590F59}"/>
    <cellStyle name="20% - Accent6 57 2" xfId="7834" xr:uid="{87DE79BD-F002-456E-8982-044B16F29E2B}"/>
    <cellStyle name="20% - Accent6 57 2 2" xfId="7835" xr:uid="{53E456CF-1813-443A-9C4F-8AAAA21F9F95}"/>
    <cellStyle name="20% - Accent6 57 2_Requirements CBS" xfId="16414" xr:uid="{2D6BF276-1C35-4272-9B05-DE334FB80B9C}"/>
    <cellStyle name="20% - Accent6 57 3" xfId="7836" xr:uid="{2A52FB38-A9DB-49AD-B7C1-A0C831FF0FD9}"/>
    <cellStyle name="20% - Accent6 57 4" xfId="7837" xr:uid="{43C2DE7D-5E43-48FE-9FEC-33ABBD0139EF}"/>
    <cellStyle name="20% - Accent6 57_Requirements CBS" xfId="16413" xr:uid="{C3918755-7A88-4B02-992D-EB9985DE4B14}"/>
    <cellStyle name="20% - Accent6 58" xfId="7838" xr:uid="{57A50D0F-EDE4-4033-A65B-A05ECBAC180F}"/>
    <cellStyle name="20% - Accent6 58 2" xfId="7839" xr:uid="{92C05223-8853-47BD-91C9-42DB393CB214}"/>
    <cellStyle name="20% - Accent6 58 2 2" xfId="7840" xr:uid="{364EE0F7-D6B5-4F58-A25A-EC70E11D10EC}"/>
    <cellStyle name="20% - Accent6 58 2_Requirements CBS" xfId="16416" xr:uid="{6B40ADB2-96D1-4478-8867-5856540AF438}"/>
    <cellStyle name="20% - Accent6 58 3" xfId="7841" xr:uid="{3F910506-DB37-4283-9A94-E15662FAB274}"/>
    <cellStyle name="20% - Accent6 58 4" xfId="7842" xr:uid="{6810C044-3968-4639-8E0D-213834BABA68}"/>
    <cellStyle name="20% - Accent6 58_Requirements CBS" xfId="16415" xr:uid="{4180EDCB-52D5-4CEC-B390-2B79764749C4}"/>
    <cellStyle name="20% - Accent6 59" xfId="7843" xr:uid="{98210C67-CD9B-4002-9DF8-E272545BC995}"/>
    <cellStyle name="20% - Accent6 59 2" xfId="7844" xr:uid="{DCEB8339-2DDE-4FE2-875E-F07CFB0A6987}"/>
    <cellStyle name="20% - Accent6 59 2 2" xfId="7845" xr:uid="{8E15BF25-EB7D-47FA-93CB-E5532D95AA27}"/>
    <cellStyle name="20% - Accent6 59 2_Requirements CBS" xfId="16418" xr:uid="{5E3D451B-E55F-4B37-9E27-18DAF73C4F96}"/>
    <cellStyle name="20% - Accent6 59 3" xfId="7846" xr:uid="{D1BF4884-4E81-4492-B2C4-D437EDF7C68D}"/>
    <cellStyle name="20% - Accent6 59 4" xfId="7847" xr:uid="{6E5D8B88-CE86-4B7C-A0D7-2727642E44C3}"/>
    <cellStyle name="20% - Accent6 59_Requirements CBS" xfId="16417" xr:uid="{EC3E2553-39D0-4D9D-AF71-F307E5C9B149}"/>
    <cellStyle name="20% - Accent6 6" xfId="7848" xr:uid="{E67052EA-1486-4309-BE5F-E5E140D4F43A}"/>
    <cellStyle name="20% - Accent6 6 2" xfId="7849" xr:uid="{6CF713EB-B91F-426A-B522-06D505C88FD1}"/>
    <cellStyle name="20% - Accent6 6 2 2" xfId="7850" xr:uid="{DE751C66-B446-40AC-9FD1-F2FD48A359BD}"/>
    <cellStyle name="20% - Accent6 6 2 2 2" xfId="7851" xr:uid="{19D18ADD-1EE3-4FCD-A8F6-E7474C63FF07}"/>
    <cellStyle name="20% - Accent6 6 2 2_Requirements CBS" xfId="16420" xr:uid="{3F387D4B-64B6-4EF0-B8B6-48D5F5C0DF7D}"/>
    <cellStyle name="20% - Accent6 6 2 3" xfId="7852" xr:uid="{788260E4-1254-4C20-A725-1AD783DF66B1}"/>
    <cellStyle name="20% - Accent6 6 2 4" xfId="7853" xr:uid="{0A9FA737-90D1-4C58-A375-E3050EAA1A6D}"/>
    <cellStyle name="20% - Accent6 6 2_Requirements CBS" xfId="16419" xr:uid="{FCE8C62B-0D98-4353-BBF7-73597B6EACDE}"/>
    <cellStyle name="20% - Accent6 6 3" xfId="7854" xr:uid="{4AB1E107-FA19-4A77-9793-7DFAEC50E26F}"/>
    <cellStyle name="20% - Accent6 6 3 2" xfId="7855" xr:uid="{5EEF0AAB-D6AE-4067-96D1-FDBF2F6FD427}"/>
    <cellStyle name="20% - Accent6 6 3_Requirements CBS" xfId="16421" xr:uid="{BD1CD6BF-F03F-4D2B-9DEA-575BB3D8D44F}"/>
    <cellStyle name="20% - Accent6 6 4" xfId="7856" xr:uid="{B576B4AB-54F7-4593-ADB0-953C13322F83}"/>
    <cellStyle name="20% - Accent6 6 5" xfId="7857" xr:uid="{D0150B01-4C9B-481F-AB7B-C9B110A8DAAB}"/>
    <cellStyle name="20% - Accent6 6_Not_for_upload_before_M4_correc" xfId="14089" xr:uid="{E96CAC7A-0043-40D5-93D0-18A303CB531F}"/>
    <cellStyle name="20% - Accent6 60" xfId="7858" xr:uid="{C79F2123-9325-4B27-90CA-1E322AFE529C}"/>
    <cellStyle name="20% - Accent6 60 2" xfId="7859" xr:uid="{3C4EFF7D-B7AC-47F4-A42A-CDB790276A37}"/>
    <cellStyle name="20% - Accent6 60 2 2" xfId="7860" xr:uid="{1EF7C1A5-81F9-4C4E-9163-146D97A44C6A}"/>
    <cellStyle name="20% - Accent6 60 2_Requirements CBS" xfId="16423" xr:uid="{89F2BD92-540E-4F27-8DDE-021B8C54A862}"/>
    <cellStyle name="20% - Accent6 60 3" xfId="7861" xr:uid="{BB5617B2-28B5-4B3D-B6CF-B5FDB43449AC}"/>
    <cellStyle name="20% - Accent6 60 4" xfId="7862" xr:uid="{984BFE96-3C2A-4C45-BEF1-B87725CA7871}"/>
    <cellStyle name="20% - Accent6 60_Requirements CBS" xfId="16422" xr:uid="{034FA0A4-CF30-4E09-A892-7346AFE2B9E1}"/>
    <cellStyle name="20% - Accent6 61" xfId="7863" xr:uid="{F132DA46-26BF-4EF7-AEAE-FDF42AA53BE0}"/>
    <cellStyle name="20% - Accent6 61 2" xfId="7864" xr:uid="{8A07523F-59FE-42E6-98A0-726BD50BCDD0}"/>
    <cellStyle name="20% - Accent6 61 2 2" xfId="7865" xr:uid="{38916AAD-1752-4B8E-9873-A8D610FCCDC4}"/>
    <cellStyle name="20% - Accent6 61 2_Requirements CBS" xfId="16425" xr:uid="{A4B35445-CD81-45CA-8524-A4DBDF1FCE69}"/>
    <cellStyle name="20% - Accent6 61 3" xfId="7866" xr:uid="{BF3A623E-1EEF-40CB-BF12-7504D93BA9E9}"/>
    <cellStyle name="20% - Accent6 61 4" xfId="7867" xr:uid="{71E435CA-590D-4ADB-806C-557B62CEE682}"/>
    <cellStyle name="20% - Accent6 61_Requirements CBS" xfId="16424" xr:uid="{518166E8-B3C2-405F-8E12-8553211A63F0}"/>
    <cellStyle name="20% - Accent6 62" xfId="7868" xr:uid="{57B51374-7517-434D-B8ED-E8313160DF20}"/>
    <cellStyle name="20% - Accent6 62 2" xfId="7869" xr:uid="{16E30A39-BC83-4DFB-AB66-53CE95BC972D}"/>
    <cellStyle name="20% - Accent6 62 2 2" xfId="7870" xr:uid="{0BF01549-4EB9-4644-8795-4839AA8F381D}"/>
    <cellStyle name="20% - Accent6 62 2_Requirements CBS" xfId="16427" xr:uid="{88C58299-B9FA-45D3-8FD6-A2714D8BF96B}"/>
    <cellStyle name="20% - Accent6 62 3" xfId="7871" xr:uid="{637E6500-2370-41F7-A11C-87B68AE73ED6}"/>
    <cellStyle name="20% - Accent6 62 4" xfId="7872" xr:uid="{04A9E09E-5C67-444F-8B0E-53EF9A597F77}"/>
    <cellStyle name="20% - Accent6 62_Requirements CBS" xfId="16426" xr:uid="{368DBD16-239D-4CF1-9FB0-E15DABEDA9B2}"/>
    <cellStyle name="20% - Accent6 63" xfId="7873" xr:uid="{4D9FBA39-D738-4D11-AB8B-64B2B37A9B43}"/>
    <cellStyle name="20% - Accent6 63 2" xfId="7874" xr:uid="{5DA67263-E0FC-4D7D-A895-10C1DB6B8BD3}"/>
    <cellStyle name="20% - Accent6 63 2 2" xfId="7875" xr:uid="{18A0EA1E-5CBF-4C5A-8FB7-7DABCC700A15}"/>
    <cellStyle name="20% - Accent6 63 2_Requirements CBS" xfId="16429" xr:uid="{92AFFD14-2825-48CE-892E-E1B92F530512}"/>
    <cellStyle name="20% - Accent6 63 3" xfId="7876" xr:uid="{39C5A72A-BBB0-4714-A2FC-3C8ED56BB7A7}"/>
    <cellStyle name="20% - Accent6 63 4" xfId="7877" xr:uid="{8EB53587-62FD-40B5-9A0A-127CD0AE0A26}"/>
    <cellStyle name="20% - Accent6 63_Requirements CBS" xfId="16428" xr:uid="{16ED510E-BF20-4036-B63F-0D792790C81D}"/>
    <cellStyle name="20% - Accent6 64" xfId="7878" xr:uid="{27DD5E91-9DC8-4101-A5C5-3CA9EA0072EA}"/>
    <cellStyle name="20% - Accent6 64 2" xfId="7879" xr:uid="{9754A86A-B704-44D6-9B62-167A13EB1CF2}"/>
    <cellStyle name="20% - Accent6 64 2 2" xfId="7880" xr:uid="{C36053C0-36A7-4144-B1AE-F9F892248430}"/>
    <cellStyle name="20% - Accent6 64 2_Requirements CBS" xfId="16431" xr:uid="{1CB40CE9-E748-4B48-8CBE-69D87583073D}"/>
    <cellStyle name="20% - Accent6 64 3" xfId="7881" xr:uid="{C546A917-35C0-48C4-B34D-761395D07ECC}"/>
    <cellStyle name="20% - Accent6 64 4" xfId="7882" xr:uid="{AB25E32E-7834-4795-9669-BD09FF358126}"/>
    <cellStyle name="20% - Accent6 64_Requirements CBS" xfId="16430" xr:uid="{BED42BEA-3848-4F47-A351-9762604BB816}"/>
    <cellStyle name="20% - Accent6 65" xfId="7883" xr:uid="{2AEB516A-B75E-436C-A2C1-A9557CF7CD76}"/>
    <cellStyle name="20% - Accent6 65 2" xfId="7884" xr:uid="{75E8860E-742A-4712-A687-540A094A69A6}"/>
    <cellStyle name="20% - Accent6 65 2 2" xfId="7885" xr:uid="{4AC1FFA5-C40E-4550-A47E-A55DAFD15FC6}"/>
    <cellStyle name="20% - Accent6 65 2_Requirements CBS" xfId="16433" xr:uid="{47D2BAC1-3B53-499E-AC72-64255743C090}"/>
    <cellStyle name="20% - Accent6 65 3" xfId="7886" xr:uid="{AED387F0-C5A1-4EB4-A119-D496A39A6FF0}"/>
    <cellStyle name="20% - Accent6 65 4" xfId="7887" xr:uid="{AF9CB649-DA9D-4C57-B3CD-75DEF803C43A}"/>
    <cellStyle name="20% - Accent6 65_Requirements CBS" xfId="16432" xr:uid="{F3C30DE6-EF67-4CEF-86C4-E83FCE85569A}"/>
    <cellStyle name="20% - Accent6 66" xfId="7888" xr:uid="{7DA89122-E9DF-4BFC-AE60-80CA42CC4BCF}"/>
    <cellStyle name="20% - Accent6 66 2" xfId="7889" xr:uid="{9CE6366A-7C70-43CD-A0EF-3A6D98E8FD4D}"/>
    <cellStyle name="20% - Accent6 66 2 2" xfId="7890" xr:uid="{8F6C4752-B694-4798-AAA6-77444D15AE56}"/>
    <cellStyle name="20% - Accent6 66 2_Requirements CBS" xfId="16435" xr:uid="{8068FAB3-F645-4C1E-8A36-B9E1C04E507C}"/>
    <cellStyle name="20% - Accent6 66 3" xfId="7891" xr:uid="{D23070DE-A457-4B9D-BACD-10D7D15149D3}"/>
    <cellStyle name="20% - Accent6 66 4" xfId="7892" xr:uid="{BFA8888A-E5DF-4433-9BE8-30321F3C09EE}"/>
    <cellStyle name="20% - Accent6 66_Requirements CBS" xfId="16434" xr:uid="{B89D96F0-47E8-412F-82DF-76890562096C}"/>
    <cellStyle name="20% - Accent6 67" xfId="7893" xr:uid="{0A48D1E8-4891-400B-9D40-C4E1CEBF39D9}"/>
    <cellStyle name="20% - Accent6 67 2" xfId="7894" xr:uid="{4CA41FFB-F608-41AA-B7AA-FCA1F6CA4B5A}"/>
    <cellStyle name="20% - Accent6 67 2 2" xfId="7895" xr:uid="{65AB5DFA-3BB5-4C16-B853-4171744451F0}"/>
    <cellStyle name="20% - Accent6 67 2_Requirements CBS" xfId="16437" xr:uid="{3EFB30AD-6AA2-4882-A729-6BC4931019A3}"/>
    <cellStyle name="20% - Accent6 67 3" xfId="7896" xr:uid="{8617E18F-297C-4FC0-A4C2-1EB465DF3098}"/>
    <cellStyle name="20% - Accent6 67 4" xfId="7897" xr:uid="{8F19BC8D-FEC8-4AFD-B881-E5F3BE4F58B2}"/>
    <cellStyle name="20% - Accent6 67_Requirements CBS" xfId="16436" xr:uid="{4829D04F-A15B-4E1E-8178-89135577D2B0}"/>
    <cellStyle name="20% - Accent6 68" xfId="7898" xr:uid="{FA582E2C-B7E4-4275-946A-1F1D15C290F5}"/>
    <cellStyle name="20% - Accent6 68 2" xfId="7899" xr:uid="{9969E234-82EC-4304-91AB-190EDE92EC65}"/>
    <cellStyle name="20% - Accent6 68 2 2" xfId="7900" xr:uid="{C32684FA-CFDE-4220-AC4A-625490ABFDF4}"/>
    <cellStyle name="20% - Accent6 68 2_Requirements CBS" xfId="16439" xr:uid="{035B280B-1AC7-40ED-AB78-42F75E804431}"/>
    <cellStyle name="20% - Accent6 68 3" xfId="7901" xr:uid="{B4D31316-605C-42FE-8F1D-418F98A529B4}"/>
    <cellStyle name="20% - Accent6 68 4" xfId="7902" xr:uid="{F847ED58-550B-4DE0-BED1-83C79EFBCA0C}"/>
    <cellStyle name="20% - Accent6 68_Requirements CBS" xfId="16438" xr:uid="{7EBE170C-979E-4FD0-B746-DA74396FFD36}"/>
    <cellStyle name="20% - Accent6 69" xfId="7903" xr:uid="{3FD62C43-E6EF-4B94-933F-A85499DEBF9D}"/>
    <cellStyle name="20% - Accent6 69 2" xfId="7904" xr:uid="{A787A698-5D37-4B5B-9066-DACB67453B4B}"/>
    <cellStyle name="20% - Accent6 69 2 2" xfId="7905" xr:uid="{B72CC09F-5997-4AB5-A2C5-16992005D9DC}"/>
    <cellStyle name="20% - Accent6 69 2_Requirements CBS" xfId="16441" xr:uid="{22842C0D-105E-4081-8272-1B8A34062217}"/>
    <cellStyle name="20% - Accent6 69 3" xfId="7906" xr:uid="{D4ACD67C-956A-4AAD-ABC3-2C164A70C49E}"/>
    <cellStyle name="20% - Accent6 69 4" xfId="7907" xr:uid="{D983E02B-5E46-4289-A158-80B34C0D6235}"/>
    <cellStyle name="20% - Accent6 69_Requirements CBS" xfId="16440" xr:uid="{1E12D751-6BC0-43EF-B0B2-929C3B63E523}"/>
    <cellStyle name="20% - Accent6 7" xfId="7908" xr:uid="{9F021D47-D055-47D2-8147-69326EF5B268}"/>
    <cellStyle name="20% - Accent6 7 2" xfId="7909" xr:uid="{EF2841A8-815D-4F79-8CC9-836128CD07CE}"/>
    <cellStyle name="20% - Accent6 7 2 2" xfId="7910" xr:uid="{737EF88E-93CB-4FB8-BD0A-C5B3AD3BCE69}"/>
    <cellStyle name="20% - Accent6 7 2 2 2" xfId="7911" xr:uid="{49D9CB8A-5AB5-4028-BBA9-74E717DCAEEC}"/>
    <cellStyle name="20% - Accent6 7 2 2_Requirements CBS" xfId="16443" xr:uid="{1AA12014-1C5D-41E8-9E10-335C41F11EA8}"/>
    <cellStyle name="20% - Accent6 7 2 3" xfId="7912" xr:uid="{84832133-0F65-4EF6-AAD0-75FE4DB4DFCA}"/>
    <cellStyle name="20% - Accent6 7 2 4" xfId="7913" xr:uid="{C09B2287-480F-40ED-8360-AF1F62EDB600}"/>
    <cellStyle name="20% - Accent6 7 2_Requirements CBS" xfId="16442" xr:uid="{9C5BC66F-034E-440C-900A-E57B4067DE0B}"/>
    <cellStyle name="20% - Accent6 7 3" xfId="7914" xr:uid="{73A5B970-AA4A-4C0D-B109-0F3B67B408FD}"/>
    <cellStyle name="20% - Accent6 7 3 2" xfId="7915" xr:uid="{801D726C-A64F-4A8E-9BAC-6934AF25DDCB}"/>
    <cellStyle name="20% - Accent6 7 3_Requirements CBS" xfId="16444" xr:uid="{0589522C-9D11-4ACB-BD9A-EEE8882604F5}"/>
    <cellStyle name="20% - Accent6 7 4" xfId="7916" xr:uid="{992D02E8-504E-4785-88F3-A87BEB0F8C91}"/>
    <cellStyle name="20% - Accent6 7 5" xfId="7917" xr:uid="{65A61AF1-0301-4D43-BA00-CE6DB1D781FE}"/>
    <cellStyle name="20% - Accent6 7_Not_for_upload_before_M4_correc" xfId="14090" xr:uid="{B9E92A39-2C6F-4A91-97E1-F60B4830E65C}"/>
    <cellStyle name="20% - Accent6 70" xfId="7918" xr:uid="{3C7900E8-DB6B-4C65-A4BD-D15A1B743910}"/>
    <cellStyle name="20% - Accent6 70 2" xfId="7919" xr:uid="{2F337B80-07F6-4629-9C28-0ACD4D7CE42D}"/>
    <cellStyle name="20% - Accent6 70 2 2" xfId="7920" xr:uid="{9C1BFF9F-DECA-4781-983A-6E5169AD4613}"/>
    <cellStyle name="20% - Accent6 70 2_Requirements CBS" xfId="16446" xr:uid="{F9C3E0B2-5401-4EE1-A462-7A08FE15DA48}"/>
    <cellStyle name="20% - Accent6 70 3" xfId="7921" xr:uid="{11A53ACF-3463-4F96-AA1F-0C2CF24A3E87}"/>
    <cellStyle name="20% - Accent6 70 4" xfId="7922" xr:uid="{823A34B9-438E-4B0D-98CC-BA718FDB01DC}"/>
    <cellStyle name="20% - Accent6 70_Requirements CBS" xfId="16445" xr:uid="{A04E22AA-37B7-44EC-AE9F-6F4CC7D60AED}"/>
    <cellStyle name="20% - Accent6 71" xfId="7923" xr:uid="{5BF4CE29-EFE5-488D-9367-8E22A8D32B1A}"/>
    <cellStyle name="20% - Accent6 71 2" xfId="7924" xr:uid="{D5960671-7D13-4EF4-8B93-5214044D4EFF}"/>
    <cellStyle name="20% - Accent6 71 2 2" xfId="7925" xr:uid="{CB5E7318-7E6B-491B-B018-F6AD4DC51C52}"/>
    <cellStyle name="20% - Accent6 71 2_Requirements CBS" xfId="16448" xr:uid="{01D70F79-8B2C-4FD4-BFE0-969BBA60A8AC}"/>
    <cellStyle name="20% - Accent6 71 3" xfId="7926" xr:uid="{0074E5D9-7BAD-46E2-8C6B-E939D66DB86E}"/>
    <cellStyle name="20% - Accent6 71 4" xfId="7927" xr:uid="{2DA8E34B-35C8-437E-A9C9-671B8DA1DFA8}"/>
    <cellStyle name="20% - Accent6 71_Requirements CBS" xfId="16447" xr:uid="{18F21F51-C2AD-415D-9063-C2D3C08F86D8}"/>
    <cellStyle name="20% - Accent6 72" xfId="7928" xr:uid="{7D04B908-B42E-4B5D-A666-FE590C4D86E4}"/>
    <cellStyle name="20% - Accent6 72 2" xfId="7929" xr:uid="{0FB62790-B8DA-4D01-AFCC-1B8EB3CAE592}"/>
    <cellStyle name="20% - Accent6 72 2 2" xfId="7930" xr:uid="{6F0B7052-E51F-4B81-95FF-86B06037E229}"/>
    <cellStyle name="20% - Accent6 72 2_Requirements CBS" xfId="16450" xr:uid="{C21722E9-7ED0-4C68-836C-0704A01DA0BC}"/>
    <cellStyle name="20% - Accent6 72 3" xfId="7931" xr:uid="{940B7255-7C40-407C-A87D-BB63A0D86DCC}"/>
    <cellStyle name="20% - Accent6 72 4" xfId="7932" xr:uid="{A46C68BB-5701-44C7-BE0B-788C7A2B34A3}"/>
    <cellStyle name="20% - Accent6 72_Requirements CBS" xfId="16449" xr:uid="{FE812F93-1F9D-42A4-B629-2364425EAA5E}"/>
    <cellStyle name="20% - Accent6 73" xfId="7933" xr:uid="{BC02B194-7E15-4A93-804D-856263CAC173}"/>
    <cellStyle name="20% - Accent6 73 2" xfId="7934" xr:uid="{90738896-A6A8-441E-ADDA-3EFA6B026D31}"/>
    <cellStyle name="20% - Accent6 73 2 2" xfId="7935" xr:uid="{73D28344-D1B4-41CC-9F47-50A74FD059E4}"/>
    <cellStyle name="20% - Accent6 73 2_Requirements CBS" xfId="16452" xr:uid="{9F81BB74-45D7-4BAC-B55E-DB19E48E4D83}"/>
    <cellStyle name="20% - Accent6 73 3" xfId="7936" xr:uid="{36045F70-FC19-420B-AC04-8F6B1EAA3B72}"/>
    <cellStyle name="20% - Accent6 73 4" xfId="7937" xr:uid="{FF7691D8-56BD-4A2F-87FB-786656730584}"/>
    <cellStyle name="20% - Accent6 73_Requirements CBS" xfId="16451" xr:uid="{34DBA37A-1884-4AB6-829D-387A8B862199}"/>
    <cellStyle name="20% - Accent6 74" xfId="7938" xr:uid="{33934692-9788-4D75-A4D5-D1D78184BFF4}"/>
    <cellStyle name="20% - Accent6 74 2" xfId="7939" xr:uid="{1817E355-2D49-4E6B-873C-414695353180}"/>
    <cellStyle name="20% - Accent6 74 2 2" xfId="7940" xr:uid="{8A35AEDE-B4C4-4EE6-BA39-844C762C2E28}"/>
    <cellStyle name="20% - Accent6 74 2_Requirements CBS" xfId="16454" xr:uid="{60AD4BF2-215B-48D7-8D01-FD00F105B24A}"/>
    <cellStyle name="20% - Accent6 74 3" xfId="7941" xr:uid="{4C89C771-F7C8-4479-98D2-DD2DC8F4856B}"/>
    <cellStyle name="20% - Accent6 74 4" xfId="7942" xr:uid="{18023839-2C5D-416B-A87D-5E71ED8FB410}"/>
    <cellStyle name="20% - Accent6 74_Requirements CBS" xfId="16453" xr:uid="{27C06A16-012D-4ADD-8D96-A53801E6DEBD}"/>
    <cellStyle name="20% - Accent6 75" xfId="7943" xr:uid="{C1F56FE5-3956-44EB-BBDD-7BA918E6666F}"/>
    <cellStyle name="20% - Accent6 75 2" xfId="7944" xr:uid="{26105E81-4EE1-4CCF-BFE8-3E3304A04227}"/>
    <cellStyle name="20% - Accent6 75 2 2" xfId="7945" xr:uid="{8D1402F7-F220-4AF8-B8B5-3BF7ACFF30D6}"/>
    <cellStyle name="20% - Accent6 75 2_Requirements CBS" xfId="16456" xr:uid="{195F065A-6BDD-486E-9B4A-006970173490}"/>
    <cellStyle name="20% - Accent6 75 3" xfId="7946" xr:uid="{956629BA-D470-4E73-8363-DDBEF15F0BA5}"/>
    <cellStyle name="20% - Accent6 75 4" xfId="7947" xr:uid="{AEE6A634-7EC2-4BD4-BA61-333B96A8C978}"/>
    <cellStyle name="20% - Accent6 75_Requirements CBS" xfId="16455" xr:uid="{8BD06332-B8AA-48C0-8BCB-0079C45A0AFB}"/>
    <cellStyle name="20% - Accent6 76" xfId="7948" xr:uid="{8DCB22D5-56BE-4E9D-936D-EE2AA4C51A20}"/>
    <cellStyle name="20% - Accent6 76 2" xfId="7949" xr:uid="{354240EB-4C54-4A11-A70F-3C0A13D3D464}"/>
    <cellStyle name="20% - Accent6 76 2 2" xfId="7950" xr:uid="{3D1DFEFF-6566-4553-8658-75A083C5A431}"/>
    <cellStyle name="20% - Accent6 76 2_Working Capital Current" xfId="14091" xr:uid="{9DE5E16F-F317-437E-AFC9-C16979A143CD}"/>
    <cellStyle name="20% - Accent6 76 3" xfId="7951" xr:uid="{B52ADE71-D9E4-4E7C-A493-3132D3015F9A}"/>
    <cellStyle name="20% - Accent6 76 4" xfId="7952" xr:uid="{0B172E1E-67DC-495B-8FC3-CA5E13B648A1}"/>
    <cellStyle name="20% - Accent6 76_Working Capital Current" xfId="14092" xr:uid="{39A9C1E7-A0F5-424B-B811-A7DBC407588F}"/>
    <cellStyle name="20% - Accent6 77" xfId="7953" xr:uid="{31032800-D06A-4409-BCD7-78B6320AE95A}"/>
    <cellStyle name="20% - Accent6 77 2" xfId="7954" xr:uid="{D9C1D189-A64F-452F-8A03-FB0DD0322EE0}"/>
    <cellStyle name="20% - Accent6 77 2 2" xfId="7955" xr:uid="{DB743EAC-5D2E-42AA-814D-EEAFD06F49A2}"/>
    <cellStyle name="20% - Accent6 77 2_Working Capital Current" xfId="14093" xr:uid="{706DA0EB-8471-4402-82C3-118A40CFFCFF}"/>
    <cellStyle name="20% - Accent6 77 3" xfId="7956" xr:uid="{70532D2A-412C-4FA0-8782-983762F7456E}"/>
    <cellStyle name="20% - Accent6 77 4" xfId="7957" xr:uid="{D9EF5661-E17C-426E-80F7-4B625A1E0B93}"/>
    <cellStyle name="20% - Accent6 77_Working Capital Current" xfId="14094" xr:uid="{259377D3-42B0-40F3-9A82-B34D60113817}"/>
    <cellStyle name="20% - Accent6 78" xfId="7958" xr:uid="{03492823-F971-4B0A-BDA7-B9DBBDE4CBA1}"/>
    <cellStyle name="20% - Accent6 78 2" xfId="7959" xr:uid="{7B9107CF-C060-4878-8905-B9ACA37020C1}"/>
    <cellStyle name="20% - Accent6 78 2 2" xfId="7960" xr:uid="{ECC7D3F0-9366-4693-9947-AEA22987B6D0}"/>
    <cellStyle name="20% - Accent6 78 2_Working Capital Current" xfId="14095" xr:uid="{918D058A-198E-426E-98C7-E78358CD15FA}"/>
    <cellStyle name="20% - Accent6 78 3" xfId="7961" xr:uid="{ED0241A7-F646-4D96-8E77-1CF713FDEC67}"/>
    <cellStyle name="20% - Accent6 78 4" xfId="7962" xr:uid="{55022FE4-8FDE-45E5-9C21-152EE430B166}"/>
    <cellStyle name="20% - Accent6 78_Working Capital Current" xfId="14096" xr:uid="{912244A3-C374-49FB-8E8C-369CA5438B4A}"/>
    <cellStyle name="20% - Accent6 79" xfId="7963" xr:uid="{66473958-F843-4B45-9B4B-FB8629006542}"/>
    <cellStyle name="20% - Accent6 79 2" xfId="7964" xr:uid="{80074E5C-CE55-4F73-B50F-38D3CFA74FD6}"/>
    <cellStyle name="20% - Accent6 79 2 2" xfId="7965" xr:uid="{205065C0-253B-48B9-A2AB-4611FC39736E}"/>
    <cellStyle name="20% - Accent6 79 2_Working Capital Current" xfId="14097" xr:uid="{DB5BCE60-9D43-4862-9C72-2CC057AB969F}"/>
    <cellStyle name="20% - Accent6 79 3" xfId="7966" xr:uid="{B04A538B-E107-4DD5-B624-C5BD6F37AE79}"/>
    <cellStyle name="20% - Accent6 79 4" xfId="7967" xr:uid="{736A03E2-E5C4-45EA-AEB2-93BA27177117}"/>
    <cellStyle name="20% - Accent6 79_Working Capital Current" xfId="14098" xr:uid="{F00C73DB-DFC9-4F22-8876-4CAF62D6B19E}"/>
    <cellStyle name="20% - Accent6 8" xfId="7968" xr:uid="{BD085B17-E7E7-4807-A20A-7CD112CD0134}"/>
    <cellStyle name="20% - Accent6 8 2" xfId="7969" xr:uid="{8A088BAF-32ED-4C55-AC6D-025B292464F6}"/>
    <cellStyle name="20% - Accent6 8 2 2" xfId="7970" xr:uid="{799F42D3-92B7-486F-A7BD-C0A0E420A54B}"/>
    <cellStyle name="20% - Accent6 8 2 2 2" xfId="7971" xr:uid="{C322F3A2-AA41-42EC-BD49-B715A000AC34}"/>
    <cellStyle name="20% - Accent6 8 2 2_Working Capital Current" xfId="14099" xr:uid="{097C3CB5-FD4E-425F-9A3B-2D934565AA63}"/>
    <cellStyle name="20% - Accent6 8 2 3" xfId="7972" xr:uid="{92DEE2FE-D03D-466B-AE58-C407CFCAB930}"/>
    <cellStyle name="20% - Accent6 8 2 4" xfId="7973" xr:uid="{46228324-D555-4E28-BB66-ED50784AB6F4}"/>
    <cellStyle name="20% - Accent6 8 2_Working Capital Current" xfId="14100" xr:uid="{C14C6049-E34D-4458-A91E-5AA5CD3CFD74}"/>
    <cellStyle name="20% - Accent6 8 3" xfId="7974" xr:uid="{A72C252B-5906-4B74-81AE-96F1392C52A1}"/>
    <cellStyle name="20% - Accent6 8 3 2" xfId="7975" xr:uid="{87B07F28-CD1A-470E-A7D3-5B1A955DE26E}"/>
    <cellStyle name="20% - Accent6 8 3_Working Capital Current" xfId="14101" xr:uid="{A770E47D-25A1-456F-AA31-EEABB1D39B42}"/>
    <cellStyle name="20% - Accent6 8 4" xfId="7976" xr:uid="{EED77CE3-5E30-452F-9BFB-09C416613D5B}"/>
    <cellStyle name="20% - Accent6 8 5" xfId="7977" xr:uid="{58900E60-B3C0-4358-AB2C-25ECC6E34ED3}"/>
    <cellStyle name="20% - Accent6 8_Not_for_upload_before_M4_correc" xfId="14102" xr:uid="{3FA2D0C1-D9C0-4C5D-BAC9-FC41A2585F41}"/>
    <cellStyle name="20% - Accent6 80" xfId="7978" xr:uid="{575B92E2-05BC-4390-BDD3-79BC8A38ED5F}"/>
    <cellStyle name="20% - Accent6 80 2" xfId="7979" xr:uid="{E30EDA9F-83CD-4F42-AC70-6D3A8401EF1D}"/>
    <cellStyle name="20% - Accent6 80 2 2" xfId="7980" xr:uid="{F22273C5-96F1-493E-85BA-C74D04533153}"/>
    <cellStyle name="20% - Accent6 80 2_Working Capital Current" xfId="14103" xr:uid="{8CFAC05D-2790-46E8-B1F3-03D3172A95AD}"/>
    <cellStyle name="20% - Accent6 80 3" xfId="7981" xr:uid="{1683AABB-60A0-41BA-A100-F68DF190734C}"/>
    <cellStyle name="20% - Accent6 80 4" xfId="7982" xr:uid="{22FBF3F5-703D-46BD-B7CB-41CA8455084A}"/>
    <cellStyle name="20% - Accent6 80_Working Capital Current" xfId="14104" xr:uid="{D54140CA-E037-40D6-898E-940DB7270448}"/>
    <cellStyle name="20% - Accent6 81" xfId="7983" xr:uid="{C9122B7D-9C91-4A1C-BB69-44575823FAAF}"/>
    <cellStyle name="20% - Accent6 81 2" xfId="7984" xr:uid="{9E354023-B4CA-421E-8754-8B27F21468E6}"/>
    <cellStyle name="20% - Accent6 81 2 2" xfId="7985" xr:uid="{85270795-415B-4B78-8B42-FF010037B205}"/>
    <cellStyle name="20% - Accent6 81 2_Working Capital Current" xfId="14105" xr:uid="{DF94AD1F-2C7C-4940-8A89-34AA815B043D}"/>
    <cellStyle name="20% - Accent6 81 3" xfId="7986" xr:uid="{A8E7EFE7-536D-460A-B498-38EC0568D860}"/>
    <cellStyle name="20% - Accent6 81 4" xfId="7987" xr:uid="{AA6A8A12-1D6A-4A32-9A4B-454C47E8ADF0}"/>
    <cellStyle name="20% - Accent6 81_Working Capital Current" xfId="14106" xr:uid="{1FA534D1-B6AD-4422-8109-07D0A1022F82}"/>
    <cellStyle name="20% - Accent6 82" xfId="7988" xr:uid="{676D69FD-E6F5-42A6-B68F-3FF4545CC5DC}"/>
    <cellStyle name="20% - Accent6 82 2" xfId="7989" xr:uid="{E41E73BA-BFA3-47FC-B8A2-0C66A92BE244}"/>
    <cellStyle name="20% - Accent6 82 2 2" xfId="7990" xr:uid="{B1B0AEEB-907A-4E9A-8B37-A5148803FE64}"/>
    <cellStyle name="20% - Accent6 82 2_Working Capital Current" xfId="14107" xr:uid="{978E9E5A-74A0-4624-A362-3A0A1C93D095}"/>
    <cellStyle name="20% - Accent6 82 3" xfId="7991" xr:uid="{EFEF6ED3-EB9B-456A-9505-552EDDF8AE66}"/>
    <cellStyle name="20% - Accent6 82 4" xfId="7992" xr:uid="{9A6A7FC3-BF27-4F39-A43B-BA2037C1989E}"/>
    <cellStyle name="20% - Accent6 82_Working Capital Current" xfId="14108" xr:uid="{9AD796E0-5C27-4D86-BFF6-33E28A0E180E}"/>
    <cellStyle name="20% - Accent6 83" xfId="7993" xr:uid="{8D8404BD-488D-4DD9-A225-678E31803125}"/>
    <cellStyle name="20% - Accent6 83 2" xfId="7994" xr:uid="{DA93E750-C827-4B42-8684-57D1CDFD79DA}"/>
    <cellStyle name="20% - Accent6 83 2 2" xfId="7995" xr:uid="{DFFA01EA-156A-4EEC-93E6-1E0A32FB06D4}"/>
    <cellStyle name="20% - Accent6 83 2_Working Capital Current" xfId="14109" xr:uid="{16C5DF23-9DA9-449B-A995-B4BEFE88072D}"/>
    <cellStyle name="20% - Accent6 83 3" xfId="7996" xr:uid="{1BE269A0-64F0-43BC-A505-610A69FDD405}"/>
    <cellStyle name="20% - Accent6 83 4" xfId="7997" xr:uid="{90EE6AED-6A1E-4E34-B0A2-AF7175FFC1AC}"/>
    <cellStyle name="20% - Accent6 83_Working Capital Current" xfId="14110" xr:uid="{62F599EF-D852-4912-8850-812B290B0B10}"/>
    <cellStyle name="20% - Accent6 84" xfId="7998" xr:uid="{ACFED2E9-FD5D-40E3-A3BB-4BB379B0B90D}"/>
    <cellStyle name="20% - Accent6 84 2" xfId="7999" xr:uid="{3A58533D-61BE-4BEA-9BCA-A6A615AB5531}"/>
    <cellStyle name="20% - Accent6 84 2 2" xfId="8000" xr:uid="{5F5BD823-5EBB-48B9-AFD7-E5930A9CA8DF}"/>
    <cellStyle name="20% - Accent6 84 2_Working Capital Current" xfId="14111" xr:uid="{65AE6B11-2B3F-456F-BF5B-CB75FCFBFA48}"/>
    <cellStyle name="20% - Accent6 84 3" xfId="8001" xr:uid="{9DEFC577-2A50-49B9-A4CD-0878B9BFC442}"/>
    <cellStyle name="20% - Accent6 84 4" xfId="8002" xr:uid="{D056BB72-BF49-42F9-A96F-F70470B4CBB2}"/>
    <cellStyle name="20% - Accent6 84_Working Capital Current" xfId="14112" xr:uid="{5C2F1AB0-347E-4ABE-A520-5AF8A76B9EC8}"/>
    <cellStyle name="20% - Accent6 85" xfId="8003" xr:uid="{7027C8C7-E668-4B0F-8DA5-EBA9B116849D}"/>
    <cellStyle name="20% - Accent6 85 2" xfId="8004" xr:uid="{E032EB41-936E-4C76-936A-BB17E136503B}"/>
    <cellStyle name="20% - Accent6 85 2 2" xfId="8005" xr:uid="{553CFF3E-CAEE-42B6-9B01-8B0CDDB4FB1C}"/>
    <cellStyle name="20% - Accent6 85 2_Working Capital Current" xfId="14113" xr:uid="{DCED83EB-92EB-4539-849F-66A94970C40A}"/>
    <cellStyle name="20% - Accent6 85 3" xfId="8006" xr:uid="{4949E70A-0C51-44C7-BF6A-3E0B2E5CD192}"/>
    <cellStyle name="20% - Accent6 85 4" xfId="8007" xr:uid="{F2FEE5A2-EBD1-4A29-87C0-0FDBC07668C7}"/>
    <cellStyle name="20% - Accent6 85_Working Capital Current" xfId="14114" xr:uid="{9BD6AB0F-5D4E-494E-B99C-601C760844B8}"/>
    <cellStyle name="20% - Accent6 86" xfId="8008" xr:uid="{4C3E5AA0-253F-4200-A2CF-CF4D124059A8}"/>
    <cellStyle name="20% - Accent6 86 2" xfId="8009" xr:uid="{BA56660A-2353-4270-9497-7173DC46CC32}"/>
    <cellStyle name="20% - Accent6 86 2 2" xfId="8010" xr:uid="{5DAB1D30-1A64-461A-A33F-7592214AD045}"/>
    <cellStyle name="20% - Accent6 86 2_Working Capital Current" xfId="14115" xr:uid="{A99CA2E3-23F0-4D1B-B10B-CA78222177A0}"/>
    <cellStyle name="20% - Accent6 86 3" xfId="8011" xr:uid="{D6C5F113-5444-49E4-ABD1-BCF5285155CA}"/>
    <cellStyle name="20% - Accent6 86 4" xfId="8012" xr:uid="{09ABD0F5-C9D5-494C-A874-11355E43E76C}"/>
    <cellStyle name="20% - Accent6 86_Working Capital Current" xfId="14116" xr:uid="{4FA18198-18CD-4FD1-899A-8844ADF7953A}"/>
    <cellStyle name="20% - Accent6 87" xfId="8013" xr:uid="{518AA193-9D42-4020-929F-268FAB590045}"/>
    <cellStyle name="20% - Accent6 87 2" xfId="8014" xr:uid="{2E48BD95-09FA-43CC-8C8E-94721995EA5B}"/>
    <cellStyle name="20% - Accent6 87 2 2" xfId="8015" xr:uid="{D5EF439B-44BF-449F-A087-702DEDB0DD1A}"/>
    <cellStyle name="20% - Accent6 87 2_Working Capital Current" xfId="14117" xr:uid="{E3490C74-9D94-4C40-9647-593343F6A385}"/>
    <cellStyle name="20% - Accent6 87 3" xfId="8016" xr:uid="{BB45A339-4AEF-4CC7-AE4E-21B184306DB3}"/>
    <cellStyle name="20% - Accent6 87 4" xfId="8017" xr:uid="{7C743968-165E-4A76-ACE0-61237B80B30F}"/>
    <cellStyle name="20% - Accent6 87_Working Capital Current" xfId="14118" xr:uid="{297F4AE7-D4D1-48BC-AA17-D301842E1E61}"/>
    <cellStyle name="20% - Accent6 88" xfId="8018" xr:uid="{E7AD0BFD-7235-40AF-A9A5-70A39C26D736}"/>
    <cellStyle name="20% - Accent6 88 2" xfId="8019" xr:uid="{299B16CC-4362-481A-8DCC-E1A28D03CE3F}"/>
    <cellStyle name="20% - Accent6 88 2 2" xfId="8020" xr:uid="{9C1DEE9A-C450-4B44-978E-7F4A15A83F24}"/>
    <cellStyle name="20% - Accent6 88 2_Working Capital Current" xfId="14119" xr:uid="{61C466FF-120A-41A8-98FB-CCE5278CADC8}"/>
    <cellStyle name="20% - Accent6 88 3" xfId="8021" xr:uid="{A6E55DC4-5428-4FA4-AE4F-B2852CE3424B}"/>
    <cellStyle name="20% - Accent6 88 4" xfId="8022" xr:uid="{8BDD05BF-16B1-482C-8867-4FFE9EED594F}"/>
    <cellStyle name="20% - Accent6 88_Working Capital Current" xfId="14120" xr:uid="{C793E359-E652-4DD5-83AB-E8F17A0F4B41}"/>
    <cellStyle name="20% - Accent6 89" xfId="8023" xr:uid="{E95A88CE-88D6-4ACD-B123-F9F97E6EDB7C}"/>
    <cellStyle name="20% - Accent6 89 2" xfId="8024" xr:uid="{CD7CBCC2-8216-49C9-A714-72B325AAC05D}"/>
    <cellStyle name="20% - Accent6 89 2 2" xfId="8025" xr:uid="{0135938F-1F0E-44A2-AA73-B2651A7004C9}"/>
    <cellStyle name="20% - Accent6 89 2_Working Capital Current" xfId="14121" xr:uid="{3C805F90-95D7-4087-A80A-8E5A582E0C43}"/>
    <cellStyle name="20% - Accent6 89 3" xfId="8026" xr:uid="{3A8C9E6D-9323-4354-809D-6A5A7A11BB76}"/>
    <cellStyle name="20% - Accent6 89 4" xfId="8027" xr:uid="{3825A6F3-4C68-487A-A8F3-D642319211B4}"/>
    <cellStyle name="20% - Accent6 89_Working Capital Current" xfId="14122" xr:uid="{205521D3-C5C6-4BE7-ACD9-203F7789B071}"/>
    <cellStyle name="20% - Accent6 9" xfId="8028" xr:uid="{C8CFFBC8-EEA2-4E1B-AADE-5ED19455383E}"/>
    <cellStyle name="20% - Accent6 9 2" xfId="8029" xr:uid="{DCE78DA3-161B-40C1-86B9-1CCDA8F5BF0B}"/>
    <cellStyle name="20% - Accent6 9 2 2" xfId="8030" xr:uid="{BCC025BD-42D4-45C2-8DE4-3F4EC2778030}"/>
    <cellStyle name="20% - Accent6 9 2 2 2" xfId="8031" xr:uid="{C9E02DA6-270A-48B6-8473-38E900F945E1}"/>
    <cellStyle name="20% - Accent6 9 2 2_Working Capital Current" xfId="14123" xr:uid="{AC03A383-2CE0-436C-92B8-70503668CEA0}"/>
    <cellStyle name="20% - Accent6 9 2 3" xfId="8032" xr:uid="{5EF032F4-18F9-4A1E-897D-3E5943E56DE6}"/>
    <cellStyle name="20% - Accent6 9 2 4" xfId="8033" xr:uid="{0402561E-EA43-488D-8685-39A33A8F1426}"/>
    <cellStyle name="20% - Accent6 9 2_Working Capital Current" xfId="14124" xr:uid="{F15650D9-BD1F-48F0-A412-5CB217564F35}"/>
    <cellStyle name="20% - Accent6 9 3" xfId="8034" xr:uid="{2276E4A6-EEDD-42FD-AE69-06E08A6E2FC0}"/>
    <cellStyle name="20% - Accent6 9 3 2" xfId="8035" xr:uid="{9AC8F1C3-CA2F-46B6-912C-33D9EEC7B096}"/>
    <cellStyle name="20% - Accent6 9 3_Working Capital Current" xfId="14125" xr:uid="{A3A7ACB2-107B-46BE-8558-C473BB22D8FD}"/>
    <cellStyle name="20% - Accent6 9 4" xfId="8036" xr:uid="{8321CFC0-F7ED-46F3-88FC-0050C185136A}"/>
    <cellStyle name="20% - Accent6 9 5" xfId="8037" xr:uid="{557A0EB4-DE94-44CA-AA3F-AD5D8CB2173D}"/>
    <cellStyle name="20% - Accent6 9_Not_for_upload_before_M4_correc" xfId="14126" xr:uid="{0BA41DD9-98A9-4B75-BE45-7AECD6E3F001}"/>
    <cellStyle name="20% - Accent6 90" xfId="8038" xr:uid="{6C287A7D-A926-4612-91C3-E6C71B083441}"/>
    <cellStyle name="20% - Accent6 90 2" xfId="8039" xr:uid="{34B36DA5-95BF-4B9D-99F9-2C3982B79E68}"/>
    <cellStyle name="20% - Accent6 90 2 2" xfId="8040" xr:uid="{81303A4C-47FD-418F-9B4D-575782A6A63A}"/>
    <cellStyle name="20% - Accent6 90 2_Working Capital Current" xfId="14127" xr:uid="{503A90A1-2F71-4ACB-AB86-185988FD2747}"/>
    <cellStyle name="20% - Accent6 90 3" xfId="8041" xr:uid="{02EE44A5-3BC4-4C58-BC73-BE1FC56DE3C1}"/>
    <cellStyle name="20% - Accent6 90 4" xfId="8042" xr:uid="{18C881DA-F988-4D07-B393-86E199BDD670}"/>
    <cellStyle name="20% - Accent6 90_Working Capital Current" xfId="14128" xr:uid="{0599A8BA-435B-4CD5-87E7-08C159884516}"/>
    <cellStyle name="20% - Accent6 91" xfId="8043" xr:uid="{A7556204-7F59-4D65-A5A7-42853249C53C}"/>
    <cellStyle name="20% - Accent6 91 2" xfId="8044" xr:uid="{A1BA45E8-BE66-443E-9B3D-FDFE18E10A34}"/>
    <cellStyle name="20% - Accent6 91 2 2" xfId="8045" xr:uid="{E20F6DF3-A6CD-4BC8-B757-EE032E9AD580}"/>
    <cellStyle name="20% - Accent6 91 2_Working Capital Current" xfId="14129" xr:uid="{597F2008-9E80-4500-B7FB-33C4CB3A824B}"/>
    <cellStyle name="20% - Accent6 91 3" xfId="8046" xr:uid="{8957D8DA-B6AA-4818-99EB-5119C9D1838F}"/>
    <cellStyle name="20% - Accent6 91 4" xfId="8047" xr:uid="{B8CDC5E5-12F5-4DBD-BF0D-D5AA95D568F0}"/>
    <cellStyle name="20% - Accent6 91_Working Capital Current" xfId="14130" xr:uid="{711BCFFD-E8E8-40F8-ABD4-8D8B1DFFCC45}"/>
    <cellStyle name="20% - Accent6 92" xfId="8048" xr:uid="{C8AD3BA5-889B-4518-BDB4-7BC709845C9B}"/>
    <cellStyle name="20% - Accent6 92 2" xfId="8049" xr:uid="{90E3B791-DB4D-4FD9-B026-801E91A2BEC4}"/>
    <cellStyle name="20% - Accent6 92 2 2" xfId="8050" xr:uid="{08C5832C-1E2E-4D03-9429-F669BB3159CF}"/>
    <cellStyle name="20% - Accent6 92 2_Working Capital Current" xfId="14131" xr:uid="{5CFCE227-B291-470B-878E-FD0FF91911FD}"/>
    <cellStyle name="20% - Accent6 92 3" xfId="8051" xr:uid="{7C2341EE-F6E7-4591-B2AE-A10966712361}"/>
    <cellStyle name="20% - Accent6 92 4" xfId="8052" xr:uid="{4DB183AE-1A8B-4CDC-9D6D-BADE3BA9ADD2}"/>
    <cellStyle name="20% - Accent6 92_Working Capital Current" xfId="14132" xr:uid="{0305F18D-8196-4C3F-83A0-0F4486D728DE}"/>
    <cellStyle name="20% - Accent6 93" xfId="8053" xr:uid="{29008743-B97A-4F34-808A-423CE5007C24}"/>
    <cellStyle name="20% - Accent6 93 2" xfId="8054" xr:uid="{7378D6A7-D4D6-466A-B354-48E3630FBBE2}"/>
    <cellStyle name="20% - Accent6 93 2 2" xfId="8055" xr:uid="{375E636F-BB65-49CA-ACD7-4EBCCCD4345D}"/>
    <cellStyle name="20% - Accent6 93 2_Working Capital Current" xfId="14133" xr:uid="{F36AAD46-D14E-481B-805F-DA3094825448}"/>
    <cellStyle name="20% - Accent6 93 3" xfId="8056" xr:uid="{C454875A-8756-47DA-990D-6B0B7258BDAD}"/>
    <cellStyle name="20% - Accent6 93 4" xfId="8057" xr:uid="{94A63B3A-A45C-4F88-9D1F-26D74837B9FA}"/>
    <cellStyle name="20% - Accent6 93_Working Capital Current" xfId="14134" xr:uid="{152FF8A2-3224-497D-8AA0-6D2E710A9ECA}"/>
    <cellStyle name="20% - Accent6 94" xfId="8058" xr:uid="{8CBF9A20-8862-4CAE-A71D-5256EFE63E39}"/>
    <cellStyle name="20% - Accent6 94 2" xfId="8059" xr:uid="{8AF74178-0EC0-4551-8FAE-D0D71774EEC8}"/>
    <cellStyle name="20% - Accent6 94 2 2" xfId="8060" xr:uid="{1C0283A0-793B-4B8F-8590-D984EE7CB0DF}"/>
    <cellStyle name="20% - Accent6 94 2_Working Capital Current" xfId="14135" xr:uid="{1032210E-B0EA-4903-9DBD-02F1BB5DA713}"/>
    <cellStyle name="20% - Accent6 94 3" xfId="8061" xr:uid="{622E9C74-2EBE-4BF1-92AA-1E7DDF816316}"/>
    <cellStyle name="20% - Accent6 94 4" xfId="8062" xr:uid="{6863B902-3A16-46AC-8AA8-F4C24B972E5B}"/>
    <cellStyle name="20% - Accent6 94_Working Capital Current" xfId="14136" xr:uid="{3A0F75BF-AC7E-4747-A74E-6EF41916BB64}"/>
    <cellStyle name="20% - Accent6 95" xfId="8063" xr:uid="{B3434630-41B9-4252-94E8-1D63B94344CF}"/>
    <cellStyle name="20% - Accent6 95 2" xfId="8064" xr:uid="{54E579A2-7922-46DD-81C6-953718B66475}"/>
    <cellStyle name="20% - Accent6 95 2 2" xfId="8065" xr:uid="{D3EE9207-1EF1-46EF-AE84-ED73114FFB2E}"/>
    <cellStyle name="20% - Accent6 95 2_Working Capital Current" xfId="14137" xr:uid="{D4944B88-A76A-4188-BB22-4C3676474043}"/>
    <cellStyle name="20% - Accent6 95 3" xfId="8066" xr:uid="{BAAAB631-8768-46AA-A9A3-68D2FAE1215C}"/>
    <cellStyle name="20% - Accent6 95 4" xfId="8067" xr:uid="{81A1ADDF-410D-4A85-9DD7-0F2279A88E27}"/>
    <cellStyle name="20% - Accent6 95_Working Capital Current" xfId="14138" xr:uid="{9ECD42EB-561B-4F05-9A6A-3CE8DDBCD3C8}"/>
    <cellStyle name="20% - Accent6 96" xfId="8068" xr:uid="{4D51BE19-B125-472B-9631-457B007C50DD}"/>
    <cellStyle name="20% - Accent6 96 2" xfId="8069" xr:uid="{915D385E-6FA1-489F-AE91-DBADAB131442}"/>
    <cellStyle name="20% - Accent6 96 2 2" xfId="8070" xr:uid="{5DAE0714-7944-4B33-93A9-0E2816E09F29}"/>
    <cellStyle name="20% - Accent6 96 2_Working Capital Current" xfId="14139" xr:uid="{7DCD6943-F28A-45CE-9BD8-618BAFF0A22D}"/>
    <cellStyle name="20% - Accent6 96 3" xfId="8071" xr:uid="{B87E8FD4-45AB-48BA-B2B4-2C4C409A8E58}"/>
    <cellStyle name="20% - Accent6 96 4" xfId="8072" xr:uid="{43DC8C09-C916-4E0E-9713-17EDADD0C2B0}"/>
    <cellStyle name="20% - Accent6 96_Working Capital Current" xfId="14140" xr:uid="{F2E8D38F-CC14-4987-A602-AD567B37992C}"/>
    <cellStyle name="20% - Accent6 97" xfId="8073" xr:uid="{7B5E42C6-4720-499B-958D-52643A9B55B4}"/>
    <cellStyle name="20% - Accent6 97 2" xfId="8074" xr:uid="{5A83C0B9-0DDE-4AF2-B248-924F7926BB58}"/>
    <cellStyle name="20% - Accent6 97 2 2" xfId="8075" xr:uid="{C4E294CE-629C-44EB-BD46-DC6547ED0943}"/>
    <cellStyle name="20% - Accent6 97 2_Working Capital Current" xfId="14141" xr:uid="{D9D58BE1-D773-45D1-ABC1-9442985680D4}"/>
    <cellStyle name="20% - Accent6 97 3" xfId="8076" xr:uid="{061D84E6-1EDE-44A7-B499-D96EA48730FF}"/>
    <cellStyle name="20% - Accent6 97 4" xfId="8077" xr:uid="{F3B20143-F0C2-4E72-88F4-18CFC5C437E4}"/>
    <cellStyle name="20% - Accent6 97_Working Capital Current" xfId="14142" xr:uid="{0EFDAF68-8807-419A-95D8-30FCA0C5E2F0}"/>
    <cellStyle name="20% - Accent6 98" xfId="8078" xr:uid="{9547006D-21DA-45B7-8621-AE9AB47C5289}"/>
    <cellStyle name="20% - Accent6 98 2" xfId="8079" xr:uid="{DDC8555D-AE33-4178-8FEF-DF7E0DA27CDE}"/>
    <cellStyle name="20% - Accent6 98 2 2" xfId="8080" xr:uid="{E6C9F795-4368-43B9-86B3-EBBD56113637}"/>
    <cellStyle name="20% - Accent6 98 2_Working Capital Current" xfId="14143" xr:uid="{3098A47F-EE76-4C53-BF75-258CE49E2809}"/>
    <cellStyle name="20% - Accent6 98 3" xfId="8081" xr:uid="{AA02ADAA-CAD5-43A6-A8B9-35178EAF5013}"/>
    <cellStyle name="20% - Accent6 98 4" xfId="8082" xr:uid="{354FF292-820E-4633-84E1-6DD23BD1F762}"/>
    <cellStyle name="20% - Accent6 98_Working Capital Current" xfId="14144" xr:uid="{C63EFBBE-1FC0-4221-A817-CCA026A8CEAB}"/>
    <cellStyle name="20% - Accent6 99" xfId="8083" xr:uid="{2C857BEE-9A08-45A3-AFB1-FD72148CF34E}"/>
    <cellStyle name="20% - Accent6 99 2" xfId="8084" xr:uid="{159C330C-CE4E-4875-9137-E4C64CBA729B}"/>
    <cellStyle name="20% - Accent6 99 2 2" xfId="8085" xr:uid="{740D04F4-D788-4496-8633-233926E204B2}"/>
    <cellStyle name="20% - Accent6 99 2_Working Capital Current" xfId="14145" xr:uid="{8F3804FC-4DEF-49A0-941B-1278D6FD3267}"/>
    <cellStyle name="20% - Accent6 99 3" xfId="8086" xr:uid="{81AEF85F-A87A-46C2-B9C1-7A1161B67E5F}"/>
    <cellStyle name="20% - Accent6 99 4" xfId="8087" xr:uid="{68F56B91-1F2A-4EAD-812A-591218D802C0}"/>
    <cellStyle name="20% - Accent6 99_Working Capital Current" xfId="14146" xr:uid="{3DA8A02E-8B0C-4E2D-A703-0101FA93369C}"/>
    <cellStyle name="40% - Accent1" xfId="24" builtinId="31" customBuiltin="1"/>
    <cellStyle name="40% - Accent1 10" xfId="8088" xr:uid="{345F7BFB-F713-42C3-9A1B-3C0EBD110927}"/>
    <cellStyle name="40% - Accent1 10 2" xfId="8089" xr:uid="{60A466A9-76B5-472D-9A5B-46AD603C6469}"/>
    <cellStyle name="40% - Accent1 10 2 2" xfId="8090" xr:uid="{6B727A20-EFC2-488A-AE46-192AB29C1FAD}"/>
    <cellStyle name="40% - Accent1 10 2 2 2" xfId="8091" xr:uid="{A3A726A1-2A30-4AC6-B5EC-00CCFC6B235D}"/>
    <cellStyle name="40% - Accent1 10 2 2_Working Capital Current" xfId="14147" xr:uid="{E0BC5484-3BAD-487E-9FBC-4EF58D03D7DB}"/>
    <cellStyle name="40% - Accent1 10 2 3" xfId="8092" xr:uid="{11FB6171-EFC5-4C57-9EB8-345D55BAF6C3}"/>
    <cellStyle name="40% - Accent1 10 2 4" xfId="8093" xr:uid="{DB64751F-9EF1-400E-85FF-BDA1F5AFF12F}"/>
    <cellStyle name="40% - Accent1 10 2_Working Capital Current" xfId="14148" xr:uid="{CC61B41D-BEEC-4D41-98AE-5F11F402324A}"/>
    <cellStyle name="40% - Accent1 10 3" xfId="8094" xr:uid="{83645E6C-7518-4FEF-BA56-308DF89FE63B}"/>
    <cellStyle name="40% - Accent1 10 3 2" xfId="8095" xr:uid="{EC172C8E-C4D7-457F-8F01-F798DF44445D}"/>
    <cellStyle name="40% - Accent1 10 3_Working Capital Current" xfId="14149" xr:uid="{46E79D58-4897-475A-AA90-4485FD99C0FD}"/>
    <cellStyle name="40% - Accent1 10 4" xfId="8096" xr:uid="{A6AC51D7-F16F-42DD-A11C-F4ECEF8760A5}"/>
    <cellStyle name="40% - Accent1 10 5" xfId="8097" xr:uid="{2204B2E6-1201-4058-A014-AE7FAFCAE5D1}"/>
    <cellStyle name="40% - Accent1 10_Not_for_upload_before_M4_correc" xfId="14150" xr:uid="{7C6AB239-FFF0-4529-A5D6-27F24B221445}"/>
    <cellStyle name="40% - Accent1 100" xfId="8098" xr:uid="{DD93DC5D-4F1F-44F8-9D93-8EFF560A7510}"/>
    <cellStyle name="40% - Accent1 100 2" xfId="8099" xr:uid="{4857906F-9084-4579-A702-07EF899EF3E0}"/>
    <cellStyle name="40% - Accent1 100 2 2" xfId="8100" xr:uid="{F4CC7268-6519-4FED-832F-8DD0F2972626}"/>
    <cellStyle name="40% - Accent1 100 2_Working Capital Current" xfId="14151" xr:uid="{602FD411-0BB1-42DE-872A-2D4E1FF0080B}"/>
    <cellStyle name="40% - Accent1 100 3" xfId="8101" xr:uid="{7E9FD237-30ED-43B5-ADD9-694FFF98DB29}"/>
    <cellStyle name="40% - Accent1 100 4" xfId="8102" xr:uid="{43EFD44E-F385-4A25-9674-27279996FBD2}"/>
    <cellStyle name="40% - Accent1 100_Working Capital Current" xfId="14152" xr:uid="{37B07488-351B-4547-B05C-317EA67D1496}"/>
    <cellStyle name="40% - Accent1 101" xfId="8103" xr:uid="{A5FCC937-AC7D-40E9-B5E2-E1E57C9C60C2}"/>
    <cellStyle name="40% - Accent1 101 2" xfId="8104" xr:uid="{EFE63819-2ED7-4E33-A4AF-016B656DFF81}"/>
    <cellStyle name="40% - Accent1 101 3" xfId="8105" xr:uid="{76BE1583-C559-49AE-9C02-9E57A3F25B69}"/>
    <cellStyle name="40% - Accent1 101_Working Capital Current" xfId="14153" xr:uid="{C3543DE8-92B2-47AE-8B65-3EBD89DE90C9}"/>
    <cellStyle name="40% - Accent1 102" xfId="8106" xr:uid="{A5C654C9-6239-4BC9-8244-116935787D1B}"/>
    <cellStyle name="40% - Accent1 102 2" xfId="8107" xr:uid="{63432035-75F4-4BF6-BB32-38FDC567ACB8}"/>
    <cellStyle name="40% - Accent1 102 3" xfId="8108" xr:uid="{DB58B8D4-1D01-4CC1-8809-466AA5A102FE}"/>
    <cellStyle name="40% - Accent1 102_Working Capital Current" xfId="14154" xr:uid="{FE3760CD-627C-4E74-A615-30358AE58E68}"/>
    <cellStyle name="40% - Accent1 103" xfId="8109" xr:uid="{D49B026B-F99C-4ED8-ACA0-CFDD8D8ED9A7}"/>
    <cellStyle name="40% - Accent1 104" xfId="8110" xr:uid="{411A63CC-F71A-43D9-B2D8-EB37C8A5EA9F}"/>
    <cellStyle name="40% - Accent1 105" xfId="14155" xr:uid="{42FE456A-98C0-4BD6-B8EF-128BBFE8060A}"/>
    <cellStyle name="40% - Accent1 106" xfId="16487" xr:uid="{A909F28B-434D-4144-8FD3-579D24F18657}"/>
    <cellStyle name="40% - Accent1 107" xfId="16996" xr:uid="{03C89ED1-CFC2-4271-9D0F-AB6488C43F40}"/>
    <cellStyle name="40% - Accent1 108" xfId="17803" xr:uid="{7C436E9D-9D39-465D-8D38-A633B92DC6B9}"/>
    <cellStyle name="40% - Accent1 109" xfId="17769" xr:uid="{CDC47950-6272-47F1-BD93-CA926091F0CC}"/>
    <cellStyle name="40% - Accent1 11" xfId="8111" xr:uid="{ADCF4A67-B9EE-4AB2-9A67-8C83967C1EA3}"/>
    <cellStyle name="40% - Accent1 11 2" xfId="8112" xr:uid="{486ED6FE-3C40-4538-AA3C-12D1A0E846E7}"/>
    <cellStyle name="40% - Accent1 11 2 2" xfId="8113" xr:uid="{932B2A54-DA34-42C0-8A5A-08857AFBCE97}"/>
    <cellStyle name="40% - Accent1 11 2 2 2" xfId="8114" xr:uid="{2A5BDFC2-EB55-49F4-9D11-56782221DA06}"/>
    <cellStyle name="40% - Accent1 11 2 2_Working Capital Current" xfId="14156" xr:uid="{F35E6523-B411-4257-977A-127D8A71771A}"/>
    <cellStyle name="40% - Accent1 11 2 3" xfId="8115" xr:uid="{FC29FE9D-EF6E-44C7-B51F-8EBCF1F5CBA6}"/>
    <cellStyle name="40% - Accent1 11 2 4" xfId="8116" xr:uid="{834C8009-CE51-47EB-8E60-70792061E119}"/>
    <cellStyle name="40% - Accent1 11 2_Working Capital Current" xfId="14157" xr:uid="{2A0858C5-2FC1-48D7-B4E3-CE68EF918236}"/>
    <cellStyle name="40% - Accent1 11 3" xfId="8117" xr:uid="{1035EC7E-1919-461E-A1A5-0C44B54D9FE9}"/>
    <cellStyle name="40% - Accent1 11 3 2" xfId="8118" xr:uid="{57393B8B-538D-463B-BBDB-FEBB5C80CA64}"/>
    <cellStyle name="40% - Accent1 11 3_Working Capital Current" xfId="14158" xr:uid="{89CBFD3E-7CF0-4123-93DD-6350D20C6A03}"/>
    <cellStyle name="40% - Accent1 11 4" xfId="8119" xr:uid="{A214F870-74CC-476B-B57E-4F0B7950AA1B}"/>
    <cellStyle name="40% - Accent1 11 5" xfId="8120" xr:uid="{40B02124-FB4E-41C4-B887-9BF5840F2AFB}"/>
    <cellStyle name="40% - Accent1 11_Not_for_upload_before_M4_correc" xfId="14159" xr:uid="{81917B32-8A59-4A83-B474-C56F5FA543A0}"/>
    <cellStyle name="40% - Accent1 12" xfId="8121" xr:uid="{582C913B-2B9F-4A02-B504-3A28DD7B34DE}"/>
    <cellStyle name="40% - Accent1 12 2" xfId="8122" xr:uid="{BB16D093-22B2-4914-8ABB-D0CCF4D8ED14}"/>
    <cellStyle name="40% - Accent1 12 2 2" xfId="8123" xr:uid="{FC4514FC-E28A-4023-8909-AFF0272F84BD}"/>
    <cellStyle name="40% - Accent1 12 2 2 2" xfId="8124" xr:uid="{7FC1DCFD-4664-4AE6-9605-6B949AF04399}"/>
    <cellStyle name="40% - Accent1 12 2 2_Working Capital Current" xfId="14160" xr:uid="{7994C272-756C-4BF0-BE6D-04E6E5F66DD0}"/>
    <cellStyle name="40% - Accent1 12 2 3" xfId="8125" xr:uid="{EC5CD4D7-D691-49D6-B0A3-CBF9A269E428}"/>
    <cellStyle name="40% - Accent1 12 2 4" xfId="8126" xr:uid="{BCBB94F0-F3D8-4427-A079-075B52FD0F3B}"/>
    <cellStyle name="40% - Accent1 12 2_Working Capital Current" xfId="14161" xr:uid="{68D2A481-2EEE-4AC2-9273-583FD5F128C3}"/>
    <cellStyle name="40% - Accent1 12 3" xfId="8127" xr:uid="{44081E1C-C182-4856-AEF7-F96F17217EF8}"/>
    <cellStyle name="40% - Accent1 12 3 2" xfId="8128" xr:uid="{4CF7C344-6F67-4397-B9A4-75C1DA0FDBEE}"/>
    <cellStyle name="40% - Accent1 12 3_Working Capital Current" xfId="14162" xr:uid="{8BA05A67-8DA0-429F-9840-F7DE005FA0A6}"/>
    <cellStyle name="40% - Accent1 12 4" xfId="8129" xr:uid="{813E6867-BC73-46D7-A765-40527E16AF89}"/>
    <cellStyle name="40% - Accent1 12 5" xfId="8130" xr:uid="{18CC3A9F-3B35-49FD-8AA8-ADF6A52F9D6D}"/>
    <cellStyle name="40% - Accent1 12_Not_for_upload_before_M4_correc" xfId="14163" xr:uid="{C47AB2FD-90E9-4F80-8239-28A135A5E3BF}"/>
    <cellStyle name="40% - Accent1 13" xfId="8131" xr:uid="{55CFB120-6C21-43BE-B651-3355812970F4}"/>
    <cellStyle name="40% - Accent1 13 2" xfId="8132" xr:uid="{F83D039D-4981-49B3-B097-F3498A1BFF97}"/>
    <cellStyle name="40% - Accent1 13 2 2" xfId="8133" xr:uid="{6245A4DE-5602-428B-9288-2753755251C1}"/>
    <cellStyle name="40% - Accent1 13 2 2 2" xfId="8134" xr:uid="{F40F4738-C749-4A78-A383-EF2839DCC06F}"/>
    <cellStyle name="40% - Accent1 13 2 2_Working Capital Current" xfId="14164" xr:uid="{B6B3834D-A0FF-4D7E-988D-FAA7126F8A9E}"/>
    <cellStyle name="40% - Accent1 13 2 3" xfId="8135" xr:uid="{8FE00EA1-B3D0-4FD3-BBFC-5EF37D6FA4D9}"/>
    <cellStyle name="40% - Accent1 13 2 4" xfId="8136" xr:uid="{0F0FDA50-7EE9-408C-974C-64807FFC447B}"/>
    <cellStyle name="40% - Accent1 13 2_Working Capital Current" xfId="14165" xr:uid="{C4D30F09-7EDB-4DC9-934C-E81535236227}"/>
    <cellStyle name="40% - Accent1 13 3" xfId="8137" xr:uid="{2751EB0F-ED9E-4C05-A01B-14F9607AA9DC}"/>
    <cellStyle name="40% - Accent1 13 3 2" xfId="8138" xr:uid="{F5022A2D-6870-42F0-B90C-B1D8A0FDAA85}"/>
    <cellStyle name="40% - Accent1 13 3_Working Capital Current" xfId="14166" xr:uid="{F7ADB1F4-4EFA-4529-BF4E-512CBCFC714D}"/>
    <cellStyle name="40% - Accent1 13 4" xfId="8139" xr:uid="{4C124EF1-F3BF-4432-92B9-E46652293185}"/>
    <cellStyle name="40% - Accent1 13 5" xfId="8140" xr:uid="{0D6F8B7E-852E-41BF-BBCD-50737293BC20}"/>
    <cellStyle name="40% - Accent1 13_Not_for_upload_before_M4_correc" xfId="14167" xr:uid="{2733A7C1-025D-413C-8566-A02066EE4914}"/>
    <cellStyle name="40% - Accent1 14" xfId="8141" xr:uid="{D47FC05E-A3FF-4BCA-8B71-E922F6FC70B9}"/>
    <cellStyle name="40% - Accent1 14 2" xfId="8142" xr:uid="{5F92C122-D54F-4B19-8DB1-B1569D7B9F87}"/>
    <cellStyle name="40% - Accent1 14 2 2" xfId="8143" xr:uid="{2EDC4C32-D55F-4E0F-8495-2BC8F5667FF7}"/>
    <cellStyle name="40% - Accent1 14 2 2 2" xfId="8144" xr:uid="{12135605-A345-4608-ADE8-01A1EF7F19A4}"/>
    <cellStyle name="40% - Accent1 14 2 2_Working Capital Current" xfId="14168" xr:uid="{D0624720-3761-45CD-A0AE-3FF9FA3D99FF}"/>
    <cellStyle name="40% - Accent1 14 2 3" xfId="8145" xr:uid="{96FC1993-4C16-464F-A9DE-C277DA60062E}"/>
    <cellStyle name="40% - Accent1 14 2 4" xfId="8146" xr:uid="{91E684E3-EA5B-48B7-937A-BC264F9EF198}"/>
    <cellStyle name="40% - Accent1 14 2_Working Capital Current" xfId="14169" xr:uid="{668874B3-6314-47E1-9C4B-211FE6D29205}"/>
    <cellStyle name="40% - Accent1 14 3" xfId="8147" xr:uid="{57F7BEF0-DC60-432C-8377-52618CD83CAE}"/>
    <cellStyle name="40% - Accent1 14 3 2" xfId="8148" xr:uid="{382DA316-07AA-40B8-8002-59EC4815E542}"/>
    <cellStyle name="40% - Accent1 14 3_Working Capital Current" xfId="14170" xr:uid="{7DCCC9D7-5D3A-4898-823A-F424131D60EB}"/>
    <cellStyle name="40% - Accent1 14 4" xfId="8149" xr:uid="{42894F40-5D1E-43EE-AF81-7FCBD357576B}"/>
    <cellStyle name="40% - Accent1 14 5" xfId="8150" xr:uid="{2BA7E384-D290-4324-BB3D-32D07E04F15B}"/>
    <cellStyle name="40% - Accent1 14_Not_for_upload_before_M4_correc" xfId="14171" xr:uid="{FB3B71E9-0AD0-477B-BCE1-223991673F7C}"/>
    <cellStyle name="40% - Accent1 15" xfId="8151" xr:uid="{059DA6DF-BB0F-412F-B8E3-28687F912E6B}"/>
    <cellStyle name="40% - Accent1 15 2" xfId="8152" xr:uid="{E73AE66A-8D6D-497D-B8E2-E4431EA8563A}"/>
    <cellStyle name="40% - Accent1 15 2 2" xfId="8153" xr:uid="{F5284928-D4B4-4485-B112-01B1241F1AC6}"/>
    <cellStyle name="40% - Accent1 15 2 2 2" xfId="8154" xr:uid="{2FBCF383-4D2E-491E-8238-2C0D9169ABB5}"/>
    <cellStyle name="40% - Accent1 15 2 2_Working Capital Current" xfId="14172" xr:uid="{46E91323-F74F-41BD-8C87-FFE8C4576D51}"/>
    <cellStyle name="40% - Accent1 15 2 3" xfId="8155" xr:uid="{72665081-9A41-429C-BD50-8620274CE6B4}"/>
    <cellStyle name="40% - Accent1 15 2 4" xfId="8156" xr:uid="{47B8DACA-3BBE-424E-9764-4B5C1253F6E1}"/>
    <cellStyle name="40% - Accent1 15 2_Working Capital Current" xfId="14173" xr:uid="{E4A01788-7D43-4C64-865F-CC0DA9AA03A4}"/>
    <cellStyle name="40% - Accent1 15 3" xfId="8157" xr:uid="{3A0DEEF8-8C5D-4EFA-B7E4-822B51793AE4}"/>
    <cellStyle name="40% - Accent1 15 3 2" xfId="8158" xr:uid="{1DA7E8A6-0157-4717-B1E1-D818BAEE7566}"/>
    <cellStyle name="40% - Accent1 15 3_Working Capital Current" xfId="14174" xr:uid="{B43F5A07-3706-4A5A-9375-98E5053A00F5}"/>
    <cellStyle name="40% - Accent1 15 4" xfId="8159" xr:uid="{D24430A6-33E6-48B9-854F-4BFEB1C2F474}"/>
    <cellStyle name="40% - Accent1 15 5" xfId="8160" xr:uid="{F883720F-894A-4806-A8E5-A90FA90EF8FB}"/>
    <cellStyle name="40% - Accent1 15_Not_for_upload_before_M4_correc" xfId="14175" xr:uid="{351EC30A-3A68-4315-9C34-47A77E26C7E8}"/>
    <cellStyle name="40% - Accent1 16" xfId="8161" xr:uid="{125043FB-943F-4095-8902-825E2499D476}"/>
    <cellStyle name="40% - Accent1 16 2" xfId="8162" xr:uid="{8A10430D-B649-4831-97B8-CFE5A84486B3}"/>
    <cellStyle name="40% - Accent1 16 2 2" xfId="8163" xr:uid="{69C502C5-DDC0-41D8-BABD-BAC1C3D52DA8}"/>
    <cellStyle name="40% - Accent1 16 2 2 2" xfId="8164" xr:uid="{E075D3A2-09D3-44B8-9D35-F8964D61DBB6}"/>
    <cellStyle name="40% - Accent1 16 2 2_Working Capital Current" xfId="14176" xr:uid="{DA0C0180-43EF-439A-BD6E-145FEA0FE64E}"/>
    <cellStyle name="40% - Accent1 16 2 3" xfId="8165" xr:uid="{6BB1F0D2-DE11-48B8-ACB8-8863339FFBC9}"/>
    <cellStyle name="40% - Accent1 16 2 4" xfId="8166" xr:uid="{1FAB0DEE-4234-40EE-8B8A-2D2CB809BB3F}"/>
    <cellStyle name="40% - Accent1 16 2_Working Capital Current" xfId="14177" xr:uid="{F2999067-660D-44AC-8D84-8B6774512AFD}"/>
    <cellStyle name="40% - Accent1 16 3" xfId="8167" xr:uid="{D0C1DDF9-F553-4798-8EB1-B0F9A58D0C90}"/>
    <cellStyle name="40% - Accent1 16 3 2" xfId="8168" xr:uid="{DA81C8C6-CF72-498E-8387-8D3948C0F42B}"/>
    <cellStyle name="40% - Accent1 16 3_Working Capital Current" xfId="14178" xr:uid="{DDC652C8-68B3-41B0-89ED-9934275A5BA5}"/>
    <cellStyle name="40% - Accent1 16 4" xfId="8169" xr:uid="{91A9131F-C0E4-468C-A573-C79A0612449C}"/>
    <cellStyle name="40% - Accent1 16 5" xfId="8170" xr:uid="{A3CCDF52-29B1-4C2F-B827-BDF1D6056123}"/>
    <cellStyle name="40% - Accent1 16_Not_for_upload_before_M4_correc" xfId="14179" xr:uid="{207C5B04-EED8-4B3B-BAE4-B83C8B759DDF}"/>
    <cellStyle name="40% - Accent1 17" xfId="8171" xr:uid="{6F39B252-7362-4400-86C8-9EBAEF5CEF75}"/>
    <cellStyle name="40% - Accent1 17 2" xfId="8172" xr:uid="{565ADD23-498A-441D-8F87-6F64DFD72BFF}"/>
    <cellStyle name="40% - Accent1 17 2 2" xfId="8173" xr:uid="{65A32F45-436D-4023-9E38-7132496EB043}"/>
    <cellStyle name="40% - Accent1 17 2 2 2" xfId="8174" xr:uid="{B7AE9027-03AE-4A73-9700-82D992512663}"/>
    <cellStyle name="40% - Accent1 17 2 2_Working Capital Current" xfId="14180" xr:uid="{75460020-E577-4A0B-8AB8-94DBEBDE07ED}"/>
    <cellStyle name="40% - Accent1 17 2 3" xfId="8175" xr:uid="{26E597D9-F605-4D12-8F9B-53C4D525EA41}"/>
    <cellStyle name="40% - Accent1 17 2 4" xfId="8176" xr:uid="{BB10AFDE-CF77-472F-A178-CF6028C5A0F6}"/>
    <cellStyle name="40% - Accent1 17 2_Working Capital Current" xfId="14181" xr:uid="{E07374C2-BECE-4786-AD15-DA3F3C596E19}"/>
    <cellStyle name="40% - Accent1 17 3" xfId="8177" xr:uid="{E3B6FAC2-CF69-4F92-BA76-1ECF0D1D14A4}"/>
    <cellStyle name="40% - Accent1 17 3 2" xfId="8178" xr:uid="{B1775FAA-6666-437F-A748-C15810D6CF77}"/>
    <cellStyle name="40% - Accent1 17 3_Working Capital Current" xfId="14182" xr:uid="{F63E34B1-3B6E-45C7-9E1C-4B8B196299E1}"/>
    <cellStyle name="40% - Accent1 17 4" xfId="8179" xr:uid="{1636AD60-976A-439A-9756-2963CEA95F5E}"/>
    <cellStyle name="40% - Accent1 17 5" xfId="8180" xr:uid="{805A2F0F-0CDA-4F7D-86EB-FE32BFC5BAE2}"/>
    <cellStyle name="40% - Accent1 17_Not_for_upload_before_M4_correc" xfId="14183" xr:uid="{710B28A9-46E1-4D12-B4E5-2A59F4DB4452}"/>
    <cellStyle name="40% - Accent1 18" xfId="8181" xr:uid="{56E14268-AB23-4427-9551-46701DA48DEA}"/>
    <cellStyle name="40% - Accent1 18 2" xfId="8182" xr:uid="{DD40F2C0-4630-4BF3-AE8D-7C91C3F340D5}"/>
    <cellStyle name="40% - Accent1 18 2 2" xfId="8183" xr:uid="{49EBCCC2-EA18-4874-8E05-36D835B0E0AB}"/>
    <cellStyle name="40% - Accent1 18 2 2 2" xfId="8184" xr:uid="{CBC69AB6-B01C-4D06-84B5-27F18715AAE8}"/>
    <cellStyle name="40% - Accent1 18 2 2_Working Capital Current" xfId="14184" xr:uid="{3C9456E8-7FB5-4F22-91AF-090D2A3E651C}"/>
    <cellStyle name="40% - Accent1 18 2 3" xfId="8185" xr:uid="{937AC7F0-4917-4143-91B6-F1A5932F3406}"/>
    <cellStyle name="40% - Accent1 18 2 4" xfId="8186" xr:uid="{A1C8C487-E695-491F-8EBD-E7E34DDDE3FD}"/>
    <cellStyle name="40% - Accent1 18 2_Working Capital Current" xfId="14185" xr:uid="{45405F0A-445F-41E5-850D-8C8525D6B938}"/>
    <cellStyle name="40% - Accent1 18 3" xfId="8187" xr:uid="{F5A057AA-267D-4C0B-9773-BCB50A7AA284}"/>
    <cellStyle name="40% - Accent1 18 3 2" xfId="8188" xr:uid="{5D07B940-6F92-4330-9690-0BC6D54D8FCC}"/>
    <cellStyle name="40% - Accent1 18 3_Working Capital Current" xfId="14186" xr:uid="{0902C444-9F75-44FA-BC73-520384E146CD}"/>
    <cellStyle name="40% - Accent1 18 4" xfId="8189" xr:uid="{AF429362-12C9-4092-BF53-4EDA99A7FD3D}"/>
    <cellStyle name="40% - Accent1 18 5" xfId="8190" xr:uid="{317AAD9E-9BFB-4591-AE79-4C3BFC29A1AA}"/>
    <cellStyle name="40% - Accent1 18_Not_for_upload_before_M4_correc" xfId="14187" xr:uid="{A9EECF39-633B-4458-B885-62B8B9857637}"/>
    <cellStyle name="40% - Accent1 19" xfId="8191" xr:uid="{5781DB73-AEBA-4399-8AD9-9BB089316E1D}"/>
    <cellStyle name="40% - Accent1 19 2" xfId="8192" xr:uid="{522D65A3-308F-4D7D-8EF3-547323501D0D}"/>
    <cellStyle name="40% - Accent1 19 2 2" xfId="8193" xr:uid="{1264BD83-9AAF-47C1-8029-7F596A36D5CC}"/>
    <cellStyle name="40% - Accent1 19 2 2 2" xfId="8194" xr:uid="{A645191E-84C2-4954-8057-2FD280C30B10}"/>
    <cellStyle name="40% - Accent1 19 2 2_Working Capital Current" xfId="14188" xr:uid="{C80EA700-E0B3-4372-BDAC-B10DFB146F3B}"/>
    <cellStyle name="40% - Accent1 19 2 3" xfId="8195" xr:uid="{96D3A601-3E4E-4134-B237-A0E24E7DADDD}"/>
    <cellStyle name="40% - Accent1 19 2 4" xfId="8196" xr:uid="{8B5F3FED-C3AB-47BE-A0CD-9F42CDEBE83C}"/>
    <cellStyle name="40% - Accent1 19 2_Working Capital Current" xfId="14189" xr:uid="{1251E374-E220-4821-978A-BA363C2FF967}"/>
    <cellStyle name="40% - Accent1 19 3" xfId="8197" xr:uid="{3A25EAF8-4243-4EC7-9C4F-8946B283B5EF}"/>
    <cellStyle name="40% - Accent1 19 3 2" xfId="8198" xr:uid="{1E16D52D-2421-4D46-9CB9-FE49073A8AA7}"/>
    <cellStyle name="40% - Accent1 19 3_Working Capital Current" xfId="14190" xr:uid="{F47D3E43-858E-4919-8FF9-BD4FE7A3F853}"/>
    <cellStyle name="40% - Accent1 19 4" xfId="8199" xr:uid="{95244DAF-21CE-4770-B46D-5E85AEC2E522}"/>
    <cellStyle name="40% - Accent1 19 5" xfId="8200" xr:uid="{8BE110C9-EE28-48F2-8846-BEC5D0155702}"/>
    <cellStyle name="40% - Accent1 19_Not_for_upload_before_M4_correc" xfId="14191" xr:uid="{B7FAEF20-574E-4BE1-9C33-0F3CB86AD815}"/>
    <cellStyle name="40% - Accent1 2" xfId="90" xr:uid="{08B378D3-0BF4-4179-9B78-101B2B68B150}"/>
    <cellStyle name="40% - Accent1 2 10" xfId="8201" xr:uid="{BE8B95F9-8264-44F6-AB22-2F94D6E446AA}"/>
    <cellStyle name="40% - Accent1 2 11" xfId="16521" xr:uid="{48CF7A61-D116-4FB3-8E15-B387849A0588}"/>
    <cellStyle name="40% - Accent1 2 12" xfId="17221" xr:uid="{3D937CDB-7E2D-4E65-BEA5-BADDB7BE72A8}"/>
    <cellStyle name="40% - Accent1 2 2" xfId="91" xr:uid="{061B987D-2F6B-45FF-9BE0-B222A7F63414}"/>
    <cellStyle name="40% - Accent1 2 2 2" xfId="1921" xr:uid="{3FE53013-854A-459B-AF80-D2BCAA9762D5}"/>
    <cellStyle name="40% - Accent1 2 2 2 2" xfId="8204" xr:uid="{99702883-2141-4A09-974B-ED023D489883}"/>
    <cellStyle name="40% - Accent1 2 2 2 2 2" xfId="8205" xr:uid="{C07949D1-7E22-4575-9D36-47E19136C0E5}"/>
    <cellStyle name="40% - Accent1 2 2 2 2_Working Capital Current" xfId="14192" xr:uid="{99E5E24C-953B-4D22-854D-14FB02421869}"/>
    <cellStyle name="40% - Accent1 2 2 2 3" xfId="8206" xr:uid="{F6F509B3-C514-4E09-9D91-76E80DFA3E03}"/>
    <cellStyle name="40% - Accent1 2 2 2 4" xfId="8207" xr:uid="{C63C92EF-1E77-4DE0-A3D2-FF6120E55734}"/>
    <cellStyle name="40% - Accent1 2 2 2 5" xfId="17651" xr:uid="{D548AB11-AEB5-4352-8E38-996E8629BADE}"/>
    <cellStyle name="40% - Accent1 2 2 2 6" xfId="18204" xr:uid="{1BFAEE2A-6E79-4784-B1C9-95B973FC8170}"/>
    <cellStyle name="40% - Accent1 2 2 2 7" xfId="8203" xr:uid="{C5489884-6A12-4E20-B176-82557E61FBA1}"/>
    <cellStyle name="40% - Accent1 2 2 2_Working Capital Current" xfId="14193" xr:uid="{68B215FE-6FEE-447F-BFB7-216B7791B37F}"/>
    <cellStyle name="40% - Accent1 2 2 3" xfId="8208" xr:uid="{AF42B94E-F266-412A-961E-0FD95B064C49}"/>
    <cellStyle name="40% - Accent1 2 2 3 2" xfId="8209" xr:uid="{CD848C22-A9F5-4E89-8CB9-7C8B51A71354}"/>
    <cellStyle name="40% - Accent1 2 2 3_Working Capital Current" xfId="14194" xr:uid="{F3C3E6D1-52A8-4A3E-AFEB-D5FA77737D59}"/>
    <cellStyle name="40% - Accent1 2 2 4" xfId="8210" xr:uid="{C0C75794-450F-44A2-825B-7F4909EF0853}"/>
    <cellStyle name="40% - Accent1 2 2 5" xfId="8211" xr:uid="{70126E04-635C-4462-B0E5-445EB5FBF23C}"/>
    <cellStyle name="40% - Accent1 2 2 6" xfId="8202" xr:uid="{E629FFF6-C06D-427F-8119-AF1A462026A5}"/>
    <cellStyle name="40% - Accent1 2 2 7" xfId="16522" xr:uid="{115B6C1A-3E4E-4327-892A-F30AE3D3D962}"/>
    <cellStyle name="40% - Accent1 2 2 8" xfId="16974" xr:uid="{B674966A-415C-47E0-A472-215F6E690AE3}"/>
    <cellStyle name="40% - Accent1 2 2_Not_for_upload_before_M4_correc" xfId="14195" xr:uid="{52EB6EC7-E877-48C3-82F0-FFFD10D7EE51}"/>
    <cellStyle name="40% - Accent1 2 3" xfId="1920" xr:uid="{AF9DD226-B01F-4807-B225-E4831CB45166}"/>
    <cellStyle name="40% - Accent1 2 3 2" xfId="8213" xr:uid="{BE255104-7F10-428F-8024-F1C2C1465CE7}"/>
    <cellStyle name="40% - Accent1 2 3 2 2" xfId="8214" xr:uid="{B1EEE881-44F0-499A-9690-C3C83F83B41D}"/>
    <cellStyle name="40% - Accent1 2 3 2 2 2" xfId="8215" xr:uid="{766C92B0-C199-4BD3-81F1-3377CF1AE5B1}"/>
    <cellStyle name="40% - Accent1 2 3 2 2_Working Capital Current" xfId="14196" xr:uid="{F06F1B88-0AF5-414D-A1E8-F6217228FEDC}"/>
    <cellStyle name="40% - Accent1 2 3 2 3" xfId="8216" xr:uid="{02A77B34-0D09-4373-89FD-FD666F023E3D}"/>
    <cellStyle name="40% - Accent1 2 3 2 4" xfId="8217" xr:uid="{1469B491-78E4-4AA0-AB1E-D324CC7A441C}"/>
    <cellStyle name="40% - Accent1 2 3 2_Working Capital Current" xfId="14197" xr:uid="{B07606DB-008A-4DBD-B7AB-9EDBB2845569}"/>
    <cellStyle name="40% - Accent1 2 3 3" xfId="8218" xr:uid="{12A04160-B659-40E3-AF39-93734E67D2D7}"/>
    <cellStyle name="40% - Accent1 2 3 3 2" xfId="8219" xr:uid="{7ACD1E0C-2F53-4252-982F-ED936B06DE5E}"/>
    <cellStyle name="40% - Accent1 2 3 3_Working Capital Current" xfId="14198" xr:uid="{609547C3-8098-4E3E-9E27-95F012DDAD43}"/>
    <cellStyle name="40% - Accent1 2 3 4" xfId="8220" xr:uid="{D1E6B072-C1FD-4B0C-9B4A-836D01547EF1}"/>
    <cellStyle name="40% - Accent1 2 3 5" xfId="8221" xr:uid="{781B6F7C-59FC-4EE5-AD73-0E056236F31C}"/>
    <cellStyle name="40% - Accent1 2 3 6" xfId="17650" xr:uid="{0C1C8FBC-57F5-4A0D-B5F2-C7AB7AD20048}"/>
    <cellStyle name="40% - Accent1 2 3 7" xfId="18203" xr:uid="{1BB0A3D0-C4EF-44AD-BE6C-FC05163C7705}"/>
    <cellStyle name="40% - Accent1 2 3 8" xfId="8212" xr:uid="{8E0B15BC-F418-4C76-B13C-EEC1A16BE999}"/>
    <cellStyle name="40% - Accent1 2 3_Not_for_upload_before_M4_correc" xfId="14199" xr:uid="{C2277C21-9D0C-4117-B597-129CE38FBEA6}"/>
    <cellStyle name="40% - Accent1 2 4" xfId="8222" xr:uid="{F53CB730-6E52-489B-BFDF-F673AB6C3ED2}"/>
    <cellStyle name="40% - Accent1 2 4 2" xfId="8223" xr:uid="{06161DD0-ACAF-4570-B4A9-EE52B893E82D}"/>
    <cellStyle name="40% - Accent1 2 4 2 2" xfId="8224" xr:uid="{9FEA85FA-00B6-4D1D-91EB-B3F2350A4780}"/>
    <cellStyle name="40% - Accent1 2 4 2 2 2" xfId="8225" xr:uid="{226D7CA5-860C-4F16-9054-751B9C0E4198}"/>
    <cellStyle name="40% - Accent1 2 4 2 2_Working Capital Current" xfId="14200" xr:uid="{1BDF1926-5423-43B3-AB31-7A4301492563}"/>
    <cellStyle name="40% - Accent1 2 4 2 3" xfId="8226" xr:uid="{4F3D38F6-F531-40AC-A9AF-24461F9A4FEF}"/>
    <cellStyle name="40% - Accent1 2 4 2 4" xfId="8227" xr:uid="{47D5C27E-1666-4C83-818C-68A6B6C7FF1A}"/>
    <cellStyle name="40% - Accent1 2 4 2_Working Capital Current" xfId="14201" xr:uid="{03B4E64B-D503-4E6A-847B-3731D4614498}"/>
    <cellStyle name="40% - Accent1 2 4 3" xfId="8228" xr:uid="{4620D555-1628-4B30-ADF7-E0A113544D09}"/>
    <cellStyle name="40% - Accent1 2 4 3 2" xfId="8229" xr:uid="{23D816D7-DF7D-4817-AD91-8CB43F2CA68F}"/>
    <cellStyle name="40% - Accent1 2 4 3_Working Capital Current" xfId="14202" xr:uid="{2C1EDE29-4303-46A0-A081-C8067C2B82EF}"/>
    <cellStyle name="40% - Accent1 2 4 4" xfId="8230" xr:uid="{EEE87933-CB0C-4648-B826-E68F4035979C}"/>
    <cellStyle name="40% - Accent1 2 4 5" xfId="8231" xr:uid="{ADA6CE84-7AFE-46A6-8C0C-F143419484DD}"/>
    <cellStyle name="40% - Accent1 2 4_Not_for_upload_before_M4_correc" xfId="14203" xr:uid="{7A3053C3-CE6C-472E-A34E-3076B07283A0}"/>
    <cellStyle name="40% - Accent1 2 5" xfId="8232" xr:uid="{AB0F76F3-6121-4CFE-8354-4D42DD1B5D0A}"/>
    <cellStyle name="40% - Accent1 2 5 2" xfId="8233" xr:uid="{124CCF28-C3C0-493F-928D-C6E78C51D4E9}"/>
    <cellStyle name="40% - Accent1 2 5 2 2" xfId="8234" xr:uid="{F7BB200C-98CD-4472-9308-79ADB2A9C09D}"/>
    <cellStyle name="40% - Accent1 2 5 2_Working Capital Current" xfId="14204" xr:uid="{6D526980-64C3-46DB-9C68-D453A49E7CB2}"/>
    <cellStyle name="40% - Accent1 2 5 3" xfId="8235" xr:uid="{AD4AEFB9-5A7B-40B8-A382-FE5DAB9BF835}"/>
    <cellStyle name="40% - Accent1 2 5_Working Capital Current" xfId="14205" xr:uid="{BFEF7F73-1065-471E-BE46-35CAC35D9930}"/>
    <cellStyle name="40% - Accent1 2 6" xfId="8236" xr:uid="{1EAD7814-D3F2-42AE-A38F-8A0294100D49}"/>
    <cellStyle name="40% - Accent1 2 6 2" xfId="8237" xr:uid="{9E134E56-1D33-4E38-AF39-D567F0FCC4CE}"/>
    <cellStyle name="40% - Accent1 2 6_Working Capital Current" xfId="14206" xr:uid="{FDBC8BD5-5DF4-4341-B0DA-5ADD901CE64A}"/>
    <cellStyle name="40% - Accent1 2 7" xfId="8238" xr:uid="{ABD80B08-150F-499D-9762-DA5EF01A74A3}"/>
    <cellStyle name="40% - Accent1 2 7 2" xfId="8239" xr:uid="{8028984C-BCE9-40B7-BE45-72C1B6F37DE4}"/>
    <cellStyle name="40% - Accent1 2 7_Working Capital Current" xfId="14207" xr:uid="{70D9345E-E22C-439B-BBE1-4F4F2C824731}"/>
    <cellStyle name="40% - Accent1 2 8" xfId="8240" xr:uid="{17F31111-FC63-44A0-84A2-0C0717DF3E68}"/>
    <cellStyle name="40% - Accent1 2 9" xfId="8241" xr:uid="{618780A8-2BCE-4A33-B319-CAF159D6B1DD}"/>
    <cellStyle name="40% - Accent1 2_Not_for_upload_before_M4_correc" xfId="14208" xr:uid="{92935B7A-00A9-42B9-B202-A4A45ADB9727}"/>
    <cellStyle name="40% - Accent1 20" xfId="8242" xr:uid="{C9B303B1-75AD-47D5-B78C-4457B3EDDE2F}"/>
    <cellStyle name="40% - Accent1 20 2" xfId="8243" xr:uid="{44662931-74F4-4C32-BEC4-95B1CC4C187F}"/>
    <cellStyle name="40% - Accent1 20 2 2" xfId="8244" xr:uid="{1EC4E066-AD61-4F76-A9BE-A9F481575493}"/>
    <cellStyle name="40% - Accent1 20 2 2 2" xfId="8245" xr:uid="{684A184C-66E4-46BF-B6DC-83CB1612FE76}"/>
    <cellStyle name="40% - Accent1 20 2 2_Working Capital Current" xfId="14209" xr:uid="{EC3706B3-573C-4C7F-8930-10D0BE970D17}"/>
    <cellStyle name="40% - Accent1 20 2 3" xfId="8246" xr:uid="{4216C59F-CE37-40C3-BBF9-397A95A80E54}"/>
    <cellStyle name="40% - Accent1 20 2 4" xfId="8247" xr:uid="{D7FDED05-574F-49AC-8AEE-582A036B5643}"/>
    <cellStyle name="40% - Accent1 20 2_Working Capital Current" xfId="14210" xr:uid="{98C1E90E-5A4A-4B77-AAE0-A1ADE49250BD}"/>
    <cellStyle name="40% - Accent1 20 3" xfId="8248" xr:uid="{DAA1986F-D419-4BD1-905B-F9013B94EA7B}"/>
    <cellStyle name="40% - Accent1 20 3 2" xfId="8249" xr:uid="{9B0E44E5-F7E9-4BDD-9409-F1C654DE42BD}"/>
    <cellStyle name="40% - Accent1 20 3_Working Capital Current" xfId="14211" xr:uid="{942AC5C2-633E-4428-86FD-602D03235464}"/>
    <cellStyle name="40% - Accent1 20 4" xfId="8250" xr:uid="{C2FC3A92-22FD-44D8-A202-E89F2715E391}"/>
    <cellStyle name="40% - Accent1 20 5" xfId="8251" xr:uid="{69E3CD50-2795-4B72-8754-D5DF0F314925}"/>
    <cellStyle name="40% - Accent1 20_Not_for_upload_before_M4_correc" xfId="14212" xr:uid="{AE9177E3-A26E-413F-8809-C1F11B1A0083}"/>
    <cellStyle name="40% - Accent1 21" xfId="8252" xr:uid="{67C5C246-5ECE-4529-85AD-910C419573A1}"/>
    <cellStyle name="40% - Accent1 21 2" xfId="8253" xr:uid="{0E1011B1-726D-410E-BB4D-6EADDBC27379}"/>
    <cellStyle name="40% - Accent1 21 2 2" xfId="8254" xr:uid="{28B930D8-DE22-476E-BA85-24C30033FE59}"/>
    <cellStyle name="40% - Accent1 21 2 2 2" xfId="8255" xr:uid="{ADA7D735-3ABD-4C24-84C3-8C954B8A715A}"/>
    <cellStyle name="40% - Accent1 21 2 2_Working Capital Current" xfId="14213" xr:uid="{222651F3-785C-4FB6-8004-98069DD8E66B}"/>
    <cellStyle name="40% - Accent1 21 2 3" xfId="8256" xr:uid="{77F7B320-7C51-43AF-B5F8-F5EA12179E70}"/>
    <cellStyle name="40% - Accent1 21 2 4" xfId="8257" xr:uid="{8F90010F-C292-48AC-BC86-2EDC403E9D64}"/>
    <cellStyle name="40% - Accent1 21 2_Working Capital Current" xfId="14214" xr:uid="{A2FCE47D-BC25-4EDD-AE35-B13A32856E16}"/>
    <cellStyle name="40% - Accent1 21 3" xfId="8258" xr:uid="{4E987A1B-4D4A-4E59-9DCB-F6A4C5860A93}"/>
    <cellStyle name="40% - Accent1 21 3 2" xfId="8259" xr:uid="{4A04C23F-E531-4DF5-97E2-B934257C0A28}"/>
    <cellStyle name="40% - Accent1 21 3_Working Capital Current" xfId="14215" xr:uid="{C779B1DE-3F30-4944-AA92-1261990CF9DE}"/>
    <cellStyle name="40% - Accent1 21 4" xfId="8260" xr:uid="{26044F19-9A98-4510-B6BC-6E296AD8C028}"/>
    <cellStyle name="40% - Accent1 21 5" xfId="8261" xr:uid="{B8B4C964-77CC-42B3-B055-6393DEA2C3F8}"/>
    <cellStyle name="40% - Accent1 21_Not_for_upload_before_M4_correc" xfId="14216" xr:uid="{6BBAC194-1CA2-4F94-B6BA-4E0AC0EEF0E2}"/>
    <cellStyle name="40% - Accent1 22" xfId="8262" xr:uid="{2FAA3A12-6DF0-4F52-B9CD-B73479978173}"/>
    <cellStyle name="40% - Accent1 22 2" xfId="8263" xr:uid="{7FD348F5-E136-48E3-BC72-9E6800F80A65}"/>
    <cellStyle name="40% - Accent1 22 2 2" xfId="8264" xr:uid="{1BFD841F-A809-4CB6-AEE3-5CC96CF1CB86}"/>
    <cellStyle name="40% - Accent1 22 2 2 2" xfId="8265" xr:uid="{FE80A915-6CDB-4B3F-8FA5-43DAEBD8E7D3}"/>
    <cellStyle name="40% - Accent1 22 2 2_Working Capital Current" xfId="14217" xr:uid="{5C0B5668-33CE-4CAF-995D-A0FCFC67DDB3}"/>
    <cellStyle name="40% - Accent1 22 2 3" xfId="8266" xr:uid="{26B52838-2350-43B3-B296-785D98227581}"/>
    <cellStyle name="40% - Accent1 22 2 4" xfId="8267" xr:uid="{FACD3336-3B25-415E-B385-6659AABD9382}"/>
    <cellStyle name="40% - Accent1 22 2_Working Capital Current" xfId="14218" xr:uid="{9217B028-13B4-4A15-BBC8-BBBAE9502F5A}"/>
    <cellStyle name="40% - Accent1 22 3" xfId="8268" xr:uid="{8F88989B-FA13-4B75-81B6-61E3D07CC175}"/>
    <cellStyle name="40% - Accent1 22 3 2" xfId="8269" xr:uid="{783EF37B-83BE-40C6-8E54-DB216C8F7FC4}"/>
    <cellStyle name="40% - Accent1 22 3_Working Capital Current" xfId="14219" xr:uid="{F75C5074-8430-4405-B5E6-2C6DD902230F}"/>
    <cellStyle name="40% - Accent1 22 4" xfId="8270" xr:uid="{9686B061-473F-4928-87D1-361FB9C78D5D}"/>
    <cellStyle name="40% - Accent1 22 5" xfId="8271" xr:uid="{193471FD-A8E6-4C19-BAE8-1820CF7E9618}"/>
    <cellStyle name="40% - Accent1 22_Not_for_upload_before_M4_correc" xfId="14220" xr:uid="{4E22F8E4-9DC9-41D4-9F92-942E2C5B9A0F}"/>
    <cellStyle name="40% - Accent1 23" xfId="8272" xr:uid="{FD2C93F6-DE94-4E2A-9591-A87F6E557470}"/>
    <cellStyle name="40% - Accent1 23 2" xfId="8273" xr:uid="{88CCD115-983D-49D5-8299-B5B3D7634A65}"/>
    <cellStyle name="40% - Accent1 23 2 2" xfId="8274" xr:uid="{243FE643-A065-4DF8-8E1D-D350BC175B1E}"/>
    <cellStyle name="40% - Accent1 23 2 2 2" xfId="8275" xr:uid="{3D81FC5D-790C-48E8-ADAE-3AA55528B0E5}"/>
    <cellStyle name="40% - Accent1 23 2 2_Working Capital Current" xfId="14221" xr:uid="{63773E39-35F2-4821-A099-55B18AFE96F3}"/>
    <cellStyle name="40% - Accent1 23 2 3" xfId="8276" xr:uid="{D5097AA8-1212-4AD8-9C6A-EB917D8234F5}"/>
    <cellStyle name="40% - Accent1 23 2 4" xfId="8277" xr:uid="{1B679388-21A2-4D6F-B6A3-D267B385F783}"/>
    <cellStyle name="40% - Accent1 23 2_Working Capital Current" xfId="14222" xr:uid="{EBD4B0E7-07C5-433B-9899-52638047A8D1}"/>
    <cellStyle name="40% - Accent1 23 3" xfId="8278" xr:uid="{1FA3AE72-2EFE-45B8-AEB7-11C981373FC9}"/>
    <cellStyle name="40% - Accent1 23 3 2" xfId="8279" xr:uid="{87B4D47A-D5C6-4729-878C-2525FC795375}"/>
    <cellStyle name="40% - Accent1 23 3_Working Capital Current" xfId="14223" xr:uid="{E6CD689B-E78A-4D8C-BC37-07B74ECE28A5}"/>
    <cellStyle name="40% - Accent1 23 4" xfId="8280" xr:uid="{A3C32D63-EA2E-4F7C-98D4-8DAF21E0AC98}"/>
    <cellStyle name="40% - Accent1 23 5" xfId="8281" xr:uid="{F9DFB3EF-A4DB-4C3E-B5B0-82C7EC2D1CE5}"/>
    <cellStyle name="40% - Accent1 23_Not_for_upload_before_M4_correc" xfId="14224" xr:uid="{59C84D18-BAFC-41A6-BE24-F7D37D8844D4}"/>
    <cellStyle name="40% - Accent1 24" xfId="8282" xr:uid="{54FFFFE4-5B29-4DBC-BA70-21864924683E}"/>
    <cellStyle name="40% - Accent1 24 2" xfId="8283" xr:uid="{3E592907-B89C-4A5F-BFFA-15038BC30805}"/>
    <cellStyle name="40% - Accent1 24 2 2" xfId="8284" xr:uid="{9F0D6607-0F5E-423E-9234-05A517C25CB2}"/>
    <cellStyle name="40% - Accent1 24 2 2 2" xfId="8285" xr:uid="{409141FE-4ADD-4D2B-897D-D3186EF07E2C}"/>
    <cellStyle name="40% - Accent1 24 2 2_Working Capital Current" xfId="14225" xr:uid="{F644B388-0244-42AB-8A68-880EF066D0F2}"/>
    <cellStyle name="40% - Accent1 24 2 3" xfId="8286" xr:uid="{BDFA0D17-2487-4A3F-8D12-FBA8F569CBA6}"/>
    <cellStyle name="40% - Accent1 24 2 4" xfId="8287" xr:uid="{29C20D3B-DB46-4E70-94D0-2FAC85C3DB66}"/>
    <cellStyle name="40% - Accent1 24 2_Working Capital Current" xfId="14226" xr:uid="{CBF7E7D0-01AE-40F9-8D93-9EBEB73A5CB4}"/>
    <cellStyle name="40% - Accent1 24 3" xfId="8288" xr:uid="{1A80128B-9543-4A6B-8788-2638FCA9C62A}"/>
    <cellStyle name="40% - Accent1 24 3 2" xfId="8289" xr:uid="{B2930596-B9A0-442D-A63F-FFE8567D5BE4}"/>
    <cellStyle name="40% - Accent1 24 3_Working Capital Current" xfId="14227" xr:uid="{7438BBA2-F9D1-4F74-BB1E-45E5F9CCAB58}"/>
    <cellStyle name="40% - Accent1 24 4" xfId="8290" xr:uid="{B8914B53-6371-4C99-BB0C-85DB4643B01F}"/>
    <cellStyle name="40% - Accent1 24 5" xfId="8291" xr:uid="{8E0A6B91-C417-49DE-BE81-7814E4B987A2}"/>
    <cellStyle name="40% - Accent1 24_Not_for_upload_before_M4_correc" xfId="14228" xr:uid="{2999813C-B0C0-4F2A-ADE6-FFA0223398C2}"/>
    <cellStyle name="40% - Accent1 25" xfId="8292" xr:uid="{02A09559-9BCE-4D26-BCC6-5EDCF3E5D96D}"/>
    <cellStyle name="40% - Accent1 25 2" xfId="8293" xr:uid="{DEC2DB5D-50DE-4270-BDDC-75151123E6CB}"/>
    <cellStyle name="40% - Accent1 25 2 2" xfId="8294" xr:uid="{2E9F6FC6-B1BE-430A-A221-E8E4A22DD17C}"/>
    <cellStyle name="40% - Accent1 25 2 2 2" xfId="8295" xr:uid="{91BC4884-E31F-4E14-B2BC-135E84BD2CC9}"/>
    <cellStyle name="40% - Accent1 25 2 2_Working Capital Current" xfId="14229" xr:uid="{E08A287B-A414-4FB2-882C-22F1624F98C1}"/>
    <cellStyle name="40% - Accent1 25 2 3" xfId="8296" xr:uid="{FE461793-84E8-4AE0-9980-075D1B542F2C}"/>
    <cellStyle name="40% - Accent1 25 2 4" xfId="8297" xr:uid="{A1C64F76-4D36-48AF-88BD-9354B0009428}"/>
    <cellStyle name="40% - Accent1 25 2_Working Capital Current" xfId="14230" xr:uid="{A532B3CA-5B6A-4EA2-8111-BDE90520A72D}"/>
    <cellStyle name="40% - Accent1 25 3" xfId="8298" xr:uid="{9F62E3E3-AC90-4563-AABF-243D34D7F554}"/>
    <cellStyle name="40% - Accent1 25 3 2" xfId="8299" xr:uid="{93987F9E-DB9D-4F7D-920B-8A125B36A9A9}"/>
    <cellStyle name="40% - Accent1 25 3_Working Capital Current" xfId="14231" xr:uid="{0480469E-4C23-4593-9F8E-F842C96BC8AD}"/>
    <cellStyle name="40% - Accent1 25 4" xfId="8300" xr:uid="{6B367C12-DE73-4A08-8384-D460F1F9B9E2}"/>
    <cellStyle name="40% - Accent1 25 5" xfId="8301" xr:uid="{A4D651C7-F8FF-4C84-9296-036DADC20DED}"/>
    <cellStyle name="40% - Accent1 25_Not_for_upload_before_M4_correc" xfId="14232" xr:uid="{2FC9E6CF-9B11-4445-B5BF-72EEC4575478}"/>
    <cellStyle name="40% - Accent1 26" xfId="8302" xr:uid="{46F45AF2-2706-41E2-A99B-F411F39A8F06}"/>
    <cellStyle name="40% - Accent1 26 2" xfId="8303" xr:uid="{ED32E101-6B19-45E8-B41F-9317B7BBB5FD}"/>
    <cellStyle name="40% - Accent1 26 2 2" xfId="8304" xr:uid="{B63A0DC0-6845-4304-8931-035AAFB8D10F}"/>
    <cellStyle name="40% - Accent1 26 2 3" xfId="8305" xr:uid="{833C03A8-CB00-4BA4-BF2F-970961EC3C7B}"/>
    <cellStyle name="40% - Accent1 26 2_Working Capital Current" xfId="14233" xr:uid="{F601F7D2-6BBF-488B-9D77-91BFB70E5967}"/>
    <cellStyle name="40% - Accent1 26 3" xfId="8306" xr:uid="{A6FF53E4-F232-481D-A601-929CE0491898}"/>
    <cellStyle name="40% - Accent1 26 3 2" xfId="8307" xr:uid="{87498D7B-0F91-4662-A8FB-901DE2C2DF29}"/>
    <cellStyle name="40% - Accent1 26 3_Working Capital Current" xfId="14234" xr:uid="{A2DF3111-A28F-4AF7-B166-237ABBEB1CF7}"/>
    <cellStyle name="40% - Accent1 26 4" xfId="8308" xr:uid="{2B09C540-B604-4C72-9990-9A5C8FD71287}"/>
    <cellStyle name="40% - Accent1 26 5" xfId="8309" xr:uid="{2AB0C76B-A1C8-4B23-8908-8AA9C93A048C}"/>
    <cellStyle name="40% - Accent1 26_Not_for_upload_before_M4_correc" xfId="14235" xr:uid="{7D4A7E1C-A042-473E-BCA3-93585D2444AE}"/>
    <cellStyle name="40% - Accent1 27" xfId="8310" xr:uid="{48D8D371-740A-455B-A269-C8CC3AA3AC1B}"/>
    <cellStyle name="40% - Accent1 27 2" xfId="8311" xr:uid="{ACD44DAB-596D-4569-B55C-76A3E7C1979B}"/>
    <cellStyle name="40% - Accent1 27 2 2" xfId="8312" xr:uid="{947BBDA9-9AE7-4860-BCA4-4D3DE2662AA9}"/>
    <cellStyle name="40% - Accent1 27 2 3" xfId="8313" xr:uid="{10219B73-1418-406A-B347-CD9F519B11D1}"/>
    <cellStyle name="40% - Accent1 27 2_Working Capital Current" xfId="14236" xr:uid="{EB369008-B8A1-422A-9DA9-F8A56B21FE76}"/>
    <cellStyle name="40% - Accent1 27 3" xfId="8314" xr:uid="{DC0DBFF9-1AFC-4D3A-B9B3-5ACDB7B770E6}"/>
    <cellStyle name="40% - Accent1 27 3 2" xfId="8315" xr:uid="{E1E32FCA-FFCE-45CF-B431-8D1764A44114}"/>
    <cellStyle name="40% - Accent1 27 3_Working Capital Current" xfId="14237" xr:uid="{E8FFE77B-7E6D-40EF-89BE-0F6166D1245E}"/>
    <cellStyle name="40% - Accent1 27 4" xfId="8316" xr:uid="{8B506031-BAB1-4930-A7A0-F605205D4439}"/>
    <cellStyle name="40% - Accent1 27 5" xfId="8317" xr:uid="{EC6B40D6-8986-4A15-ABB6-96E398E47370}"/>
    <cellStyle name="40% - Accent1 27_Not_for_upload_before_M4_correc" xfId="14238" xr:uid="{866075D8-F6E6-4FF9-ADEA-6B872ED22415}"/>
    <cellStyle name="40% - Accent1 28" xfId="8318" xr:uid="{73580937-36EC-495D-8391-B31B027D3289}"/>
    <cellStyle name="40% - Accent1 28 2" xfId="8319" xr:uid="{B13147B7-8366-47B4-8E6A-3EB11282ABE7}"/>
    <cellStyle name="40% - Accent1 28 2 2" xfId="8320" xr:uid="{17ECAAD7-DC25-418A-9D86-211700F9C39E}"/>
    <cellStyle name="40% - Accent1 28 2 3" xfId="8321" xr:uid="{B84ACDAA-5236-4751-BBB4-AC88D93337F6}"/>
    <cellStyle name="40% - Accent1 28 2_Working Capital Current" xfId="14239" xr:uid="{B90A4F6C-E6E9-4CE2-80FD-5E779B264332}"/>
    <cellStyle name="40% - Accent1 28 3" xfId="8322" xr:uid="{24FA3E89-58D9-42A3-B188-839DE2490AC9}"/>
    <cellStyle name="40% - Accent1 28 3 2" xfId="8323" xr:uid="{AA340C4B-C4C3-4CE7-A9FA-7B8AA879A2A5}"/>
    <cellStyle name="40% - Accent1 28 3_Working Capital Current" xfId="14240" xr:uid="{76F63824-14F1-4C5C-B9D9-43522EF141C1}"/>
    <cellStyle name="40% - Accent1 28 4" xfId="8324" xr:uid="{2FA61A70-A276-4565-B76B-844C9DD9C40B}"/>
    <cellStyle name="40% - Accent1 28 5" xfId="8325" xr:uid="{6D8A13F8-CC4B-4FA5-96F7-E5FFAE948082}"/>
    <cellStyle name="40% - Accent1 28_Not_for_upload_before_M4_correc" xfId="14241" xr:uid="{0E02E051-9A58-4F7C-B3DB-A0648D9D3819}"/>
    <cellStyle name="40% - Accent1 29" xfId="8326" xr:uid="{81EE1601-39B3-411D-A307-2F548E841C66}"/>
    <cellStyle name="40% - Accent1 29 2" xfId="8327" xr:uid="{6F64750B-2149-4326-BA0A-4C8DC168C973}"/>
    <cellStyle name="40% - Accent1 29 2 2" xfId="8328" xr:uid="{E0567D31-66F7-4AF8-A13A-401D1F75603F}"/>
    <cellStyle name="40% - Accent1 29 2_Working Capital Current" xfId="14242" xr:uid="{C6A2885A-B2CC-4A7A-AC7E-9E58668100C6}"/>
    <cellStyle name="40% - Accent1 29 3" xfId="8329" xr:uid="{A96E5854-F86E-4692-9558-2461DA2A7973}"/>
    <cellStyle name="40% - Accent1 29 4" xfId="8330" xr:uid="{4A7AE1C2-687E-471E-8B25-C4559564902C}"/>
    <cellStyle name="40% - Accent1 29_Not_for_upload_before_M4_correc" xfId="14243" xr:uid="{A4585C63-F5A9-4654-ADDB-D7D3EC75C1A7}"/>
    <cellStyle name="40% - Accent1 3" xfId="92" xr:uid="{7ECBE24B-BC35-4649-B5C9-361774A66EA4}"/>
    <cellStyle name="40% - Accent1 3 10" xfId="16523" xr:uid="{B9432B00-75DE-4745-88E6-CA237F458E1E}"/>
    <cellStyle name="40% - Accent1 3 2" xfId="1922" xr:uid="{03C44F48-D084-446A-B50E-C12E01142E29}"/>
    <cellStyle name="40% - Accent1 3 2 2" xfId="8333" xr:uid="{41667012-1F65-44F7-9B99-1771B7E05FED}"/>
    <cellStyle name="40% - Accent1 3 2 2 2" xfId="8334" xr:uid="{D6773499-EC14-4830-9AC5-4B5925B3590C}"/>
    <cellStyle name="40% - Accent1 3 2 2 2 2" xfId="8335" xr:uid="{44575376-6987-4010-9550-2299C09E1D92}"/>
    <cellStyle name="40% - Accent1 3 2 2 2_Working Capital Current" xfId="14244" xr:uid="{2D582760-9A5D-4586-BEC3-42D1A21B4865}"/>
    <cellStyle name="40% - Accent1 3 2 2 3" xfId="8336" xr:uid="{49E2E3C4-1D96-481B-BF2D-26326FDC014B}"/>
    <cellStyle name="40% - Accent1 3 2 2 4" xfId="8337" xr:uid="{3495F288-4EAF-4A47-B569-00D501764A16}"/>
    <cellStyle name="40% - Accent1 3 2 2_Working Capital Current" xfId="14245" xr:uid="{FC42ABBE-3BC7-472A-B9DD-A41EA7B774EA}"/>
    <cellStyle name="40% - Accent1 3 2 3" xfId="8338" xr:uid="{7D41D1B6-7843-4642-B7B9-BFA662C6380A}"/>
    <cellStyle name="40% - Accent1 3 2 3 2" xfId="8339" xr:uid="{C291664C-460D-4FF6-A648-676F683E8FE0}"/>
    <cellStyle name="40% - Accent1 3 2 3_Working Capital Current" xfId="14246" xr:uid="{F67A9611-E3A7-4ED2-8DA7-A211DF250C48}"/>
    <cellStyle name="40% - Accent1 3 2 4" xfId="8340" xr:uid="{CA9CFAF9-FF5D-4658-A318-D476524A790D}"/>
    <cellStyle name="40% - Accent1 3 2 5" xfId="8341" xr:uid="{F0FF9C34-5F67-4035-AD1B-BB0D837F3446}"/>
    <cellStyle name="40% - Accent1 3 2 6" xfId="17652" xr:uid="{EE0B876F-A8D3-43EE-A7BA-350A5C176420}"/>
    <cellStyle name="40% - Accent1 3 2 7" xfId="18205" xr:uid="{1D7BA853-6242-4716-AAD1-0DD868FA61B3}"/>
    <cellStyle name="40% - Accent1 3 2 8" xfId="8332" xr:uid="{7A296C8E-7623-4273-9101-B4E5CF32DCF4}"/>
    <cellStyle name="40% - Accent1 3 2_Not_for_upload_before_M4_correc" xfId="14247" xr:uid="{AF4FC4DC-E0CF-48EF-82BD-029FD5190976}"/>
    <cellStyle name="40% - Accent1 3 3" xfId="8342" xr:uid="{D1A4F38A-04EE-4A26-BFD8-1BF45FC9D791}"/>
    <cellStyle name="40% - Accent1 3 3 2" xfId="8343" xr:uid="{4493BD28-8AE2-46FF-A0F9-519C0BFBEAEB}"/>
    <cellStyle name="40% - Accent1 3 3 2 2" xfId="8344" xr:uid="{515B2D61-9E6F-4786-976E-749699EF7D5B}"/>
    <cellStyle name="40% - Accent1 3 3 2 2 2" xfId="8345" xr:uid="{6CCE2B7A-889C-43A7-B49B-8C527944CB83}"/>
    <cellStyle name="40% - Accent1 3 3 2 2_Working Capital Current" xfId="14248" xr:uid="{A259BB2A-3B32-45DF-A550-CBAFE4818117}"/>
    <cellStyle name="40% - Accent1 3 3 2 3" xfId="8346" xr:uid="{56C66A6F-3811-4056-A541-CC365488D32F}"/>
    <cellStyle name="40% - Accent1 3 3 2 4" xfId="8347" xr:uid="{3F168A9F-91AE-4EDB-BB5B-86AFFB90A448}"/>
    <cellStyle name="40% - Accent1 3 3 2_Working Capital Current" xfId="14249" xr:uid="{5DE12D94-4277-4C66-806D-0B504FA55EBC}"/>
    <cellStyle name="40% - Accent1 3 3 3" xfId="8348" xr:uid="{31318985-AF5E-4812-B6B1-159F97F63A28}"/>
    <cellStyle name="40% - Accent1 3 3 3 2" xfId="8349" xr:uid="{D81B2E02-D55D-4B38-9914-A7980548B285}"/>
    <cellStyle name="40% - Accent1 3 3 3_Working Capital Current" xfId="14250" xr:uid="{7B723F7B-AB5A-4583-8E47-0A29971428D4}"/>
    <cellStyle name="40% - Accent1 3 3 4" xfId="8350" xr:uid="{8299A3BA-7EB8-41F8-ADEB-C96CCEA20DC9}"/>
    <cellStyle name="40% - Accent1 3 3 5" xfId="8351" xr:uid="{B730A91D-1805-4CCC-A685-CC9C7C58D759}"/>
    <cellStyle name="40% - Accent1 3 3_Not_for_upload_before_M4_correc" xfId="14251" xr:uid="{A0AD0632-988C-41DD-8F5A-1DB9AC100078}"/>
    <cellStyle name="40% - Accent1 3 4" xfId="8352" xr:uid="{016E7068-2AC0-477D-9B9E-7EBCD56CB4BB}"/>
    <cellStyle name="40% - Accent1 3 4 2" xfId="8353" xr:uid="{707A4438-735E-48BE-A6EA-AB3B1FAFCA32}"/>
    <cellStyle name="40% - Accent1 3 4 2 2" xfId="8354" xr:uid="{789D80A7-24D8-4DD2-8612-B32E61FD08C2}"/>
    <cellStyle name="40% - Accent1 3 4 2 2 2" xfId="8355" xr:uid="{E8F95368-2EEB-43BD-B087-A55BD9C8F184}"/>
    <cellStyle name="40% - Accent1 3 4 2 2_Working Capital Current" xfId="14252" xr:uid="{FB886368-72E8-4BED-B98B-2E8BAEB01F5F}"/>
    <cellStyle name="40% - Accent1 3 4 2 3" xfId="8356" xr:uid="{612F5CB7-272A-46BF-91AA-3B0EE3FB9E25}"/>
    <cellStyle name="40% - Accent1 3 4 2 4" xfId="8357" xr:uid="{52A80FC6-FDEE-4795-90A8-9A49C29B8862}"/>
    <cellStyle name="40% - Accent1 3 4 2_Working Capital Current" xfId="14253" xr:uid="{FCDBC710-4778-4606-B309-34B36EB9BFED}"/>
    <cellStyle name="40% - Accent1 3 4 3" xfId="8358" xr:uid="{7E0E5573-B57D-4FD6-8FE5-478670CAA9BE}"/>
    <cellStyle name="40% - Accent1 3 4 3 2" xfId="8359" xr:uid="{FAD957FB-AFCB-4DEC-8F79-19B908FA829F}"/>
    <cellStyle name="40% - Accent1 3 4 3_Working Capital Current" xfId="14254" xr:uid="{8276679B-8513-4655-8CF1-AD3E62F8AF18}"/>
    <cellStyle name="40% - Accent1 3 4 4" xfId="8360" xr:uid="{67B1998D-ACD1-470C-8A00-B39D2F20C378}"/>
    <cellStyle name="40% - Accent1 3 4 5" xfId="8361" xr:uid="{4A17AD77-ADDD-44EF-92D8-BAE2A54AC6E1}"/>
    <cellStyle name="40% - Accent1 3 4_Not_for_upload_before_M4_correc" xfId="14255" xr:uid="{E1D7762A-C2A5-4978-9E45-939883D156C1}"/>
    <cellStyle name="40% - Accent1 3 5" xfId="8362" xr:uid="{ACCAC537-1644-4837-9C58-8A1731C57571}"/>
    <cellStyle name="40% - Accent1 3 5 2" xfId="8363" xr:uid="{50A330F9-5763-481A-8A02-FFD5706F29A8}"/>
    <cellStyle name="40% - Accent1 3 5 2 2" xfId="8364" xr:uid="{B43D2EF7-78F8-4062-9014-1886059ACDF1}"/>
    <cellStyle name="40% - Accent1 3 5 2_Working Capital Current" xfId="14256" xr:uid="{5319EA8E-A25F-40B3-9041-85AE28D7C91A}"/>
    <cellStyle name="40% - Accent1 3 5 3" xfId="8365" xr:uid="{8442BEB9-EC42-4F98-A4D9-44AB785C648D}"/>
    <cellStyle name="40% - Accent1 3 5 4" xfId="8366" xr:uid="{C6440DFB-FEAF-4A93-A396-C76A0D944C15}"/>
    <cellStyle name="40% - Accent1 3 5_Working Capital Current" xfId="14257" xr:uid="{1149BE4A-0D85-45C6-89DC-35A98FB06CE2}"/>
    <cellStyle name="40% - Accent1 3 6" xfId="8367" xr:uid="{9B1FFA01-2575-4EC4-8CBD-C0DBCA6C6F85}"/>
    <cellStyle name="40% - Accent1 3 6 2" xfId="8368" xr:uid="{67EA7261-A69B-40AC-AC21-D1445D55FED0}"/>
    <cellStyle name="40% - Accent1 3 6_Working Capital Current" xfId="14258" xr:uid="{F5BE4102-E3AD-4996-AE89-9155F2909B54}"/>
    <cellStyle name="40% - Accent1 3 7" xfId="8369" xr:uid="{2AD62D1A-7C85-42D6-8252-FABFEC535B13}"/>
    <cellStyle name="40% - Accent1 3 8" xfId="8370" xr:uid="{CED8A5D3-1DF3-4729-A175-0E85588ECE30}"/>
    <cellStyle name="40% - Accent1 3 9" xfId="8331" xr:uid="{8E76BA83-3FCA-4E98-97D4-E80137C937AD}"/>
    <cellStyle name="40% - Accent1 3_Not_for_upload_before_M4_correc" xfId="14259" xr:uid="{55CE26DA-18C3-4A3B-A56A-F225E42D0A1F}"/>
    <cellStyle name="40% - Accent1 30" xfId="8371" xr:uid="{81CBC0D2-C264-4644-8985-51948F490ED6}"/>
    <cellStyle name="40% - Accent1 30 2" xfId="8372" xr:uid="{4B53BF30-9678-4507-9B77-E30DFC127D59}"/>
    <cellStyle name="40% - Accent1 30 2 2" xfId="8373" xr:uid="{482D8947-CD4D-42D7-8D8A-28360EEA75CC}"/>
    <cellStyle name="40% - Accent1 30 2_Working Capital Current" xfId="14260" xr:uid="{2D42F60C-A2D5-46BD-9693-A37A5C036D33}"/>
    <cellStyle name="40% - Accent1 30 3" xfId="8374" xr:uid="{BE0D92DB-ECC7-428D-B55D-9E0D3B2D763E}"/>
    <cellStyle name="40% - Accent1 30 4" xfId="8375" xr:uid="{9D386F3D-299F-487A-BBC5-14D40D3C28D3}"/>
    <cellStyle name="40% - Accent1 30_Working Capital Current" xfId="14261" xr:uid="{D2EE1B88-2D91-474F-9AA1-EF473EABF33B}"/>
    <cellStyle name="40% - Accent1 31" xfId="8376" xr:uid="{93B47787-FF6B-45DA-BA55-7AB1278F11A0}"/>
    <cellStyle name="40% - Accent1 31 2" xfId="8377" xr:uid="{95AE29D0-E5E2-4D0F-B312-35B246628EF0}"/>
    <cellStyle name="40% - Accent1 31 2 2" xfId="8378" xr:uid="{05599F00-4C86-438E-AEF9-2776CE7525BA}"/>
    <cellStyle name="40% - Accent1 31 2_Working Capital Current" xfId="14262" xr:uid="{406BECBD-2BEF-4AB6-96F6-2029582835DC}"/>
    <cellStyle name="40% - Accent1 31 3" xfId="8379" xr:uid="{240CFC05-BAEB-46EF-A171-E9F6472A9234}"/>
    <cellStyle name="40% - Accent1 31 4" xfId="8380" xr:uid="{7A9C62EA-EF29-4CAE-AE52-1AE0D4231A13}"/>
    <cellStyle name="40% - Accent1 31_Working Capital Current" xfId="14263" xr:uid="{898165E6-A096-452E-B697-C972E5DBF522}"/>
    <cellStyle name="40% - Accent1 32" xfId="8381" xr:uid="{E63D4782-EC10-482A-973F-030F4991FB1E}"/>
    <cellStyle name="40% - Accent1 32 2" xfId="8382" xr:uid="{F6F3780D-A689-4F36-B4CA-A06F7A2DB8DB}"/>
    <cellStyle name="40% - Accent1 32 2 2" xfId="8383" xr:uid="{ED794663-68FD-4044-AAEE-11B7BFE28D67}"/>
    <cellStyle name="40% - Accent1 32 2_Working Capital Current" xfId="14264" xr:uid="{5914D082-25A2-41B3-A299-EE763CE4E316}"/>
    <cellStyle name="40% - Accent1 32 3" xfId="8384" xr:uid="{26B8A15A-A0CD-48AC-9D68-8FC66D5406D5}"/>
    <cellStyle name="40% - Accent1 32 4" xfId="8385" xr:uid="{1168C017-3D2F-47AE-B65C-FCB2D925D6DE}"/>
    <cellStyle name="40% - Accent1 32_Working Capital Current" xfId="14265" xr:uid="{CC3946CF-D755-4506-BFCA-342AE87419CC}"/>
    <cellStyle name="40% - Accent1 33" xfId="8386" xr:uid="{C87F52CD-9EB4-4657-9949-F49E222815B8}"/>
    <cellStyle name="40% - Accent1 33 2" xfId="8387" xr:uid="{B8D73157-F45F-49C2-A8DC-25DB89369A89}"/>
    <cellStyle name="40% - Accent1 33 2 2" xfId="8388" xr:uid="{37F538A1-B08C-4519-A4E6-5D0920C0258C}"/>
    <cellStyle name="40% - Accent1 33 2_Working Capital Current" xfId="14266" xr:uid="{550A7BAD-2C9D-46ED-BDC4-664DF4BFCFB7}"/>
    <cellStyle name="40% - Accent1 33 3" xfId="8389" xr:uid="{92ECE430-7604-4830-A43D-EE09D67B18DF}"/>
    <cellStyle name="40% - Accent1 33 4" xfId="8390" xr:uid="{4DAAE995-3BC4-4C67-9810-8D648870A4B8}"/>
    <cellStyle name="40% - Accent1 33_Working Capital Current" xfId="14267" xr:uid="{75EC32C3-9355-47B6-A3AA-236BDB332331}"/>
    <cellStyle name="40% - Accent1 34" xfId="8391" xr:uid="{8AB2A8B1-C80F-46C8-B9FF-4C6774714D2B}"/>
    <cellStyle name="40% - Accent1 34 2" xfId="8392" xr:uid="{25A51671-4E09-44DA-BB1A-D99AB043BA75}"/>
    <cellStyle name="40% - Accent1 34 2 2" xfId="8393" xr:uid="{2B9F57FD-6BE4-4DB0-9641-870E738704C1}"/>
    <cellStyle name="40% - Accent1 34 2_Working Capital Current" xfId="14268" xr:uid="{0E913033-E2B5-4DD8-AD4A-5D847F6C4670}"/>
    <cellStyle name="40% - Accent1 34 3" xfId="8394" xr:uid="{61318F37-FF01-4656-9A6D-0D2C790AFE2F}"/>
    <cellStyle name="40% - Accent1 34 4" xfId="8395" xr:uid="{8EFD83E7-0208-4E23-80FD-4C774EE7D2EF}"/>
    <cellStyle name="40% - Accent1 34_Working Capital Current" xfId="14269" xr:uid="{9CD62AFE-578C-4521-A3C9-42F2236E2D47}"/>
    <cellStyle name="40% - Accent1 35" xfId="8396" xr:uid="{86870FC8-09AF-4B3F-B08F-7C69F7FB2FA3}"/>
    <cellStyle name="40% - Accent1 35 2" xfId="8397" xr:uid="{53F7BF7F-80CE-4C58-A489-DCB6FE54EBAE}"/>
    <cellStyle name="40% - Accent1 35 2 2" xfId="8398" xr:uid="{F1F13F33-F097-4EC8-BC64-A57EA630654D}"/>
    <cellStyle name="40% - Accent1 35 2_Working Capital Current" xfId="14270" xr:uid="{62A1445B-AE9E-4853-A874-0EA8BFE0DD46}"/>
    <cellStyle name="40% - Accent1 35 3" xfId="8399" xr:uid="{5957F6CD-1C5F-4BFF-A83C-A3A426CE43EC}"/>
    <cellStyle name="40% - Accent1 35 4" xfId="8400" xr:uid="{0354A73E-9909-4300-9A21-226A36BD03FC}"/>
    <cellStyle name="40% - Accent1 35_Working Capital Current" xfId="14271" xr:uid="{E401DB93-DCE5-4735-BC99-1299179C6BCA}"/>
    <cellStyle name="40% - Accent1 36" xfId="8401" xr:uid="{45E28B0D-3352-43F7-A227-8602C8CF157A}"/>
    <cellStyle name="40% - Accent1 36 2" xfId="8402" xr:uid="{3FCC752F-983C-4513-B9B5-3CAA49181340}"/>
    <cellStyle name="40% - Accent1 36 2 2" xfId="8403" xr:uid="{B7D3DABA-F940-4E42-95CB-ED767072413A}"/>
    <cellStyle name="40% - Accent1 36 2_Working Capital Current" xfId="14272" xr:uid="{0AB27FEF-0088-45DB-A67B-6C94115BB930}"/>
    <cellStyle name="40% - Accent1 36 3" xfId="8404" xr:uid="{BE4934F7-7FDF-467D-BC7D-7E29158818CA}"/>
    <cellStyle name="40% - Accent1 36 4" xfId="8405" xr:uid="{60B86D61-77D0-44D0-8ECC-C395657FED40}"/>
    <cellStyle name="40% - Accent1 36_Working Capital Current" xfId="14273" xr:uid="{03B29E1D-E75A-4CC1-BE90-96D4D715774B}"/>
    <cellStyle name="40% - Accent1 37" xfId="8406" xr:uid="{D219B8C9-8A56-41AA-AAE9-783A5C11444A}"/>
    <cellStyle name="40% - Accent1 37 2" xfId="8407" xr:uid="{C4E6B475-0315-438D-9DAE-ABBD0D872F1F}"/>
    <cellStyle name="40% - Accent1 37 2 2" xfId="8408" xr:uid="{4228395B-BB40-4A17-8A32-5CACB023B85A}"/>
    <cellStyle name="40% - Accent1 37 2_Working Capital Current" xfId="14274" xr:uid="{60CA51D5-1D83-4081-AFFE-3186A4694526}"/>
    <cellStyle name="40% - Accent1 37 3" xfId="8409" xr:uid="{8972A5B2-84BD-4579-BBCB-B071C5D96992}"/>
    <cellStyle name="40% - Accent1 37 4" xfId="8410" xr:uid="{E874D833-2046-451B-AE14-E3C5409E141C}"/>
    <cellStyle name="40% - Accent1 37_Working Capital Current" xfId="14275" xr:uid="{1E34D818-D2F2-42D6-9CE8-F00F55C43EEB}"/>
    <cellStyle name="40% - Accent1 38" xfId="8411" xr:uid="{A6EFD813-B087-4CAF-8D18-38D8F127AFEE}"/>
    <cellStyle name="40% - Accent1 38 2" xfId="8412" xr:uid="{B8D6AFD5-BA64-45A7-988C-E4A0B5364660}"/>
    <cellStyle name="40% - Accent1 38 2 2" xfId="8413" xr:uid="{56396B12-6C59-44FE-BAC4-272A371A43B6}"/>
    <cellStyle name="40% - Accent1 38 2_Working Capital Current" xfId="14276" xr:uid="{0C217AE2-514A-4B72-90A6-ED0C6FA1E8D5}"/>
    <cellStyle name="40% - Accent1 38 3" xfId="8414" xr:uid="{5C24AE4C-911E-490E-B7AE-AFC321E70FDC}"/>
    <cellStyle name="40% - Accent1 38 4" xfId="8415" xr:uid="{68D63268-1C50-4956-93C7-B0F223FAF555}"/>
    <cellStyle name="40% - Accent1 38_Working Capital Current" xfId="14277" xr:uid="{F7706259-858C-4124-B94D-0D7E5028C1A0}"/>
    <cellStyle name="40% - Accent1 39" xfId="8416" xr:uid="{24485E36-6A61-4578-8909-629218FF7BEB}"/>
    <cellStyle name="40% - Accent1 39 2" xfId="8417" xr:uid="{F9BCF50D-A49B-41E1-8587-F97492FC398B}"/>
    <cellStyle name="40% - Accent1 39 2 2" xfId="8418" xr:uid="{06458E67-148C-4410-8154-FA786BE38731}"/>
    <cellStyle name="40% - Accent1 39 2_Working Capital Current" xfId="14278" xr:uid="{8F440E52-87EF-4510-801F-2D37BA10F51D}"/>
    <cellStyle name="40% - Accent1 39 3" xfId="8419" xr:uid="{1DB062FA-F79F-4C22-B05C-A0C8272AB39F}"/>
    <cellStyle name="40% - Accent1 39 4" xfId="8420" xr:uid="{0CA4CE90-B3B8-46D1-A292-40AF2D4D610B}"/>
    <cellStyle name="40% - Accent1 39_Working Capital Current" xfId="14279" xr:uid="{935E540B-D786-496C-A0F6-C012E4160149}"/>
    <cellStyle name="40% - Accent1 4" xfId="1866" xr:uid="{33995E05-E02B-46E7-B530-2B2BE8D0F890}"/>
    <cellStyle name="40% - Accent1 4 2" xfId="8422" xr:uid="{67A40F33-1D2E-48FE-98DD-FA652126AEEE}"/>
    <cellStyle name="40% - Accent1 4 2 2" xfId="8423" xr:uid="{592E5289-6D4D-45E5-A044-2AD224C2779D}"/>
    <cellStyle name="40% - Accent1 4 2 2 2" xfId="8424" xr:uid="{96CFF6AC-76B3-4D52-9580-2B8001F37100}"/>
    <cellStyle name="40% - Accent1 4 2 2_Working Capital Current" xfId="14280" xr:uid="{A4FFF654-4479-42B6-8848-38366A32B6CF}"/>
    <cellStyle name="40% - Accent1 4 2 3" xfId="8425" xr:uid="{496DB868-3D4D-4A4A-BBD1-AA631003EB3F}"/>
    <cellStyle name="40% - Accent1 4 2 4" xfId="8426" xr:uid="{5D7728EE-FE2A-463D-A316-67B744AD8AE9}"/>
    <cellStyle name="40% - Accent1 4 2_Working Capital Current" xfId="14281" xr:uid="{7FB0F410-F0B4-4B0A-B62C-1054E384D665}"/>
    <cellStyle name="40% - Accent1 4 3" xfId="8427" xr:uid="{92C14504-FD2A-40EE-A47C-FBEB24D79D69}"/>
    <cellStyle name="40% - Accent1 4 3 2" xfId="8428" xr:uid="{0603460D-2FC8-41BF-9A36-9941FCFAAEFC}"/>
    <cellStyle name="40% - Accent1 4 3_Working Capital Current" xfId="14282" xr:uid="{C3F364CD-4A5C-4FFB-9B1D-EFA0415B1271}"/>
    <cellStyle name="40% - Accent1 4 4" xfId="8429" xr:uid="{1CBA332C-AFE0-409B-BBE9-EB96D62CD759}"/>
    <cellStyle name="40% - Accent1 4 5" xfId="8430" xr:uid="{BF53780F-51AC-4A01-96B6-7A891254BCA4}"/>
    <cellStyle name="40% - Accent1 4 6" xfId="17605" xr:uid="{0181C2FE-0D7F-4829-9818-B7C13EC37A75}"/>
    <cellStyle name="40% - Accent1 4 7" xfId="18174" xr:uid="{1A51A43F-657D-41B3-BACB-A14D00CA3410}"/>
    <cellStyle name="40% - Accent1 4 8" xfId="8421" xr:uid="{DDFAC341-4964-43D9-A5E2-07AE422E826F}"/>
    <cellStyle name="40% - Accent1 4_Not_for_upload_before_M4_correc" xfId="14283" xr:uid="{F3CF7A92-28A3-4B45-9C8B-6DF67CBEE1AE}"/>
    <cellStyle name="40% - Accent1 40" xfId="8431" xr:uid="{4E180E1D-133B-4386-B867-89B986A8CDDC}"/>
    <cellStyle name="40% - Accent1 40 2" xfId="8432" xr:uid="{C370DA58-7F64-4F01-AFB5-B8F662C751BF}"/>
    <cellStyle name="40% - Accent1 40 2 2" xfId="8433" xr:uid="{91DD3244-2F96-48B6-A8FC-48D2A003A172}"/>
    <cellStyle name="40% - Accent1 40 2_Working Capital Current" xfId="14284" xr:uid="{8F8EC8A0-21B6-47F0-B30F-2E5FE4CAAD7B}"/>
    <cellStyle name="40% - Accent1 40 3" xfId="8434" xr:uid="{D2F7EEF2-7AD4-4F24-835D-F86FCEC1002C}"/>
    <cellStyle name="40% - Accent1 40 4" xfId="8435" xr:uid="{2A1984A0-9660-4888-A951-65CB33C4E629}"/>
    <cellStyle name="40% - Accent1 40_Working Capital Current" xfId="14285" xr:uid="{F80AF6E3-FA4F-4A4F-A086-F5F6AC695504}"/>
    <cellStyle name="40% - Accent1 41" xfId="8436" xr:uid="{15AA96AB-CC65-4C69-8785-255FFF71E5AA}"/>
    <cellStyle name="40% - Accent1 41 2" xfId="8437" xr:uid="{327431B2-AE6E-4CDF-9AEB-59FA6030CC75}"/>
    <cellStyle name="40% - Accent1 41 2 2" xfId="8438" xr:uid="{0A9DED5C-D42A-45A7-8EC3-60F95FFEFAED}"/>
    <cellStyle name="40% - Accent1 41 2_Working Capital Current" xfId="14286" xr:uid="{77044629-BF61-41B9-9F4D-78E5551236CB}"/>
    <cellStyle name="40% - Accent1 41 3" xfId="8439" xr:uid="{E06455A1-85B9-4429-9025-D32A0C7521DC}"/>
    <cellStyle name="40% - Accent1 41 4" xfId="8440" xr:uid="{1A101E8A-F6D2-49CB-A1BE-E1559CCCDAB7}"/>
    <cellStyle name="40% - Accent1 41_Working Capital Current" xfId="14287" xr:uid="{1CD7E4E1-AF2B-44EF-9F35-A4EC3034A68F}"/>
    <cellStyle name="40% - Accent1 42" xfId="8441" xr:uid="{962D6A23-9323-4198-ADB9-3EA940A1E5F3}"/>
    <cellStyle name="40% - Accent1 42 2" xfId="8442" xr:uid="{857F6891-8F96-421F-8F18-0DE3A59A5465}"/>
    <cellStyle name="40% - Accent1 42 2 2" xfId="8443" xr:uid="{0BF6B261-5014-41D5-B4FF-7EE3CC8D8F9D}"/>
    <cellStyle name="40% - Accent1 42 2_Working Capital Current" xfId="14288" xr:uid="{29F7E0D2-BCBA-415D-8052-D7054A1D0020}"/>
    <cellStyle name="40% - Accent1 42 3" xfId="8444" xr:uid="{B0E047EE-B9D0-4F76-8C01-E6C8B46A26C7}"/>
    <cellStyle name="40% - Accent1 42 4" xfId="8445" xr:uid="{24EB5CC1-D7FA-442C-A933-78794447F0C3}"/>
    <cellStyle name="40% - Accent1 42_Working Capital Current" xfId="14289" xr:uid="{ED55512D-F490-46DF-8E37-86485546A01A}"/>
    <cellStyle name="40% - Accent1 43" xfId="8446" xr:uid="{A26023E2-F3BF-47D6-8C2D-2C005926648F}"/>
    <cellStyle name="40% - Accent1 43 2" xfId="8447" xr:uid="{B64A582E-BE9D-4506-992C-D23216F4BDE4}"/>
    <cellStyle name="40% - Accent1 43 2 2" xfId="8448" xr:uid="{3C6EFC7D-2CD5-4E65-B24D-D950E65E0F16}"/>
    <cellStyle name="40% - Accent1 43 2_Working Capital Current" xfId="14290" xr:uid="{BD222DE7-9396-4F82-98D4-D58DEF8990C3}"/>
    <cellStyle name="40% - Accent1 43 3" xfId="8449" xr:uid="{4579EDB2-AD2E-4492-968A-F05F6B9442D2}"/>
    <cellStyle name="40% - Accent1 43 4" xfId="8450" xr:uid="{99B36BD6-353D-4C67-816F-B6D7591740B2}"/>
    <cellStyle name="40% - Accent1 43_Working Capital Current" xfId="14291" xr:uid="{0AB14734-93A6-4E35-AF90-231FA7BE6F5F}"/>
    <cellStyle name="40% - Accent1 44" xfId="8451" xr:uid="{8BAEEE3A-C37A-454C-B146-1C6556CAEE19}"/>
    <cellStyle name="40% - Accent1 44 2" xfId="8452" xr:uid="{392430D1-27B4-499E-8A76-C35176273C52}"/>
    <cellStyle name="40% - Accent1 44 2 2" xfId="8453" xr:uid="{81608828-4762-409E-A335-66FD1E3110D4}"/>
    <cellStyle name="40% - Accent1 44 2_Working Capital Current" xfId="14292" xr:uid="{063296CA-1F8F-47D1-AB1C-22E8BDA60BE8}"/>
    <cellStyle name="40% - Accent1 44 3" xfId="8454" xr:uid="{6D690634-2C44-41C5-BDBA-BB6EEBC5B4FB}"/>
    <cellStyle name="40% - Accent1 44 4" xfId="8455" xr:uid="{99CFF6E4-1151-4B5E-A8EB-5BA440C02854}"/>
    <cellStyle name="40% - Accent1 44_Working Capital Current" xfId="14293" xr:uid="{9E63850B-D395-412E-8AFD-158FA06E6C78}"/>
    <cellStyle name="40% - Accent1 45" xfId="8456" xr:uid="{3114985C-11C0-4E35-84FD-2468B7CA4A30}"/>
    <cellStyle name="40% - Accent1 45 2" xfId="8457" xr:uid="{AA1A0BED-7B49-4A2A-B36A-70C039B72CD6}"/>
    <cellStyle name="40% - Accent1 45 2 2" xfId="8458" xr:uid="{6208FDC9-5E62-45FC-8DB0-09012AC646CF}"/>
    <cellStyle name="40% - Accent1 45 2_Working Capital Current" xfId="14294" xr:uid="{C1879BA7-FF5D-4C08-BDF9-C4767C0D037B}"/>
    <cellStyle name="40% - Accent1 45 3" xfId="8459" xr:uid="{946795D4-0339-4386-A674-A3E9545DCE45}"/>
    <cellStyle name="40% - Accent1 45 4" xfId="8460" xr:uid="{ED00ED0E-9D68-4762-A42D-520F05961FC3}"/>
    <cellStyle name="40% - Accent1 45_Working Capital Current" xfId="14295" xr:uid="{793B289F-72EA-4F01-9A99-8E82776E90CA}"/>
    <cellStyle name="40% - Accent1 46" xfId="8461" xr:uid="{3295293A-DE1B-45CA-94D7-CBE9AF242A0B}"/>
    <cellStyle name="40% - Accent1 46 2" xfId="8462" xr:uid="{AFB61CEA-01FD-4D30-8000-1916364EBC43}"/>
    <cellStyle name="40% - Accent1 46 2 2" xfId="8463" xr:uid="{908423D0-763D-49E9-94B4-C01379A0C42E}"/>
    <cellStyle name="40% - Accent1 46 2_Working Capital Current" xfId="14296" xr:uid="{D6EB3AA8-36A7-4256-B24E-BEF5203C7AFE}"/>
    <cellStyle name="40% - Accent1 46 3" xfId="8464" xr:uid="{2179B09A-1F19-45F8-B2E8-E9E23CD8B1CF}"/>
    <cellStyle name="40% - Accent1 46 4" xfId="8465" xr:uid="{9CC70A52-0A81-4B24-8C00-BAC75CFFC232}"/>
    <cellStyle name="40% - Accent1 46_Working Capital Current" xfId="14297" xr:uid="{5356E559-722C-4F97-A48A-C53ABEFDD3C2}"/>
    <cellStyle name="40% - Accent1 47" xfId="8466" xr:uid="{0E6EFD82-150F-4B52-81BF-9772CC6570F6}"/>
    <cellStyle name="40% - Accent1 47 2" xfId="8467" xr:uid="{2CFE1350-4636-4C41-8C97-00DAE3C2F7FD}"/>
    <cellStyle name="40% - Accent1 47 2 2" xfId="8468" xr:uid="{C2725051-66F9-414F-95E0-F29E89E619BB}"/>
    <cellStyle name="40% - Accent1 47 2_Working Capital Current" xfId="14298" xr:uid="{8AFD9F6E-2303-4E32-8116-3C97DA469311}"/>
    <cellStyle name="40% - Accent1 47 3" xfId="8469" xr:uid="{44618706-A9E5-4F53-B287-8DCEE45D85FD}"/>
    <cellStyle name="40% - Accent1 47 4" xfId="8470" xr:uid="{06864D62-D4A6-45AD-9F79-4316A2416B54}"/>
    <cellStyle name="40% - Accent1 47_Working Capital Current" xfId="14299" xr:uid="{9A8597F0-91BC-494C-B4FA-8622F2429157}"/>
    <cellStyle name="40% - Accent1 48" xfId="8471" xr:uid="{C4044D84-47D6-4805-84EF-43B40D4ADD08}"/>
    <cellStyle name="40% - Accent1 48 2" xfId="8472" xr:uid="{DF4B494A-BE09-40A4-8651-AC0188FC5212}"/>
    <cellStyle name="40% - Accent1 48 2 2" xfId="8473" xr:uid="{C5C4E69D-535D-4471-89FE-0A9EECED7822}"/>
    <cellStyle name="40% - Accent1 48 2_Working Capital Current" xfId="14300" xr:uid="{9FF87BE8-2EE7-44A4-A0AD-460CFF66ABD1}"/>
    <cellStyle name="40% - Accent1 48 3" xfId="8474" xr:uid="{4A75DBA5-AC63-4F31-8C08-8B1C1198C208}"/>
    <cellStyle name="40% - Accent1 48 4" xfId="8475" xr:uid="{920CA713-05FA-4332-BCFF-897AD5839F97}"/>
    <cellStyle name="40% - Accent1 48_Working Capital Current" xfId="14301" xr:uid="{CCB447CB-7E7E-42CB-ACBC-2E5AFC44C266}"/>
    <cellStyle name="40% - Accent1 49" xfId="8476" xr:uid="{9C083B17-8652-44EA-B2C1-B9AAD52F8154}"/>
    <cellStyle name="40% - Accent1 49 2" xfId="8477" xr:uid="{7F1C7005-FB87-47E2-B107-289469B7AAB1}"/>
    <cellStyle name="40% - Accent1 49 2 2" xfId="8478" xr:uid="{F2346C7B-09D1-4C37-BFE1-92C3DA3E2C19}"/>
    <cellStyle name="40% - Accent1 49 2_Working Capital Current" xfId="14302" xr:uid="{ADECEF0D-64A9-497A-A33E-3E006B6E571A}"/>
    <cellStyle name="40% - Accent1 49 3" xfId="8479" xr:uid="{FC69A72E-2F39-47B7-8F55-DDA33503370D}"/>
    <cellStyle name="40% - Accent1 49 4" xfId="8480" xr:uid="{E4F7ED54-6D44-44AE-B1DB-9AC91E4D0B0A}"/>
    <cellStyle name="40% - Accent1 49_Working Capital Current" xfId="14303" xr:uid="{2774EC04-0C1E-4F2F-9D3D-608E42AF1502}"/>
    <cellStyle name="40% - Accent1 5" xfId="8481" xr:uid="{1EBC9754-D142-4FED-8FF8-2A2D4F5B0BB0}"/>
    <cellStyle name="40% - Accent1 5 2" xfId="8482" xr:uid="{22CBFBED-370A-441C-ACAB-3E88344C5D11}"/>
    <cellStyle name="40% - Accent1 5 2 2" xfId="8483" xr:uid="{5837E12B-EDFB-4FD2-80B9-B21FDD9649C9}"/>
    <cellStyle name="40% - Accent1 5 2 2 2" xfId="8484" xr:uid="{8A138113-0C99-4236-A32B-CE2474191700}"/>
    <cellStyle name="40% - Accent1 5 2 2_Working Capital Current" xfId="14304" xr:uid="{9E647114-3282-4194-8504-CE5ABD7F78C3}"/>
    <cellStyle name="40% - Accent1 5 2 3" xfId="8485" xr:uid="{9FE24644-F1AE-46A6-B09F-1D3F9F528796}"/>
    <cellStyle name="40% - Accent1 5 2 4" xfId="8486" xr:uid="{AD84AE3C-78A6-44DF-83F0-2B979603E4C8}"/>
    <cellStyle name="40% - Accent1 5 2_Working Capital Current" xfId="14305" xr:uid="{0EA13AE7-88A1-4843-A8B1-C30C3A9BFC9F}"/>
    <cellStyle name="40% - Accent1 5 3" xfId="8487" xr:uid="{9DF98F6A-8FF0-4536-8740-9ACB4428B959}"/>
    <cellStyle name="40% - Accent1 5 3 2" xfId="8488" xr:uid="{F807EB0D-8D32-493F-AE39-54F733C19409}"/>
    <cellStyle name="40% - Accent1 5 3_Working Capital Current" xfId="14306" xr:uid="{0BEFD4E8-5DAA-4D4B-8206-814C560418AB}"/>
    <cellStyle name="40% - Accent1 5 4" xfId="8489" xr:uid="{B37B95F4-E674-4D87-B624-9A969C84EE0F}"/>
    <cellStyle name="40% - Accent1 5 5" xfId="8490" xr:uid="{6438AEAE-B0EC-4C2A-9D5A-EC48E7AF2294}"/>
    <cellStyle name="40% - Accent1 5_Not_for_upload_before_M4_correc" xfId="14307" xr:uid="{726EDFD4-905E-4893-B680-67C5E74B4AA5}"/>
    <cellStyle name="40% - Accent1 50" xfId="8491" xr:uid="{05A9E959-8A96-4B64-A021-A1E7B6202A49}"/>
    <cellStyle name="40% - Accent1 50 2" xfId="8492" xr:uid="{2482D0D5-9C74-461C-BBF5-394D5E3E7D33}"/>
    <cellStyle name="40% - Accent1 50 2 2" xfId="8493" xr:uid="{4D48F443-FCEF-4D12-B923-6CF44CB88D7C}"/>
    <cellStyle name="40% - Accent1 50 2_Working Capital Current" xfId="14308" xr:uid="{F43CED3B-5F03-46D5-AED7-3F0A3F0961E3}"/>
    <cellStyle name="40% - Accent1 50 3" xfId="8494" xr:uid="{A6F44B50-0121-4EA9-83EA-804336DB919B}"/>
    <cellStyle name="40% - Accent1 50 4" xfId="8495" xr:uid="{355C041C-6E7C-4BE4-B866-89C57E887958}"/>
    <cellStyle name="40% - Accent1 50_Working Capital Current" xfId="14309" xr:uid="{C618BAB1-866B-4C1D-81F5-FDE04BDF01C4}"/>
    <cellStyle name="40% - Accent1 51" xfId="8496" xr:uid="{F398755F-B20C-431F-830F-29F676249A7B}"/>
    <cellStyle name="40% - Accent1 51 2" xfId="8497" xr:uid="{7ADAA65A-FE77-451E-9AE5-6E7DF55F5915}"/>
    <cellStyle name="40% - Accent1 51 2 2" xfId="8498" xr:uid="{FD091DF0-B79E-4205-B086-FED9488115A7}"/>
    <cellStyle name="40% - Accent1 51 2_Working Capital Current" xfId="14310" xr:uid="{21518306-AE0E-4583-9788-91662A14E47E}"/>
    <cellStyle name="40% - Accent1 51 3" xfId="8499" xr:uid="{4C7E15FC-FBFC-482A-90BB-1883D6F70A88}"/>
    <cellStyle name="40% - Accent1 51 4" xfId="8500" xr:uid="{DDD5881D-696C-4F10-B802-10C163B1DFAF}"/>
    <cellStyle name="40% - Accent1 51_Working Capital Current" xfId="14311" xr:uid="{6C53DA4D-4851-4A9F-AEC2-FADD7B54B8A8}"/>
    <cellStyle name="40% - Accent1 52" xfId="8501" xr:uid="{AC27CF0B-DFA1-4F25-9DF8-2577541C75B3}"/>
    <cellStyle name="40% - Accent1 52 2" xfId="8502" xr:uid="{E5AC7989-12BB-4405-B1B4-62B8E510A57A}"/>
    <cellStyle name="40% - Accent1 52 2 2" xfId="8503" xr:uid="{0A9A4420-C38E-4AB2-9D04-00EADCC7ABD2}"/>
    <cellStyle name="40% - Accent1 52 2_Working Capital Current" xfId="14312" xr:uid="{76E33D07-3EB4-41B0-B8AF-FDFE3C27BA71}"/>
    <cellStyle name="40% - Accent1 52 3" xfId="8504" xr:uid="{662EC328-8416-4BED-803A-F2AB3B6BAF89}"/>
    <cellStyle name="40% - Accent1 52 4" xfId="8505" xr:uid="{C2CDD9F6-A308-4C63-8CA1-FC46781F345D}"/>
    <cellStyle name="40% - Accent1 52_Working Capital Current" xfId="14313" xr:uid="{B7D7FDA6-49B5-41C3-8BB9-6930D23B3D34}"/>
    <cellStyle name="40% - Accent1 53" xfId="8506" xr:uid="{7FB3917E-E3CC-46DF-B6CF-C1E81D416B6A}"/>
    <cellStyle name="40% - Accent1 53 2" xfId="8507" xr:uid="{82B6CF06-FB52-4549-A2E3-2154BAAA6333}"/>
    <cellStyle name="40% - Accent1 53 2 2" xfId="8508" xr:uid="{7753859A-481A-4D73-A07C-977E597B9EF2}"/>
    <cellStyle name="40% - Accent1 53 2_Working Capital Current" xfId="14314" xr:uid="{27AD14E9-680F-413F-9683-0F7AD85A397A}"/>
    <cellStyle name="40% - Accent1 53 3" xfId="8509" xr:uid="{44F9E747-8E63-4369-B09B-35B8C93FC32F}"/>
    <cellStyle name="40% - Accent1 53 4" xfId="8510" xr:uid="{95DA8770-CD1E-4390-A6FE-DAF9640C60C7}"/>
    <cellStyle name="40% - Accent1 53_Working Capital Current" xfId="14315" xr:uid="{2F520351-D847-4631-B4B3-53986317B083}"/>
    <cellStyle name="40% - Accent1 54" xfId="8511" xr:uid="{DFF7610F-4E66-4AC7-96C9-CC5F41FDFB7A}"/>
    <cellStyle name="40% - Accent1 54 2" xfId="8512" xr:uid="{F259E25F-19CC-4480-879D-374D90A62B5C}"/>
    <cellStyle name="40% - Accent1 54 2 2" xfId="8513" xr:uid="{556B939F-4266-4663-997D-6FCFEE0FD069}"/>
    <cellStyle name="40% - Accent1 54 2_Working Capital Current" xfId="14316" xr:uid="{ECCCA565-5A56-4500-9F5C-A6FDBA797855}"/>
    <cellStyle name="40% - Accent1 54 3" xfId="8514" xr:uid="{E63680F6-044F-42B4-9ED6-03E7D1BD4E56}"/>
    <cellStyle name="40% - Accent1 54 4" xfId="8515" xr:uid="{E1874B12-EA05-41EB-86F8-4C072B3B58E4}"/>
    <cellStyle name="40% - Accent1 54_Working Capital Current" xfId="14317" xr:uid="{C39D9721-688F-42B1-B9E8-24ADE597D253}"/>
    <cellStyle name="40% - Accent1 55" xfId="8516" xr:uid="{3B2E81F8-E0D6-4789-A851-227C4F9B3C4C}"/>
    <cellStyle name="40% - Accent1 55 2" xfId="8517" xr:uid="{4636BDF3-D6AF-4E91-88C8-4948A1F3F068}"/>
    <cellStyle name="40% - Accent1 55 2 2" xfId="8518" xr:uid="{9B5FD53F-359F-4643-9D2D-02F9022730BA}"/>
    <cellStyle name="40% - Accent1 55 2_Working Capital Current" xfId="14318" xr:uid="{CDB9AB95-1825-46C3-8163-EB63C10EAA6F}"/>
    <cellStyle name="40% - Accent1 55 3" xfId="8519" xr:uid="{AB01A188-9E17-49EB-A367-29989D78F5C1}"/>
    <cellStyle name="40% - Accent1 55 4" xfId="8520" xr:uid="{9D31DDE4-A9D5-4393-97EF-5551D39F6527}"/>
    <cellStyle name="40% - Accent1 55_Working Capital Current" xfId="14319" xr:uid="{4C749698-E92F-4A64-A4B5-620E73879DC2}"/>
    <cellStyle name="40% - Accent1 56" xfId="8521" xr:uid="{8D322449-0F02-4BFD-A547-59A6AC527098}"/>
    <cellStyle name="40% - Accent1 56 2" xfId="8522" xr:uid="{6216663C-3CB7-4EF6-AE4F-21D6B7D1B0D7}"/>
    <cellStyle name="40% - Accent1 56 2 2" xfId="8523" xr:uid="{90B51962-A099-453B-9D76-83DA823EA9B9}"/>
    <cellStyle name="40% - Accent1 56 2_Working Capital Current" xfId="14320" xr:uid="{147225E0-C5C9-449F-B2CF-3B7B01BBDAB6}"/>
    <cellStyle name="40% - Accent1 56 3" xfId="8524" xr:uid="{21941667-8D08-4078-AD17-6D639F5038B8}"/>
    <cellStyle name="40% - Accent1 56 4" xfId="8525" xr:uid="{669F313C-A140-42AD-AE9B-CE4FDEC4F3AB}"/>
    <cellStyle name="40% - Accent1 56_Working Capital Current" xfId="14321" xr:uid="{F32E8A6F-2985-4BE2-8C98-9DD54C907E84}"/>
    <cellStyle name="40% - Accent1 57" xfId="8526" xr:uid="{CF1D5268-DBD6-47E8-930E-5EF8C5CB5815}"/>
    <cellStyle name="40% - Accent1 57 2" xfId="8527" xr:uid="{49843CE9-61AE-4354-9892-433CDD9314EF}"/>
    <cellStyle name="40% - Accent1 57 2 2" xfId="8528" xr:uid="{89857A9C-8F24-4C93-80AB-22DC3871E332}"/>
    <cellStyle name="40% - Accent1 57 2_Working Capital Current" xfId="14322" xr:uid="{C8588DD7-85F9-40BF-A5C9-83195E670E4D}"/>
    <cellStyle name="40% - Accent1 57 3" xfId="8529" xr:uid="{281EA465-75FD-47AD-AF94-E600F0B73CCA}"/>
    <cellStyle name="40% - Accent1 57 4" xfId="8530" xr:uid="{188EDEDF-731A-4C7A-89D6-533469E5EF28}"/>
    <cellStyle name="40% - Accent1 57_Working Capital Current" xfId="14323" xr:uid="{422B9548-EB3F-488F-B50A-3AB66B1A79F1}"/>
    <cellStyle name="40% - Accent1 58" xfId="8531" xr:uid="{6B070048-E4AD-4D0A-8300-B1FC23423163}"/>
    <cellStyle name="40% - Accent1 58 2" xfId="8532" xr:uid="{1ED0126F-5005-4119-8324-E29FC049AB94}"/>
    <cellStyle name="40% - Accent1 58 2 2" xfId="8533" xr:uid="{8D39F7C7-AB06-4E6E-B81E-0A709936A223}"/>
    <cellStyle name="40% - Accent1 58 2_Working Capital Current" xfId="14324" xr:uid="{94CFC935-4697-4DBD-8965-A65D46649B13}"/>
    <cellStyle name="40% - Accent1 58 3" xfId="8534" xr:uid="{9B28F0FA-8C83-4274-9638-081E70FCE650}"/>
    <cellStyle name="40% - Accent1 58 4" xfId="8535" xr:uid="{39271CA8-5DB2-4300-99C4-E231C35F4E83}"/>
    <cellStyle name="40% - Accent1 58_Working Capital Current" xfId="14325" xr:uid="{97D97DB0-4D88-4815-9222-B81D9BE3552A}"/>
    <cellStyle name="40% - Accent1 59" xfId="8536" xr:uid="{FAADA045-6102-4A13-B7A1-7A5A6CB2CE2F}"/>
    <cellStyle name="40% - Accent1 59 2" xfId="8537" xr:uid="{973189B1-FEC8-40ED-9AC1-637956F48C5E}"/>
    <cellStyle name="40% - Accent1 59 2 2" xfId="8538" xr:uid="{C204975F-6188-441A-A8E1-B45A909A32DF}"/>
    <cellStyle name="40% - Accent1 59 2_Working Capital Current" xfId="14326" xr:uid="{3B4BE96F-802A-4D23-8046-8A36A6846F5F}"/>
    <cellStyle name="40% - Accent1 59 3" xfId="8539" xr:uid="{F4513F45-D68C-4351-9962-D273FF1D19BD}"/>
    <cellStyle name="40% - Accent1 59 4" xfId="8540" xr:uid="{0CAD6891-9D67-4EEE-AB1F-581C6E3F2F4F}"/>
    <cellStyle name="40% - Accent1 59_Working Capital Current" xfId="14327" xr:uid="{E689DD43-6B05-472A-926C-AC3EC7315452}"/>
    <cellStyle name="40% - Accent1 6" xfId="8541" xr:uid="{0BB1FA01-FF55-4C8C-9948-11B5355EB09E}"/>
    <cellStyle name="40% - Accent1 6 2" xfId="8542" xr:uid="{01509B7F-A50E-4CFA-BA25-2FA3C0483A70}"/>
    <cellStyle name="40% - Accent1 6 2 2" xfId="8543" xr:uid="{14B4C4B1-5F67-414C-B547-4D7E4D350F61}"/>
    <cellStyle name="40% - Accent1 6 2 2 2" xfId="8544" xr:uid="{F2624DAF-85AB-47A4-9E6F-7650DB8A8024}"/>
    <cellStyle name="40% - Accent1 6 2 2_Working Capital Current" xfId="14328" xr:uid="{37D07ED2-312D-4AB1-9F50-C723831AD890}"/>
    <cellStyle name="40% - Accent1 6 2 3" xfId="8545" xr:uid="{674A7A10-1CCC-4E4E-B215-2A5F7DC98A8C}"/>
    <cellStyle name="40% - Accent1 6 2 4" xfId="8546" xr:uid="{4E528B1E-2C36-4E89-9EA4-F64097A26503}"/>
    <cellStyle name="40% - Accent1 6 2_Working Capital Current" xfId="14329" xr:uid="{A066E165-57F1-4E24-B7B1-E0AAF94D1F65}"/>
    <cellStyle name="40% - Accent1 6 3" xfId="8547" xr:uid="{46A4607D-24E4-4C8A-837F-033C3D909E11}"/>
    <cellStyle name="40% - Accent1 6 3 2" xfId="8548" xr:uid="{CB30528D-5440-4275-9A01-2B1ADB420791}"/>
    <cellStyle name="40% - Accent1 6 3_Working Capital Current" xfId="14330" xr:uid="{9332B552-B6E5-4628-8565-8F56A9728AFC}"/>
    <cellStyle name="40% - Accent1 6 4" xfId="8549" xr:uid="{5F1CC8B6-2B74-499F-9BFB-CBA1F6257645}"/>
    <cellStyle name="40% - Accent1 6 5" xfId="8550" xr:uid="{6E783761-F9CF-4537-8D1B-3903CE464452}"/>
    <cellStyle name="40% - Accent1 6_Not_for_upload_before_M4_correc" xfId="14331" xr:uid="{7A11785A-1622-4068-85C6-CA1B9B7E741C}"/>
    <cellStyle name="40% - Accent1 60" xfId="8551" xr:uid="{456CE1ED-50FC-46C3-83D1-C48CFE73EB8B}"/>
    <cellStyle name="40% - Accent1 60 2" xfId="8552" xr:uid="{1C70377A-EE2A-40BE-9774-BE80F7B70700}"/>
    <cellStyle name="40% - Accent1 60 2 2" xfId="8553" xr:uid="{4273D9AF-5248-4053-90B6-B16980B732E8}"/>
    <cellStyle name="40% - Accent1 60 2_Working Capital Current" xfId="14332" xr:uid="{990CDFDE-A762-40AD-944B-76FA33E43BB6}"/>
    <cellStyle name="40% - Accent1 60 3" xfId="8554" xr:uid="{D23A7E42-19B1-4040-BA2C-726D3C063470}"/>
    <cellStyle name="40% - Accent1 60 4" xfId="8555" xr:uid="{2785BEAA-D225-4567-A577-388F8313C726}"/>
    <cellStyle name="40% - Accent1 60_Working Capital Current" xfId="14333" xr:uid="{B4896BC3-DB24-4BA3-B52C-BF1C8E435D2F}"/>
    <cellStyle name="40% - Accent1 61" xfId="8556" xr:uid="{CEA27BF9-04A2-48E6-9BDE-739BC976AA18}"/>
    <cellStyle name="40% - Accent1 61 2" xfId="8557" xr:uid="{94D40114-CF40-4B29-9E6B-8F4C290F31B3}"/>
    <cellStyle name="40% - Accent1 61 2 2" xfId="8558" xr:uid="{26242CCC-47E7-4C88-809F-0DBB6AF7FD82}"/>
    <cellStyle name="40% - Accent1 61 2_Working Capital Current" xfId="14334" xr:uid="{936B636C-57DB-44E9-B5AE-2FDE9A7B4E46}"/>
    <cellStyle name="40% - Accent1 61 3" xfId="8559" xr:uid="{85549C93-4234-42FB-BA7F-5A44A7BA1E08}"/>
    <cellStyle name="40% - Accent1 61 4" xfId="8560" xr:uid="{CDE8F5E5-C8BB-409E-9B53-D0A2BB5BE0E0}"/>
    <cellStyle name="40% - Accent1 61_Working Capital Current" xfId="14335" xr:uid="{65B81DC2-2776-41DD-8B93-32381840F5EB}"/>
    <cellStyle name="40% - Accent1 62" xfId="8561" xr:uid="{528572D1-4DE2-4E3B-B498-67C3613EC8CA}"/>
    <cellStyle name="40% - Accent1 62 2" xfId="8562" xr:uid="{50990574-ACD5-4C32-82E0-F67FC6194229}"/>
    <cellStyle name="40% - Accent1 62 2 2" xfId="8563" xr:uid="{AA38E11E-BFCB-4C05-B3FF-3667A4EC3F10}"/>
    <cellStyle name="40% - Accent1 62 2_Working Capital Current" xfId="14336" xr:uid="{CEB6EF96-BA28-4E8C-87F3-953DFCEA2081}"/>
    <cellStyle name="40% - Accent1 62 3" xfId="8564" xr:uid="{AD697475-71C6-49C7-8674-A80D131E926D}"/>
    <cellStyle name="40% - Accent1 62 4" xfId="8565" xr:uid="{F9E4576A-7B8A-4BD7-8378-391A36D8CEAE}"/>
    <cellStyle name="40% - Accent1 62_Working Capital Current" xfId="14337" xr:uid="{9BF8D592-6510-4FD6-BC86-01B8B4FCA8D2}"/>
    <cellStyle name="40% - Accent1 63" xfId="8566" xr:uid="{A321825B-4FA0-46D6-9D61-BB1FBF685024}"/>
    <cellStyle name="40% - Accent1 63 2" xfId="8567" xr:uid="{461474A5-431A-4113-85E8-979B27021E4C}"/>
    <cellStyle name="40% - Accent1 63 2 2" xfId="8568" xr:uid="{7645552F-000C-4F31-BDF3-A2763A5EEE2D}"/>
    <cellStyle name="40% - Accent1 63 2_Working Capital Current" xfId="14338" xr:uid="{FD58C0C1-50E6-456A-BC62-8C88423368AB}"/>
    <cellStyle name="40% - Accent1 63 3" xfId="8569" xr:uid="{207B1748-D0A4-4941-9D15-6A6CBA68123A}"/>
    <cellStyle name="40% - Accent1 63 4" xfId="8570" xr:uid="{7397EA7B-9F59-4F03-AA53-8BB042DE7C22}"/>
    <cellStyle name="40% - Accent1 63_Working Capital Current" xfId="14339" xr:uid="{46FA351E-1B00-4127-A88A-9771722FF54E}"/>
    <cellStyle name="40% - Accent1 64" xfId="8571" xr:uid="{13943757-CB9A-4A1B-B24E-5E0725943AAE}"/>
    <cellStyle name="40% - Accent1 64 2" xfId="8572" xr:uid="{5C2FA821-513C-416B-AFC9-3EE161CCB7AE}"/>
    <cellStyle name="40% - Accent1 64 2 2" xfId="8573" xr:uid="{3FD4E0B4-887F-4F60-9353-54D3CBB3418D}"/>
    <cellStyle name="40% - Accent1 64 2_Working Capital Current" xfId="14340" xr:uid="{86D9602D-31CE-4BD9-9165-86C6D1460A11}"/>
    <cellStyle name="40% - Accent1 64 3" xfId="8574" xr:uid="{108C65AB-B60B-4ECA-B054-46F3D8CD903C}"/>
    <cellStyle name="40% - Accent1 64 4" xfId="8575" xr:uid="{A9FF1595-5DBD-44A8-9734-9D925AE2A695}"/>
    <cellStyle name="40% - Accent1 64_Working Capital Current" xfId="14341" xr:uid="{BC8E3710-358A-4E5D-B24A-BCE428C01669}"/>
    <cellStyle name="40% - Accent1 65" xfId="8576" xr:uid="{9F86B465-38DD-46E6-80F7-17B742606182}"/>
    <cellStyle name="40% - Accent1 65 2" xfId="8577" xr:uid="{D47A593B-CEEA-4B18-838C-5E4B016E3120}"/>
    <cellStyle name="40% - Accent1 65 2 2" xfId="8578" xr:uid="{55DD22CE-3C86-4DAD-9979-0C7578C0F4FE}"/>
    <cellStyle name="40% - Accent1 65 2_Working Capital Current" xfId="14342" xr:uid="{E0CCE3A0-E34A-452C-84F8-5897086A009F}"/>
    <cellStyle name="40% - Accent1 65 3" xfId="8579" xr:uid="{92A8F495-7AEC-41A1-8D1F-7F90432FB7C7}"/>
    <cellStyle name="40% - Accent1 65 4" xfId="8580" xr:uid="{33C64826-7BBE-410D-8AB4-52AAD7F3E123}"/>
    <cellStyle name="40% - Accent1 65_Working Capital Current" xfId="14343" xr:uid="{1A0634FA-E46F-4C77-B756-D603739F5108}"/>
    <cellStyle name="40% - Accent1 66" xfId="8581" xr:uid="{79765BE8-8A1F-4553-8CB3-A2C7BDA82576}"/>
    <cellStyle name="40% - Accent1 66 2" xfId="8582" xr:uid="{2BA44170-28FF-4939-B4DF-EEEA06CB5C6C}"/>
    <cellStyle name="40% - Accent1 66 2 2" xfId="8583" xr:uid="{5EA76BED-EA9F-4C92-8E92-A5BA5560406B}"/>
    <cellStyle name="40% - Accent1 66 2_Working Capital Current" xfId="14344" xr:uid="{0149C4DD-6F5B-42BE-89AD-7010D7BA5CD2}"/>
    <cellStyle name="40% - Accent1 66 3" xfId="8584" xr:uid="{1E537323-BF08-426A-BFD8-D22A9419DF14}"/>
    <cellStyle name="40% - Accent1 66 4" xfId="8585" xr:uid="{0C32FCA8-6977-4539-9101-E7EE9C1D4365}"/>
    <cellStyle name="40% - Accent1 66_Working Capital Current" xfId="14345" xr:uid="{E9E76B6F-AACB-4B41-80A5-B5FF1423BCD8}"/>
    <cellStyle name="40% - Accent1 67" xfId="8586" xr:uid="{EA01F4FA-FE30-41B9-84F7-755DFD1E0944}"/>
    <cellStyle name="40% - Accent1 67 2" xfId="8587" xr:uid="{B978AA29-473A-479C-A8E1-D13467764BD8}"/>
    <cellStyle name="40% - Accent1 67 2 2" xfId="8588" xr:uid="{1ED311FF-A1F9-4618-B631-6A1C5E61BAB1}"/>
    <cellStyle name="40% - Accent1 67 2_Working Capital Current" xfId="14346" xr:uid="{0F3AF09E-E9DC-4E05-BF2A-1EBAC05BE78D}"/>
    <cellStyle name="40% - Accent1 67 3" xfId="8589" xr:uid="{C4BB09CF-D2C7-448F-9671-0D50DDA9B3B0}"/>
    <cellStyle name="40% - Accent1 67 4" xfId="8590" xr:uid="{A1B1FC0E-607F-4A49-8321-44A08E8C6923}"/>
    <cellStyle name="40% - Accent1 67_Working Capital Current" xfId="14347" xr:uid="{A38D85A1-B466-47F3-B312-69A21633C0CB}"/>
    <cellStyle name="40% - Accent1 68" xfId="8591" xr:uid="{3554EF3D-214B-4A87-A4A3-2CA34ABA1704}"/>
    <cellStyle name="40% - Accent1 68 2" xfId="8592" xr:uid="{B26A8E86-8AE2-4C55-8728-EB92DEBF8658}"/>
    <cellStyle name="40% - Accent1 68 2 2" xfId="8593" xr:uid="{FBE1FD1F-AD34-4FC8-BD67-1CBA74AB375C}"/>
    <cellStyle name="40% - Accent1 68 2_Working Capital Current" xfId="14348" xr:uid="{50E256C4-7E40-4887-AF73-6DB121FF6CFC}"/>
    <cellStyle name="40% - Accent1 68 3" xfId="8594" xr:uid="{1E960937-1A36-40DF-B1A9-872E1EE98639}"/>
    <cellStyle name="40% - Accent1 68 4" xfId="8595" xr:uid="{6E1FE8DB-480C-423A-AAE2-180D3C48C29D}"/>
    <cellStyle name="40% - Accent1 68_Working Capital Current" xfId="14349" xr:uid="{A3919171-B4FB-4A8D-9C70-9EC99DB6C5B9}"/>
    <cellStyle name="40% - Accent1 69" xfId="8596" xr:uid="{15F1EC45-5519-4711-B366-23E723FF90BB}"/>
    <cellStyle name="40% - Accent1 69 2" xfId="8597" xr:uid="{FA3AFDCF-AD61-4C0E-BFFD-8FBCB6B9A09F}"/>
    <cellStyle name="40% - Accent1 69 2 2" xfId="8598" xr:uid="{21F6A68A-6E56-478D-978D-8E80E280C6CE}"/>
    <cellStyle name="40% - Accent1 69 2_Working Capital Current" xfId="14350" xr:uid="{E3D3F40D-F8DF-44FC-AB2C-75167C82FBE8}"/>
    <cellStyle name="40% - Accent1 69 3" xfId="8599" xr:uid="{85A371A1-7392-4ECB-AAD6-3C0E8A33D0A2}"/>
    <cellStyle name="40% - Accent1 69 4" xfId="8600" xr:uid="{7650FBCB-A8FC-49B7-8DA7-69D32F7F8A8B}"/>
    <cellStyle name="40% - Accent1 69_Working Capital Current" xfId="14351" xr:uid="{5232D86B-09C5-4E1E-AD44-28FBA1A4738D}"/>
    <cellStyle name="40% - Accent1 7" xfId="8601" xr:uid="{B59A53C1-9A35-4024-AE33-01F5EC7B4E4F}"/>
    <cellStyle name="40% - Accent1 7 2" xfId="8602" xr:uid="{BDCCA55C-60CF-46D4-AF38-81977D29284E}"/>
    <cellStyle name="40% - Accent1 7 2 2" xfId="8603" xr:uid="{A86B7963-93C1-41AE-A900-55D64313484F}"/>
    <cellStyle name="40% - Accent1 7 2 2 2" xfId="8604" xr:uid="{0A80AF95-D661-4BA6-B3E4-8EBB8B712A3D}"/>
    <cellStyle name="40% - Accent1 7 2 2_Working Capital Current" xfId="14352" xr:uid="{253F63F9-84C6-4E14-AD2A-3DEB080462E9}"/>
    <cellStyle name="40% - Accent1 7 2 3" xfId="8605" xr:uid="{2A00CDC4-8E21-421C-B3BE-FE76B160E887}"/>
    <cellStyle name="40% - Accent1 7 2 4" xfId="8606" xr:uid="{C285A771-C140-46EF-BCA7-E962F8FF4D7A}"/>
    <cellStyle name="40% - Accent1 7 2_Working Capital Current" xfId="14353" xr:uid="{CD2DEE78-FBA0-4A58-91E5-475E0BA1F46C}"/>
    <cellStyle name="40% - Accent1 7 3" xfId="8607" xr:uid="{FFF9CEAE-A551-4218-86E2-0599D508E20C}"/>
    <cellStyle name="40% - Accent1 7 3 2" xfId="8608" xr:uid="{248D1B28-58D3-45BA-96E7-64B61244ED6F}"/>
    <cellStyle name="40% - Accent1 7 3_Working Capital Current" xfId="14354" xr:uid="{EE9C654E-0FA7-4604-B7BD-1A7F8F942348}"/>
    <cellStyle name="40% - Accent1 7 4" xfId="8609" xr:uid="{A0EBD9E5-A1D8-4132-B344-A6EEADAA9620}"/>
    <cellStyle name="40% - Accent1 7 5" xfId="8610" xr:uid="{C9E7ADA4-3BD8-4E15-8AE6-17CE472DE413}"/>
    <cellStyle name="40% - Accent1 7_Not_for_upload_before_M4_correc" xfId="14355" xr:uid="{3E764CAC-92ED-41F4-B938-A4B76020FB04}"/>
    <cellStyle name="40% - Accent1 70" xfId="8611" xr:uid="{97579A13-7BCE-4591-9670-37E2DAA1AE50}"/>
    <cellStyle name="40% - Accent1 70 2" xfId="8612" xr:uid="{2F4CE370-1BE5-445F-B911-5A660472D553}"/>
    <cellStyle name="40% - Accent1 70 2 2" xfId="8613" xr:uid="{FA19B193-F07D-471B-A59C-4C4D3AEFE6F1}"/>
    <cellStyle name="40% - Accent1 70 2_Working Capital Current" xfId="14356" xr:uid="{6FD85D78-7E9D-46B2-9754-836882F4990D}"/>
    <cellStyle name="40% - Accent1 70 3" xfId="8614" xr:uid="{D9254B77-3EA3-47E5-90DD-11A4F93E3727}"/>
    <cellStyle name="40% - Accent1 70 4" xfId="8615" xr:uid="{E62B8B44-F66E-410D-A5CB-CFFFBBF51CDC}"/>
    <cellStyle name="40% - Accent1 70_Working Capital Current" xfId="14357" xr:uid="{63BD7628-D47E-4413-ABED-3B49050A8584}"/>
    <cellStyle name="40% - Accent1 71" xfId="8616" xr:uid="{E9704362-328D-4980-9FA7-A14F46E701A5}"/>
    <cellStyle name="40% - Accent1 71 2" xfId="8617" xr:uid="{ACBA1F38-3BF6-48F1-A809-CB2A53540DDF}"/>
    <cellStyle name="40% - Accent1 71 2 2" xfId="8618" xr:uid="{31B82581-02F5-4FE1-90DB-06BD1DD9A30B}"/>
    <cellStyle name="40% - Accent1 71 2_Working Capital Current" xfId="14358" xr:uid="{E574B8EF-027A-4BC3-80F8-2156406682D3}"/>
    <cellStyle name="40% - Accent1 71 3" xfId="8619" xr:uid="{CEEF7282-2CED-473D-A403-1E73CA252D66}"/>
    <cellStyle name="40% - Accent1 71 4" xfId="8620" xr:uid="{5A1F6B22-EC8C-4757-A391-3429B0EBFF12}"/>
    <cellStyle name="40% - Accent1 71_Working Capital Current" xfId="14359" xr:uid="{1A886709-67B6-453E-97FF-0A90E4BB2AC2}"/>
    <cellStyle name="40% - Accent1 72" xfId="8621" xr:uid="{0DDDED31-510D-414B-90C2-6C6597CFD284}"/>
    <cellStyle name="40% - Accent1 72 2" xfId="8622" xr:uid="{EE01266C-80F1-42D5-9DA6-4A2A80DCB800}"/>
    <cellStyle name="40% - Accent1 72 2 2" xfId="8623" xr:uid="{8AC05A49-5C24-45E2-8412-2F153CAB9F16}"/>
    <cellStyle name="40% - Accent1 72 2_Working Capital Current" xfId="14360" xr:uid="{94B8612A-888E-4ACC-A6EE-123A7750BD4B}"/>
    <cellStyle name="40% - Accent1 72 3" xfId="8624" xr:uid="{8EA27DB5-56EE-461F-85E5-D7AEF4FA53C0}"/>
    <cellStyle name="40% - Accent1 72 4" xfId="8625" xr:uid="{CB2178EA-0772-4C3A-B03E-7195FF82EAF6}"/>
    <cellStyle name="40% - Accent1 72_Working Capital Current" xfId="14361" xr:uid="{D86E1071-8D7F-4307-BA8A-668C6EBB7D5D}"/>
    <cellStyle name="40% - Accent1 73" xfId="8626" xr:uid="{69305EC5-A688-4A06-9C47-0CDD28EE4DAD}"/>
    <cellStyle name="40% - Accent1 73 2" xfId="8627" xr:uid="{3EEFFE3C-2187-49DB-8919-EF4D4BB11AD2}"/>
    <cellStyle name="40% - Accent1 73 2 2" xfId="8628" xr:uid="{8AA859DE-EAEF-4FE8-AFF8-A8591A8D1248}"/>
    <cellStyle name="40% - Accent1 73 2_Working Capital Current" xfId="14362" xr:uid="{E80242F6-A047-49B9-876C-4BD0909873B9}"/>
    <cellStyle name="40% - Accent1 73 3" xfId="8629" xr:uid="{423B64BA-0520-453B-A978-F4B9B122CB1F}"/>
    <cellStyle name="40% - Accent1 73 4" xfId="8630" xr:uid="{855C8754-A404-4A2D-9E6E-F0B7043C98CC}"/>
    <cellStyle name="40% - Accent1 73_Working Capital Current" xfId="14363" xr:uid="{B4C87999-3410-4CA2-955C-8BDD6553282A}"/>
    <cellStyle name="40% - Accent1 74" xfId="8631" xr:uid="{777BEEC0-B195-4D90-8076-38D8248DB8A0}"/>
    <cellStyle name="40% - Accent1 74 2" xfId="8632" xr:uid="{4CD8779E-C9E5-4D60-BF44-6119A4E43427}"/>
    <cellStyle name="40% - Accent1 74 2 2" xfId="8633" xr:uid="{62DF1C9E-6F1A-4D80-BE82-96AB3F3D05EC}"/>
    <cellStyle name="40% - Accent1 74 2_Working Capital Current" xfId="14364" xr:uid="{A5D2BDDF-94DB-4917-B470-C6BD9A19BA92}"/>
    <cellStyle name="40% - Accent1 74 3" xfId="8634" xr:uid="{EA62E707-9C10-4628-B17E-CDE6826901E6}"/>
    <cellStyle name="40% - Accent1 74 4" xfId="8635" xr:uid="{DCAD90C8-5A39-4ABE-BB50-EE2D0E5CE6A3}"/>
    <cellStyle name="40% - Accent1 74_Working Capital Current" xfId="14365" xr:uid="{FE3264D2-C089-4A4A-A502-02EC0E95C315}"/>
    <cellStyle name="40% - Accent1 75" xfId="8636" xr:uid="{44DE3D77-F162-4B57-B6BE-AE496AF29103}"/>
    <cellStyle name="40% - Accent1 75 2" xfId="8637" xr:uid="{B4E32184-7B2C-4AA8-A21B-4FD134FAB440}"/>
    <cellStyle name="40% - Accent1 75 2 2" xfId="8638" xr:uid="{7BC480DD-6D7A-4018-88BE-363D123B5CFD}"/>
    <cellStyle name="40% - Accent1 75 2_Working Capital Current" xfId="14366" xr:uid="{1C240F65-8B36-41B7-BD87-C04EF32C1DA6}"/>
    <cellStyle name="40% - Accent1 75 3" xfId="8639" xr:uid="{58B4F04E-CBDD-4F52-9954-467E8226FFD2}"/>
    <cellStyle name="40% - Accent1 75 4" xfId="8640" xr:uid="{3D964BC7-9038-4354-8778-E223247B1AE6}"/>
    <cellStyle name="40% - Accent1 75_Working Capital Current" xfId="14367" xr:uid="{A5826121-2696-4763-8367-B2FEABD92A18}"/>
    <cellStyle name="40% - Accent1 76" xfId="8641" xr:uid="{99563611-42B4-4807-B501-EA137A24DF7B}"/>
    <cellStyle name="40% - Accent1 76 2" xfId="8642" xr:uid="{9CC188A6-A32B-438C-9E15-BE77E2CE4275}"/>
    <cellStyle name="40% - Accent1 76 2 2" xfId="8643" xr:uid="{6BA9C095-A5F4-48C0-A555-EB0DC40A65AE}"/>
    <cellStyle name="40% - Accent1 76 2_Working Capital Current" xfId="14368" xr:uid="{4F0D434D-CDA5-41C6-807E-944DF997E325}"/>
    <cellStyle name="40% - Accent1 76 3" xfId="8644" xr:uid="{165490A4-503A-4CB2-A21A-782A72DB732C}"/>
    <cellStyle name="40% - Accent1 76 4" xfId="8645" xr:uid="{7B85E2C2-5B4D-428B-8B01-C5159C0664F3}"/>
    <cellStyle name="40% - Accent1 76_Working Capital Current" xfId="14369" xr:uid="{BA80DA56-71B5-4A93-BFD9-9264F18C9365}"/>
    <cellStyle name="40% - Accent1 77" xfId="8646" xr:uid="{088AF252-EE36-4983-BDEB-D00C78E92BA5}"/>
    <cellStyle name="40% - Accent1 77 2" xfId="8647" xr:uid="{508AEE3C-9C31-4933-ACC3-823BA10A1B06}"/>
    <cellStyle name="40% - Accent1 77 2 2" xfId="8648" xr:uid="{CFE9163A-86ED-48AD-ACE2-05549D84BA3A}"/>
    <cellStyle name="40% - Accent1 77 2_Working Capital Current" xfId="14370" xr:uid="{B2A80809-6CFD-4250-8A2F-DCF930D7EF4A}"/>
    <cellStyle name="40% - Accent1 77 3" xfId="8649" xr:uid="{5FAF10A0-0027-48D3-8C3C-00B066B4D445}"/>
    <cellStyle name="40% - Accent1 77 4" xfId="8650" xr:uid="{735FB4D9-FA45-4147-9783-3BCED20D3411}"/>
    <cellStyle name="40% - Accent1 77_Working Capital Current" xfId="14371" xr:uid="{C3A2EA40-6513-4503-A8EA-E52452881C75}"/>
    <cellStyle name="40% - Accent1 78" xfId="8651" xr:uid="{AB91B752-CC6B-4E5D-8875-3E93A7B1B97C}"/>
    <cellStyle name="40% - Accent1 78 2" xfId="8652" xr:uid="{374B0744-E4B5-461D-8DC9-C9322B58064B}"/>
    <cellStyle name="40% - Accent1 78 2 2" xfId="8653" xr:uid="{2F807F8F-4119-41C7-89C8-761E186AD5E9}"/>
    <cellStyle name="40% - Accent1 78 2_Working Capital Current" xfId="14372" xr:uid="{4A3408B0-E8DD-4348-AAFA-FC877301649E}"/>
    <cellStyle name="40% - Accent1 78 3" xfId="8654" xr:uid="{F23CE6AC-87E0-4F48-8B98-3DE46A0518BA}"/>
    <cellStyle name="40% - Accent1 78 4" xfId="8655" xr:uid="{6DAF6722-771E-400B-8168-1E306309654E}"/>
    <cellStyle name="40% - Accent1 78_Working Capital Current" xfId="14373" xr:uid="{BE441DCF-51FA-4F16-ACA0-7C71D1AEC99A}"/>
    <cellStyle name="40% - Accent1 79" xfId="8656" xr:uid="{9815E4BB-B099-44DC-8BDA-20AE4562F0BD}"/>
    <cellStyle name="40% - Accent1 79 2" xfId="8657" xr:uid="{5C314642-7881-4FE4-BBD9-3ED6E75ABC1E}"/>
    <cellStyle name="40% - Accent1 79 2 2" xfId="8658" xr:uid="{10A4F9F3-C972-41DA-8ABD-C9D3EAFB7A1D}"/>
    <cellStyle name="40% - Accent1 79 2_Working Capital Current" xfId="14374" xr:uid="{C3DF1D92-5121-493C-93A5-AA8114948218}"/>
    <cellStyle name="40% - Accent1 79 3" xfId="8659" xr:uid="{23A4AC3A-EB8A-498F-8BB7-2D8C0555F0DA}"/>
    <cellStyle name="40% - Accent1 79 4" xfId="8660" xr:uid="{F419BF08-6E2D-4F46-BCD1-1EDDFEC41AF0}"/>
    <cellStyle name="40% - Accent1 79_Working Capital Current" xfId="14375" xr:uid="{24B47976-20A0-4AD2-9796-FD268BC217A6}"/>
    <cellStyle name="40% - Accent1 8" xfId="8661" xr:uid="{E678A378-0253-44FF-9F16-E021FCABE4BB}"/>
    <cellStyle name="40% - Accent1 8 2" xfId="8662" xr:uid="{8F61829B-FC93-43AE-A731-7D56CFA58D73}"/>
    <cellStyle name="40% - Accent1 8 2 2" xfId="8663" xr:uid="{17E3B19F-14E9-4AF1-A1DD-FBEDA5977D25}"/>
    <cellStyle name="40% - Accent1 8 2 2 2" xfId="8664" xr:uid="{9FF61719-C6CC-426F-93A5-26BD0F6FC1F5}"/>
    <cellStyle name="40% - Accent1 8 2 2_Working Capital Current" xfId="14376" xr:uid="{46E9923E-C6E2-4E10-A066-17C09E6E7079}"/>
    <cellStyle name="40% - Accent1 8 2 3" xfId="8665" xr:uid="{DF8E8AC9-3AF2-4120-BC8C-50CF5C12EB2B}"/>
    <cellStyle name="40% - Accent1 8 2 4" xfId="8666" xr:uid="{1DF9221F-B6FC-4EC9-9468-7D4879ADB9ED}"/>
    <cellStyle name="40% - Accent1 8 2_Working Capital Current" xfId="14377" xr:uid="{B16AED01-EDB9-4FB4-A0BF-AB41E0DEF31B}"/>
    <cellStyle name="40% - Accent1 8 3" xfId="8667" xr:uid="{85F9A755-87D1-4131-BD38-124AE99115B8}"/>
    <cellStyle name="40% - Accent1 8 3 2" xfId="8668" xr:uid="{AE1DDEDB-48E0-4A19-A41B-0E98F778DC8C}"/>
    <cellStyle name="40% - Accent1 8 3_Working Capital Current" xfId="14378" xr:uid="{F29E26BF-79A9-40D2-9967-16FAAE2463BA}"/>
    <cellStyle name="40% - Accent1 8 4" xfId="8669" xr:uid="{C41C6F49-E9C3-4890-8051-BBAD76FC41A5}"/>
    <cellStyle name="40% - Accent1 8 5" xfId="8670" xr:uid="{1B6E2B28-8114-485F-8D03-7805510E6B97}"/>
    <cellStyle name="40% - Accent1 8_Not_for_upload_before_M4_correc" xfId="14379" xr:uid="{A2001869-B255-45A0-8BA7-067D092FB762}"/>
    <cellStyle name="40% - Accent1 80" xfId="8671" xr:uid="{46E141BB-FC2D-4AF5-B065-D01DE431C29F}"/>
    <cellStyle name="40% - Accent1 80 2" xfId="8672" xr:uid="{37957B75-619F-4D3B-B2E3-9D21C8C5D55D}"/>
    <cellStyle name="40% - Accent1 80 2 2" xfId="8673" xr:uid="{ADAB339C-E1AB-4C2F-97DB-E45BF4CDF726}"/>
    <cellStyle name="40% - Accent1 80 2_Working Capital Current" xfId="14380" xr:uid="{3B422115-3D49-4377-99A2-B8B94B8EB566}"/>
    <cellStyle name="40% - Accent1 80 3" xfId="8674" xr:uid="{C525AC43-30C3-4389-9322-49B25B1D606D}"/>
    <cellStyle name="40% - Accent1 80 4" xfId="8675" xr:uid="{3BF92FB8-DC36-452A-9959-91A768E9288E}"/>
    <cellStyle name="40% - Accent1 80_Working Capital Current" xfId="14381" xr:uid="{3495A7C4-B633-4843-B17B-45B0606F15BF}"/>
    <cellStyle name="40% - Accent1 81" xfId="8676" xr:uid="{2D772644-9172-4EE2-883B-3C4D19D4779F}"/>
    <cellStyle name="40% - Accent1 81 2" xfId="8677" xr:uid="{719C5AB0-489E-439C-A420-0896966D24DF}"/>
    <cellStyle name="40% - Accent1 81 2 2" xfId="8678" xr:uid="{3ACB54C6-B855-4542-8517-9F11F0D1C352}"/>
    <cellStyle name="40% - Accent1 81 2_Working Capital Current" xfId="14382" xr:uid="{D67C3F5C-479F-48A3-BF56-66A3E19EEA08}"/>
    <cellStyle name="40% - Accent1 81 3" xfId="8679" xr:uid="{8FEF47CF-407D-46D7-92D8-0CC289B51E4D}"/>
    <cellStyle name="40% - Accent1 81 4" xfId="8680" xr:uid="{BA85FCAA-9228-48D6-9893-FDBC4CB686DE}"/>
    <cellStyle name="40% - Accent1 81_Working Capital Current" xfId="14383" xr:uid="{C29AE96A-1AF1-4043-818A-09066CD79E0E}"/>
    <cellStyle name="40% - Accent1 82" xfId="8681" xr:uid="{83BD6C87-22FC-4FF8-B59B-2ABB8BF93602}"/>
    <cellStyle name="40% - Accent1 82 2" xfId="8682" xr:uid="{6C5C4C6A-00B2-460F-A78B-FCBA57A1046A}"/>
    <cellStyle name="40% - Accent1 82 2 2" xfId="8683" xr:uid="{6646690D-AC5B-4831-B995-BE0CCB5B6FCA}"/>
    <cellStyle name="40% - Accent1 82 2_Working Capital Current" xfId="14384" xr:uid="{04BFBEFC-3F68-4041-A47E-EEF7C59A0CFD}"/>
    <cellStyle name="40% - Accent1 82 3" xfId="8684" xr:uid="{29E4C5A8-3FA0-42A0-945C-3DB101EF5711}"/>
    <cellStyle name="40% - Accent1 82 4" xfId="8685" xr:uid="{6ABBAC25-2AFF-4B10-979C-736E1FFAB24B}"/>
    <cellStyle name="40% - Accent1 82_Working Capital Current" xfId="14385" xr:uid="{EC25C5CD-9F90-42EF-9689-EBB0D279BD86}"/>
    <cellStyle name="40% - Accent1 83" xfId="8686" xr:uid="{DB5CB076-6C32-44AA-A4FA-AE1A00B6B9EF}"/>
    <cellStyle name="40% - Accent1 83 2" xfId="8687" xr:uid="{B7D52087-EC61-4627-AEBC-7A7A8E963C0C}"/>
    <cellStyle name="40% - Accent1 83 2 2" xfId="8688" xr:uid="{3470554B-3030-42AA-917F-00AE7AC50DD5}"/>
    <cellStyle name="40% - Accent1 83 2_Working Capital Current" xfId="14386" xr:uid="{1B048E60-A707-4234-B9D2-301EF3BA4A40}"/>
    <cellStyle name="40% - Accent1 83 3" xfId="8689" xr:uid="{259421F7-7E71-4BAF-95E4-7A2C6E3D9280}"/>
    <cellStyle name="40% - Accent1 83 4" xfId="8690" xr:uid="{ED738495-B31C-44F3-8E44-40A62BF95876}"/>
    <cellStyle name="40% - Accent1 83_Working Capital Current" xfId="14387" xr:uid="{9388C4F8-CF64-4A9C-86D6-D4186B954DFE}"/>
    <cellStyle name="40% - Accent1 84" xfId="8691" xr:uid="{D504D65F-78D6-417F-B3F0-039925B0DCA0}"/>
    <cellStyle name="40% - Accent1 84 2" xfId="8692" xr:uid="{F6645AC8-92AA-4556-A7FF-DDF30721D97F}"/>
    <cellStyle name="40% - Accent1 84 2 2" xfId="8693" xr:uid="{1535182F-5375-4366-8CD4-B6C8D05C3FBC}"/>
    <cellStyle name="40% - Accent1 84 2_Working Capital Current" xfId="14388" xr:uid="{C4DA0852-796F-4F65-A384-CB494F349BE0}"/>
    <cellStyle name="40% - Accent1 84 3" xfId="8694" xr:uid="{C60B942D-9CA6-4BF6-BBC4-44CAAF258B82}"/>
    <cellStyle name="40% - Accent1 84 4" xfId="8695" xr:uid="{F9322401-6FE5-40A2-87AB-835C96C588B5}"/>
    <cellStyle name="40% - Accent1 84_Working Capital Current" xfId="14389" xr:uid="{042EFB05-B25F-497B-B504-661865C5F3C1}"/>
    <cellStyle name="40% - Accent1 85" xfId="8696" xr:uid="{0BFBBFF2-AC0D-47FC-AA83-A392392F422D}"/>
    <cellStyle name="40% - Accent1 85 2" xfId="8697" xr:uid="{52B180F7-15FB-48AA-B553-44E1417765EB}"/>
    <cellStyle name="40% - Accent1 85 2 2" xfId="8698" xr:uid="{7E010DEA-45D7-49E9-93AC-84356556BA10}"/>
    <cellStyle name="40% - Accent1 85 2_Working Capital Current" xfId="14390" xr:uid="{CCDBCD8B-21F1-450A-AE64-AF661B2C63DE}"/>
    <cellStyle name="40% - Accent1 85 3" xfId="8699" xr:uid="{11D5065B-315A-4A0F-BEDD-C648681BB150}"/>
    <cellStyle name="40% - Accent1 85 4" xfId="8700" xr:uid="{8FD72F1A-2474-4F2F-962A-BC8EA1E15D02}"/>
    <cellStyle name="40% - Accent1 85_Working Capital Current" xfId="14391" xr:uid="{B69D38E7-2731-43C0-BD15-6C5FBBB03FF8}"/>
    <cellStyle name="40% - Accent1 86" xfId="8701" xr:uid="{5C509F04-2EC7-43F1-80CF-F8DE99FA7491}"/>
    <cellStyle name="40% - Accent1 86 2" xfId="8702" xr:uid="{987189EC-0FA7-410B-8099-348B79E07CD3}"/>
    <cellStyle name="40% - Accent1 86 2 2" xfId="8703" xr:uid="{68FF0B50-9D61-4329-BBF3-92D31FE2E2CF}"/>
    <cellStyle name="40% - Accent1 86 2_Working Capital Current" xfId="14392" xr:uid="{8C6855DE-977C-45B8-B905-E62248BD7AE9}"/>
    <cellStyle name="40% - Accent1 86 3" xfId="8704" xr:uid="{2FB47137-2B24-4BA0-B8F2-81D34B13255E}"/>
    <cellStyle name="40% - Accent1 86 4" xfId="8705" xr:uid="{31AD4252-4E24-42B3-950D-EC01FBE9222C}"/>
    <cellStyle name="40% - Accent1 86_Working Capital Current" xfId="14393" xr:uid="{A8B9A80C-7248-49A9-87D7-CD7BC81F7B81}"/>
    <cellStyle name="40% - Accent1 87" xfId="8706" xr:uid="{ABF68CB9-0A00-40B2-9BC1-716F30CE968D}"/>
    <cellStyle name="40% - Accent1 87 2" xfId="8707" xr:uid="{034C341C-5603-45D8-BF80-2B131A0A3B91}"/>
    <cellStyle name="40% - Accent1 87 2 2" xfId="8708" xr:uid="{23322151-811C-441A-BE8C-DCA14911F971}"/>
    <cellStyle name="40% - Accent1 87 2_Working Capital Current" xfId="14394" xr:uid="{C0496D6B-97DD-47F5-BDB2-D53ABDC4CCA6}"/>
    <cellStyle name="40% - Accent1 87 3" xfId="8709" xr:uid="{F2BC37A2-98B0-4817-9CA7-88D66E24EBA2}"/>
    <cellStyle name="40% - Accent1 87 4" xfId="8710" xr:uid="{EEE1FA73-0CAF-40EA-9BD8-B06DB91E850B}"/>
    <cellStyle name="40% - Accent1 87_Working Capital Current" xfId="14395" xr:uid="{FB631A49-EDDB-4848-BA17-5294B53CA0AB}"/>
    <cellStyle name="40% - Accent1 88" xfId="8711" xr:uid="{0827EEC0-A22A-46B3-9E89-A363C033FECC}"/>
    <cellStyle name="40% - Accent1 88 2" xfId="8712" xr:uid="{34067F58-8805-4647-B298-211515522CC5}"/>
    <cellStyle name="40% - Accent1 88 2 2" xfId="8713" xr:uid="{189B355E-1839-42E7-BF6E-18E399B6C10D}"/>
    <cellStyle name="40% - Accent1 88 2_Working Capital Current" xfId="14396" xr:uid="{F0154890-8C68-4696-9B3F-7459BBA18ADC}"/>
    <cellStyle name="40% - Accent1 88 3" xfId="8714" xr:uid="{F401EC21-DA9C-4997-9366-CBA2531B733C}"/>
    <cellStyle name="40% - Accent1 88 4" xfId="8715" xr:uid="{4754B1AF-3766-40F6-BFF0-790F3686DC83}"/>
    <cellStyle name="40% - Accent1 88_Working Capital Current" xfId="14397" xr:uid="{296942A1-2B3F-48F1-91CB-AA5DE7A2D268}"/>
    <cellStyle name="40% - Accent1 89" xfId="8716" xr:uid="{D00A3176-D3CD-4285-9464-4FCACE4B4D66}"/>
    <cellStyle name="40% - Accent1 89 2" xfId="8717" xr:uid="{5CA79A16-CC8C-4A8D-8024-E5B4598B662B}"/>
    <cellStyle name="40% - Accent1 89 2 2" xfId="8718" xr:uid="{0F5AF92F-8447-43E4-858A-92D0D7D882FF}"/>
    <cellStyle name="40% - Accent1 89 2_Working Capital Current" xfId="14398" xr:uid="{BB13BA32-6A65-49B9-87D7-389E1DF19E06}"/>
    <cellStyle name="40% - Accent1 89 3" xfId="8719" xr:uid="{D76C47AB-0EB6-4144-B9EC-80D85F65CFFB}"/>
    <cellStyle name="40% - Accent1 89 4" xfId="8720" xr:uid="{76D6FE1B-4E50-45BE-BE67-EFE4DBBA0CD7}"/>
    <cellStyle name="40% - Accent1 89_Working Capital Current" xfId="14399" xr:uid="{7ADE4B4E-D688-4787-875D-7B9ABE842521}"/>
    <cellStyle name="40% - Accent1 9" xfId="8721" xr:uid="{019CCAC9-14A2-436F-9B81-DD5EF82CE26C}"/>
    <cellStyle name="40% - Accent1 9 2" xfId="8722" xr:uid="{6C809FE4-FB81-42A5-8682-181966651505}"/>
    <cellStyle name="40% - Accent1 9 2 2" xfId="8723" xr:uid="{DA16DA38-3989-4500-B86A-9FFFED40B2D9}"/>
    <cellStyle name="40% - Accent1 9 2 2 2" xfId="8724" xr:uid="{00256ED5-E306-4C61-B42E-7FDE78E7BD67}"/>
    <cellStyle name="40% - Accent1 9 2 2_Working Capital Current" xfId="14400" xr:uid="{0A0D9751-D45A-40F9-A02C-838B9318A8C9}"/>
    <cellStyle name="40% - Accent1 9 2 3" xfId="8725" xr:uid="{D74746F4-C838-4BED-B505-65B66E3966E6}"/>
    <cellStyle name="40% - Accent1 9 2 4" xfId="8726" xr:uid="{8E071FF5-23D3-45DF-9D57-84C0CD2CEB1E}"/>
    <cellStyle name="40% - Accent1 9 2_Working Capital Current" xfId="14401" xr:uid="{C04BD914-CA0E-4FE1-A5EE-0CA01C7B724B}"/>
    <cellStyle name="40% - Accent1 9 3" xfId="8727" xr:uid="{08DC64B2-9DF6-4FB1-99A8-F8D47C4BBEAD}"/>
    <cellStyle name="40% - Accent1 9 3 2" xfId="8728" xr:uid="{134A0D67-8B59-4755-BEAA-17029C65A43D}"/>
    <cellStyle name="40% - Accent1 9 3_Working Capital Current" xfId="14402" xr:uid="{883CA0A4-42C9-4BCD-AEDB-9A692B78B78E}"/>
    <cellStyle name="40% - Accent1 9 4" xfId="8729" xr:uid="{3C534A03-9F53-4948-A72B-EA3D2A7CFD37}"/>
    <cellStyle name="40% - Accent1 9 5" xfId="8730" xr:uid="{9D203637-8749-4E9C-BB9C-213FA5DBAB44}"/>
    <cellStyle name="40% - Accent1 9_Not_for_upload_before_M4_correc" xfId="14403" xr:uid="{4CB7BC4B-5085-4EC2-83A5-1E3BE78E3284}"/>
    <cellStyle name="40% - Accent1 90" xfId="8731" xr:uid="{6F4AFE90-306F-4AA7-8FEC-096E339963B8}"/>
    <cellStyle name="40% - Accent1 90 2" xfId="8732" xr:uid="{B94E99F2-421C-4208-932D-D0421579F603}"/>
    <cellStyle name="40% - Accent1 90 2 2" xfId="8733" xr:uid="{571846C6-3AE5-4B46-AB34-9625CFC51F54}"/>
    <cellStyle name="40% - Accent1 90 2_Working Capital Current" xfId="14404" xr:uid="{CA358BE7-BC6E-4829-8B0F-E77E9F4A6C3E}"/>
    <cellStyle name="40% - Accent1 90 3" xfId="8734" xr:uid="{6081E9FF-7D42-4E21-A329-FD69AFD25F19}"/>
    <cellStyle name="40% - Accent1 90 4" xfId="8735" xr:uid="{655BC6CA-1667-4480-8833-33965B03597C}"/>
    <cellStyle name="40% - Accent1 90_Working Capital Current" xfId="14405" xr:uid="{E2BFCE66-9A59-483F-9BFC-1DFC32A823CE}"/>
    <cellStyle name="40% - Accent1 91" xfId="8736" xr:uid="{CC1D7740-B327-4695-B5CB-18B7AB5AACF6}"/>
    <cellStyle name="40% - Accent1 91 2" xfId="8737" xr:uid="{3B0A0A78-6192-487F-8EBA-1D9AF86600EF}"/>
    <cellStyle name="40% - Accent1 91 2 2" xfId="8738" xr:uid="{90A1C2ED-4638-4000-A906-363DCF2EDE38}"/>
    <cellStyle name="40% - Accent1 91 2_Working Capital Current" xfId="14406" xr:uid="{561CBAD0-7BB2-41A1-B829-5CF48934D943}"/>
    <cellStyle name="40% - Accent1 91 3" xfId="8739" xr:uid="{CD9267FA-F6B1-4DCD-B465-387EB9B5C47B}"/>
    <cellStyle name="40% - Accent1 91 4" xfId="8740" xr:uid="{E68B262D-0663-499D-8859-E6A3E1CCE9F3}"/>
    <cellStyle name="40% - Accent1 91_Working Capital Current" xfId="14407" xr:uid="{99DE615F-ED16-4AD0-A6B2-05B0065B5E9E}"/>
    <cellStyle name="40% - Accent1 92" xfId="8741" xr:uid="{9903A0D7-8F42-4D8C-A735-BB4CC07D8967}"/>
    <cellStyle name="40% - Accent1 92 2" xfId="8742" xr:uid="{026DD91C-C553-4BC3-82F6-BA335099ECA4}"/>
    <cellStyle name="40% - Accent1 92 2 2" xfId="8743" xr:uid="{4CC4EFBF-2481-463B-906C-5D22751D20C0}"/>
    <cellStyle name="40% - Accent1 92 2_Working Capital Current" xfId="14408" xr:uid="{5C72FF38-FFD6-473E-9CEB-9C9B78514BCD}"/>
    <cellStyle name="40% - Accent1 92 3" xfId="8744" xr:uid="{B5E15553-A89D-4809-BB6B-63D31436A2F1}"/>
    <cellStyle name="40% - Accent1 92 4" xfId="8745" xr:uid="{6216087E-1AFD-42E2-921E-2122A1DE1F9F}"/>
    <cellStyle name="40% - Accent1 92_Working Capital Current" xfId="14409" xr:uid="{C5A398EA-C51F-4564-9CF7-B485944F3B28}"/>
    <cellStyle name="40% - Accent1 93" xfId="8746" xr:uid="{F3CF516C-A83E-4D74-8F40-D116EBDF31C0}"/>
    <cellStyle name="40% - Accent1 93 2" xfId="8747" xr:uid="{0541C79E-CBF0-4B68-BEE2-D131B5A7A2CC}"/>
    <cellStyle name="40% - Accent1 93 2 2" xfId="8748" xr:uid="{96ABB8CC-69CE-4277-AECE-D0BF3230173F}"/>
    <cellStyle name="40% - Accent1 93 2_Working Capital Current" xfId="14410" xr:uid="{00EEB219-AB81-44C5-A445-D649E449FF1B}"/>
    <cellStyle name="40% - Accent1 93 3" xfId="8749" xr:uid="{2D6D1C13-B41D-461C-8F99-48B4CCC2BAD2}"/>
    <cellStyle name="40% - Accent1 93 4" xfId="8750" xr:uid="{D5132143-93EA-4F13-8641-0905D99BC35F}"/>
    <cellStyle name="40% - Accent1 93_Working Capital Current" xfId="14411" xr:uid="{43D96FBD-F97A-40C3-B52E-1F4F333DD213}"/>
    <cellStyle name="40% - Accent1 94" xfId="8751" xr:uid="{C66B4A2E-A43C-4EA5-A4D1-DECC7BA967FA}"/>
    <cellStyle name="40% - Accent1 94 2" xfId="8752" xr:uid="{FFA8074F-FBB7-40E9-9E8D-266AD6E3F0B6}"/>
    <cellStyle name="40% - Accent1 94 2 2" xfId="8753" xr:uid="{B56814B8-6061-4847-A7DC-51F14FE120A9}"/>
    <cellStyle name="40% - Accent1 94 2_Working Capital Current" xfId="14412" xr:uid="{143A562D-79A8-48E3-8C4D-A416B99653C1}"/>
    <cellStyle name="40% - Accent1 94 3" xfId="8754" xr:uid="{5243108B-54CA-455F-87F1-987883E19A91}"/>
    <cellStyle name="40% - Accent1 94 4" xfId="8755" xr:uid="{C50AB3D1-353E-4B18-967C-8B2B6C520875}"/>
    <cellStyle name="40% - Accent1 94_Working Capital Current" xfId="14413" xr:uid="{77AB63FD-1C7F-4850-865B-9D9ECB680B67}"/>
    <cellStyle name="40% - Accent1 95" xfId="8756" xr:uid="{E424865B-B742-49BC-97A3-310029F17970}"/>
    <cellStyle name="40% - Accent1 95 2" xfId="8757" xr:uid="{61F7DAEE-6699-4089-82DF-D5ABFDFBF0A8}"/>
    <cellStyle name="40% - Accent1 95 2 2" xfId="8758" xr:uid="{B17A8DD3-8F52-4577-9466-47F8572707AD}"/>
    <cellStyle name="40% - Accent1 95 2_Working Capital Current" xfId="14414" xr:uid="{0F92A25B-CCE2-464B-9C25-8795CF0E4355}"/>
    <cellStyle name="40% - Accent1 95 3" xfId="8759" xr:uid="{B3EB9AD0-1F25-4CCA-89CF-F93F898BE145}"/>
    <cellStyle name="40% - Accent1 95 4" xfId="8760" xr:uid="{2B734DA3-3553-455D-987D-ED91B1E2701D}"/>
    <cellStyle name="40% - Accent1 95_Working Capital Current" xfId="14415" xr:uid="{C1DF38FF-E9FA-407E-B6C8-1BC79422B105}"/>
    <cellStyle name="40% - Accent1 96" xfId="8761" xr:uid="{16A8D4FF-2EB3-4B45-A23B-9B0F005BD85C}"/>
    <cellStyle name="40% - Accent1 96 2" xfId="8762" xr:uid="{54E97867-1B8D-4CBD-BBA9-9CBE4213104B}"/>
    <cellStyle name="40% - Accent1 96 2 2" xfId="8763" xr:uid="{AD76A2E6-4EF4-480F-ACC6-34B37F90636A}"/>
    <cellStyle name="40% - Accent1 96 2_Working Capital Current" xfId="14416" xr:uid="{A6255C6B-5469-4204-9589-58122A24E408}"/>
    <cellStyle name="40% - Accent1 96 3" xfId="8764" xr:uid="{F10D7E6F-0C7A-4425-92B0-BC04C33FF70D}"/>
    <cellStyle name="40% - Accent1 96 4" xfId="8765" xr:uid="{51A54642-26FD-4597-9392-863E2C79391A}"/>
    <cellStyle name="40% - Accent1 96_Working Capital Current" xfId="14417" xr:uid="{63FD4CD4-C795-48E0-980B-C96570E3BADB}"/>
    <cellStyle name="40% - Accent1 97" xfId="8766" xr:uid="{CDD10A96-6171-45D5-B75F-55FC41AAF64B}"/>
    <cellStyle name="40% - Accent1 97 2" xfId="8767" xr:uid="{465139C2-E793-4601-A69F-D94B0FEC6A65}"/>
    <cellStyle name="40% - Accent1 97 2 2" xfId="8768" xr:uid="{20B382C1-329A-40CD-9F4D-371FBEDBBF0E}"/>
    <cellStyle name="40% - Accent1 97 2_Working Capital Current" xfId="14418" xr:uid="{03F9E230-4AB2-439E-A20B-39EA5A1F8CBC}"/>
    <cellStyle name="40% - Accent1 97 3" xfId="8769" xr:uid="{8DEB7284-F7E8-4938-BD3D-D116AA8188F8}"/>
    <cellStyle name="40% - Accent1 97 4" xfId="8770" xr:uid="{5C0DDDCC-B13B-4364-8122-75F43120C526}"/>
    <cellStyle name="40% - Accent1 97_Working Capital Current" xfId="14419" xr:uid="{5B3C57C1-70A7-4831-B5C4-3F2D1771817E}"/>
    <cellStyle name="40% - Accent1 98" xfId="8771" xr:uid="{BF6A699A-A942-4A16-B6BA-ED9F42B2DFF6}"/>
    <cellStyle name="40% - Accent1 98 2" xfId="8772" xr:uid="{A200DCB1-6A2C-44BD-952D-705C3B9CE739}"/>
    <cellStyle name="40% - Accent1 98 2 2" xfId="8773" xr:uid="{87500134-99FE-4BA9-BF76-2A64A81ADDF0}"/>
    <cellStyle name="40% - Accent1 98 2_Working Capital Current" xfId="14420" xr:uid="{42C42A56-EA97-47B6-A8C8-AFB7002C8145}"/>
    <cellStyle name="40% - Accent1 98 3" xfId="8774" xr:uid="{D96C708D-65A6-4487-AE77-4B2AC4C2428E}"/>
    <cellStyle name="40% - Accent1 98 4" xfId="8775" xr:uid="{4C7AC0A9-46DC-4190-8007-A6FF869CADC0}"/>
    <cellStyle name="40% - Accent1 98_Working Capital Current" xfId="14421" xr:uid="{1153DEEC-3F3E-4EA3-878D-F6549F0D8FD0}"/>
    <cellStyle name="40% - Accent1 99" xfId="8776" xr:uid="{1D933D77-4838-4914-A162-7C4E5FC81D60}"/>
    <cellStyle name="40% - Accent1 99 2" xfId="8777" xr:uid="{E7DC492A-FE51-49A3-A59B-8768FEDD9FD5}"/>
    <cellStyle name="40% - Accent1 99 2 2" xfId="8778" xr:uid="{7384C384-A782-4308-8467-914C2BF03013}"/>
    <cellStyle name="40% - Accent1 99 2_Working Capital Current" xfId="14422" xr:uid="{619AA5EC-A825-4E93-94A9-15862B5C7141}"/>
    <cellStyle name="40% - Accent1 99 3" xfId="8779" xr:uid="{A19A0693-D2D5-467E-918B-B41B15D1664B}"/>
    <cellStyle name="40% - Accent1 99 4" xfId="8780" xr:uid="{682DF2A9-E632-4EA0-8EDA-8163586A5CA9}"/>
    <cellStyle name="40% - Accent1 99_Working Capital Current" xfId="14423" xr:uid="{6DA2B68A-A26B-44DA-B9E8-A2AC768E3DD9}"/>
    <cellStyle name="40% - Accent2" xfId="28" builtinId="35" customBuiltin="1"/>
    <cellStyle name="40% - Accent2 10" xfId="8781" xr:uid="{E5275FC4-97B7-4987-834C-37850E582A1F}"/>
    <cellStyle name="40% - Accent2 10 2" xfId="8782" xr:uid="{E2111E1B-B452-4FB2-A8F6-B514B23CF3DD}"/>
    <cellStyle name="40% - Accent2 10 2 2" xfId="8783" xr:uid="{24FEF997-80CE-4661-B2DB-BE68F803BA21}"/>
    <cellStyle name="40% - Accent2 10 2 2 2" xfId="8784" xr:uid="{2DF2B2F0-B383-4DB5-9F42-A540A47801EA}"/>
    <cellStyle name="40% - Accent2 10 2 2_Working Capital Current" xfId="14424" xr:uid="{6E0904BC-42B9-4C8A-A15F-0C763DC09B23}"/>
    <cellStyle name="40% - Accent2 10 2 3" xfId="8785" xr:uid="{657F4E13-41D7-4706-9E05-3E705DC37081}"/>
    <cellStyle name="40% - Accent2 10 2 4" xfId="8786" xr:uid="{EFA5D41D-3083-40B5-9AB2-CB419D35CF5E}"/>
    <cellStyle name="40% - Accent2 10 2_Working Capital Current" xfId="14425" xr:uid="{ED25FC0F-4EC6-4989-A4C4-891006153E27}"/>
    <cellStyle name="40% - Accent2 10 3" xfId="8787" xr:uid="{E237E75A-56E6-4DF3-BF4E-1427DD4DC04E}"/>
    <cellStyle name="40% - Accent2 10 3 2" xfId="8788" xr:uid="{DF10066B-EB7E-4374-9108-A6AC88ACE753}"/>
    <cellStyle name="40% - Accent2 10 3_Working Capital Current" xfId="14426" xr:uid="{67EABF26-08C0-48B1-BBF8-0B248B5A6E21}"/>
    <cellStyle name="40% - Accent2 10 4" xfId="8789" xr:uid="{16DE33EE-4533-443E-B600-989025236068}"/>
    <cellStyle name="40% - Accent2 10 5" xfId="8790" xr:uid="{24B0F216-3786-4457-A6E4-C98FA7D5B1C5}"/>
    <cellStyle name="40% - Accent2 10_Not_for_upload_before_M4_correc" xfId="14427" xr:uid="{4705412B-E13E-484E-B476-2CAFBE282979}"/>
    <cellStyle name="40% - Accent2 100" xfId="8791" xr:uid="{324A65A4-D0C1-462E-9E6A-9D62CB5AB0B3}"/>
    <cellStyle name="40% - Accent2 100 2" xfId="8792" xr:uid="{BEB4F5F5-9E46-492C-BA5B-011C806652FD}"/>
    <cellStyle name="40% - Accent2 100 2 2" xfId="8793" xr:uid="{E4A859A2-1D84-467D-AD94-C18337CC5282}"/>
    <cellStyle name="40% - Accent2 100 2_Working Capital Current" xfId="14428" xr:uid="{AFA9D29A-5C26-414D-8CC6-95EE44BE6E55}"/>
    <cellStyle name="40% - Accent2 100 3" xfId="8794" xr:uid="{E3B02E05-2FB5-4B4E-93B0-C79475E78CC4}"/>
    <cellStyle name="40% - Accent2 100 4" xfId="8795" xr:uid="{F2A1F8EE-71AF-4A73-B98C-FF13A5A51049}"/>
    <cellStyle name="40% - Accent2 100_Working Capital Current" xfId="14429" xr:uid="{13DB6D18-A593-4DD7-825A-E1312544AF13}"/>
    <cellStyle name="40% - Accent2 101" xfId="8796" xr:uid="{F2E455A7-D326-460C-B45C-F5F13674AF4D}"/>
    <cellStyle name="40% - Accent2 101 2" xfId="8797" xr:uid="{A7485C61-7DFD-4835-A3AA-FF4EF7FF424F}"/>
    <cellStyle name="40% - Accent2 101 3" xfId="8798" xr:uid="{5CEDB6FB-A60C-4786-8AB7-74D64AD470F7}"/>
    <cellStyle name="40% - Accent2 101_Working Capital Current" xfId="14430" xr:uid="{A2B13FC4-C756-4059-B45B-5E4E6BA947DC}"/>
    <cellStyle name="40% - Accent2 102" xfId="8799" xr:uid="{6001FF81-F628-49D8-946B-F99C5152CF5F}"/>
    <cellStyle name="40% - Accent2 102 2" xfId="8800" xr:uid="{A1366541-6672-4F5A-99B1-F4B6C1591828}"/>
    <cellStyle name="40% - Accent2 102 3" xfId="8801" xr:uid="{BDE820D3-FC9D-489F-81E2-3A4368F327C5}"/>
    <cellStyle name="40% - Accent2 102_Working Capital Current" xfId="14431" xr:uid="{60841475-DE44-40FB-A681-CCB980BC8291}"/>
    <cellStyle name="40% - Accent2 103" xfId="8802" xr:uid="{8F3C1245-C565-4CBB-BCB1-13580B134885}"/>
    <cellStyle name="40% - Accent2 104" xfId="8803" xr:uid="{25AE8DDD-EDBF-4056-97DA-D2BD6A8B2C1D}"/>
    <cellStyle name="40% - Accent2 105" xfId="14432" xr:uid="{3868EB7E-7F50-4840-96AB-5679F791342C}"/>
    <cellStyle name="40% - Accent2 106" xfId="16490" xr:uid="{31D0C910-BE98-471F-9CAE-6378AD0450A3}"/>
    <cellStyle name="40% - Accent2 107" xfId="16993" xr:uid="{33E43260-0887-40FB-8D28-FA46E5752B45}"/>
    <cellStyle name="40% - Accent2 108" xfId="3907" xr:uid="{10A33F5C-386A-40F1-83FB-465D9766424E}"/>
    <cellStyle name="40% - Accent2 109" xfId="18246" xr:uid="{7458B81B-F9FA-434A-86D6-4B0DCED0B0D0}"/>
    <cellStyle name="40% - Accent2 11" xfId="8804" xr:uid="{9235C5FB-F3C4-4212-AA31-46A499C36238}"/>
    <cellStyle name="40% - Accent2 11 2" xfId="8805" xr:uid="{46D95BB3-1F11-4970-AA5E-0D4BCA553F09}"/>
    <cellStyle name="40% - Accent2 11 2 2" xfId="8806" xr:uid="{DEA03743-ADF5-4825-9EDA-51403A06CA9D}"/>
    <cellStyle name="40% - Accent2 11 2 2 2" xfId="8807" xr:uid="{7A7FE124-A658-4601-B08D-A3B956414ED0}"/>
    <cellStyle name="40% - Accent2 11 2 2_Working Capital Current" xfId="14433" xr:uid="{87BD8A98-F63E-458A-A5FC-8E5805466529}"/>
    <cellStyle name="40% - Accent2 11 2 3" xfId="8808" xr:uid="{40525576-A083-4CAD-9FAF-1679E588F6E4}"/>
    <cellStyle name="40% - Accent2 11 2 4" xfId="8809" xr:uid="{AE53DBBF-0872-47B4-A900-4F4C38B22D17}"/>
    <cellStyle name="40% - Accent2 11 2_Working Capital Current" xfId="14434" xr:uid="{3830284F-EB89-4608-B7BA-24D84B930CEC}"/>
    <cellStyle name="40% - Accent2 11 3" xfId="8810" xr:uid="{FEF66B41-405E-49A7-B7AF-F19081CEB346}"/>
    <cellStyle name="40% - Accent2 11 3 2" xfId="8811" xr:uid="{BAFB9225-0574-477B-9CF1-E262AF62C58F}"/>
    <cellStyle name="40% - Accent2 11 3_Working Capital Current" xfId="14435" xr:uid="{7CC8922F-9BEF-4981-A9BB-F6CB4601BBD5}"/>
    <cellStyle name="40% - Accent2 11 4" xfId="8812" xr:uid="{FA97FF03-46A1-437F-B56B-3C3C3DFD2447}"/>
    <cellStyle name="40% - Accent2 11 5" xfId="8813" xr:uid="{C3EFC160-BDF8-448F-AF6C-37C8FFCCBCFA}"/>
    <cellStyle name="40% - Accent2 11_Not_for_upload_before_M4_correc" xfId="14436" xr:uid="{9625904B-4B51-4689-A85C-F8AAABBDFB38}"/>
    <cellStyle name="40% - Accent2 12" xfId="8814" xr:uid="{D3279403-11F1-4BA0-BF9B-BC96954D7EF0}"/>
    <cellStyle name="40% - Accent2 12 2" xfId="8815" xr:uid="{B29F6EB7-EA66-4CEE-AAFB-35DA643523C5}"/>
    <cellStyle name="40% - Accent2 12 2 2" xfId="8816" xr:uid="{9874BBA4-CE34-4D30-AB83-636E8E7DBE3A}"/>
    <cellStyle name="40% - Accent2 12 2 2 2" xfId="8817" xr:uid="{C6A4FB7E-B3D2-4D4E-863B-2FBBD23A4E14}"/>
    <cellStyle name="40% - Accent2 12 2 2_Working Capital Current" xfId="14437" xr:uid="{28C905FF-A943-4C4D-839C-32664374440C}"/>
    <cellStyle name="40% - Accent2 12 2 3" xfId="8818" xr:uid="{BBA82BC0-8E02-46C2-8407-4011B4C32BF9}"/>
    <cellStyle name="40% - Accent2 12 2 4" xfId="8819" xr:uid="{6552EC1B-0878-4383-A9C0-89E56EE4035D}"/>
    <cellStyle name="40% - Accent2 12 2_Working Capital Current" xfId="14438" xr:uid="{24E814A7-84A4-4CC4-B254-34526A1019A8}"/>
    <cellStyle name="40% - Accent2 12 3" xfId="8820" xr:uid="{F0664D98-82C4-4F5B-B1B2-6FE3806B3D13}"/>
    <cellStyle name="40% - Accent2 12 3 2" xfId="8821" xr:uid="{162AFA5A-9A2E-43F0-B371-6324DA491FF7}"/>
    <cellStyle name="40% - Accent2 12 3_Working Capital Current" xfId="14439" xr:uid="{146F2865-E8F3-46B2-8BB1-67544DEBAC34}"/>
    <cellStyle name="40% - Accent2 12 4" xfId="8822" xr:uid="{74C54700-FEDC-4240-8C77-C3C64D9D43CC}"/>
    <cellStyle name="40% - Accent2 12 5" xfId="8823" xr:uid="{528819E6-006C-48BA-B3E5-BDEEFCB606C6}"/>
    <cellStyle name="40% - Accent2 12_Not_for_upload_before_M4_correc" xfId="14440" xr:uid="{67F44205-B7D5-4990-A807-843731D314C8}"/>
    <cellStyle name="40% - Accent2 13" xfId="8824" xr:uid="{3E826B1B-D6CD-4034-B440-9D4036AC56C2}"/>
    <cellStyle name="40% - Accent2 13 2" xfId="8825" xr:uid="{90C54417-F1F3-4BB4-80C8-F377CE87ECA2}"/>
    <cellStyle name="40% - Accent2 13 2 2" xfId="8826" xr:uid="{E9C19A18-7A26-47EE-BEC4-0272011AC249}"/>
    <cellStyle name="40% - Accent2 13 2 2 2" xfId="8827" xr:uid="{83D37B0F-F6E4-4A7B-B565-2191DCFB6214}"/>
    <cellStyle name="40% - Accent2 13 2 2_Working Capital Current" xfId="14441" xr:uid="{ED3130F4-6737-4D96-A037-A086175557F9}"/>
    <cellStyle name="40% - Accent2 13 2 3" xfId="8828" xr:uid="{A9A10CDD-1A28-4AE8-9FBE-8E8E76B09E04}"/>
    <cellStyle name="40% - Accent2 13 2 4" xfId="8829" xr:uid="{F667DC53-CA8D-4759-B5A3-6AFE9F05378B}"/>
    <cellStyle name="40% - Accent2 13 2_Working Capital Current" xfId="14442" xr:uid="{B64E3C45-5545-411B-942D-50A76EBEC1FE}"/>
    <cellStyle name="40% - Accent2 13 3" xfId="8830" xr:uid="{EB3CB4B5-A342-4570-BF20-FDB158918D8C}"/>
    <cellStyle name="40% - Accent2 13 3 2" xfId="8831" xr:uid="{D493DFE5-6C86-4983-9717-FFFBA0D63D26}"/>
    <cellStyle name="40% - Accent2 13 3_Working Capital Current" xfId="14443" xr:uid="{8CA8B6B5-933F-42CC-82DA-5A65AF77B51D}"/>
    <cellStyle name="40% - Accent2 13 4" xfId="8832" xr:uid="{E8CF7B73-A52A-4997-B921-E985F8C526ED}"/>
    <cellStyle name="40% - Accent2 13 5" xfId="8833" xr:uid="{B27AECC5-2C76-4341-B35D-3C85AB48C581}"/>
    <cellStyle name="40% - Accent2 13_Not_for_upload_before_M4_correc" xfId="14444" xr:uid="{4071C93D-2DC4-476B-812F-24D51DC2FAE7}"/>
    <cellStyle name="40% - Accent2 14" xfId="8834" xr:uid="{0F59122C-F328-4045-82FD-EE0F1869F1D0}"/>
    <cellStyle name="40% - Accent2 14 2" xfId="8835" xr:uid="{D87AAE3C-21E3-47ED-87BB-4F2B1856C92B}"/>
    <cellStyle name="40% - Accent2 14 2 2" xfId="8836" xr:uid="{D758070F-367F-4AE6-AC67-3305F5DEF6C9}"/>
    <cellStyle name="40% - Accent2 14 2 2 2" xfId="8837" xr:uid="{A03C65A4-932D-49B8-98B8-5206C0A2A483}"/>
    <cellStyle name="40% - Accent2 14 2 2_Working Capital Current" xfId="14445" xr:uid="{E165A50A-2097-441A-824D-8209CA803C1B}"/>
    <cellStyle name="40% - Accent2 14 2 3" xfId="8838" xr:uid="{1B8B33C1-1DF3-4D93-9F02-748E025E0818}"/>
    <cellStyle name="40% - Accent2 14 2 4" xfId="8839" xr:uid="{10C5299D-76C6-46B9-80C9-E03CF0A8D3FD}"/>
    <cellStyle name="40% - Accent2 14 2_Working Capital Current" xfId="14446" xr:uid="{A6FF5567-0616-46C8-8B0B-91B222492DEC}"/>
    <cellStyle name="40% - Accent2 14 3" xfId="8840" xr:uid="{6642B313-E264-4BE7-8EFB-737B077E05AD}"/>
    <cellStyle name="40% - Accent2 14 3 2" xfId="8841" xr:uid="{0CEDC872-4454-4A22-A5AF-7E98CA82404A}"/>
    <cellStyle name="40% - Accent2 14 3_Working Capital Current" xfId="14447" xr:uid="{011163D8-715F-478F-AD2B-B3F62E1B54F4}"/>
    <cellStyle name="40% - Accent2 14 4" xfId="8842" xr:uid="{A42FAF8C-FE67-4D0A-A460-7B1B4AFBDF5D}"/>
    <cellStyle name="40% - Accent2 14 5" xfId="8843" xr:uid="{5FA8FD51-75C1-4C91-A296-B992801FFD27}"/>
    <cellStyle name="40% - Accent2 14_Not_for_upload_before_M4_correc" xfId="14448" xr:uid="{EC747E0C-2A01-4A98-A833-923F3450A920}"/>
    <cellStyle name="40% - Accent2 15" xfId="8844" xr:uid="{1949DDD4-47C4-4B3D-AD76-706418063384}"/>
    <cellStyle name="40% - Accent2 15 2" xfId="8845" xr:uid="{FC346423-8294-4B2B-8A7E-FE361A646925}"/>
    <cellStyle name="40% - Accent2 15 2 2" xfId="8846" xr:uid="{85C3A575-B748-4BE0-A132-4103E882891A}"/>
    <cellStyle name="40% - Accent2 15 2 2 2" xfId="8847" xr:uid="{466F3503-7B01-41B7-A9BF-BDF392FAFBDD}"/>
    <cellStyle name="40% - Accent2 15 2 2_Working Capital Current" xfId="14449" xr:uid="{D743D968-A43A-4D68-987B-540CAB14763F}"/>
    <cellStyle name="40% - Accent2 15 2 3" xfId="8848" xr:uid="{65B3AEC3-19CB-492E-899C-6A56DDBCA5BE}"/>
    <cellStyle name="40% - Accent2 15 2 4" xfId="8849" xr:uid="{239F7376-328C-426F-AB49-D75CCD273D67}"/>
    <cellStyle name="40% - Accent2 15 2_Working Capital Current" xfId="14450" xr:uid="{BD90AF7B-2038-40ED-A9F9-2250D366BB5A}"/>
    <cellStyle name="40% - Accent2 15 3" xfId="8850" xr:uid="{5C0848C4-6EF8-4297-ACBC-ED256812E9D3}"/>
    <cellStyle name="40% - Accent2 15 3 2" xfId="8851" xr:uid="{68B1D61E-DE1B-45B5-BFD9-A555D49927D2}"/>
    <cellStyle name="40% - Accent2 15 3_Working Capital Current" xfId="14451" xr:uid="{3DB56461-D79D-4E66-AB74-E950D973D3E6}"/>
    <cellStyle name="40% - Accent2 15 4" xfId="8852" xr:uid="{69A92468-CC4F-4648-80E5-36D9BBBE8142}"/>
    <cellStyle name="40% - Accent2 15 5" xfId="8853" xr:uid="{9DA42106-028D-43D8-A856-B67A7A10BEE5}"/>
    <cellStyle name="40% - Accent2 15_Not_for_upload_before_M4_correc" xfId="14452" xr:uid="{BAC622C0-9E07-4946-B8A7-D526F97AF4DB}"/>
    <cellStyle name="40% - Accent2 16" xfId="8854" xr:uid="{E93E65EB-F217-4721-B675-3509FA5BDE26}"/>
    <cellStyle name="40% - Accent2 16 2" xfId="8855" xr:uid="{CC120AF0-91C8-4760-89B3-480B4333E9EB}"/>
    <cellStyle name="40% - Accent2 16 2 2" xfId="8856" xr:uid="{E8581722-F245-4B80-BAC0-8E5A9C63125D}"/>
    <cellStyle name="40% - Accent2 16 2 2 2" xfId="8857" xr:uid="{1E82BA1F-9358-43A6-8205-9E817176845D}"/>
    <cellStyle name="40% - Accent2 16 2 2_Working Capital Current" xfId="14453" xr:uid="{5577C576-4F80-4A74-A37B-38115546C0E9}"/>
    <cellStyle name="40% - Accent2 16 2 3" xfId="8858" xr:uid="{482B1F89-A31D-4581-8F6C-59AB3F40CF3A}"/>
    <cellStyle name="40% - Accent2 16 2 4" xfId="8859" xr:uid="{C33F5D39-6B9D-429E-A478-6DABE691BC44}"/>
    <cellStyle name="40% - Accent2 16 2_Working Capital Current" xfId="14454" xr:uid="{CEFB2EB7-5937-4C35-894A-63060859B73D}"/>
    <cellStyle name="40% - Accent2 16 3" xfId="8860" xr:uid="{5B1592F8-A877-496F-ABFB-781516BBB0DC}"/>
    <cellStyle name="40% - Accent2 16 3 2" xfId="8861" xr:uid="{C7213D9A-72EE-40AB-BCA0-FE4C6AEB3755}"/>
    <cellStyle name="40% - Accent2 16 3_Working Capital Current" xfId="14455" xr:uid="{BAF66445-AFB7-46A7-95B9-A5A47ACD8693}"/>
    <cellStyle name="40% - Accent2 16 4" xfId="8862" xr:uid="{1DFEB3DC-F40D-427C-8448-F04E17C38FD7}"/>
    <cellStyle name="40% - Accent2 16 5" xfId="8863" xr:uid="{E309EB96-1D3C-4128-9BB6-9A7810B9E2EE}"/>
    <cellStyle name="40% - Accent2 16_Not_for_upload_before_M4_correc" xfId="14456" xr:uid="{63C33EE7-5A1C-447F-B6DB-C5951B5AFF7B}"/>
    <cellStyle name="40% - Accent2 17" xfId="8864" xr:uid="{CCB52C8C-1049-4D9B-A025-26DDC2CD5384}"/>
    <cellStyle name="40% - Accent2 17 2" xfId="8865" xr:uid="{569B08B8-3DD8-4F89-9EA3-6077D2CF1418}"/>
    <cellStyle name="40% - Accent2 17 2 2" xfId="8866" xr:uid="{3DCA5772-5C34-4DBA-A422-E87480690FC6}"/>
    <cellStyle name="40% - Accent2 17 2 2 2" xfId="8867" xr:uid="{71F68762-6C57-493E-B763-A0408E21B157}"/>
    <cellStyle name="40% - Accent2 17 2 2_Working Capital Current" xfId="14457" xr:uid="{CA7491BD-1896-4ABD-9118-767865E82B9C}"/>
    <cellStyle name="40% - Accent2 17 2 3" xfId="8868" xr:uid="{D92BBA5E-45CA-435B-9A36-D8C38224F087}"/>
    <cellStyle name="40% - Accent2 17 2 4" xfId="8869" xr:uid="{7B2CE21C-1EFD-4D4A-8FDE-14BAAD56C151}"/>
    <cellStyle name="40% - Accent2 17 2_Working Capital Current" xfId="14458" xr:uid="{AAE9B25A-B269-4A89-9FF2-194C6D3DFE38}"/>
    <cellStyle name="40% - Accent2 17 3" xfId="8870" xr:uid="{1DEE9CEA-0329-4695-A62A-8997B1E8D6D4}"/>
    <cellStyle name="40% - Accent2 17 3 2" xfId="8871" xr:uid="{12EF63A3-5730-46BA-AE98-5468D0047AF5}"/>
    <cellStyle name="40% - Accent2 17 3_Working Capital Current" xfId="14459" xr:uid="{3B085C44-4C28-4071-B3DC-078803D1C36A}"/>
    <cellStyle name="40% - Accent2 17 4" xfId="8872" xr:uid="{F9F9BB51-A28B-4DBC-834C-A44746345661}"/>
    <cellStyle name="40% - Accent2 17 5" xfId="8873" xr:uid="{28BB3F62-FFC2-4E03-94AD-B544706E1AFC}"/>
    <cellStyle name="40% - Accent2 17_Not_for_upload_before_M4_correc" xfId="14460" xr:uid="{FCC7E31B-1AA5-4959-A4AB-7150F3FDCE78}"/>
    <cellStyle name="40% - Accent2 18" xfId="8874" xr:uid="{C6F800C4-1608-460B-AE77-E819A138E1B3}"/>
    <cellStyle name="40% - Accent2 18 2" xfId="8875" xr:uid="{ADE9B8B9-CB71-49B4-B879-C2513BEACB56}"/>
    <cellStyle name="40% - Accent2 18 2 2" xfId="8876" xr:uid="{369F5843-8893-4F8E-9BDB-FD892D890A84}"/>
    <cellStyle name="40% - Accent2 18 2 2 2" xfId="8877" xr:uid="{8168DF75-D2D1-41DB-9DB4-40FF36073A49}"/>
    <cellStyle name="40% - Accent2 18 2 2_Working Capital Current" xfId="14461" xr:uid="{F3DCC6A2-79F7-4790-81BB-BC1BA8456CFE}"/>
    <cellStyle name="40% - Accent2 18 2 3" xfId="8878" xr:uid="{E197BB51-9F9C-48FB-9F38-E70903E55209}"/>
    <cellStyle name="40% - Accent2 18 2 4" xfId="8879" xr:uid="{730D08F1-4E7B-41F5-BB49-BAB01B852871}"/>
    <cellStyle name="40% - Accent2 18 2_Working Capital Current" xfId="14462" xr:uid="{54C2751E-9191-4AAC-BD46-BAC4B8A53FA4}"/>
    <cellStyle name="40% - Accent2 18 3" xfId="8880" xr:uid="{C3C58C08-850C-416B-B478-10452A445C22}"/>
    <cellStyle name="40% - Accent2 18 3 2" xfId="8881" xr:uid="{1EEF9662-7933-4F66-94DE-74F602FD4B3F}"/>
    <cellStyle name="40% - Accent2 18 3_Working Capital Current" xfId="14463" xr:uid="{885A11F0-E98C-4F8D-9323-A5699F70E334}"/>
    <cellStyle name="40% - Accent2 18 4" xfId="8882" xr:uid="{4FBDC118-10CC-40FD-ADB4-11982881E2BF}"/>
    <cellStyle name="40% - Accent2 18 5" xfId="8883" xr:uid="{27484FA7-C69C-49D9-9E50-88C671AFEB26}"/>
    <cellStyle name="40% - Accent2 18_Not_for_upload_before_M4_correc" xfId="14464" xr:uid="{40BB0619-3717-4C43-9D79-4682BDE02C3B}"/>
    <cellStyle name="40% - Accent2 19" xfId="8884" xr:uid="{CBB0C4E8-2E5A-4275-907B-E4F0BFF67C59}"/>
    <cellStyle name="40% - Accent2 19 2" xfId="8885" xr:uid="{BBE970B7-14FA-4ED3-A038-27C8008FEEDF}"/>
    <cellStyle name="40% - Accent2 19 2 2" xfId="8886" xr:uid="{15870B56-6A5B-439D-82ED-5618623E8894}"/>
    <cellStyle name="40% - Accent2 19 2 2 2" xfId="8887" xr:uid="{1725460D-DFDB-4FD4-84ED-4BFDCCBF8EF7}"/>
    <cellStyle name="40% - Accent2 19 2 2_Working Capital Current" xfId="14465" xr:uid="{E091EC30-FC2D-4FBA-8623-7ACE4CC1B38B}"/>
    <cellStyle name="40% - Accent2 19 2 3" xfId="8888" xr:uid="{8C6681A9-4C41-4266-944C-C2498BE81D89}"/>
    <cellStyle name="40% - Accent2 19 2 4" xfId="8889" xr:uid="{7850F3B4-988A-40C3-A081-4E4EA66FE09E}"/>
    <cellStyle name="40% - Accent2 19 2_Working Capital Current" xfId="14466" xr:uid="{F3D68047-9B26-4F8B-8A79-5F3199D1D1FE}"/>
    <cellStyle name="40% - Accent2 19 3" xfId="8890" xr:uid="{30E84385-594F-41A8-9BBE-9D11581A1CE1}"/>
    <cellStyle name="40% - Accent2 19 3 2" xfId="8891" xr:uid="{7D390865-7B06-4FEA-9D88-2B60AC2F475F}"/>
    <cellStyle name="40% - Accent2 19 3_Working Capital Current" xfId="14467" xr:uid="{CAD6AB0F-2356-41CF-BBA2-210E74FFA1F9}"/>
    <cellStyle name="40% - Accent2 19 4" xfId="8892" xr:uid="{814FF72A-2318-480F-8DC8-1F5986903B85}"/>
    <cellStyle name="40% - Accent2 19 5" xfId="8893" xr:uid="{D026952B-2986-45CF-8E21-1A5491B56C8C}"/>
    <cellStyle name="40% - Accent2 19_Not_for_upload_before_M4_correc" xfId="14468" xr:uid="{C74FA27B-9815-4AC4-9650-D6C72530C973}"/>
    <cellStyle name="40% - Accent2 2" xfId="93" xr:uid="{34DDB186-640A-44D0-B1A4-826FBDBE69C5}"/>
    <cellStyle name="40% - Accent2 2 10" xfId="8894" xr:uid="{E1390280-AA8A-449D-9784-3F644F45AFA6}"/>
    <cellStyle name="40% - Accent2 2 11" xfId="16524" xr:uid="{71ADC26E-7D9C-49AE-8787-36C0225CD1D6}"/>
    <cellStyle name="40% - Accent2 2 12" xfId="17173" xr:uid="{827D18DB-0862-4AAD-9351-F9E2A62A2D5A}"/>
    <cellStyle name="40% - Accent2 2 2" xfId="94" xr:uid="{6A86C6B6-1C8F-49BC-8829-DBD7D5BF9DEB}"/>
    <cellStyle name="40% - Accent2 2 2 2" xfId="1924" xr:uid="{EFFC2F4E-2899-472C-856F-826877223E8A}"/>
    <cellStyle name="40% - Accent2 2 2 2 2" xfId="8897" xr:uid="{95844DE0-2790-4ECE-A93C-98A647DD13B4}"/>
    <cellStyle name="40% - Accent2 2 2 2 2 2" xfId="8898" xr:uid="{FE8F111B-A403-4A76-8E3A-ACC70EC7AB09}"/>
    <cellStyle name="40% - Accent2 2 2 2 2_Working Capital Current" xfId="14469" xr:uid="{4CDB9BDA-0297-4674-9C5B-16CB742FC286}"/>
    <cellStyle name="40% - Accent2 2 2 2 3" xfId="8899" xr:uid="{DB983196-B473-40E5-9055-EB5ECE4A9837}"/>
    <cellStyle name="40% - Accent2 2 2 2 4" xfId="8900" xr:uid="{EFAAF682-F2B9-44DF-B13B-940F7E313F22}"/>
    <cellStyle name="40% - Accent2 2 2 2 5" xfId="17654" xr:uid="{962A383A-4E7F-4CE5-B37A-09E71EBE5154}"/>
    <cellStyle name="40% - Accent2 2 2 2 6" xfId="18207" xr:uid="{D8C605C0-43B3-40EC-BE7C-802E33BEB94B}"/>
    <cellStyle name="40% - Accent2 2 2 2 7" xfId="8896" xr:uid="{E09CD7C7-D579-422C-9CF8-26F7E4B65FD4}"/>
    <cellStyle name="40% - Accent2 2 2 2_Working Capital Current" xfId="14470" xr:uid="{AED29C39-9772-4CD6-A564-A385C1225784}"/>
    <cellStyle name="40% - Accent2 2 2 3" xfId="8901" xr:uid="{5502350F-E017-48A0-B3F1-39444FEC7D37}"/>
    <cellStyle name="40% - Accent2 2 2 3 2" xfId="8902" xr:uid="{6813F20D-2BEB-48AB-B081-70C5F81D1886}"/>
    <cellStyle name="40% - Accent2 2 2 3_Working Capital Current" xfId="14471" xr:uid="{C62EE2E6-DCC2-47E7-9301-CE5793361460}"/>
    <cellStyle name="40% - Accent2 2 2 4" xfId="8903" xr:uid="{2DDD6FFE-B552-4E74-AD3B-F84F5ED1881B}"/>
    <cellStyle name="40% - Accent2 2 2 5" xfId="8904" xr:uid="{72395131-473F-4C3D-B339-097CC491C7AB}"/>
    <cellStyle name="40% - Accent2 2 2 6" xfId="8895" xr:uid="{EB2A409A-5B3F-45C1-B22C-93E00419809B}"/>
    <cellStyle name="40% - Accent2 2 2 7" xfId="16525" xr:uid="{5509946F-87C1-485A-B888-8B2741CFFFFF}"/>
    <cellStyle name="40% - Accent2 2 2 8" xfId="16973" xr:uid="{5638E5BD-F267-44FF-880C-C8F1D44CB49F}"/>
    <cellStyle name="40% - Accent2 2 2_Not_for_upload_before_M4_correc" xfId="14472" xr:uid="{9423E9A6-0795-4BA7-BB93-1BCCD8B393E9}"/>
    <cellStyle name="40% - Accent2 2 3" xfId="1923" xr:uid="{7F2519B0-1FF4-424D-BF04-586E330FE6BA}"/>
    <cellStyle name="40% - Accent2 2 3 2" xfId="8906" xr:uid="{11AF6738-0ED7-43F4-9CD4-78E12FAD5332}"/>
    <cellStyle name="40% - Accent2 2 3 2 2" xfId="8907" xr:uid="{2B367C1C-ACCB-4402-8045-6C15963F0347}"/>
    <cellStyle name="40% - Accent2 2 3 2 2 2" xfId="8908" xr:uid="{921A2CCC-4FC3-4616-90CE-CA69672ABEE6}"/>
    <cellStyle name="40% - Accent2 2 3 2 2_Working Capital Current" xfId="14473" xr:uid="{6A46F446-28E1-436B-801E-50C262EB0BFC}"/>
    <cellStyle name="40% - Accent2 2 3 2 3" xfId="8909" xr:uid="{9BAE0040-0941-4B6F-8828-D71045128CBD}"/>
    <cellStyle name="40% - Accent2 2 3 2 4" xfId="8910" xr:uid="{A0316457-0A20-4D0A-AF0E-AF9DC65E21BA}"/>
    <cellStyle name="40% - Accent2 2 3 2_Working Capital Current" xfId="14474" xr:uid="{FA37BE20-8A09-44A6-AC22-4696CD7ACD1F}"/>
    <cellStyle name="40% - Accent2 2 3 3" xfId="8911" xr:uid="{400F0FD9-8A39-4959-B705-548F0DEEDECE}"/>
    <cellStyle name="40% - Accent2 2 3 3 2" xfId="8912" xr:uid="{5DCE1E02-49F3-41A9-B752-ACFD2301EF5F}"/>
    <cellStyle name="40% - Accent2 2 3 3_Working Capital Current" xfId="14475" xr:uid="{75A5A50D-F2F0-4016-B172-82603AE0CFF1}"/>
    <cellStyle name="40% - Accent2 2 3 4" xfId="8913" xr:uid="{C1A1F8C9-1A9E-4881-BACE-E565E366E8FA}"/>
    <cellStyle name="40% - Accent2 2 3 5" xfId="8914" xr:uid="{259CAEF3-2083-406F-A42A-955C3C236314}"/>
    <cellStyle name="40% - Accent2 2 3 6" xfId="17653" xr:uid="{FEBF36D4-F334-4EF8-A61C-42E8764F72B1}"/>
    <cellStyle name="40% - Accent2 2 3 7" xfId="18206" xr:uid="{E7C0EB04-94ED-42B6-81BC-82ECFD30C6C9}"/>
    <cellStyle name="40% - Accent2 2 3 8" xfId="8905" xr:uid="{78FAD3A2-8800-47E7-807F-B6FD6E7F526A}"/>
    <cellStyle name="40% - Accent2 2 3_Not_for_upload_before_M4_correc" xfId="14476" xr:uid="{BD6F0CB1-142E-4B49-9CFF-B83A1232A00E}"/>
    <cellStyle name="40% - Accent2 2 4" xfId="8915" xr:uid="{229FCB8D-580F-4E33-AFB9-3F6FECDC7B11}"/>
    <cellStyle name="40% - Accent2 2 4 2" xfId="8916" xr:uid="{EA9A1893-0E1B-47A2-85A1-08F9783D0E90}"/>
    <cellStyle name="40% - Accent2 2 4 2 2" xfId="8917" xr:uid="{226A33B3-7FEF-4AC9-8314-6B4B8B34EEBB}"/>
    <cellStyle name="40% - Accent2 2 4 2 2 2" xfId="8918" xr:uid="{C8875146-4E41-490C-B144-5F119A98D48E}"/>
    <cellStyle name="40% - Accent2 2 4 2 2_Working Capital Current" xfId="14477" xr:uid="{F6F5E7C5-959E-44B0-9B19-F3342E9224B1}"/>
    <cellStyle name="40% - Accent2 2 4 2 3" xfId="8919" xr:uid="{BDE8A091-C665-401C-886E-C54DF51F8C30}"/>
    <cellStyle name="40% - Accent2 2 4 2 4" xfId="8920" xr:uid="{2B4D3EFD-31BF-4166-A548-B628FBE55845}"/>
    <cellStyle name="40% - Accent2 2 4 2_Working Capital Current" xfId="14478" xr:uid="{A13714C1-FFB4-4771-8006-9C1F89BCD703}"/>
    <cellStyle name="40% - Accent2 2 4 3" xfId="8921" xr:uid="{8C6AD93E-492C-40DD-AA95-8B9901FF0514}"/>
    <cellStyle name="40% - Accent2 2 4 3 2" xfId="8922" xr:uid="{DAB8B54B-4635-4FA9-A432-31F549D29F33}"/>
    <cellStyle name="40% - Accent2 2 4 3_Working Capital Current" xfId="14479" xr:uid="{0BD385A4-BDB8-44B6-81FE-DB7A28546723}"/>
    <cellStyle name="40% - Accent2 2 4 4" xfId="8923" xr:uid="{F0FFBC17-91DC-4148-ABC8-F0CA603253B4}"/>
    <cellStyle name="40% - Accent2 2 4 5" xfId="8924" xr:uid="{7174BBA6-4EB2-4760-B470-1A0239901F45}"/>
    <cellStyle name="40% - Accent2 2 4_Not_for_upload_before_M4_correc" xfId="14480" xr:uid="{5A3D2421-B401-4CCF-8B34-F79C9563C497}"/>
    <cellStyle name="40% - Accent2 2 5" xfId="8925" xr:uid="{BA19D019-7F7A-452B-826C-8209400832E1}"/>
    <cellStyle name="40% - Accent2 2 5 2" xfId="8926" xr:uid="{25E7AEF6-086B-4C9D-9952-D79946E01EE1}"/>
    <cellStyle name="40% - Accent2 2 5 2 2" xfId="8927" xr:uid="{E56022CA-624F-440A-AF46-BDA89DF69C55}"/>
    <cellStyle name="40% - Accent2 2 5 2_Working Capital Current" xfId="14481" xr:uid="{084C410B-2A07-4477-9FF6-AF16087868EB}"/>
    <cellStyle name="40% - Accent2 2 5 3" xfId="8928" xr:uid="{94FF023A-A08B-4727-8189-38D56E3802CB}"/>
    <cellStyle name="40% - Accent2 2 5_Working Capital Current" xfId="14482" xr:uid="{9B77A272-D7D4-41BD-900E-043B47B6C5F7}"/>
    <cellStyle name="40% - Accent2 2 6" xfId="8929" xr:uid="{E9334094-E39E-4CF8-B125-C2BC01CEE5A0}"/>
    <cellStyle name="40% - Accent2 2 6 2" xfId="8930" xr:uid="{E5C1B1FE-62B7-4DAC-8C2F-D70B7843FED8}"/>
    <cellStyle name="40% - Accent2 2 6_Working Capital Current" xfId="14483" xr:uid="{D93960C9-6D39-401E-A701-20D1734C927A}"/>
    <cellStyle name="40% - Accent2 2 7" xfId="8931" xr:uid="{A05B79C4-E813-4C1C-8D42-A8770AA2949C}"/>
    <cellStyle name="40% - Accent2 2 7 2" xfId="8932" xr:uid="{5A31DCA8-6F1C-4A2C-90ED-B495335077DA}"/>
    <cellStyle name="40% - Accent2 2 7_Working Capital Current" xfId="14484" xr:uid="{984E0D8A-A27B-4C7D-B3BD-D64B42A6DBC2}"/>
    <cellStyle name="40% - Accent2 2 8" xfId="8933" xr:uid="{71248B7B-9822-4D05-9057-B735972DBB55}"/>
    <cellStyle name="40% - Accent2 2 9" xfId="8934" xr:uid="{1B357713-7CD4-49EE-8CD1-FD2DB0C1CAD7}"/>
    <cellStyle name="40% - Accent2 2_Not_for_upload_before_M4_correc" xfId="14485" xr:uid="{69C07B52-2CA9-4619-88B9-E61090FB7A15}"/>
    <cellStyle name="40% - Accent2 20" xfId="8935" xr:uid="{565B7F29-6767-49E3-B9ED-A3236863336B}"/>
    <cellStyle name="40% - Accent2 20 2" xfId="8936" xr:uid="{197C3931-C7F3-44E8-92BD-F9626FE1C48D}"/>
    <cellStyle name="40% - Accent2 20 2 2" xfId="8937" xr:uid="{71DA159C-DBEE-4659-9B1C-18DF664F1D13}"/>
    <cellStyle name="40% - Accent2 20 2 2 2" xfId="8938" xr:uid="{BC9AAE9E-B4E7-4EB3-B92F-52AAFF51E4D8}"/>
    <cellStyle name="40% - Accent2 20 2 2_Working Capital Current" xfId="14486" xr:uid="{3D3050FA-5518-4048-8C3F-2688C38B55A9}"/>
    <cellStyle name="40% - Accent2 20 2 3" xfId="8939" xr:uid="{8635AA76-34C3-4CC9-9E84-C0E7DD885AAD}"/>
    <cellStyle name="40% - Accent2 20 2 4" xfId="8940" xr:uid="{B1B34E8B-96B8-4A3C-B9F6-1FB2987303F5}"/>
    <cellStyle name="40% - Accent2 20 2_Working Capital Current" xfId="14487" xr:uid="{B65EF398-CBAC-4E61-B184-71A9DF3AC8B8}"/>
    <cellStyle name="40% - Accent2 20 3" xfId="8941" xr:uid="{CD42E571-C7C3-4CAD-813A-2EB163D110D2}"/>
    <cellStyle name="40% - Accent2 20 3 2" xfId="8942" xr:uid="{9776CF36-D416-4D37-AA94-0E17DE28987A}"/>
    <cellStyle name="40% - Accent2 20 3_Working Capital Current" xfId="14488" xr:uid="{E9C8DC48-7529-4387-8051-BCC0B4E8A7AC}"/>
    <cellStyle name="40% - Accent2 20 4" xfId="8943" xr:uid="{D7BFDCF5-35DC-4CB3-B387-890D7198D12B}"/>
    <cellStyle name="40% - Accent2 20 5" xfId="8944" xr:uid="{02706F8F-2772-4F83-A8F7-1D1F2B0A3C78}"/>
    <cellStyle name="40% - Accent2 20_Not_for_upload_before_M4_correc" xfId="14489" xr:uid="{6E8D65ED-9821-4025-9952-9A235ACD2801}"/>
    <cellStyle name="40% - Accent2 21" xfId="8945" xr:uid="{680F2D82-A72D-4685-84F0-64BB5C3E6FAC}"/>
    <cellStyle name="40% - Accent2 21 2" xfId="8946" xr:uid="{53A0E5C6-CF3B-4F14-9247-5FB8AA65F54B}"/>
    <cellStyle name="40% - Accent2 21 2 2" xfId="8947" xr:uid="{BF8E84A1-8C06-4935-BA8C-9057910E9DAD}"/>
    <cellStyle name="40% - Accent2 21 2 2 2" xfId="8948" xr:uid="{0108F9D4-C758-43EA-B8FC-B67B072D35F2}"/>
    <cellStyle name="40% - Accent2 21 2 2_Working Capital Current" xfId="14490" xr:uid="{EFA0A714-C04E-4FB2-9E72-D7F6BD94A8BA}"/>
    <cellStyle name="40% - Accent2 21 2 3" xfId="8949" xr:uid="{DF9922D8-21E8-49BD-9A8A-E3B648557A97}"/>
    <cellStyle name="40% - Accent2 21 2 4" xfId="8950" xr:uid="{2A20217A-DFCB-4591-BDB0-7C7E97425D94}"/>
    <cellStyle name="40% - Accent2 21 2_Working Capital Current" xfId="14491" xr:uid="{F598B63E-C2A8-4923-84AC-C8EA687355B2}"/>
    <cellStyle name="40% - Accent2 21 3" xfId="8951" xr:uid="{1A9A235E-5D61-4071-81B5-EBD2ADEC93D2}"/>
    <cellStyle name="40% - Accent2 21 3 2" xfId="8952" xr:uid="{08879020-28E6-407B-B079-907FD44C715D}"/>
    <cellStyle name="40% - Accent2 21 3_Working Capital Current" xfId="14492" xr:uid="{01053347-6575-4FB7-A9F1-C5E9319D1FEE}"/>
    <cellStyle name="40% - Accent2 21 4" xfId="8953" xr:uid="{E7046AB0-0A3C-410B-BF7A-F0154499E24D}"/>
    <cellStyle name="40% - Accent2 21 5" xfId="8954" xr:uid="{AB716221-7489-42E3-9E76-A1B23A0CE0F4}"/>
    <cellStyle name="40% - Accent2 21_Not_for_upload_before_M4_correc" xfId="14493" xr:uid="{91A7F9A5-7429-4070-ADC5-4944D987B195}"/>
    <cellStyle name="40% - Accent2 22" xfId="8955" xr:uid="{D11D138C-383C-4E1D-98F1-CA4C463DB540}"/>
    <cellStyle name="40% - Accent2 22 2" xfId="8956" xr:uid="{7FC3C9C7-6C42-48D7-8D6F-9CD11B473729}"/>
    <cellStyle name="40% - Accent2 22 2 2" xfId="8957" xr:uid="{7E5ECA34-C130-40B0-8F75-10C2EA135431}"/>
    <cellStyle name="40% - Accent2 22 2 2 2" xfId="8958" xr:uid="{9D44C965-3946-45C5-B677-3533305BC1A8}"/>
    <cellStyle name="40% - Accent2 22 2 2_Working Capital Current" xfId="14494" xr:uid="{5CA62CAF-C007-45BE-8045-0F66847028AA}"/>
    <cellStyle name="40% - Accent2 22 2 3" xfId="8959" xr:uid="{F4AFE3B4-E961-4290-AE5F-EEE8003F6DA4}"/>
    <cellStyle name="40% - Accent2 22 2 4" xfId="8960" xr:uid="{DD7D4691-06B9-4EB6-900C-F6192B82E136}"/>
    <cellStyle name="40% - Accent2 22 2_Working Capital Current" xfId="14495" xr:uid="{98C7CABA-B9D4-463B-A380-CF5AD3B8348A}"/>
    <cellStyle name="40% - Accent2 22 3" xfId="8961" xr:uid="{482ABA0C-16DF-4605-AB25-492456EF3F88}"/>
    <cellStyle name="40% - Accent2 22 3 2" xfId="8962" xr:uid="{82273437-E7DF-47AD-8923-A8F1893AAA74}"/>
    <cellStyle name="40% - Accent2 22 3_Working Capital Current" xfId="14496" xr:uid="{69A71170-F384-413D-A4D0-DA3498BEF946}"/>
    <cellStyle name="40% - Accent2 22 4" xfId="8963" xr:uid="{5A0537E7-0851-4200-9A5F-C2AD51B57726}"/>
    <cellStyle name="40% - Accent2 22 5" xfId="8964" xr:uid="{E9B57E4E-5595-4F47-94E8-ED98FB7045DC}"/>
    <cellStyle name="40% - Accent2 22_Not_for_upload_before_M4_correc" xfId="14497" xr:uid="{B3740F3D-1FDE-4862-A887-40DCB6D03FE4}"/>
    <cellStyle name="40% - Accent2 23" xfId="8965" xr:uid="{68460216-C69A-4B73-AC2C-7DEF2EA0D6C2}"/>
    <cellStyle name="40% - Accent2 23 2" xfId="8966" xr:uid="{1E21B566-AB1A-415B-8172-6367903AAF57}"/>
    <cellStyle name="40% - Accent2 23 2 2" xfId="8967" xr:uid="{7C8110A2-D282-4F10-A0B3-AE824BBA4371}"/>
    <cellStyle name="40% - Accent2 23 2 2 2" xfId="8968" xr:uid="{416EB46B-B5CC-4067-9E10-1C45F5E3EA2C}"/>
    <cellStyle name="40% - Accent2 23 2 2_Working Capital Current" xfId="14498" xr:uid="{D62B608B-0704-4C14-BF5E-5F660A136FF4}"/>
    <cellStyle name="40% - Accent2 23 2 3" xfId="8969" xr:uid="{7AF94FCA-F6A3-4590-9EEF-6C77B5DF1651}"/>
    <cellStyle name="40% - Accent2 23 2 4" xfId="8970" xr:uid="{49FFA57E-DFB6-4D5C-AED9-F744FC3EB211}"/>
    <cellStyle name="40% - Accent2 23 2_Working Capital Current" xfId="14499" xr:uid="{A41ABC03-872B-47EA-8595-9B220E93037F}"/>
    <cellStyle name="40% - Accent2 23 3" xfId="8971" xr:uid="{44FDB9A6-0F11-4B19-9783-9CE9068CDCD9}"/>
    <cellStyle name="40% - Accent2 23 3 2" xfId="8972" xr:uid="{34DC42AE-DFC3-44AF-B292-9A7ED4A92F7D}"/>
    <cellStyle name="40% - Accent2 23 3_Working Capital Current" xfId="14500" xr:uid="{8B26DDA6-0F0A-4D60-92BA-03A8E2EFC4FE}"/>
    <cellStyle name="40% - Accent2 23 4" xfId="8973" xr:uid="{335433FA-2F1A-403F-9A61-D65A9D268584}"/>
    <cellStyle name="40% - Accent2 23 5" xfId="8974" xr:uid="{753BBCCA-A386-4AC4-B7A4-A01F5409E62E}"/>
    <cellStyle name="40% - Accent2 23_Not_for_upload_before_M4_correc" xfId="14501" xr:uid="{8D2BEFFE-F0C7-4A9E-A1C5-49D09AC97406}"/>
    <cellStyle name="40% - Accent2 24" xfId="8975" xr:uid="{2B412191-5887-4561-9D00-FE5F8034C514}"/>
    <cellStyle name="40% - Accent2 24 2" xfId="8976" xr:uid="{6234BABE-B4EC-44CE-9B60-D37D93BD15EC}"/>
    <cellStyle name="40% - Accent2 24 2 2" xfId="8977" xr:uid="{7FEFEA24-0FC5-40B2-9DDA-FE522418E676}"/>
    <cellStyle name="40% - Accent2 24 2 2 2" xfId="8978" xr:uid="{F991D5B0-4841-4C7A-9588-5A3E3065DA93}"/>
    <cellStyle name="40% - Accent2 24 2 2_Working Capital Current" xfId="14502" xr:uid="{5B3724BE-E4DA-4F1C-9550-682D5ED7363A}"/>
    <cellStyle name="40% - Accent2 24 2 3" xfId="8979" xr:uid="{E4E03CF7-8DF2-4EFC-B0DA-FB8EF61085C8}"/>
    <cellStyle name="40% - Accent2 24 2 4" xfId="8980" xr:uid="{04589F65-941D-43B8-865B-541BAF06A5AE}"/>
    <cellStyle name="40% - Accent2 24 2_Working Capital Current" xfId="14503" xr:uid="{38DB425D-4D12-498B-8B24-8836F432C52C}"/>
    <cellStyle name="40% - Accent2 24 3" xfId="8981" xr:uid="{0E2FFC3F-650F-4BA9-884F-F7B4BB71DC84}"/>
    <cellStyle name="40% - Accent2 24 3 2" xfId="8982" xr:uid="{482EE3D8-892D-4AE2-AB01-0CDDC817C492}"/>
    <cellStyle name="40% - Accent2 24 3_Working Capital Current" xfId="14504" xr:uid="{25ACC141-29A1-4B08-8FA8-9937F75EF9FF}"/>
    <cellStyle name="40% - Accent2 24 4" xfId="8983" xr:uid="{13B07BAF-9714-4289-BD01-D06C2A42AE19}"/>
    <cellStyle name="40% - Accent2 24 5" xfId="8984" xr:uid="{64FA9D38-C744-4F90-A1DB-86FDD906A07B}"/>
    <cellStyle name="40% - Accent2 24_Not_for_upload_before_M4_correc" xfId="14505" xr:uid="{ED293D38-0B24-4E2A-AB33-3F1E830657E6}"/>
    <cellStyle name="40% - Accent2 25" xfId="8985" xr:uid="{5CFF1265-2726-4F80-9ECC-FEF3DC6E5CC4}"/>
    <cellStyle name="40% - Accent2 25 2" xfId="8986" xr:uid="{B1DDC2FD-6889-4F6F-A5F4-3FB6DC118218}"/>
    <cellStyle name="40% - Accent2 25 2 2" xfId="8987" xr:uid="{2C13A825-8F3D-45AD-B046-D92347DE737C}"/>
    <cellStyle name="40% - Accent2 25 2 2 2" xfId="8988" xr:uid="{DAF65B6C-E741-4E92-92FA-B711175377B5}"/>
    <cellStyle name="40% - Accent2 25 2 2_Working Capital Current" xfId="14506" xr:uid="{63859A68-398E-40E1-A928-EB489DFA1C64}"/>
    <cellStyle name="40% - Accent2 25 2 3" xfId="8989" xr:uid="{2D56A5A0-B3D2-4FC8-A270-DE29712C331C}"/>
    <cellStyle name="40% - Accent2 25 2 4" xfId="8990" xr:uid="{31F68083-D53A-4484-ADA2-F81688FEB6E4}"/>
    <cellStyle name="40% - Accent2 25 2_Working Capital Current" xfId="14507" xr:uid="{7B5753AC-D4E1-4BED-92C7-2C637BA62EEC}"/>
    <cellStyle name="40% - Accent2 25 3" xfId="8991" xr:uid="{BF3B41C1-440B-458E-A1A7-823F33EF9ADB}"/>
    <cellStyle name="40% - Accent2 25 3 2" xfId="8992" xr:uid="{7C830077-57F6-4543-968C-6B9C031FF064}"/>
    <cellStyle name="40% - Accent2 25 3_Working Capital Current" xfId="14508" xr:uid="{BF22DEFA-BB2E-4899-9F8D-D698DBEEB0EC}"/>
    <cellStyle name="40% - Accent2 25 4" xfId="8993" xr:uid="{98A4708C-D8E9-4A1A-AD2C-FE71F147F088}"/>
    <cellStyle name="40% - Accent2 25 5" xfId="8994" xr:uid="{28C26998-247E-40F0-9818-CF7423179397}"/>
    <cellStyle name="40% - Accent2 25_Not_for_upload_before_M4_correc" xfId="14509" xr:uid="{C56EDF72-849F-4A2C-90ED-749D75EFED0B}"/>
    <cellStyle name="40% - Accent2 26" xfId="8995" xr:uid="{23E7A70C-8BC4-40EE-96BD-2BC38D02A5F1}"/>
    <cellStyle name="40% - Accent2 26 2" xfId="8996" xr:uid="{EBAD1F2B-6ACC-46A5-9D28-45FD1F8EF5B9}"/>
    <cellStyle name="40% - Accent2 26 2 2" xfId="8997" xr:uid="{9E10A9A9-681D-4616-8B9E-525318533868}"/>
    <cellStyle name="40% - Accent2 26 2 3" xfId="8998" xr:uid="{643A97E7-1933-40B0-8E55-7E92D3DFD4A7}"/>
    <cellStyle name="40% - Accent2 26 2_Working Capital Current" xfId="14510" xr:uid="{DD1F0F25-2BF5-4AC4-B050-48ABA1EE6DD0}"/>
    <cellStyle name="40% - Accent2 26 3" xfId="8999" xr:uid="{5E91DC26-94A4-423A-93BF-72CDFE0651CE}"/>
    <cellStyle name="40% - Accent2 26 3 2" xfId="9000" xr:uid="{3B1230CF-D7E3-40B1-B220-65CFE57A83D8}"/>
    <cellStyle name="40% - Accent2 26 3_Working Capital Current" xfId="14511" xr:uid="{C1366CF7-2C59-4849-9D87-99D5B746AC51}"/>
    <cellStyle name="40% - Accent2 26 4" xfId="9001" xr:uid="{6C434052-F961-4F31-8460-5BCA72E7A7F9}"/>
    <cellStyle name="40% - Accent2 26 5" xfId="9002" xr:uid="{AD20A96B-42E8-4114-BF4A-D087CB9AED8B}"/>
    <cellStyle name="40% - Accent2 26_Not_for_upload_before_M4_correc" xfId="14512" xr:uid="{820ED130-AC31-452C-8D9A-B49938D0E7A2}"/>
    <cellStyle name="40% - Accent2 27" xfId="9003" xr:uid="{410BB1AE-BDF5-486B-9F34-58EB2AD90B4B}"/>
    <cellStyle name="40% - Accent2 27 2" xfId="9004" xr:uid="{C67B29B2-A7D8-4097-99FA-3E5980BCA4FC}"/>
    <cellStyle name="40% - Accent2 27 2 2" xfId="9005" xr:uid="{4C7ECE37-C1F6-4DC8-901D-D786F0769F1E}"/>
    <cellStyle name="40% - Accent2 27 2 3" xfId="9006" xr:uid="{ABE7636A-985C-40CB-83E0-E77EA85469D3}"/>
    <cellStyle name="40% - Accent2 27 2_Working Capital Current" xfId="14513" xr:uid="{A53C2BC5-039C-4402-9258-C1DCCC25D31D}"/>
    <cellStyle name="40% - Accent2 27 3" xfId="9007" xr:uid="{07E7DF1F-9AD2-439B-95B4-6C6CBBE66CA1}"/>
    <cellStyle name="40% - Accent2 27 3 2" xfId="9008" xr:uid="{58B6A514-2CF4-40B3-A8A0-80CD8BDB7033}"/>
    <cellStyle name="40% - Accent2 27 3_Working Capital Current" xfId="14514" xr:uid="{74117EBF-3E6E-42D8-897C-2D42CC928426}"/>
    <cellStyle name="40% - Accent2 27 4" xfId="9009" xr:uid="{236FA160-7D58-452F-BA3C-8DD6DF29FF8A}"/>
    <cellStyle name="40% - Accent2 27 5" xfId="9010" xr:uid="{0C9C8393-5D52-42A1-B34E-E5B5ACB3099B}"/>
    <cellStyle name="40% - Accent2 27_Not_for_upload_before_M4_correc" xfId="14515" xr:uid="{F0369A6D-53CB-4DFE-A1FB-5B7D0351BF7A}"/>
    <cellStyle name="40% - Accent2 28" xfId="9011" xr:uid="{116CE5E8-0BAD-46E8-8234-7EA193149446}"/>
    <cellStyle name="40% - Accent2 28 2" xfId="9012" xr:uid="{E1227957-1573-489C-962D-1896A36FC9C4}"/>
    <cellStyle name="40% - Accent2 28 2 2" xfId="9013" xr:uid="{3D597D3A-6753-47A6-97F1-E1826B693C4A}"/>
    <cellStyle name="40% - Accent2 28 2 3" xfId="9014" xr:uid="{04AA24A5-1252-4B13-B700-B4DF5E9B0543}"/>
    <cellStyle name="40% - Accent2 28 2_Working Capital Current" xfId="14516" xr:uid="{36798ECD-34ED-44FB-8BC9-29DF9806B9B6}"/>
    <cellStyle name="40% - Accent2 28 3" xfId="9015" xr:uid="{8871C649-08A7-4AC6-BA9B-BAFC319D7532}"/>
    <cellStyle name="40% - Accent2 28 3 2" xfId="9016" xr:uid="{92D1687B-2070-4AE6-806E-C78C38AF7477}"/>
    <cellStyle name="40% - Accent2 28 3_Working Capital Current" xfId="14517" xr:uid="{77F1D060-E733-4728-9B81-CE3CC1DDAF2D}"/>
    <cellStyle name="40% - Accent2 28 4" xfId="9017" xr:uid="{BCCFA181-7E89-47A9-B0EF-7BE9303C1D05}"/>
    <cellStyle name="40% - Accent2 28 5" xfId="9018" xr:uid="{72065EC7-462C-45FE-9EFE-A47509AA2BBE}"/>
    <cellStyle name="40% - Accent2 28_Not_for_upload_before_M4_correc" xfId="14518" xr:uid="{01AFB678-F129-4C80-9510-BF84F2C7D4B6}"/>
    <cellStyle name="40% - Accent2 29" xfId="9019" xr:uid="{AB9CB39C-1D66-4974-B92D-A3F6954FF941}"/>
    <cellStyle name="40% - Accent2 29 2" xfId="9020" xr:uid="{ECAC6ED3-0CDE-4E67-B39B-FB532F969878}"/>
    <cellStyle name="40% - Accent2 29 2 2" xfId="9021" xr:uid="{53F83ACE-9696-462F-832E-8A1FC0273B53}"/>
    <cellStyle name="40% - Accent2 29 2_Working Capital Current" xfId="14519" xr:uid="{E13E62BF-C31D-4EC6-B600-B44ED0C7646B}"/>
    <cellStyle name="40% - Accent2 29 3" xfId="9022" xr:uid="{E807E383-179F-49B6-95B8-87F11F99D2D3}"/>
    <cellStyle name="40% - Accent2 29 4" xfId="9023" xr:uid="{AF1B8F03-C78B-4106-99AB-837650ED8747}"/>
    <cellStyle name="40% - Accent2 29_Not_for_upload_before_M4_correc" xfId="14520" xr:uid="{4AB423C9-35AB-4859-A91C-93E0122E4B53}"/>
    <cellStyle name="40% - Accent2 3" xfId="95" xr:uid="{DAC1EBD2-733C-40CF-8646-F9CB518761B9}"/>
    <cellStyle name="40% - Accent2 3 10" xfId="16526" xr:uid="{6BDD8487-55BC-4655-8FC3-2C1D552AC176}"/>
    <cellStyle name="40% - Accent2 3 2" xfId="1925" xr:uid="{486C8475-93DE-4C2E-96AE-7E3649781220}"/>
    <cellStyle name="40% - Accent2 3 2 2" xfId="9026" xr:uid="{752DAEF5-BBE4-4E34-8433-CE99C0FE1F4B}"/>
    <cellStyle name="40% - Accent2 3 2 2 2" xfId="9027" xr:uid="{66A0A182-D310-45AD-A485-33F4C49889F3}"/>
    <cellStyle name="40% - Accent2 3 2 2 2 2" xfId="9028" xr:uid="{12053ABB-E621-4353-AA05-F1321A99227E}"/>
    <cellStyle name="40% - Accent2 3 2 2 2_Working Capital Current" xfId="14521" xr:uid="{25E92ABB-A7CC-4A2D-912C-36FDC42BEA26}"/>
    <cellStyle name="40% - Accent2 3 2 2 3" xfId="9029" xr:uid="{3C02A2EC-36FB-4612-B636-F713C9CDCF35}"/>
    <cellStyle name="40% - Accent2 3 2 2 4" xfId="9030" xr:uid="{AE5D8E9C-230C-4FD2-9005-555C34CBAE62}"/>
    <cellStyle name="40% - Accent2 3 2 2_Working Capital Current" xfId="14522" xr:uid="{F11A07AB-CC34-4155-9387-5A0007FB1714}"/>
    <cellStyle name="40% - Accent2 3 2 3" xfId="9031" xr:uid="{FEC386EE-932A-419B-ACB1-3C3CD304177C}"/>
    <cellStyle name="40% - Accent2 3 2 3 2" xfId="9032" xr:uid="{2FF0F919-02E0-4CC9-9EB2-E44106EB218A}"/>
    <cellStyle name="40% - Accent2 3 2 3_Working Capital Current" xfId="14523" xr:uid="{B88D9990-80E9-416A-8AA5-C3AFB031925D}"/>
    <cellStyle name="40% - Accent2 3 2 4" xfId="9033" xr:uid="{E39EF300-5F5B-4A4D-BF34-648A4B3703A8}"/>
    <cellStyle name="40% - Accent2 3 2 5" xfId="9034" xr:uid="{FFDDB798-7A90-47A8-B9B6-06E3FBAAC85C}"/>
    <cellStyle name="40% - Accent2 3 2 6" xfId="17655" xr:uid="{B8A013C6-553F-4548-8593-80F09E08FCEB}"/>
    <cellStyle name="40% - Accent2 3 2 7" xfId="18208" xr:uid="{06B543C9-6D1E-4BB1-A4A9-CDE9622F8FCA}"/>
    <cellStyle name="40% - Accent2 3 2 8" xfId="9025" xr:uid="{9DE92713-8FD4-4CFD-BE34-B949DA9365AC}"/>
    <cellStyle name="40% - Accent2 3 2_Not_for_upload_before_M4_correc" xfId="14524" xr:uid="{AA0F192D-B2A6-4F77-AA70-E3E0C5F08CA3}"/>
    <cellStyle name="40% - Accent2 3 3" xfId="9035" xr:uid="{C0A0417F-9871-44CF-933A-0EB72BB79F32}"/>
    <cellStyle name="40% - Accent2 3 3 2" xfId="9036" xr:uid="{A4B6B0E8-8A1D-4C63-AFBF-C72CF1B3D55F}"/>
    <cellStyle name="40% - Accent2 3 3 2 2" xfId="9037" xr:uid="{95AC7B5B-DF00-4D83-BA16-B78BBDF4E1CE}"/>
    <cellStyle name="40% - Accent2 3 3 2 2 2" xfId="9038" xr:uid="{BDBB86D7-FB3C-42AC-B51D-23792B67631D}"/>
    <cellStyle name="40% - Accent2 3 3 2 2_Working Capital Current" xfId="14525" xr:uid="{FBD01DDB-DA4B-45CB-9C23-828763AC6977}"/>
    <cellStyle name="40% - Accent2 3 3 2 3" xfId="9039" xr:uid="{1E9A42C9-F04F-4DD1-9134-B5FF8AC78B6C}"/>
    <cellStyle name="40% - Accent2 3 3 2 4" xfId="9040" xr:uid="{C5949814-D6DD-42EC-9C4F-2834BE20CC55}"/>
    <cellStyle name="40% - Accent2 3 3 2_Working Capital Current" xfId="14526" xr:uid="{5D29C2A4-5DA3-45E8-B218-46C6E0D6DF1A}"/>
    <cellStyle name="40% - Accent2 3 3 3" xfId="9041" xr:uid="{AE5431C8-6855-454D-925E-2D80F91126D0}"/>
    <cellStyle name="40% - Accent2 3 3 3 2" xfId="9042" xr:uid="{30D7B423-E9FC-476D-8FC9-16A2E0E82CA1}"/>
    <cellStyle name="40% - Accent2 3 3 3_Working Capital Current" xfId="14527" xr:uid="{721A111F-D505-49C6-935D-5107F822C26E}"/>
    <cellStyle name="40% - Accent2 3 3 4" xfId="9043" xr:uid="{AC806A18-FFDF-4610-B372-AF7A8C53E1F3}"/>
    <cellStyle name="40% - Accent2 3 3 5" xfId="9044" xr:uid="{DD4166F9-F35A-4B09-999D-FB91EF3E7DF8}"/>
    <cellStyle name="40% - Accent2 3 3_Not_for_upload_before_M4_correc" xfId="14528" xr:uid="{D9495F6E-1F09-4AD3-800A-2B3DCB36CAB1}"/>
    <cellStyle name="40% - Accent2 3 4" xfId="9045" xr:uid="{4235FFD3-AEF9-40EF-ACF4-97CC3A1F90EF}"/>
    <cellStyle name="40% - Accent2 3 4 2" xfId="9046" xr:uid="{694630AD-554A-478B-83DB-E576BB1CCA88}"/>
    <cellStyle name="40% - Accent2 3 4 2 2" xfId="9047" xr:uid="{8167BEDC-D07B-49BC-8AEF-B44A3145A13F}"/>
    <cellStyle name="40% - Accent2 3 4 2 2 2" xfId="9048" xr:uid="{2B0FCA61-C33B-4240-9DC5-0947AE95BF58}"/>
    <cellStyle name="40% - Accent2 3 4 2 2_Working Capital Current" xfId="14529" xr:uid="{9F16922A-162B-4E2D-9C3C-6127E1FABFCB}"/>
    <cellStyle name="40% - Accent2 3 4 2 3" xfId="9049" xr:uid="{8302CD69-4D8A-4FC7-BD7C-D80FBD64972A}"/>
    <cellStyle name="40% - Accent2 3 4 2 4" xfId="9050" xr:uid="{CDCBD14A-B559-4106-B9C3-C6166D7A859A}"/>
    <cellStyle name="40% - Accent2 3 4 2_Working Capital Current" xfId="14530" xr:uid="{CEA9455B-78EA-4F0B-85B1-EADF818D4110}"/>
    <cellStyle name="40% - Accent2 3 4 3" xfId="9051" xr:uid="{F09C8503-CD30-4FD0-B894-F9860E3E48A7}"/>
    <cellStyle name="40% - Accent2 3 4 3 2" xfId="9052" xr:uid="{7B7E5067-F72C-42AC-AC16-E2271A9D9187}"/>
    <cellStyle name="40% - Accent2 3 4 3_Working Capital Current" xfId="14531" xr:uid="{F22EC793-3002-40AC-A7EC-61A1296F0D23}"/>
    <cellStyle name="40% - Accent2 3 4 4" xfId="9053" xr:uid="{089305CE-5A5D-4EAC-BFF5-E6AFCA85BBCB}"/>
    <cellStyle name="40% - Accent2 3 4 5" xfId="9054" xr:uid="{DEA96925-13D9-49BF-9ADE-92A1FA1C3EE2}"/>
    <cellStyle name="40% - Accent2 3 4_Not_for_upload_before_M4_correc" xfId="14532" xr:uid="{3A9882E6-8C09-4A74-898A-EDDD49030C6B}"/>
    <cellStyle name="40% - Accent2 3 5" xfId="9055" xr:uid="{0D99B6F8-325F-49F4-9E8D-EF5F99CF1C3F}"/>
    <cellStyle name="40% - Accent2 3 5 2" xfId="9056" xr:uid="{BE6F4D4C-8265-492E-B42C-5001C873FE05}"/>
    <cellStyle name="40% - Accent2 3 5 2 2" xfId="9057" xr:uid="{7CFC52B6-4F2C-451E-B8D5-9405D6BBE0A0}"/>
    <cellStyle name="40% - Accent2 3 5 2_Working Capital Current" xfId="14533" xr:uid="{CDD9BF3E-0424-49CC-B88C-DF89E8A874CA}"/>
    <cellStyle name="40% - Accent2 3 5 3" xfId="9058" xr:uid="{BDBF9AEF-6F17-4DF0-8587-BFE80EF53428}"/>
    <cellStyle name="40% - Accent2 3 5 4" xfId="9059" xr:uid="{88FCA66E-9A1E-4DAE-A597-10683B52E9A3}"/>
    <cellStyle name="40% - Accent2 3 5_Working Capital Current" xfId="14534" xr:uid="{B8AD4C0C-266D-4364-B6BF-A1E78C0DD2B7}"/>
    <cellStyle name="40% - Accent2 3 6" xfId="9060" xr:uid="{F94D3A70-9241-40A9-87D7-4CDEF9FE0599}"/>
    <cellStyle name="40% - Accent2 3 6 2" xfId="9061" xr:uid="{5850FB11-D1D5-4663-B4E1-879E4ABA122B}"/>
    <cellStyle name="40% - Accent2 3 6_Working Capital Current" xfId="14535" xr:uid="{688230DB-D0E7-454D-88AE-10AA2C1426DA}"/>
    <cellStyle name="40% - Accent2 3 7" xfId="9062" xr:uid="{A49A339E-CB06-4F20-A18B-60E38D5F1715}"/>
    <cellStyle name="40% - Accent2 3 8" xfId="9063" xr:uid="{96B84A36-A2EE-473B-8E2A-8DBFA628A51B}"/>
    <cellStyle name="40% - Accent2 3 9" xfId="9024" xr:uid="{4653788F-D518-40E2-A1ED-F6288961EF57}"/>
    <cellStyle name="40% - Accent2 3_Not_for_upload_before_M4_correc" xfId="14536" xr:uid="{3F167335-07DA-4A48-B363-78CD2C92331F}"/>
    <cellStyle name="40% - Accent2 30" xfId="9064" xr:uid="{30438CEA-5C0F-4ADB-B798-8411347688F5}"/>
    <cellStyle name="40% - Accent2 30 2" xfId="9065" xr:uid="{61B820AC-3D42-4C38-8240-190390E1D5AD}"/>
    <cellStyle name="40% - Accent2 30 2 2" xfId="9066" xr:uid="{B3552783-1D15-4344-B4A8-0A0853D3C0F4}"/>
    <cellStyle name="40% - Accent2 30 2_Working Capital Current" xfId="14537" xr:uid="{FA0CB720-7085-4AD1-BF4F-37A887C03247}"/>
    <cellStyle name="40% - Accent2 30 3" xfId="9067" xr:uid="{81EA49EC-132D-47FF-980B-872EC9EEF4E1}"/>
    <cellStyle name="40% - Accent2 30 4" xfId="9068" xr:uid="{3BDD5B83-5A37-4834-B2B3-52761DC5065A}"/>
    <cellStyle name="40% - Accent2 30_Working Capital Current" xfId="14538" xr:uid="{CCF94165-57A6-4211-9205-4ACB52B5FE32}"/>
    <cellStyle name="40% - Accent2 31" xfId="9069" xr:uid="{4D3D011E-AD6B-425B-B4AF-CC1F7DEE85FE}"/>
    <cellStyle name="40% - Accent2 31 2" xfId="9070" xr:uid="{11B7B7D2-7950-41F6-A73E-1DF588BA0FC0}"/>
    <cellStyle name="40% - Accent2 31 2 2" xfId="9071" xr:uid="{9C5A7799-2CCF-4371-BF66-4F7A5A33A031}"/>
    <cellStyle name="40% - Accent2 31 2_Working Capital Current" xfId="14539" xr:uid="{BA4559C0-AF76-4D39-ACBF-34D806DAF633}"/>
    <cellStyle name="40% - Accent2 31 3" xfId="9072" xr:uid="{BCD162F5-CBD6-4053-B156-840CD6A9A7B5}"/>
    <cellStyle name="40% - Accent2 31 4" xfId="9073" xr:uid="{4D9580CE-E92C-4130-B115-2430C75B18A8}"/>
    <cellStyle name="40% - Accent2 31_Working Capital Current" xfId="14540" xr:uid="{7690C2DC-27B1-4EEB-82AB-4DE8899BE38C}"/>
    <cellStyle name="40% - Accent2 32" xfId="9074" xr:uid="{F4EE4677-4508-4FEA-AF95-FA1B824E920A}"/>
    <cellStyle name="40% - Accent2 32 2" xfId="9075" xr:uid="{FCA446D6-8565-46EC-82BD-78AABBC70F7A}"/>
    <cellStyle name="40% - Accent2 32 2 2" xfId="9076" xr:uid="{2215F515-0FD5-4693-9853-BFF2222B3671}"/>
    <cellStyle name="40% - Accent2 32 2_Working Capital Current" xfId="14541" xr:uid="{47464E5E-FDAA-468A-A728-AA69270958A1}"/>
    <cellStyle name="40% - Accent2 32 3" xfId="9077" xr:uid="{0170552A-5D46-4B63-830F-F597E555CF9C}"/>
    <cellStyle name="40% - Accent2 32 4" xfId="9078" xr:uid="{9133C93C-01CC-411E-915A-50864A5B91A3}"/>
    <cellStyle name="40% - Accent2 32_Working Capital Current" xfId="14542" xr:uid="{02091E5F-F543-4DED-AF76-3662BFDA0A44}"/>
    <cellStyle name="40% - Accent2 33" xfId="9079" xr:uid="{65DA0C62-6D50-460D-8ED2-E9F7D1861604}"/>
    <cellStyle name="40% - Accent2 33 2" xfId="9080" xr:uid="{69D1D6E4-B5A1-4F21-BB5B-8FBA59288562}"/>
    <cellStyle name="40% - Accent2 33 2 2" xfId="9081" xr:uid="{15218A79-9741-47D6-8F64-3361C7472C28}"/>
    <cellStyle name="40% - Accent2 33 2_Working Capital Current" xfId="14543" xr:uid="{FA5542FF-FB07-4C5E-B992-A4B42B56F233}"/>
    <cellStyle name="40% - Accent2 33 3" xfId="9082" xr:uid="{59A57DA0-D3BE-414F-B256-29AD33A06B2D}"/>
    <cellStyle name="40% - Accent2 33 4" xfId="9083" xr:uid="{101D1BFE-2EC9-4A12-89FD-17C4CAEECD7C}"/>
    <cellStyle name="40% - Accent2 33_Working Capital Current" xfId="14544" xr:uid="{5D6DD4DC-8C40-4402-9E17-1599B4A21E96}"/>
    <cellStyle name="40% - Accent2 34" xfId="9084" xr:uid="{9873EEA1-C23B-4F1D-BECB-EFD4BBE17029}"/>
    <cellStyle name="40% - Accent2 34 2" xfId="9085" xr:uid="{AB6F8E61-AA9A-4E99-BDC7-6C9F1FF9BC44}"/>
    <cellStyle name="40% - Accent2 34 2 2" xfId="9086" xr:uid="{2DF0E2C8-4D8D-4F7E-840A-0DAED622681A}"/>
    <cellStyle name="40% - Accent2 34 2_Working Capital Current" xfId="14545" xr:uid="{AF617562-9F91-4711-B376-AE1C7C478381}"/>
    <cellStyle name="40% - Accent2 34 3" xfId="9087" xr:uid="{F02B1DA6-F6EA-45DC-AD7F-C5656D992D0B}"/>
    <cellStyle name="40% - Accent2 34 4" xfId="9088" xr:uid="{3E5AF8CE-3559-400D-8662-B99B670387DC}"/>
    <cellStyle name="40% - Accent2 34_Working Capital Current" xfId="14546" xr:uid="{B417AFBF-3B35-4ABF-9258-5AF7C93A7547}"/>
    <cellStyle name="40% - Accent2 35" xfId="9089" xr:uid="{6845B4CF-24F1-4DE9-8CD9-202672233901}"/>
    <cellStyle name="40% - Accent2 35 2" xfId="9090" xr:uid="{6407593B-36AB-4CBB-ADA3-7A4A070D8B77}"/>
    <cellStyle name="40% - Accent2 35 2 2" xfId="9091" xr:uid="{AF32E0C9-CD6C-4DC5-BE67-4FCC82C6D66D}"/>
    <cellStyle name="40% - Accent2 35 2_Working Capital Current" xfId="14547" xr:uid="{61D96698-492C-4648-BA58-9A7C0D9058E4}"/>
    <cellStyle name="40% - Accent2 35 3" xfId="9092" xr:uid="{C5999D80-ECBB-49BE-A88A-63B53729296D}"/>
    <cellStyle name="40% - Accent2 35 4" xfId="9093" xr:uid="{3D0EBABE-B8B3-4C5F-80C9-C62B4713F364}"/>
    <cellStyle name="40% - Accent2 35_Working Capital Current" xfId="14548" xr:uid="{35E7A79A-74C3-4D95-BDA9-17547F3654C1}"/>
    <cellStyle name="40% - Accent2 36" xfId="9094" xr:uid="{47326571-0858-4264-8B60-60F307D625F9}"/>
    <cellStyle name="40% - Accent2 36 2" xfId="9095" xr:uid="{57455B44-FC22-41B9-B328-7FF4AC9D4D3D}"/>
    <cellStyle name="40% - Accent2 36 2 2" xfId="9096" xr:uid="{CA399AD8-72AA-4E28-8214-E82A8290B14E}"/>
    <cellStyle name="40% - Accent2 36 2_Working Capital Current" xfId="14549" xr:uid="{6FF48B67-F08F-45ED-B2E0-0343BB2ED5ED}"/>
    <cellStyle name="40% - Accent2 36 3" xfId="9097" xr:uid="{BDF8910E-5F2F-4169-8B55-0DB4DB18358E}"/>
    <cellStyle name="40% - Accent2 36 4" xfId="9098" xr:uid="{1909642D-9C98-4C64-ACEA-2BC1071B3259}"/>
    <cellStyle name="40% - Accent2 36_Working Capital Current" xfId="14550" xr:uid="{EB923772-A371-47A2-96F8-38ADC2AC542A}"/>
    <cellStyle name="40% - Accent2 37" xfId="9099" xr:uid="{AE3E4F3C-569E-45EB-8664-53BD30465526}"/>
    <cellStyle name="40% - Accent2 37 2" xfId="9100" xr:uid="{280E26B6-9FAA-4E35-921B-FE6E97D22D1C}"/>
    <cellStyle name="40% - Accent2 37 2 2" xfId="9101" xr:uid="{6BE7CE12-B324-4988-8120-180D5C5E5925}"/>
    <cellStyle name="40% - Accent2 37 2_Working Capital Current" xfId="14551" xr:uid="{42E686F6-2E6C-44CB-9B8D-CDD26710504A}"/>
    <cellStyle name="40% - Accent2 37 3" xfId="9102" xr:uid="{F8664A2A-34F4-4856-8B1D-810CAA303138}"/>
    <cellStyle name="40% - Accent2 37 4" xfId="9103" xr:uid="{9835EE56-16F2-41F8-B009-0484E50A6236}"/>
    <cellStyle name="40% - Accent2 37_Working Capital Current" xfId="14552" xr:uid="{9788F623-DD15-425E-8675-B539BD40D1FC}"/>
    <cellStyle name="40% - Accent2 38" xfId="9104" xr:uid="{9AAD034B-61C4-49AB-BBB1-CA29C9BD62C1}"/>
    <cellStyle name="40% - Accent2 38 2" xfId="9105" xr:uid="{30D3C49E-0D82-466B-8EE0-A37BD54C7DF2}"/>
    <cellStyle name="40% - Accent2 38 2 2" xfId="9106" xr:uid="{106E0A7D-2404-43B3-A2DF-3BB8D6D63AA4}"/>
    <cellStyle name="40% - Accent2 38 2_Working Capital Current" xfId="14553" xr:uid="{F22E3DF7-A5E7-4D81-8B9F-B9C96CBB80DD}"/>
    <cellStyle name="40% - Accent2 38 3" xfId="9107" xr:uid="{0FBF237A-A1E9-4AE7-8A9F-30426DC4A238}"/>
    <cellStyle name="40% - Accent2 38 4" xfId="9108" xr:uid="{CC073806-5674-42E2-ABD0-4D91E7FC624F}"/>
    <cellStyle name="40% - Accent2 38_Working Capital Current" xfId="14554" xr:uid="{B042B31E-E479-4BAE-A398-75D79B6443B7}"/>
    <cellStyle name="40% - Accent2 39" xfId="9109" xr:uid="{357B8D34-CE63-4897-89AD-90073D75085D}"/>
    <cellStyle name="40% - Accent2 39 2" xfId="9110" xr:uid="{B5DDD480-0475-4033-A46E-C43549170358}"/>
    <cellStyle name="40% - Accent2 39 2 2" xfId="9111" xr:uid="{1C9958FC-89F9-43B0-A60B-8B0F25AE5B8D}"/>
    <cellStyle name="40% - Accent2 39 2_Working Capital Current" xfId="14555" xr:uid="{E3E7457F-43D0-4CF9-A142-4611D664CBCD}"/>
    <cellStyle name="40% - Accent2 39 3" xfId="9112" xr:uid="{51702027-FFF9-4D13-A386-2ADB5AB0E170}"/>
    <cellStyle name="40% - Accent2 39 4" xfId="9113" xr:uid="{6E021AB5-B1B6-4957-B6C2-C67F306B420A}"/>
    <cellStyle name="40% - Accent2 39_Working Capital Current" xfId="14556" xr:uid="{EAEC9222-92D5-4978-9552-8B41B4FE9346}"/>
    <cellStyle name="40% - Accent2 4" xfId="1869" xr:uid="{2667C1CB-AC13-4A4E-B537-51FD8CFCE98D}"/>
    <cellStyle name="40% - Accent2 4 2" xfId="9115" xr:uid="{E4101B4D-25FF-49BE-BC8F-247EC2936EA2}"/>
    <cellStyle name="40% - Accent2 4 2 2" xfId="9116" xr:uid="{7C95165A-1772-4F6A-B29F-C486D60FED72}"/>
    <cellStyle name="40% - Accent2 4 2 2 2" xfId="9117" xr:uid="{06E11159-BA26-4E1F-9E9A-5E7B12210823}"/>
    <cellStyle name="40% - Accent2 4 2 2_Working Capital Current" xfId="14557" xr:uid="{20A6D68C-8A34-4D91-BD4B-0180CA578011}"/>
    <cellStyle name="40% - Accent2 4 2 3" xfId="9118" xr:uid="{514D3A20-5B6C-4942-9BDC-FF6CA655777C}"/>
    <cellStyle name="40% - Accent2 4 2 4" xfId="9119" xr:uid="{E072818E-A7FD-4D19-A768-D31BA624808D}"/>
    <cellStyle name="40% - Accent2 4 2_Working Capital Current" xfId="14558" xr:uid="{903F4C82-ACDF-4507-8431-1D2946BD72C5}"/>
    <cellStyle name="40% - Accent2 4 3" xfId="9120" xr:uid="{7C6936CA-BB85-41CD-AFC0-5050D853C4EA}"/>
    <cellStyle name="40% - Accent2 4 3 2" xfId="9121" xr:uid="{9B4F5E43-A611-41EF-9972-CFADE1A7F720}"/>
    <cellStyle name="40% - Accent2 4 3_Working Capital Current" xfId="14559" xr:uid="{71EC3081-3449-4821-8267-A9CBC6EAD056}"/>
    <cellStyle name="40% - Accent2 4 4" xfId="9122" xr:uid="{28507805-56FF-4539-8453-E864BDAE0C5B}"/>
    <cellStyle name="40% - Accent2 4 5" xfId="9123" xr:uid="{C8F95FD5-31B8-4EF6-A5ED-DB4BAFA87B41}"/>
    <cellStyle name="40% - Accent2 4 6" xfId="17607" xr:uid="{9319CDBF-B73A-4D25-A70B-21B829206E92}"/>
    <cellStyle name="40% - Accent2 4 7" xfId="18176" xr:uid="{82B66408-1893-4603-AA7D-CDDEDCC6215B}"/>
    <cellStyle name="40% - Accent2 4 8" xfId="9114" xr:uid="{08988203-13FC-4CAE-B580-65305F4CFDE2}"/>
    <cellStyle name="40% - Accent2 4_Not_for_upload_before_M4_correc" xfId="14560" xr:uid="{02DA3B0E-0CCD-4D07-9714-26D458F4F303}"/>
    <cellStyle name="40% - Accent2 40" xfId="9124" xr:uid="{9BEBA905-A811-4041-A969-8A00CA060680}"/>
    <cellStyle name="40% - Accent2 40 2" xfId="9125" xr:uid="{3FE4047D-59CD-4A87-BD3E-8C29942FD518}"/>
    <cellStyle name="40% - Accent2 40 2 2" xfId="9126" xr:uid="{5DFAEFB2-BB0A-4A65-868E-07601DF07403}"/>
    <cellStyle name="40% - Accent2 40 2_Working Capital Current" xfId="14561" xr:uid="{062C7E58-94D1-49AC-8645-32DF82DDE66D}"/>
    <cellStyle name="40% - Accent2 40 3" xfId="9127" xr:uid="{50043B77-2BF3-46C5-A0A2-84557725F4A5}"/>
    <cellStyle name="40% - Accent2 40 4" xfId="9128" xr:uid="{A7262C13-20E6-4232-9B8A-3D75102E7973}"/>
    <cellStyle name="40% - Accent2 40_Working Capital Current" xfId="14562" xr:uid="{D70744A9-CA3C-4EEB-8C43-F33D1278A6DD}"/>
    <cellStyle name="40% - Accent2 41" xfId="9129" xr:uid="{79EBE583-D65F-41FF-8833-FEC567B852F0}"/>
    <cellStyle name="40% - Accent2 41 2" xfId="9130" xr:uid="{3A99BFEB-0E4F-4809-B0AF-5B8B836B0657}"/>
    <cellStyle name="40% - Accent2 41 2 2" xfId="9131" xr:uid="{DB4DFB91-552D-4779-B554-F974F33B20D9}"/>
    <cellStyle name="40% - Accent2 41 2_Working Capital Current" xfId="14563" xr:uid="{F77CB51A-31AF-44B0-9867-526B53B78BA6}"/>
    <cellStyle name="40% - Accent2 41 3" xfId="9132" xr:uid="{55187717-1041-4125-B23F-794D6565396E}"/>
    <cellStyle name="40% - Accent2 41 4" xfId="9133" xr:uid="{6A9996CB-AB3D-4DCD-9F2C-33B4F5BDD3DD}"/>
    <cellStyle name="40% - Accent2 41_Working Capital Current" xfId="14564" xr:uid="{F259E80D-E5C2-45D2-AB12-040943E6A64E}"/>
    <cellStyle name="40% - Accent2 42" xfId="9134" xr:uid="{C19172C7-8C85-4787-AD42-DE7E0938D40B}"/>
    <cellStyle name="40% - Accent2 42 2" xfId="9135" xr:uid="{F7E6E417-E96B-43A0-BD07-D6F62A2B3B23}"/>
    <cellStyle name="40% - Accent2 42 2 2" xfId="9136" xr:uid="{905DE634-BA88-41D6-86D8-E4069F241896}"/>
    <cellStyle name="40% - Accent2 42 2_Working Capital Current" xfId="14565" xr:uid="{E563D2DD-E726-4344-B944-7FE040809BC9}"/>
    <cellStyle name="40% - Accent2 42 3" xfId="9137" xr:uid="{6EA1FA2B-865B-4FEA-AA46-166D9AC5A027}"/>
    <cellStyle name="40% - Accent2 42 4" xfId="9138" xr:uid="{09075EDA-49E4-4929-9C9F-DF4C3F7808CC}"/>
    <cellStyle name="40% - Accent2 42_Working Capital Current" xfId="14566" xr:uid="{3E6F920C-73B8-4B8A-AAC4-0AEFD53A2736}"/>
    <cellStyle name="40% - Accent2 43" xfId="9139" xr:uid="{A481FC55-0414-4A91-A855-D689DC80D619}"/>
    <cellStyle name="40% - Accent2 43 2" xfId="9140" xr:uid="{39AC3CDE-A723-4653-AC58-2EBF76234C65}"/>
    <cellStyle name="40% - Accent2 43 2 2" xfId="9141" xr:uid="{A946D369-E9D9-41FF-A240-583146822178}"/>
    <cellStyle name="40% - Accent2 43 2_Working Capital Current" xfId="14567" xr:uid="{87D44F39-7D83-48CA-90C9-A847DCEE1836}"/>
    <cellStyle name="40% - Accent2 43 3" xfId="9142" xr:uid="{7A2008F1-EA60-4464-9B77-7C4224D491D6}"/>
    <cellStyle name="40% - Accent2 43 4" xfId="9143" xr:uid="{AED9D239-EC3E-44DC-8659-63347CC84533}"/>
    <cellStyle name="40% - Accent2 43_Working Capital Current" xfId="14568" xr:uid="{C41403EC-5296-43EF-822D-DD4BF978B52D}"/>
    <cellStyle name="40% - Accent2 44" xfId="9144" xr:uid="{5D8E65A6-172E-495E-B0B7-1D9724ED4400}"/>
    <cellStyle name="40% - Accent2 44 2" xfId="9145" xr:uid="{E5E8AE78-9554-4818-8E44-355E4AA064FC}"/>
    <cellStyle name="40% - Accent2 44 2 2" xfId="9146" xr:uid="{00D5BD12-5599-4218-86B0-92406374A76F}"/>
    <cellStyle name="40% - Accent2 44 2_Working Capital Current" xfId="14569" xr:uid="{2D0BC6C2-85EB-4147-AF50-D581A4C2C0FB}"/>
    <cellStyle name="40% - Accent2 44 3" xfId="9147" xr:uid="{DCDE509D-4F8B-4E08-8705-81C762AB949E}"/>
    <cellStyle name="40% - Accent2 44 4" xfId="9148" xr:uid="{B2652C6C-CF79-43CE-86D2-109781DCD248}"/>
    <cellStyle name="40% - Accent2 44_Working Capital Current" xfId="14570" xr:uid="{5A1EAD4D-DA5B-4473-BAAE-8E0F8823D73B}"/>
    <cellStyle name="40% - Accent2 45" xfId="9149" xr:uid="{D88049EB-5B73-4D02-9A3A-90052F312288}"/>
    <cellStyle name="40% - Accent2 45 2" xfId="9150" xr:uid="{50B436BA-4EB8-4E50-963A-3E0FD8829E74}"/>
    <cellStyle name="40% - Accent2 45 2 2" xfId="9151" xr:uid="{6ECA1F74-1986-4769-847F-B5E8FACCEB4E}"/>
    <cellStyle name="40% - Accent2 45 2_Working Capital Current" xfId="14571" xr:uid="{BAFD3533-A9BC-4E5F-8ED0-F22FE78C93DC}"/>
    <cellStyle name="40% - Accent2 45 3" xfId="9152" xr:uid="{AE1CE298-E952-4DFC-9F14-AF5AC54FFBF0}"/>
    <cellStyle name="40% - Accent2 45 4" xfId="9153" xr:uid="{61A18A73-5D78-4DC1-B701-2C0D15412408}"/>
    <cellStyle name="40% - Accent2 45_Working Capital Current" xfId="14572" xr:uid="{AC051692-883B-42EE-B9ED-A67782502A05}"/>
    <cellStyle name="40% - Accent2 46" xfId="9154" xr:uid="{4E9FF592-CC4C-4FF1-8112-E2A04C502D5A}"/>
    <cellStyle name="40% - Accent2 46 2" xfId="9155" xr:uid="{95BBF149-803B-419B-B85A-F8267116F43E}"/>
    <cellStyle name="40% - Accent2 46 2 2" xfId="9156" xr:uid="{D8DD777E-0926-43F3-9872-98BF363359AD}"/>
    <cellStyle name="40% - Accent2 46 2_Working Capital Current" xfId="14573" xr:uid="{A4E1F0E1-4AFE-4402-BA56-17BEA76E3D84}"/>
    <cellStyle name="40% - Accent2 46 3" xfId="9157" xr:uid="{1E2A1962-4B28-448A-AFE2-9B9A1F673EDF}"/>
    <cellStyle name="40% - Accent2 46 4" xfId="9158" xr:uid="{8F9351D7-23D5-4B2B-B6B6-9B6140A4F113}"/>
    <cellStyle name="40% - Accent2 46_Working Capital Current" xfId="14574" xr:uid="{15DD5215-5B56-4C4D-B792-232156591957}"/>
    <cellStyle name="40% - Accent2 47" xfId="9159" xr:uid="{0AA60165-125E-4137-B976-74BA06DB7FC9}"/>
    <cellStyle name="40% - Accent2 47 2" xfId="9160" xr:uid="{4FD6055C-B941-40D1-B364-0C494F17F100}"/>
    <cellStyle name="40% - Accent2 47 2 2" xfId="9161" xr:uid="{64391B13-7AFA-4D8D-874F-55300E2F12C5}"/>
    <cellStyle name="40% - Accent2 47 2_Working Capital Current" xfId="14575" xr:uid="{CFCF5A59-AB82-425E-8E5D-BA7F6BAC7A93}"/>
    <cellStyle name="40% - Accent2 47 3" xfId="9162" xr:uid="{F0BEB546-E201-43C3-9764-A8F1BEE343C5}"/>
    <cellStyle name="40% - Accent2 47 4" xfId="9163" xr:uid="{25D8A441-9B96-41D0-B636-2BDA32BE5AF8}"/>
    <cellStyle name="40% - Accent2 47_Working Capital Current" xfId="14576" xr:uid="{64160AF0-B2B5-4F83-B7E0-1524DAE40A66}"/>
    <cellStyle name="40% - Accent2 48" xfId="9164" xr:uid="{652F9D4E-8DF7-4997-83BD-96C933FEAC66}"/>
    <cellStyle name="40% - Accent2 48 2" xfId="9165" xr:uid="{F5C95AC5-0D3E-489F-A10F-B8DE42B3B1FB}"/>
    <cellStyle name="40% - Accent2 48 2 2" xfId="9166" xr:uid="{51A6B88E-6368-4518-AFBA-2957CB34D114}"/>
    <cellStyle name="40% - Accent2 48 2_Working Capital Current" xfId="14577" xr:uid="{45C32743-A576-4AD5-AD11-E201A06B0529}"/>
    <cellStyle name="40% - Accent2 48 3" xfId="9167" xr:uid="{0C341748-7CC9-4910-9D75-B97895FA126D}"/>
    <cellStyle name="40% - Accent2 48 4" xfId="9168" xr:uid="{EC81C3A2-A4F2-47CF-8E5E-4BBF6A9FFA14}"/>
    <cellStyle name="40% - Accent2 48_Working Capital Current" xfId="14578" xr:uid="{5A3B83FA-6F87-4F51-8130-54A9DA252C25}"/>
    <cellStyle name="40% - Accent2 49" xfId="9169" xr:uid="{BE9F6E9F-72A4-4FEF-AA8D-BBEF45CAA31C}"/>
    <cellStyle name="40% - Accent2 49 2" xfId="9170" xr:uid="{D2946631-51DB-43FB-B9E3-3631D422BBFF}"/>
    <cellStyle name="40% - Accent2 49 2 2" xfId="9171" xr:uid="{D1EC9FED-D8A7-49FE-AC11-45AE0AB12F1E}"/>
    <cellStyle name="40% - Accent2 49 2_Working Capital Current" xfId="14579" xr:uid="{4A2CA052-EE16-4D50-B990-3041E43FCB03}"/>
    <cellStyle name="40% - Accent2 49 3" xfId="9172" xr:uid="{EC240494-5683-4C49-8F99-32A3720B3564}"/>
    <cellStyle name="40% - Accent2 49 4" xfId="9173" xr:uid="{98F6666D-1BF0-4C65-92AD-B06624D07AA4}"/>
    <cellStyle name="40% - Accent2 49_Working Capital Current" xfId="14580" xr:uid="{7D142BA1-16E8-4D85-9833-8DDFF10FAC3B}"/>
    <cellStyle name="40% - Accent2 5" xfId="9174" xr:uid="{051254B3-88DA-45BC-A5B4-9C3606276F6A}"/>
    <cellStyle name="40% - Accent2 5 2" xfId="9175" xr:uid="{9DE39865-BA31-4C95-A0F0-B209C4A96421}"/>
    <cellStyle name="40% - Accent2 5 2 2" xfId="9176" xr:uid="{E5379E27-F5B8-4A56-8371-46D899652B66}"/>
    <cellStyle name="40% - Accent2 5 2 2 2" xfId="9177" xr:uid="{FBDBFB47-2438-4C3A-8697-A669BFB2F65A}"/>
    <cellStyle name="40% - Accent2 5 2 2_Working Capital Current" xfId="14581" xr:uid="{09F0E200-9C31-4362-A458-0C5982556D64}"/>
    <cellStyle name="40% - Accent2 5 2 3" xfId="9178" xr:uid="{E21C01F8-704A-4678-9BAD-ACE66FE18E2A}"/>
    <cellStyle name="40% - Accent2 5 2 4" xfId="9179" xr:uid="{729479CF-4B08-4D9D-9CDA-D291D5D1F961}"/>
    <cellStyle name="40% - Accent2 5 2_Working Capital Current" xfId="14582" xr:uid="{A29C6EFA-3866-48AA-8CD2-4A31B8E70FF8}"/>
    <cellStyle name="40% - Accent2 5 3" xfId="9180" xr:uid="{3EEE9D79-C130-45A7-A584-4512A674E19A}"/>
    <cellStyle name="40% - Accent2 5 3 2" xfId="9181" xr:uid="{6ADD43CF-D29B-46CB-B87D-9788C06CD83F}"/>
    <cellStyle name="40% - Accent2 5 3_Working Capital Current" xfId="14583" xr:uid="{D75131E2-0AB8-4AD1-BA3C-382BC422CC4D}"/>
    <cellStyle name="40% - Accent2 5 4" xfId="9182" xr:uid="{85A72629-36E7-4BD0-87FC-BB6C2659D194}"/>
    <cellStyle name="40% - Accent2 5 5" xfId="9183" xr:uid="{54ED12C8-175F-43D3-997D-75E13793B3DC}"/>
    <cellStyle name="40% - Accent2 5_Not_for_upload_before_M4_correc" xfId="14584" xr:uid="{1CC291D1-36C5-4213-BBDE-BC8E5FBAE5E6}"/>
    <cellStyle name="40% - Accent2 50" xfId="9184" xr:uid="{CBC2B5DC-4D78-40C2-96CC-5E129EE9D175}"/>
    <cellStyle name="40% - Accent2 50 2" xfId="9185" xr:uid="{BADE265A-0DA5-4794-820F-4BB9D51C13BF}"/>
    <cellStyle name="40% - Accent2 50 2 2" xfId="9186" xr:uid="{1093C9D2-0E32-4523-B520-FC4C40CF2232}"/>
    <cellStyle name="40% - Accent2 50 2_Working Capital Current" xfId="14585" xr:uid="{D75E9486-1F6A-4DBA-ABFB-CC984B32BE9A}"/>
    <cellStyle name="40% - Accent2 50 3" xfId="9187" xr:uid="{E71BD826-FC68-40A5-8507-06FF70DAA859}"/>
    <cellStyle name="40% - Accent2 50 4" xfId="9188" xr:uid="{115093C7-A2FA-4367-8EAB-1A90637FEA6E}"/>
    <cellStyle name="40% - Accent2 50_Working Capital Current" xfId="14586" xr:uid="{4C7BB170-5E7A-41DC-86FA-D7615D404873}"/>
    <cellStyle name="40% - Accent2 51" xfId="9189" xr:uid="{5BAF7D6A-63AE-40CD-BCC6-213F16AB52BE}"/>
    <cellStyle name="40% - Accent2 51 2" xfId="9190" xr:uid="{46895EF1-A8F5-46B9-B930-FE58F8998F67}"/>
    <cellStyle name="40% - Accent2 51 2 2" xfId="9191" xr:uid="{509A1EA5-8A2B-46BF-85AA-7FA60709059E}"/>
    <cellStyle name="40% - Accent2 51 2_Working Capital Current" xfId="14587" xr:uid="{8D20D42A-B8D9-4A55-823D-7FF44259D7BA}"/>
    <cellStyle name="40% - Accent2 51 3" xfId="9192" xr:uid="{03B9D0C7-9E56-49A7-B5F7-747871BD1D8B}"/>
    <cellStyle name="40% - Accent2 51 4" xfId="9193" xr:uid="{D67A72E3-6B52-4000-A062-E963262E4B26}"/>
    <cellStyle name="40% - Accent2 51_Working Capital Current" xfId="14588" xr:uid="{78BD141A-C69E-4AF8-8F8A-4BFC0E053130}"/>
    <cellStyle name="40% - Accent2 52" xfId="9194" xr:uid="{F4828BEA-7DA3-423B-8915-A6D06ADE460D}"/>
    <cellStyle name="40% - Accent2 52 2" xfId="9195" xr:uid="{AACE2FD9-31C8-47FF-9F5E-3EBA3BB686C0}"/>
    <cellStyle name="40% - Accent2 52 2 2" xfId="9196" xr:uid="{AF7E6C6B-1437-47BD-B891-3432E750C468}"/>
    <cellStyle name="40% - Accent2 52 2_Working Capital Current" xfId="14589" xr:uid="{EA2F2317-49A4-4D78-97B7-EC9B55B742EE}"/>
    <cellStyle name="40% - Accent2 52 3" xfId="9197" xr:uid="{9254E2BE-39D1-4F9E-8F1C-27CF9FBA177A}"/>
    <cellStyle name="40% - Accent2 52 4" xfId="9198" xr:uid="{AADF1C71-373B-422F-82E6-0E48966DAC76}"/>
    <cellStyle name="40% - Accent2 52_Working Capital Current" xfId="14590" xr:uid="{F9651708-C2F4-492A-B216-F0B0839693F5}"/>
    <cellStyle name="40% - Accent2 53" xfId="9199" xr:uid="{2B50AE90-C778-442D-B776-E0D84C634440}"/>
    <cellStyle name="40% - Accent2 53 2" xfId="9200" xr:uid="{0275333E-E722-4905-931D-B664684797E0}"/>
    <cellStyle name="40% - Accent2 53 2 2" xfId="9201" xr:uid="{0D1B1222-B5E7-403E-B6C4-FE8959DEF508}"/>
    <cellStyle name="40% - Accent2 53 2_Working Capital Current" xfId="14591" xr:uid="{368ECDCA-C256-492E-BAE0-C75A074058C3}"/>
    <cellStyle name="40% - Accent2 53 3" xfId="9202" xr:uid="{5E3B2B65-90CE-42F6-BF02-21C6F9660682}"/>
    <cellStyle name="40% - Accent2 53 4" xfId="9203" xr:uid="{2F038CE6-B651-4564-9550-F8B7888982CB}"/>
    <cellStyle name="40% - Accent2 53_Working Capital Current" xfId="14592" xr:uid="{313A8C8E-EDF8-4E35-B35B-50A50349D437}"/>
    <cellStyle name="40% - Accent2 54" xfId="9204" xr:uid="{97039BA3-6726-4F1F-9668-07E2E541390E}"/>
    <cellStyle name="40% - Accent2 54 2" xfId="9205" xr:uid="{FA3B8BE7-D78A-4E1D-8159-5F08E5CB752E}"/>
    <cellStyle name="40% - Accent2 54 2 2" xfId="9206" xr:uid="{A520A050-E316-42BD-97BB-084D623816B5}"/>
    <cellStyle name="40% - Accent2 54 2_Working Capital Current" xfId="14593" xr:uid="{EBCDD696-FE19-4712-B40B-B94A087FF7EF}"/>
    <cellStyle name="40% - Accent2 54 3" xfId="9207" xr:uid="{C92D67BE-4CB6-49F0-9DF4-9F679E8999DB}"/>
    <cellStyle name="40% - Accent2 54 4" xfId="9208" xr:uid="{BFBC04F6-2DD8-4658-96BF-CD5C06AF450C}"/>
    <cellStyle name="40% - Accent2 54_Working Capital Current" xfId="14594" xr:uid="{89E00B84-672A-4073-B993-A2C5CA3BE9CC}"/>
    <cellStyle name="40% - Accent2 55" xfId="9209" xr:uid="{4B776659-E730-4B9E-9261-0948C44DB98C}"/>
    <cellStyle name="40% - Accent2 55 2" xfId="9210" xr:uid="{635E5FCF-1DCC-46A9-8375-68280563CA8E}"/>
    <cellStyle name="40% - Accent2 55 2 2" xfId="9211" xr:uid="{B3BB8500-C1F3-4D6D-86A1-5DDC8084F505}"/>
    <cellStyle name="40% - Accent2 55 2_Working Capital Current" xfId="14595" xr:uid="{772D3EA9-9BFF-49CF-87D4-2538E9B805F0}"/>
    <cellStyle name="40% - Accent2 55 3" xfId="9212" xr:uid="{8F6A045B-86FA-4FDD-B49C-EFBCB832774B}"/>
    <cellStyle name="40% - Accent2 55 4" xfId="9213" xr:uid="{96F71B38-78F6-4EF2-9D60-4C89DFD24081}"/>
    <cellStyle name="40% - Accent2 55_Working Capital Current" xfId="14596" xr:uid="{0EE15B49-001C-4358-A29F-A9A9234952E8}"/>
    <cellStyle name="40% - Accent2 56" xfId="9214" xr:uid="{5C3EACF9-3E72-4FA4-896B-0C8AC5BD4E92}"/>
    <cellStyle name="40% - Accent2 56 2" xfId="9215" xr:uid="{6295D243-4DEA-4DEE-8AE8-F185417A38CB}"/>
    <cellStyle name="40% - Accent2 56 2 2" xfId="9216" xr:uid="{31CC36CE-CC6F-4D86-9110-119F18EC1027}"/>
    <cellStyle name="40% - Accent2 56 2_Working Capital Current" xfId="14597" xr:uid="{1D8D9E39-C171-48E3-B5A9-765C1EB73DBE}"/>
    <cellStyle name="40% - Accent2 56 3" xfId="9217" xr:uid="{0F1C7C66-CA0C-4CD2-A61D-83F521D6F467}"/>
    <cellStyle name="40% - Accent2 56 4" xfId="9218" xr:uid="{E4FFD30D-3AAE-426B-A120-83470F11ECCD}"/>
    <cellStyle name="40% - Accent2 56_Working Capital Current" xfId="14598" xr:uid="{1574222C-0CCE-4B7D-9E62-5BBD7EF7BE20}"/>
    <cellStyle name="40% - Accent2 57" xfId="9219" xr:uid="{5729FD82-4C96-4219-BDBE-CB611C2E9365}"/>
    <cellStyle name="40% - Accent2 57 2" xfId="9220" xr:uid="{51D3E5ED-2FEF-4A6C-98B0-74DB5C75D393}"/>
    <cellStyle name="40% - Accent2 57 2 2" xfId="9221" xr:uid="{1D4D74A4-F291-4BAD-B557-84B7EACAE08D}"/>
    <cellStyle name="40% - Accent2 57 2_Working Capital Current" xfId="14599" xr:uid="{8F78A4B5-B7F7-478D-9212-E6875FD1F735}"/>
    <cellStyle name="40% - Accent2 57 3" xfId="9222" xr:uid="{27D32C35-41B9-40D9-BA94-E2CBDFF00C39}"/>
    <cellStyle name="40% - Accent2 57 4" xfId="9223" xr:uid="{C66FF4C5-4A9B-46BC-A93F-D148A8F9D7AD}"/>
    <cellStyle name="40% - Accent2 57_Working Capital Current" xfId="14600" xr:uid="{6CAB5113-348D-4799-9844-D31B89C315CC}"/>
    <cellStyle name="40% - Accent2 58" xfId="9224" xr:uid="{4BFB7D56-7802-4A02-A32F-431C360779CF}"/>
    <cellStyle name="40% - Accent2 58 2" xfId="9225" xr:uid="{85C0AFE0-32DE-4195-AFEA-E848E54E52CF}"/>
    <cellStyle name="40% - Accent2 58 2 2" xfId="9226" xr:uid="{50FD2324-62FD-4953-9EC3-D16B697EBD05}"/>
    <cellStyle name="40% - Accent2 58 2_Working Capital Current" xfId="14601" xr:uid="{EB382A1B-9010-4C37-BE99-0AFDD6F945A0}"/>
    <cellStyle name="40% - Accent2 58 3" xfId="9227" xr:uid="{EBD21FFE-7307-4E27-AAEB-6035109C7BB0}"/>
    <cellStyle name="40% - Accent2 58 4" xfId="9228" xr:uid="{A84DD225-0485-479D-8AC6-4F3264BB29C7}"/>
    <cellStyle name="40% - Accent2 58_Working Capital Current" xfId="14602" xr:uid="{8B232A28-7B1F-43D3-81DB-7DEEA52D179E}"/>
    <cellStyle name="40% - Accent2 59" xfId="9229" xr:uid="{78BEE50F-19A1-4765-87CA-05A39246DCC0}"/>
    <cellStyle name="40% - Accent2 59 2" xfId="9230" xr:uid="{35873435-6634-45E5-BFDA-381B26E36750}"/>
    <cellStyle name="40% - Accent2 59 2 2" xfId="9231" xr:uid="{1A60F522-4F20-4BEC-9111-497428DD6A36}"/>
    <cellStyle name="40% - Accent2 59 2_Working Capital Current" xfId="14603" xr:uid="{61FE4324-E82E-4BD8-9CFB-672E3B81E634}"/>
    <cellStyle name="40% - Accent2 59 3" xfId="9232" xr:uid="{FD20FCB6-BA53-4175-BD2C-0BFBE62B2A8C}"/>
    <cellStyle name="40% - Accent2 59 4" xfId="9233" xr:uid="{36FC651C-D834-400F-97E6-C587626608CE}"/>
    <cellStyle name="40% - Accent2 59_Working Capital Current" xfId="14604" xr:uid="{FDBFED95-B39A-480D-BB57-ADE08E577A3D}"/>
    <cellStyle name="40% - Accent2 6" xfId="9234" xr:uid="{0901F200-4BA8-47E8-8CE6-66B116E4D169}"/>
    <cellStyle name="40% - Accent2 6 2" xfId="9235" xr:uid="{37CA1D50-983B-4C81-AACE-359F0C04C3DD}"/>
    <cellStyle name="40% - Accent2 6 2 2" xfId="9236" xr:uid="{2C1A7E7A-067D-4B6C-B72E-9ED61E821BA4}"/>
    <cellStyle name="40% - Accent2 6 2 2 2" xfId="9237" xr:uid="{EAB79ADD-9910-40BD-B539-AEE4A9A040F3}"/>
    <cellStyle name="40% - Accent2 6 2 2_Working Capital Current" xfId="14605" xr:uid="{1AD61397-A380-4BFD-AB8D-C5338270DE5C}"/>
    <cellStyle name="40% - Accent2 6 2 3" xfId="9238" xr:uid="{CAEFDDBC-41C0-452D-9995-87449406AFBB}"/>
    <cellStyle name="40% - Accent2 6 2 4" xfId="9239" xr:uid="{E082DB5F-53CC-4F1D-B94A-DCFC41EBCF80}"/>
    <cellStyle name="40% - Accent2 6 2_Working Capital Current" xfId="14606" xr:uid="{67F6CFBA-E506-4171-8DC0-85F26525301D}"/>
    <cellStyle name="40% - Accent2 6 3" xfId="9240" xr:uid="{5ADE6451-DF2B-40C5-9AE0-4C81DCCB41BC}"/>
    <cellStyle name="40% - Accent2 6 3 2" xfId="9241" xr:uid="{0A3F7721-3539-44F7-931B-05B743D7D6FC}"/>
    <cellStyle name="40% - Accent2 6 3_Working Capital Current" xfId="14607" xr:uid="{D953C2A4-FDA0-4085-97C9-06F61D9AD8F7}"/>
    <cellStyle name="40% - Accent2 6 4" xfId="9242" xr:uid="{42061285-8423-4FFF-B265-B9783C560857}"/>
    <cellStyle name="40% - Accent2 6 5" xfId="9243" xr:uid="{2954C50C-9A81-4D2D-A691-0E8E6BF3A6C8}"/>
    <cellStyle name="40% - Accent2 6_Not_for_upload_before_M4_correc" xfId="14608" xr:uid="{AA58EBCF-626C-4FB2-80D8-BBC46D95845A}"/>
    <cellStyle name="40% - Accent2 60" xfId="9244" xr:uid="{7F88FCAE-8C8C-476E-BC34-42032FACA535}"/>
    <cellStyle name="40% - Accent2 60 2" xfId="9245" xr:uid="{86AD9CDC-2EA4-4B9A-B476-8F5E0D153BDC}"/>
    <cellStyle name="40% - Accent2 60 2 2" xfId="9246" xr:uid="{29FC0F48-611F-41F9-AF9D-127AD20BCAAA}"/>
    <cellStyle name="40% - Accent2 60 2_Working Capital Current" xfId="14609" xr:uid="{CCFCCA99-58E1-4818-9E72-6919F337F228}"/>
    <cellStyle name="40% - Accent2 60 3" xfId="9247" xr:uid="{986407C4-7270-4798-BFBB-1557CDD561D3}"/>
    <cellStyle name="40% - Accent2 60 4" xfId="9248" xr:uid="{9A746188-85FA-4C6F-8B28-C061F3A3EF1D}"/>
    <cellStyle name="40% - Accent2 60_Working Capital Current" xfId="14610" xr:uid="{FEF05FCC-5D1D-4E36-BA9C-DADD542C758E}"/>
    <cellStyle name="40% - Accent2 61" xfId="9249" xr:uid="{7B486C46-2AD2-48D3-B794-BB46CDED74C2}"/>
    <cellStyle name="40% - Accent2 61 2" xfId="9250" xr:uid="{6E401AFD-AF14-4E0D-8CCE-FBC1BB66DD88}"/>
    <cellStyle name="40% - Accent2 61 2 2" xfId="9251" xr:uid="{DB2BFF88-EB01-4C7E-A292-1FEC1E39DC37}"/>
    <cellStyle name="40% - Accent2 61 2_Working Capital Current" xfId="14611" xr:uid="{7B70ECA9-5700-4F28-A814-226C2C5D0E38}"/>
    <cellStyle name="40% - Accent2 61 3" xfId="9252" xr:uid="{5A85C019-8126-4023-B5C4-E5C9E41353F1}"/>
    <cellStyle name="40% - Accent2 61 4" xfId="9253" xr:uid="{7C3BE37B-C3F2-4F5C-8F13-3D5630E6863D}"/>
    <cellStyle name="40% - Accent2 61_Working Capital Current" xfId="14612" xr:uid="{0CB80C9A-A79C-4A13-ACBA-F44416080ECE}"/>
    <cellStyle name="40% - Accent2 62" xfId="9254" xr:uid="{3BC87E94-E510-42CA-B46D-A05023FFDE8E}"/>
    <cellStyle name="40% - Accent2 62 2" xfId="9255" xr:uid="{B07014BB-A061-47D6-B913-A1569A23355E}"/>
    <cellStyle name="40% - Accent2 62 2 2" xfId="9256" xr:uid="{A3F0CD66-9701-4D2E-AD69-5992DADD17B2}"/>
    <cellStyle name="40% - Accent2 62 2_Working Capital Current" xfId="14613" xr:uid="{0A24455B-1D49-4CD5-B3E6-A52A4C245AEB}"/>
    <cellStyle name="40% - Accent2 62 3" xfId="9257" xr:uid="{79EBD7CF-DF74-4C98-8D60-6B4EA98AB0B0}"/>
    <cellStyle name="40% - Accent2 62 4" xfId="9258" xr:uid="{BB4F4D76-05EC-4D84-BCF5-09A9919318A8}"/>
    <cellStyle name="40% - Accent2 62_Working Capital Current" xfId="14614" xr:uid="{B3B2BF27-E332-4FAA-AC4F-0420559B761C}"/>
    <cellStyle name="40% - Accent2 63" xfId="9259" xr:uid="{9E967DC5-164D-4936-B580-67381ADDF69E}"/>
    <cellStyle name="40% - Accent2 63 2" xfId="9260" xr:uid="{75C76D1D-8CA3-4F63-930F-24E42D917E3A}"/>
    <cellStyle name="40% - Accent2 63 2 2" xfId="9261" xr:uid="{0D42934B-56C9-474E-837B-D75F8BC412E3}"/>
    <cellStyle name="40% - Accent2 63 2_Working Capital Current" xfId="14615" xr:uid="{F80AE960-9342-4F16-8FF8-684ECE90BF9B}"/>
    <cellStyle name="40% - Accent2 63 3" xfId="9262" xr:uid="{64A14DFB-7D2C-475D-AC25-30DA2E121B82}"/>
    <cellStyle name="40% - Accent2 63 4" xfId="9263" xr:uid="{F94504CB-2D7A-4CC7-A13B-DD54640431D5}"/>
    <cellStyle name="40% - Accent2 63_Working Capital Current" xfId="14616" xr:uid="{98AEE4B9-07DF-4F9A-B4FC-C70336A1B72E}"/>
    <cellStyle name="40% - Accent2 64" xfId="9264" xr:uid="{67A28120-20BE-467B-8AEE-087D16BA0A75}"/>
    <cellStyle name="40% - Accent2 64 2" xfId="9265" xr:uid="{45EE1DC5-9E90-44A8-8CFD-9903E747230F}"/>
    <cellStyle name="40% - Accent2 64 2 2" xfId="9266" xr:uid="{EDFFD7B9-EF45-412E-BE2D-9F3A7C27394A}"/>
    <cellStyle name="40% - Accent2 64 2_Working Capital Current" xfId="14617" xr:uid="{9EA9CE1E-F917-4427-A98F-BADAFB4828D0}"/>
    <cellStyle name="40% - Accent2 64 3" xfId="9267" xr:uid="{D8BFE442-6811-4C3B-A5AA-5915B9C085D6}"/>
    <cellStyle name="40% - Accent2 64 4" xfId="9268" xr:uid="{8D8795D3-52CE-4B9A-9AAE-8F2A0332CD72}"/>
    <cellStyle name="40% - Accent2 64_Working Capital Current" xfId="14618" xr:uid="{8976E3C8-B51F-4A13-A407-4D1AFE5C46CA}"/>
    <cellStyle name="40% - Accent2 65" xfId="9269" xr:uid="{01E886E5-0134-406B-BFDF-2DA7BE8C7A93}"/>
    <cellStyle name="40% - Accent2 65 2" xfId="9270" xr:uid="{FEAA4A65-D2E5-48FE-BE8A-8781EE974D7F}"/>
    <cellStyle name="40% - Accent2 65 2 2" xfId="9271" xr:uid="{50F94236-5156-4955-9A59-AFC6F47083CC}"/>
    <cellStyle name="40% - Accent2 65 2_Working Capital Current" xfId="14619" xr:uid="{AD1C5EC7-32BB-487A-8B73-B2186B66D808}"/>
    <cellStyle name="40% - Accent2 65 3" xfId="9272" xr:uid="{9A6F042D-4EA6-4B58-AD18-E6B331EBA2CD}"/>
    <cellStyle name="40% - Accent2 65 4" xfId="9273" xr:uid="{8F4F8FCA-80C1-446C-814A-C381E28919C3}"/>
    <cellStyle name="40% - Accent2 65_Working Capital Current" xfId="14620" xr:uid="{19ED675D-0D48-4171-BC9A-AC735833852D}"/>
    <cellStyle name="40% - Accent2 66" xfId="9274" xr:uid="{E7C48F3E-4562-4257-BFC5-9324A28C1F18}"/>
    <cellStyle name="40% - Accent2 66 2" xfId="9275" xr:uid="{10305DD4-A14B-43D8-9FB6-5B9E06347662}"/>
    <cellStyle name="40% - Accent2 66 2 2" xfId="9276" xr:uid="{3BF0456C-E668-4966-AE25-A82DA076CC67}"/>
    <cellStyle name="40% - Accent2 66 2_Working Capital Current" xfId="14621" xr:uid="{781A0F91-AFD2-4117-98BB-34F04486C4E3}"/>
    <cellStyle name="40% - Accent2 66 3" xfId="9277" xr:uid="{A32040C7-10B5-476D-A3EC-34B0423A749F}"/>
    <cellStyle name="40% - Accent2 66 4" xfId="9278" xr:uid="{B68AD6FD-F941-4FAE-9DA9-705FC571BFCB}"/>
    <cellStyle name="40% - Accent2 66_Working Capital Current" xfId="14622" xr:uid="{10C07D0E-84A5-4FD9-904B-8E0BAA360F7D}"/>
    <cellStyle name="40% - Accent2 67" xfId="9279" xr:uid="{18A6B210-5FB8-4A6C-86E2-8A7F7E11DEE7}"/>
    <cellStyle name="40% - Accent2 67 2" xfId="9280" xr:uid="{D666C9EA-B58E-4289-BA4B-EF1B5C7F9C89}"/>
    <cellStyle name="40% - Accent2 67 2 2" xfId="9281" xr:uid="{35E9F586-0853-427C-A185-1B310ED72CB1}"/>
    <cellStyle name="40% - Accent2 67 2_Working Capital Current" xfId="14623" xr:uid="{87568E2F-777E-4A18-9FF4-F1EAED393E2F}"/>
    <cellStyle name="40% - Accent2 67 3" xfId="9282" xr:uid="{25C86B48-BEB9-48C3-86FF-838FC71372C4}"/>
    <cellStyle name="40% - Accent2 67 4" xfId="9283" xr:uid="{804E197B-4422-400B-9FB4-FF3867720585}"/>
    <cellStyle name="40% - Accent2 67_Working Capital Current" xfId="14624" xr:uid="{22A92766-6767-48BA-BAF6-4AA0AFA3C604}"/>
    <cellStyle name="40% - Accent2 68" xfId="9284" xr:uid="{513380E3-6588-4990-A28B-E360A5D2E711}"/>
    <cellStyle name="40% - Accent2 68 2" xfId="9285" xr:uid="{C6CE67F5-9C02-4780-91FC-E92FEFE17960}"/>
    <cellStyle name="40% - Accent2 68 2 2" xfId="9286" xr:uid="{4A522021-0E28-4824-92EE-2ADCB95679CC}"/>
    <cellStyle name="40% - Accent2 68 2_Working Capital Current" xfId="14625" xr:uid="{E438DBDB-6471-4C1F-8A64-4B511959F54D}"/>
    <cellStyle name="40% - Accent2 68 3" xfId="9287" xr:uid="{12709753-AC98-4B6B-87F3-6B8B638A7BD7}"/>
    <cellStyle name="40% - Accent2 68 4" xfId="9288" xr:uid="{AD32D601-464E-4AC2-969A-0DE9C52B5C51}"/>
    <cellStyle name="40% - Accent2 68_Working Capital Current" xfId="14626" xr:uid="{B22808E7-67C1-4216-AB8A-FEB53F633B82}"/>
    <cellStyle name="40% - Accent2 69" xfId="9289" xr:uid="{2EE7ECC8-12F7-420F-9E53-8A93ED51E9B5}"/>
    <cellStyle name="40% - Accent2 69 2" xfId="9290" xr:uid="{507611A7-1DE2-463E-B556-6C918BC995F5}"/>
    <cellStyle name="40% - Accent2 69 2 2" xfId="9291" xr:uid="{AE0FAB84-2A6C-4455-B876-7013176511E7}"/>
    <cellStyle name="40% - Accent2 69 2_Working Capital Current" xfId="14627" xr:uid="{33DF587E-9AAD-480B-A3B0-A9F980ECF59E}"/>
    <cellStyle name="40% - Accent2 69 3" xfId="9292" xr:uid="{6E7EAEDF-E200-4C11-96C2-D4F986840D74}"/>
    <cellStyle name="40% - Accent2 69 4" xfId="9293" xr:uid="{CF2761BC-D1C9-438E-8E54-D9D8AA11C841}"/>
    <cellStyle name="40% - Accent2 69_Working Capital Current" xfId="14628" xr:uid="{742762D1-F578-4EAF-AB14-E936CD4416BE}"/>
    <cellStyle name="40% - Accent2 7" xfId="9294" xr:uid="{1E559B3E-CA9B-465C-9BD5-6AC3E11CD55B}"/>
    <cellStyle name="40% - Accent2 7 2" xfId="9295" xr:uid="{ABF41382-F43E-463F-9578-17D08DDBD03F}"/>
    <cellStyle name="40% - Accent2 7 2 2" xfId="9296" xr:uid="{146F2B25-563B-4B13-A55E-E563549E96B6}"/>
    <cellStyle name="40% - Accent2 7 2 2 2" xfId="9297" xr:uid="{D52E66D8-9970-4118-9094-5FE747D0EC15}"/>
    <cellStyle name="40% - Accent2 7 2 2_Working Capital Current" xfId="14629" xr:uid="{6CFAD113-D637-4128-9EDF-7BEEB1794ADB}"/>
    <cellStyle name="40% - Accent2 7 2 3" xfId="9298" xr:uid="{6D1C1B23-6275-47F9-97B5-69698DFB3A4A}"/>
    <cellStyle name="40% - Accent2 7 2 4" xfId="9299" xr:uid="{F9621643-53A0-4DFE-BAE2-45E4B018E613}"/>
    <cellStyle name="40% - Accent2 7 2_Working Capital Current" xfId="14630" xr:uid="{165D9444-F976-4BE6-A7B1-5CE465BD5051}"/>
    <cellStyle name="40% - Accent2 7 3" xfId="9300" xr:uid="{10BFC91F-0C60-46A2-8EA5-85B14A0A518D}"/>
    <cellStyle name="40% - Accent2 7 3 2" xfId="9301" xr:uid="{E545E224-95F7-4F9D-AB0D-41A33B8ADF5A}"/>
    <cellStyle name="40% - Accent2 7 3_Working Capital Current" xfId="14631" xr:uid="{F29A34B0-DE07-4087-8649-F725A57F2E48}"/>
    <cellStyle name="40% - Accent2 7 4" xfId="9302" xr:uid="{577CDA2B-B82F-4048-AE87-D46F8707F989}"/>
    <cellStyle name="40% - Accent2 7 5" xfId="9303" xr:uid="{42A17BC6-591D-44B6-9E8D-57C750D52A73}"/>
    <cellStyle name="40% - Accent2 7_Not_for_upload_before_M4_correc" xfId="14632" xr:uid="{18BA3530-5F48-406A-AA43-8129C3D3D7C6}"/>
    <cellStyle name="40% - Accent2 70" xfId="9304" xr:uid="{0BD602BD-7A28-47FB-8058-D54266BDDAC1}"/>
    <cellStyle name="40% - Accent2 70 2" xfId="9305" xr:uid="{D65ADB7D-C2E5-40FD-ACFE-DC0DA6357D76}"/>
    <cellStyle name="40% - Accent2 70 2 2" xfId="9306" xr:uid="{9B022580-900C-4816-973B-66D0E3F3520D}"/>
    <cellStyle name="40% - Accent2 70 2_Working Capital Current" xfId="14633" xr:uid="{AB99AA6D-AA20-4118-824D-4202F26677C3}"/>
    <cellStyle name="40% - Accent2 70 3" xfId="9307" xr:uid="{2D24430B-9FE0-4A65-8677-64BB8AF7C566}"/>
    <cellStyle name="40% - Accent2 70 4" xfId="9308" xr:uid="{549F50AF-A282-4533-A45F-4F31B36A2431}"/>
    <cellStyle name="40% - Accent2 70_Working Capital Current" xfId="14634" xr:uid="{449D391F-C686-4B1D-A608-DC160BD53249}"/>
    <cellStyle name="40% - Accent2 71" xfId="9309" xr:uid="{FA0F297D-4955-4254-AF0B-5987F83DB5D1}"/>
    <cellStyle name="40% - Accent2 71 2" xfId="9310" xr:uid="{7FF8E346-EA35-4CD4-BD64-30602C812101}"/>
    <cellStyle name="40% - Accent2 71 2 2" xfId="9311" xr:uid="{D440BD5C-9E79-4BCA-BEF4-CCC5FC4673CC}"/>
    <cellStyle name="40% - Accent2 71 2_Working Capital Current" xfId="14635" xr:uid="{14BAFC9E-8C97-46B0-873B-9F6EEC47C1C4}"/>
    <cellStyle name="40% - Accent2 71 3" xfId="9312" xr:uid="{A40656D6-B55D-43A5-8EE6-774C1716520A}"/>
    <cellStyle name="40% - Accent2 71 4" xfId="9313" xr:uid="{30E2716B-81FB-4864-A58B-C25700A0F60A}"/>
    <cellStyle name="40% - Accent2 71_Working Capital Current" xfId="14636" xr:uid="{7CD54562-AE92-4295-9CD7-183700ECEA79}"/>
    <cellStyle name="40% - Accent2 72" xfId="9314" xr:uid="{92C498DE-FEEB-44E7-9C88-A48AC14143BD}"/>
    <cellStyle name="40% - Accent2 72 2" xfId="9315" xr:uid="{BB3E7335-3F00-476A-8D8D-3828A2E84200}"/>
    <cellStyle name="40% - Accent2 72 2 2" xfId="9316" xr:uid="{97EECDCF-ADAF-4D83-BDAE-13C6E7075B37}"/>
    <cellStyle name="40% - Accent2 72 2_Working Capital Current" xfId="14637" xr:uid="{1EDEF71C-46C0-4479-97FF-ABE781A07E1F}"/>
    <cellStyle name="40% - Accent2 72 3" xfId="9317" xr:uid="{7AACF763-EA1C-4E62-9276-3B5DB7A9D7B7}"/>
    <cellStyle name="40% - Accent2 72 4" xfId="9318" xr:uid="{28F879FA-41B0-4609-8A9D-1D1EAAC8C302}"/>
    <cellStyle name="40% - Accent2 72_Working Capital Current" xfId="14638" xr:uid="{44492B1D-A258-4AEF-AB70-D7C9787816C6}"/>
    <cellStyle name="40% - Accent2 73" xfId="9319" xr:uid="{C718E81A-0949-4808-8E3B-F2DB0C4F1AEA}"/>
    <cellStyle name="40% - Accent2 73 2" xfId="9320" xr:uid="{EA93AD7B-9CDF-4046-9138-C38A1B0522C8}"/>
    <cellStyle name="40% - Accent2 73 2 2" xfId="9321" xr:uid="{09774178-AD11-4471-8FFE-056195136BA7}"/>
    <cellStyle name="40% - Accent2 73 2_Working Capital Current" xfId="14639" xr:uid="{C7E71CD9-DA60-4425-A7DF-434A98D9BD51}"/>
    <cellStyle name="40% - Accent2 73 3" xfId="9322" xr:uid="{6F7FD38A-CC95-49E4-9857-0DD55FBEBE6C}"/>
    <cellStyle name="40% - Accent2 73 4" xfId="9323" xr:uid="{A5BEB15C-3DC3-45A5-BF00-BB54215D75AC}"/>
    <cellStyle name="40% - Accent2 73_Working Capital Current" xfId="14640" xr:uid="{41D41091-2DC6-42B6-93D7-46540057E3CF}"/>
    <cellStyle name="40% - Accent2 74" xfId="9324" xr:uid="{20BB27F7-E49D-4B32-BB8C-5D7D7DCCFF8F}"/>
    <cellStyle name="40% - Accent2 74 2" xfId="9325" xr:uid="{F6F41172-D27A-4177-828D-E96712BABBAB}"/>
    <cellStyle name="40% - Accent2 74 2 2" xfId="9326" xr:uid="{B0355BF3-8C2B-49B0-BC9C-BFFB25A8F728}"/>
    <cellStyle name="40% - Accent2 74 2_Working Capital Current" xfId="14641" xr:uid="{5A1B3C3F-AF51-43A7-82A7-2A824809B600}"/>
    <cellStyle name="40% - Accent2 74 3" xfId="9327" xr:uid="{B8FD6934-E4EF-448D-91B1-71F9B8FDEBBB}"/>
    <cellStyle name="40% - Accent2 74 4" xfId="9328" xr:uid="{C7B830D7-009E-4C2F-A5CD-68A264814802}"/>
    <cellStyle name="40% - Accent2 74_Working Capital Current" xfId="14642" xr:uid="{040C50A4-2C14-4D7F-8845-9BE9D63B7FAF}"/>
    <cellStyle name="40% - Accent2 75" xfId="9329" xr:uid="{13E890D4-8CC9-405D-9469-C86F342B73D8}"/>
    <cellStyle name="40% - Accent2 75 2" xfId="9330" xr:uid="{7B4574D9-BA2B-4C92-8177-C842D043EE58}"/>
    <cellStyle name="40% - Accent2 75 2 2" xfId="9331" xr:uid="{45897492-7CA4-4B78-8087-8F4A7017DAED}"/>
    <cellStyle name="40% - Accent2 75 2_Working Capital Current" xfId="14643" xr:uid="{AF70A052-E0CC-453F-BA52-EF11953F4F47}"/>
    <cellStyle name="40% - Accent2 75 3" xfId="9332" xr:uid="{16FB6368-98A5-4AE3-83EA-BEF29E267498}"/>
    <cellStyle name="40% - Accent2 75 4" xfId="9333" xr:uid="{B3E780BF-D12B-4DD5-8C8E-82B4C010A6EE}"/>
    <cellStyle name="40% - Accent2 75_Working Capital Current" xfId="14644" xr:uid="{53A97FD5-E12E-4FCC-BE5C-F917FE135B91}"/>
    <cellStyle name="40% - Accent2 76" xfId="9334" xr:uid="{F4A6FAE5-1390-4079-9FD1-A945BA484886}"/>
    <cellStyle name="40% - Accent2 76 2" xfId="9335" xr:uid="{98966855-001F-4EA6-86CC-86FA65736B34}"/>
    <cellStyle name="40% - Accent2 76 2 2" xfId="9336" xr:uid="{AEFB07D7-E0A3-44C1-9750-EC3B7744F9DA}"/>
    <cellStyle name="40% - Accent2 76 2_Working Capital Current" xfId="14645" xr:uid="{8FBDFCF6-0915-4CF5-86AB-29E5E5201B62}"/>
    <cellStyle name="40% - Accent2 76 3" xfId="9337" xr:uid="{A67A387E-DB2A-481B-A3B0-D5F5C35F71C6}"/>
    <cellStyle name="40% - Accent2 76 4" xfId="9338" xr:uid="{D678ECCE-C7C4-46C3-AE1D-D71A1730DE9C}"/>
    <cellStyle name="40% - Accent2 76_Working Capital Current" xfId="14646" xr:uid="{AF5C07A9-B438-497D-B93B-6E426356302B}"/>
    <cellStyle name="40% - Accent2 77" xfId="9339" xr:uid="{96EF1FA8-63DF-4099-999E-8CF93FE175DE}"/>
    <cellStyle name="40% - Accent2 77 2" xfId="9340" xr:uid="{6AAB2DB8-53F5-49E8-BE15-BE93A5779DDC}"/>
    <cellStyle name="40% - Accent2 77 2 2" xfId="9341" xr:uid="{A1A203FA-4F22-4EEA-AE79-0975A9DC2F36}"/>
    <cellStyle name="40% - Accent2 77 2_Working Capital Current" xfId="14647" xr:uid="{9F4A40B4-7293-428C-AA22-8C96CD90140B}"/>
    <cellStyle name="40% - Accent2 77 3" xfId="9342" xr:uid="{ACFB59CB-517D-46EA-913C-DD59EF02DBBC}"/>
    <cellStyle name="40% - Accent2 77 4" xfId="9343" xr:uid="{C714CCD1-FC42-49BD-AE55-A0FF76D55BD6}"/>
    <cellStyle name="40% - Accent2 77_Working Capital Current" xfId="14648" xr:uid="{1FD6364A-04E6-48ED-9E19-EC86ADA4B199}"/>
    <cellStyle name="40% - Accent2 78" xfId="9344" xr:uid="{234ADDB5-486D-4477-8A64-AB05F1C42FE6}"/>
    <cellStyle name="40% - Accent2 78 2" xfId="9345" xr:uid="{84310ECA-3DBE-4A09-B4F4-543AD0778F2F}"/>
    <cellStyle name="40% - Accent2 78 2 2" xfId="9346" xr:uid="{089615B0-D5AF-4189-8EF3-B0CE0F77F574}"/>
    <cellStyle name="40% - Accent2 78 2_Working Capital Current" xfId="14649" xr:uid="{1BBB70AF-FD68-4974-8F95-B943C6802CBA}"/>
    <cellStyle name="40% - Accent2 78 3" xfId="9347" xr:uid="{BD464876-E0B7-4FC4-97A3-C15F8AEC0985}"/>
    <cellStyle name="40% - Accent2 78 4" xfId="9348" xr:uid="{A4DA5CEA-091F-4AE0-86B3-9478BEB00242}"/>
    <cellStyle name="40% - Accent2 78_Working Capital Current" xfId="14650" xr:uid="{9A2D2495-169E-48CC-899B-8C8B4CE7A95A}"/>
    <cellStyle name="40% - Accent2 79" xfId="9349" xr:uid="{69D85579-89A5-433C-B317-136AF275B44C}"/>
    <cellStyle name="40% - Accent2 79 2" xfId="9350" xr:uid="{B1AFDB4C-B611-4066-9C7C-29B55AC624C8}"/>
    <cellStyle name="40% - Accent2 79 2 2" xfId="9351" xr:uid="{0BEA41C8-24D7-4ECA-95B3-8E3BAA8FF1F3}"/>
    <cellStyle name="40% - Accent2 79 2_Working Capital Current" xfId="14651" xr:uid="{B7F831F7-9161-44A6-BDFE-046614674810}"/>
    <cellStyle name="40% - Accent2 79 3" xfId="9352" xr:uid="{4F19D81B-B736-4897-B010-E25744C624EA}"/>
    <cellStyle name="40% - Accent2 79 4" xfId="9353" xr:uid="{8BE057C2-1997-4CDF-AF22-300E53475514}"/>
    <cellStyle name="40% - Accent2 79_Working Capital Current" xfId="14652" xr:uid="{48A25134-D9E2-4A3A-A996-C3B5472B60BA}"/>
    <cellStyle name="40% - Accent2 8" xfId="9354" xr:uid="{AE2156AA-C915-4ADB-A7F4-D655669F13FC}"/>
    <cellStyle name="40% - Accent2 8 2" xfId="9355" xr:uid="{736EEB71-5C8C-46BC-9F2D-A49091AA0211}"/>
    <cellStyle name="40% - Accent2 8 2 2" xfId="9356" xr:uid="{0AB6D567-3C85-4CF6-BF19-AE951747DE5E}"/>
    <cellStyle name="40% - Accent2 8 2 2 2" xfId="9357" xr:uid="{F2C5DC4F-A3DE-4F3B-8CE9-99E57EE270A1}"/>
    <cellStyle name="40% - Accent2 8 2 2_Working Capital Current" xfId="14653" xr:uid="{6C7D4644-9C55-4129-8B6B-98F87935A156}"/>
    <cellStyle name="40% - Accent2 8 2 3" xfId="9358" xr:uid="{A76F687B-830F-4424-A685-C9B47EC1AB54}"/>
    <cellStyle name="40% - Accent2 8 2 4" xfId="9359" xr:uid="{749FB82F-2776-4230-8498-891D00610568}"/>
    <cellStyle name="40% - Accent2 8 2_Working Capital Current" xfId="14654" xr:uid="{DDE0B926-3240-4E18-A127-31AFB698B827}"/>
    <cellStyle name="40% - Accent2 8 3" xfId="9360" xr:uid="{43E7179A-A038-4F7B-B7B4-454CEE2B8E0F}"/>
    <cellStyle name="40% - Accent2 8 3 2" xfId="9361" xr:uid="{DF061C94-0A7C-4F96-9711-907845B768AF}"/>
    <cellStyle name="40% - Accent2 8 3_Working Capital Current" xfId="14655" xr:uid="{7F9EC317-E2C8-4739-ACB4-371542AF3DD7}"/>
    <cellStyle name="40% - Accent2 8 4" xfId="9362" xr:uid="{F15F9FA7-D208-4C8E-B8EE-D2B4A2024429}"/>
    <cellStyle name="40% - Accent2 8 5" xfId="9363" xr:uid="{62F9D0BF-9888-403D-841D-0BAD898E69D3}"/>
    <cellStyle name="40% - Accent2 8_Not_for_upload_before_M4_correc" xfId="14656" xr:uid="{B942904F-9A6D-415D-ABCE-EB85C842A737}"/>
    <cellStyle name="40% - Accent2 80" xfId="9364" xr:uid="{C253A3BF-361A-4625-91A3-DDC0762784C3}"/>
    <cellStyle name="40% - Accent2 80 2" xfId="9365" xr:uid="{D167C869-15B6-4FDE-A943-7D101431B0C6}"/>
    <cellStyle name="40% - Accent2 80 2 2" xfId="9366" xr:uid="{0EBB0C6C-EE3E-4D22-9875-9A3BE4F2F1D1}"/>
    <cellStyle name="40% - Accent2 80 2_Working Capital Current" xfId="14657" xr:uid="{B5FC69D2-B4DA-4BCE-BF31-03132F765C10}"/>
    <cellStyle name="40% - Accent2 80 3" xfId="9367" xr:uid="{234915F2-9D26-4B83-909D-D5EF8C53A7E2}"/>
    <cellStyle name="40% - Accent2 80 4" xfId="9368" xr:uid="{F0410171-5DE4-4BCE-BA53-182D0C52BFEF}"/>
    <cellStyle name="40% - Accent2 80_Working Capital Current" xfId="14658" xr:uid="{017163FF-18C3-40D7-AE21-DD40983E267D}"/>
    <cellStyle name="40% - Accent2 81" xfId="9369" xr:uid="{508BF24B-25B9-4192-B450-C8F51F04DBEF}"/>
    <cellStyle name="40% - Accent2 81 2" xfId="9370" xr:uid="{A7724940-2302-461D-B13D-695E688461BB}"/>
    <cellStyle name="40% - Accent2 81 2 2" xfId="9371" xr:uid="{B1E20B30-A68F-4D11-9520-00E1D9B86163}"/>
    <cellStyle name="40% - Accent2 81 2_Working Capital Current" xfId="14659" xr:uid="{AC7DE9FE-4E61-4845-985F-D906AE1BAC55}"/>
    <cellStyle name="40% - Accent2 81 3" xfId="9372" xr:uid="{B1BFF319-E282-458F-9FBC-EFA960342534}"/>
    <cellStyle name="40% - Accent2 81 4" xfId="9373" xr:uid="{695BD5E5-3814-4EFA-AF37-C1AAD33B4E52}"/>
    <cellStyle name="40% - Accent2 81_Working Capital Current" xfId="14660" xr:uid="{D83BC279-43E5-42F6-9205-4DA9CE242B18}"/>
    <cellStyle name="40% - Accent2 82" xfId="9374" xr:uid="{D704CF93-B769-4FD0-B8BC-34F4B1767184}"/>
    <cellStyle name="40% - Accent2 82 2" xfId="9375" xr:uid="{9D7F4AB7-B4FD-494F-8962-A95851DC8565}"/>
    <cellStyle name="40% - Accent2 82 2 2" xfId="9376" xr:uid="{39D37716-75F8-468D-B9FF-D2FBB5F9F373}"/>
    <cellStyle name="40% - Accent2 82 2_Working Capital Current" xfId="14661" xr:uid="{50B358AF-D4B7-4681-ADD9-DDE195D20B99}"/>
    <cellStyle name="40% - Accent2 82 3" xfId="9377" xr:uid="{FDFF4A75-45DF-4C87-8BC5-B8AF6C9C582E}"/>
    <cellStyle name="40% - Accent2 82 4" xfId="9378" xr:uid="{FDC96026-2615-4FFC-9BD5-EE5A2ED45F35}"/>
    <cellStyle name="40% - Accent2 82_Working Capital Current" xfId="14662" xr:uid="{675FDBD5-E584-4414-B786-D5ACFEDBF5B4}"/>
    <cellStyle name="40% - Accent2 83" xfId="9379" xr:uid="{1B9CB1DC-CC3E-4212-A01E-44EF556A2126}"/>
    <cellStyle name="40% - Accent2 83 2" xfId="9380" xr:uid="{58970B86-D2C0-43C1-9BA1-953DE6937D39}"/>
    <cellStyle name="40% - Accent2 83 2 2" xfId="9381" xr:uid="{360B04FD-17F3-4570-893D-6814A2E80E70}"/>
    <cellStyle name="40% - Accent2 83 2_Working Capital Current" xfId="14663" xr:uid="{C2513B26-5FB1-460D-9C32-C7A7AE2EA509}"/>
    <cellStyle name="40% - Accent2 83 3" xfId="9382" xr:uid="{AA0BF346-83EA-43A6-B060-E9642987F617}"/>
    <cellStyle name="40% - Accent2 83 4" xfId="9383" xr:uid="{A06B9A3C-F1F2-4FB1-AF3F-B8BB985E675E}"/>
    <cellStyle name="40% - Accent2 83_Working Capital Current" xfId="14664" xr:uid="{51E51A1E-BD55-4C92-B6BB-3900031764C2}"/>
    <cellStyle name="40% - Accent2 84" xfId="9384" xr:uid="{D6E162B7-866E-4926-8504-E4EBB4F5CCC9}"/>
    <cellStyle name="40% - Accent2 84 2" xfId="9385" xr:uid="{60E4A033-FBE0-41ED-9029-F117E004F796}"/>
    <cellStyle name="40% - Accent2 84 2 2" xfId="9386" xr:uid="{7BADAED4-D565-4111-814D-B77DAD837C3A}"/>
    <cellStyle name="40% - Accent2 84 2_Working Capital Current" xfId="14665" xr:uid="{49C90239-1477-494F-ACE6-62CECDFE7C9A}"/>
    <cellStyle name="40% - Accent2 84 3" xfId="9387" xr:uid="{43EF5B37-8163-4DC6-9A6A-31A574BAC680}"/>
    <cellStyle name="40% - Accent2 84 4" xfId="9388" xr:uid="{280EEBC6-203E-4E11-AE0A-4A40AFB98901}"/>
    <cellStyle name="40% - Accent2 84_Working Capital Current" xfId="14666" xr:uid="{BBA0031C-EBB1-49E1-B143-6CE0BB348F46}"/>
    <cellStyle name="40% - Accent2 85" xfId="9389" xr:uid="{EA1C9323-CB7F-4F97-80FF-F3EEFD9936DD}"/>
    <cellStyle name="40% - Accent2 85 2" xfId="9390" xr:uid="{661DFF03-59CF-473C-A57E-C9F28A5FCFFB}"/>
    <cellStyle name="40% - Accent2 85 2 2" xfId="9391" xr:uid="{887EF94B-BD4A-4463-B2EA-94E325CD67D6}"/>
    <cellStyle name="40% - Accent2 85 2_Working Capital Current" xfId="14667" xr:uid="{2E625C44-91D2-4E7C-8D58-DEF9F6F8464B}"/>
    <cellStyle name="40% - Accent2 85 3" xfId="9392" xr:uid="{B0546A1E-E22B-487B-85F1-B511E3455A4E}"/>
    <cellStyle name="40% - Accent2 85 4" xfId="9393" xr:uid="{0C1CB08F-BDD3-4675-A84E-FBECA4D6DBDE}"/>
    <cellStyle name="40% - Accent2 85_Working Capital Current" xfId="14668" xr:uid="{B59F219E-A139-4E32-908A-E4CD9A69A39B}"/>
    <cellStyle name="40% - Accent2 86" xfId="9394" xr:uid="{0718C3D3-D321-40A0-B78C-0CEB92D1C1C2}"/>
    <cellStyle name="40% - Accent2 86 2" xfId="9395" xr:uid="{908A5FFC-9286-4FF1-88EB-3B154479048F}"/>
    <cellStyle name="40% - Accent2 86 2 2" xfId="9396" xr:uid="{CDEE8AD8-8B75-4EB7-A239-2647B5C25C65}"/>
    <cellStyle name="40% - Accent2 86 2_Working Capital Current" xfId="14669" xr:uid="{C9448949-C625-44E8-A880-4FE694B5C4B7}"/>
    <cellStyle name="40% - Accent2 86 3" xfId="9397" xr:uid="{B2188287-0BDA-4234-8757-29868E2DA6B0}"/>
    <cellStyle name="40% - Accent2 86 4" xfId="9398" xr:uid="{E33929C4-FA13-4F2E-861A-268D12BFB325}"/>
    <cellStyle name="40% - Accent2 86_Working Capital Current" xfId="14670" xr:uid="{DAFD1DD2-42B7-485E-90EB-83D1FCE2B011}"/>
    <cellStyle name="40% - Accent2 87" xfId="9399" xr:uid="{E6563FEC-7C94-4D9E-BBC5-58C37FFE10BC}"/>
    <cellStyle name="40% - Accent2 87 2" xfId="9400" xr:uid="{54092B92-1859-42A6-AEAC-537CDC7B5A0C}"/>
    <cellStyle name="40% - Accent2 87 2 2" xfId="9401" xr:uid="{B4C9BEE1-2079-46C2-AF4B-C31971B1D23A}"/>
    <cellStyle name="40% - Accent2 87 2_Working Capital Current" xfId="14671" xr:uid="{CBA22739-2C9B-452C-98D4-8A348BD336E2}"/>
    <cellStyle name="40% - Accent2 87 3" xfId="9402" xr:uid="{0FBBA53E-8A39-419F-BD07-D3E5547578FB}"/>
    <cellStyle name="40% - Accent2 87 4" xfId="9403" xr:uid="{7AC0D370-7CCE-48EA-A566-EC2ADC7A7623}"/>
    <cellStyle name="40% - Accent2 87_Working Capital Current" xfId="14672" xr:uid="{9936A46B-89DE-4DBF-A139-78B950F07415}"/>
    <cellStyle name="40% - Accent2 88" xfId="9404" xr:uid="{6E06DEDF-C9CC-478F-8289-A0D8D7D6B316}"/>
    <cellStyle name="40% - Accent2 88 2" xfId="9405" xr:uid="{F421BCEA-34A5-4AAB-8696-39CDF8B82123}"/>
    <cellStyle name="40% - Accent2 88 2 2" xfId="9406" xr:uid="{42DCDEA5-8E29-4450-8E08-A75916E28759}"/>
    <cellStyle name="40% - Accent2 88 2_Working Capital Current" xfId="14673" xr:uid="{4BD8E546-AE77-4185-B4F5-CC2AC7905B6D}"/>
    <cellStyle name="40% - Accent2 88 3" xfId="9407" xr:uid="{4D91A595-27BE-40EB-B04C-3CC3F5241E17}"/>
    <cellStyle name="40% - Accent2 88 4" xfId="9408" xr:uid="{67DBC1A8-3995-4958-B6FD-74424D9047DC}"/>
    <cellStyle name="40% - Accent2 88_Working Capital Current" xfId="14674" xr:uid="{80520EBF-71DC-4307-A0E1-6B39B28145C0}"/>
    <cellStyle name="40% - Accent2 89" xfId="9409" xr:uid="{7C0D7219-BB32-40DA-AE1B-4438FB281C47}"/>
    <cellStyle name="40% - Accent2 89 2" xfId="9410" xr:uid="{4E1AA2A3-CA55-478D-A333-B1638CA22D44}"/>
    <cellStyle name="40% - Accent2 89 2 2" xfId="9411" xr:uid="{F1F10DF4-B7DF-4040-9C47-C50D7D9E7E84}"/>
    <cellStyle name="40% - Accent2 89 2_Working Capital Current" xfId="14675" xr:uid="{C897BB62-DBDC-4E9F-BB8E-47B0CBF7220C}"/>
    <cellStyle name="40% - Accent2 89 3" xfId="9412" xr:uid="{6FADF4EE-95BC-4A75-95F4-94EE1BF122F2}"/>
    <cellStyle name="40% - Accent2 89 4" xfId="9413" xr:uid="{561BC068-B031-400D-A1DC-1901AC8D50EC}"/>
    <cellStyle name="40% - Accent2 89_Working Capital Current" xfId="14676" xr:uid="{B17E7810-D344-4640-89CA-B548DB31EC76}"/>
    <cellStyle name="40% - Accent2 9" xfId="9414" xr:uid="{C8CF1838-9F09-48BC-816F-290CF8DDFFA9}"/>
    <cellStyle name="40% - Accent2 9 2" xfId="9415" xr:uid="{AF26FC31-2362-4AC0-8496-F8852B1822C1}"/>
    <cellStyle name="40% - Accent2 9 2 2" xfId="9416" xr:uid="{BCE87EE0-9A51-455D-9025-8052737634C9}"/>
    <cellStyle name="40% - Accent2 9 2 2 2" xfId="9417" xr:uid="{E1F4042F-20C3-4052-9975-9A322316E0E4}"/>
    <cellStyle name="40% - Accent2 9 2 2_Working Capital Current" xfId="14677" xr:uid="{A6A46C01-1366-407C-9A02-C12CB9F8A7CF}"/>
    <cellStyle name="40% - Accent2 9 2 3" xfId="9418" xr:uid="{E745AFDE-A409-4EFE-A219-8362A9139DF0}"/>
    <cellStyle name="40% - Accent2 9 2 4" xfId="9419" xr:uid="{A0619A9A-0F01-4381-9A99-03FA49D52918}"/>
    <cellStyle name="40% - Accent2 9 2_Working Capital Current" xfId="14678" xr:uid="{067D39A0-2855-4E49-8811-66A1639EF7E7}"/>
    <cellStyle name="40% - Accent2 9 3" xfId="9420" xr:uid="{7B17A0F0-13DC-43F0-9423-30B326E996CB}"/>
    <cellStyle name="40% - Accent2 9 3 2" xfId="9421" xr:uid="{465CA390-4EEA-4D82-9D55-09EFA2937954}"/>
    <cellStyle name="40% - Accent2 9 3_Working Capital Current" xfId="14679" xr:uid="{C273EB0F-83CB-402D-806C-5B9459A70223}"/>
    <cellStyle name="40% - Accent2 9 4" xfId="9422" xr:uid="{DCD200BD-DCAE-4CA2-9698-22AE1843338A}"/>
    <cellStyle name="40% - Accent2 9 5" xfId="9423" xr:uid="{069B46D9-14EA-4B9F-8353-C8E72D362C4C}"/>
    <cellStyle name="40% - Accent2 9_Not_for_upload_before_M4_correc" xfId="14680" xr:uid="{DE834F22-35B0-45DE-8D0E-A84A929C87BB}"/>
    <cellStyle name="40% - Accent2 90" xfId="9424" xr:uid="{750BC028-5A67-49EB-A391-2BA331165D65}"/>
    <cellStyle name="40% - Accent2 90 2" xfId="9425" xr:uid="{757F04BC-1A6F-449E-A158-A0382C11D6B3}"/>
    <cellStyle name="40% - Accent2 90 2 2" xfId="9426" xr:uid="{026E0B12-AD44-499B-8F90-9710612C5927}"/>
    <cellStyle name="40% - Accent2 90 2_Working Capital Current" xfId="14681" xr:uid="{EEB9E8EB-6270-4017-87CB-D425E77A7167}"/>
    <cellStyle name="40% - Accent2 90 3" xfId="9427" xr:uid="{F55D0FB6-24E6-4BF7-A10D-B9AEFF404D9B}"/>
    <cellStyle name="40% - Accent2 90 4" xfId="9428" xr:uid="{D5BA8C27-47B2-4263-AD09-DF06E39C66FC}"/>
    <cellStyle name="40% - Accent2 90_Working Capital Current" xfId="14682" xr:uid="{388D88CC-12AF-4124-B4E3-ABBF97D019CF}"/>
    <cellStyle name="40% - Accent2 91" xfId="9429" xr:uid="{4FAF9298-08DE-4982-B96E-416014453371}"/>
    <cellStyle name="40% - Accent2 91 2" xfId="9430" xr:uid="{C80FE0A7-E2EC-4453-934A-49B2C11BD0DD}"/>
    <cellStyle name="40% - Accent2 91 2 2" xfId="9431" xr:uid="{C245282D-6AFB-4A89-A76A-45D87C2289D3}"/>
    <cellStyle name="40% - Accent2 91 2_Working Capital Current" xfId="14683" xr:uid="{BD0EA88D-362E-466F-919F-48315BEC0B90}"/>
    <cellStyle name="40% - Accent2 91 3" xfId="9432" xr:uid="{36742492-A1AC-41E1-9473-0C4DD30D3460}"/>
    <cellStyle name="40% - Accent2 91 4" xfId="9433" xr:uid="{D6767DA3-1D38-40AD-B80A-3D039815EC48}"/>
    <cellStyle name="40% - Accent2 91_Working Capital Current" xfId="14684" xr:uid="{F9A67A92-B585-49A2-A605-CEABA8ED9D97}"/>
    <cellStyle name="40% - Accent2 92" xfId="9434" xr:uid="{6FEA5913-33B6-4236-8929-4271F8E207C4}"/>
    <cellStyle name="40% - Accent2 92 2" xfId="9435" xr:uid="{4C6AE8BC-24FB-44E1-AC4E-9B16E56D7FD6}"/>
    <cellStyle name="40% - Accent2 92 2 2" xfId="9436" xr:uid="{353D3A12-E2DF-4D2C-B4FC-EB328A8B2466}"/>
    <cellStyle name="40% - Accent2 92 2_Working Capital Current" xfId="14685" xr:uid="{D140FC7E-CBE8-4C52-832F-252F7CAF5604}"/>
    <cellStyle name="40% - Accent2 92 3" xfId="9437" xr:uid="{6031CFF2-A505-44BF-9FBE-EEB236544BE1}"/>
    <cellStyle name="40% - Accent2 92 4" xfId="9438" xr:uid="{05786361-CC17-40B4-95BB-96D02288BAF5}"/>
    <cellStyle name="40% - Accent2 92_Working Capital Current" xfId="14686" xr:uid="{28A51371-CE8E-4F55-87FC-A492CEED8DD6}"/>
    <cellStyle name="40% - Accent2 93" xfId="9439" xr:uid="{9C0E8702-0A57-4D95-AA0F-5CC2D3C55587}"/>
    <cellStyle name="40% - Accent2 93 2" xfId="9440" xr:uid="{8358924D-D375-48AC-A2BF-CA49A604CA00}"/>
    <cellStyle name="40% - Accent2 93 2 2" xfId="9441" xr:uid="{31DB6CA8-1A01-4FFC-8ED0-346557599615}"/>
    <cellStyle name="40% - Accent2 93 2_Working Capital Current" xfId="14687" xr:uid="{1E3B57B3-62D2-4DFE-9050-10AE39388E11}"/>
    <cellStyle name="40% - Accent2 93 3" xfId="9442" xr:uid="{FD30068A-BC5F-4450-B52A-C1856A917783}"/>
    <cellStyle name="40% - Accent2 93 4" xfId="9443" xr:uid="{222BE4AE-ED20-4C23-A615-97288730BEDF}"/>
    <cellStyle name="40% - Accent2 93_Working Capital Current" xfId="14688" xr:uid="{D1247622-AD46-4969-A4D6-A879939ABCA6}"/>
    <cellStyle name="40% - Accent2 94" xfId="9444" xr:uid="{78BAC889-0A65-4CFF-95F9-2A77AA4D7405}"/>
    <cellStyle name="40% - Accent2 94 2" xfId="9445" xr:uid="{5CDD6568-513E-49ED-A267-1C8BCB06F626}"/>
    <cellStyle name="40% - Accent2 94 2 2" xfId="9446" xr:uid="{5CB1AD5D-52A3-4A3E-B8DF-FD1C20A8BFEC}"/>
    <cellStyle name="40% - Accent2 94 2_Working Capital Current" xfId="14689" xr:uid="{1297B4E0-5979-4532-AB77-9E53836D07B8}"/>
    <cellStyle name="40% - Accent2 94 3" xfId="9447" xr:uid="{BA548828-8A8A-47CD-814E-514C6475BC62}"/>
    <cellStyle name="40% - Accent2 94 4" xfId="9448" xr:uid="{90CB867C-6BE3-4AFA-8F45-228CBF317420}"/>
    <cellStyle name="40% - Accent2 94_Working Capital Current" xfId="14690" xr:uid="{005BB46D-0CB9-4024-AEB7-E0745AD31CC3}"/>
    <cellStyle name="40% - Accent2 95" xfId="9449" xr:uid="{5F332C8C-9926-487B-A60D-924F505F6411}"/>
    <cellStyle name="40% - Accent2 95 2" xfId="9450" xr:uid="{96BDCE27-F8C0-460C-BB79-F17979E0FB2E}"/>
    <cellStyle name="40% - Accent2 95 2 2" xfId="9451" xr:uid="{84382708-A7E0-44CB-8FD1-DC29E9FF56E9}"/>
    <cellStyle name="40% - Accent2 95 2_Working Capital Current" xfId="14691" xr:uid="{F3636706-2354-4B14-BD38-E691F2B2DB6C}"/>
    <cellStyle name="40% - Accent2 95 3" xfId="9452" xr:uid="{8B7BBE79-2703-4485-9AC1-77FB0B67EBD3}"/>
    <cellStyle name="40% - Accent2 95 4" xfId="9453" xr:uid="{E7256196-CB33-490B-BEF2-A65945B2A854}"/>
    <cellStyle name="40% - Accent2 95_Working Capital Current" xfId="14692" xr:uid="{C7B1011C-15D3-4433-B7B4-377FEA5A3652}"/>
    <cellStyle name="40% - Accent2 96" xfId="9454" xr:uid="{8923A85F-4C51-4F47-B8EA-08E4113C4F23}"/>
    <cellStyle name="40% - Accent2 96 2" xfId="9455" xr:uid="{D1D32279-4706-498F-BFB6-3D52AB9F02C1}"/>
    <cellStyle name="40% - Accent2 96 2 2" xfId="9456" xr:uid="{4B296040-AD12-467B-AF69-BE02704E6EB8}"/>
    <cellStyle name="40% - Accent2 96 2_Working Capital Current" xfId="14693" xr:uid="{E96732B9-9494-40A3-9C00-CBE496031B4E}"/>
    <cellStyle name="40% - Accent2 96 3" xfId="9457" xr:uid="{D0458740-FB92-4C85-9746-81FBABCDFE38}"/>
    <cellStyle name="40% - Accent2 96 4" xfId="9458" xr:uid="{FCD7F496-91CF-4A70-84ED-931A4A76AEFD}"/>
    <cellStyle name="40% - Accent2 96_Working Capital Current" xfId="14694" xr:uid="{13A164DD-F2DC-4CEF-AA1E-46F84BCFE606}"/>
    <cellStyle name="40% - Accent2 97" xfId="9459" xr:uid="{21579D48-C973-4B4C-B0EB-EA469B2635E0}"/>
    <cellStyle name="40% - Accent2 97 2" xfId="9460" xr:uid="{B25BE18D-517F-4670-A46B-863BC65FB71B}"/>
    <cellStyle name="40% - Accent2 97 2 2" xfId="9461" xr:uid="{625D14C9-F6AD-48C1-9F80-7BEA7C183DB5}"/>
    <cellStyle name="40% - Accent2 97 2_Working Capital Current" xfId="14695" xr:uid="{B5C7BC52-4D4C-49C6-A6DD-9E03A4CC98C8}"/>
    <cellStyle name="40% - Accent2 97 3" xfId="9462" xr:uid="{EC05BD14-FF5C-4478-A94A-3FA96562FD31}"/>
    <cellStyle name="40% - Accent2 97 4" xfId="9463" xr:uid="{657C0017-2339-4476-8AEE-827E05724312}"/>
    <cellStyle name="40% - Accent2 97_Working Capital Current" xfId="14696" xr:uid="{81C77259-4919-4C0A-85BD-7F735B03ACB5}"/>
    <cellStyle name="40% - Accent2 98" xfId="9464" xr:uid="{1FD576B5-EDBA-483B-B4A5-654E7CE1FEFB}"/>
    <cellStyle name="40% - Accent2 98 2" xfId="9465" xr:uid="{AE55848D-074C-4472-8505-3E4E236116BD}"/>
    <cellStyle name="40% - Accent2 98 2 2" xfId="9466" xr:uid="{8645B11D-2F20-4C68-9F07-328D5237E63B}"/>
    <cellStyle name="40% - Accent2 98 2_Working Capital Current" xfId="14697" xr:uid="{B631F845-B500-4D3E-9D04-1DFDF180DFA3}"/>
    <cellStyle name="40% - Accent2 98 3" xfId="9467" xr:uid="{B048C9D0-1897-49F6-86E9-A098FE587CD3}"/>
    <cellStyle name="40% - Accent2 98 4" xfId="9468" xr:uid="{80AABC7B-21D9-43A1-999C-8A9F98A69142}"/>
    <cellStyle name="40% - Accent2 98_Working Capital Current" xfId="14698" xr:uid="{F11B58DA-19BD-4990-9608-01BE15A5F5C1}"/>
    <cellStyle name="40% - Accent2 99" xfId="9469" xr:uid="{A50BCF82-B492-4FBD-B169-4A92EEDADAFC}"/>
    <cellStyle name="40% - Accent2 99 2" xfId="9470" xr:uid="{08C803EA-E9E7-4463-AE8D-B82B255BDCFF}"/>
    <cellStyle name="40% - Accent2 99 2 2" xfId="9471" xr:uid="{B7F8461D-181A-4E4E-A184-6D51E2E339DE}"/>
    <cellStyle name="40% - Accent2 99 2_Working Capital Current" xfId="14699" xr:uid="{515BD7B8-3D7F-4C1F-85FE-297D59F7DE2D}"/>
    <cellStyle name="40% - Accent2 99 3" xfId="9472" xr:uid="{E29243AE-DD12-4FCB-A30A-B057BDE574DE}"/>
    <cellStyle name="40% - Accent2 99 4" xfId="9473" xr:uid="{07C6AF98-2E95-4029-869A-DC578C31F96B}"/>
    <cellStyle name="40% - Accent2 99_Working Capital Current" xfId="14700" xr:uid="{7E089EE6-328C-4696-9A57-8C5E610FBB38}"/>
    <cellStyle name="40% - Accent3" xfId="32" builtinId="39" customBuiltin="1"/>
    <cellStyle name="40% - Accent3 10" xfId="9474" xr:uid="{F816AFC3-395D-49C4-B0AB-3ED31776E275}"/>
    <cellStyle name="40% - Accent3 10 2" xfId="9475" xr:uid="{722DF82F-0AB9-43A9-93E4-28F8CA915333}"/>
    <cellStyle name="40% - Accent3 10 2 2" xfId="9476" xr:uid="{EAD0311D-8316-40BF-BE72-941E7AAA76E0}"/>
    <cellStyle name="40% - Accent3 10 2 2 2" xfId="9477" xr:uid="{9BE5AEE7-0AB4-4DCF-89B7-7973BF5EC57D}"/>
    <cellStyle name="40% - Accent3 10 2 2_Working Capital Current" xfId="14701" xr:uid="{02589E54-842D-425A-9C8E-CE2DDDA9AF30}"/>
    <cellStyle name="40% - Accent3 10 2 3" xfId="9478" xr:uid="{E1EA14E7-A125-4BF6-A2E6-9E5C245B855F}"/>
    <cellStyle name="40% - Accent3 10 2 4" xfId="9479" xr:uid="{14BAFCAA-E375-4A6F-AFA7-526F7691571A}"/>
    <cellStyle name="40% - Accent3 10 2_Working Capital Current" xfId="14702" xr:uid="{63953229-70F9-40A6-8F9C-E1D17E17DF69}"/>
    <cellStyle name="40% - Accent3 10 3" xfId="9480" xr:uid="{87C8CA75-A5C7-464E-937B-A68C4CFEDB24}"/>
    <cellStyle name="40% - Accent3 10 3 2" xfId="9481" xr:uid="{97F1C6F9-40D1-498A-971F-05C924656DAA}"/>
    <cellStyle name="40% - Accent3 10 3_Working Capital Current" xfId="14703" xr:uid="{CC8D901A-037D-4DCA-9628-04AA50D13334}"/>
    <cellStyle name="40% - Accent3 10 4" xfId="9482" xr:uid="{31377C78-D4C8-44D4-AF7F-2BD0DFF7B3D3}"/>
    <cellStyle name="40% - Accent3 10 5" xfId="9483" xr:uid="{08EDCA87-50ED-4A00-BFE3-5E27466D6C1B}"/>
    <cellStyle name="40% - Accent3 10_Not_for_upload_before_M4_correc" xfId="14704" xr:uid="{B7A3F62B-7C9E-461D-8110-A06A366A1B2C}"/>
    <cellStyle name="40% - Accent3 100" xfId="9484" xr:uid="{45B99B6F-E434-4F3A-839C-2D64B0AD45F6}"/>
    <cellStyle name="40% - Accent3 100 2" xfId="9485" xr:uid="{E7C97CEE-AC82-457A-9163-2CEC5727810D}"/>
    <cellStyle name="40% - Accent3 100 2 2" xfId="9486" xr:uid="{FACF8B87-ACC1-4CAE-A393-13A744AD3307}"/>
    <cellStyle name="40% - Accent3 100 2_Working Capital Current" xfId="14705" xr:uid="{7C22062F-3667-4C1E-A7DB-92B6037576A3}"/>
    <cellStyle name="40% - Accent3 100 3" xfId="9487" xr:uid="{A182446C-18F8-47CE-B310-CB8C8B16E690}"/>
    <cellStyle name="40% - Accent3 100 4" xfId="9488" xr:uid="{6C04EB98-3B42-4AFC-BCE3-68517774DBFA}"/>
    <cellStyle name="40% - Accent3 100_Working Capital Current" xfId="14706" xr:uid="{CF6405C7-F9B3-47CC-92BD-1DA168F14F64}"/>
    <cellStyle name="40% - Accent3 101" xfId="9489" xr:uid="{B8EF8175-9B4C-45E7-B579-78828F3FB135}"/>
    <cellStyle name="40% - Accent3 101 2" xfId="9490" xr:uid="{CAC37705-8EF6-4293-9902-941AA5DDE6FB}"/>
    <cellStyle name="40% - Accent3 101 3" xfId="9491" xr:uid="{0123ED6F-374C-402E-9421-D1CBBEF7CBE6}"/>
    <cellStyle name="40% - Accent3 101_Working Capital Current" xfId="14707" xr:uid="{E0C760FD-59AC-4ECE-802D-227991B33098}"/>
    <cellStyle name="40% - Accent3 102" xfId="9492" xr:uid="{0189EE9F-5CF7-4745-88F6-D91089D9FF09}"/>
    <cellStyle name="40% - Accent3 102 2" xfId="9493" xr:uid="{F011326D-A093-43A2-8D0B-B1CAB56E1D3D}"/>
    <cellStyle name="40% - Accent3 102 3" xfId="9494" xr:uid="{6D313B92-6D9F-4AD2-8870-0F138A9ED490}"/>
    <cellStyle name="40% - Accent3 102_Working Capital Current" xfId="14708" xr:uid="{BB3479F2-FE16-426B-A908-7387213F1914}"/>
    <cellStyle name="40% - Accent3 103" xfId="9495" xr:uid="{3BB1081E-2AE9-42CF-AAAD-DF96600DE9F6}"/>
    <cellStyle name="40% - Accent3 104" xfId="9496" xr:uid="{4F30D6C0-E77D-42BB-951B-BE4ED55B7B7E}"/>
    <cellStyle name="40% - Accent3 105" xfId="14709" xr:uid="{89080768-48AB-4BDF-B326-040B59EE04B7}"/>
    <cellStyle name="40% - Accent3 106" xfId="16493" xr:uid="{15D141A7-84C7-4951-9208-9B1FD120EF3D}"/>
    <cellStyle name="40% - Accent3 107" xfId="16990" xr:uid="{4C18B653-8AD3-46FC-A3A1-4C5E81DBB7E7}"/>
    <cellStyle name="40% - Accent3 108" xfId="3904" xr:uid="{86FD4898-179D-45C3-A6AB-12A8C8AAB422}"/>
    <cellStyle name="40% - Accent3 109" xfId="18339" xr:uid="{D77B832D-0842-487B-9D55-680766D73C1A}"/>
    <cellStyle name="40% - Accent3 11" xfId="9497" xr:uid="{19368AC8-6063-40E7-9BC4-89F6CD18D54A}"/>
    <cellStyle name="40% - Accent3 11 2" xfId="9498" xr:uid="{B881EE3B-EA0E-41E2-9E59-501082129498}"/>
    <cellStyle name="40% - Accent3 11 2 2" xfId="9499" xr:uid="{D6C973F5-36C2-4972-9309-BF119BBB4769}"/>
    <cellStyle name="40% - Accent3 11 2 2 2" xfId="9500" xr:uid="{5449D43D-5992-4823-AA19-4CCBDF49C60F}"/>
    <cellStyle name="40% - Accent3 11 2 2_Working Capital Current" xfId="14710" xr:uid="{4197FBC8-F075-4850-BD56-955CB534EC99}"/>
    <cellStyle name="40% - Accent3 11 2 3" xfId="9501" xr:uid="{30AD0AE8-C542-492A-A31D-E1A31FE43937}"/>
    <cellStyle name="40% - Accent3 11 2 4" xfId="9502" xr:uid="{5D3B4AAA-F9AD-4666-975E-4A7052D3FD19}"/>
    <cellStyle name="40% - Accent3 11 2_Working Capital Current" xfId="14711" xr:uid="{3EE8425F-5FCD-4605-BE8C-4DA259106AF6}"/>
    <cellStyle name="40% - Accent3 11 3" xfId="9503" xr:uid="{BB0B0B45-0726-40FC-A9A8-3730827E8681}"/>
    <cellStyle name="40% - Accent3 11 3 2" xfId="9504" xr:uid="{D14EA7D6-D2AA-4E83-9F93-E840B9FD98C2}"/>
    <cellStyle name="40% - Accent3 11 3_Working Capital Current" xfId="14712" xr:uid="{50495C64-B08E-43BB-B568-B8D69745F07F}"/>
    <cellStyle name="40% - Accent3 11 4" xfId="9505" xr:uid="{6B91841D-66FE-4234-AD97-CD309DAC776A}"/>
    <cellStyle name="40% - Accent3 11 5" xfId="9506" xr:uid="{53530D90-AC7A-4FCB-9A79-48D669DC4B5E}"/>
    <cellStyle name="40% - Accent3 11_Not_for_upload_before_M4_correc" xfId="14713" xr:uid="{3BED4F23-0F79-49CB-BC5B-9383423BCBF7}"/>
    <cellStyle name="40% - Accent3 12" xfId="9507" xr:uid="{EF065FCC-CF74-4E29-942B-846C9F118D64}"/>
    <cellStyle name="40% - Accent3 12 2" xfId="9508" xr:uid="{31624CE3-523E-4CD9-A30A-1EBFF0705537}"/>
    <cellStyle name="40% - Accent3 12 2 2" xfId="9509" xr:uid="{DA2B948A-0D39-4B35-AE36-A3C2BFD5C4C4}"/>
    <cellStyle name="40% - Accent3 12 2 2 2" xfId="9510" xr:uid="{2CF36789-7378-4007-963E-AC6149C62896}"/>
    <cellStyle name="40% - Accent3 12 2 2_Working Capital Current" xfId="14714" xr:uid="{30586CB4-2C1A-4E51-A65A-0EAACACAD698}"/>
    <cellStyle name="40% - Accent3 12 2 3" xfId="9511" xr:uid="{16A5DBA0-BA4F-4248-8FF9-253BA3AA097B}"/>
    <cellStyle name="40% - Accent3 12 2 4" xfId="9512" xr:uid="{1521E509-B471-46AB-81C3-A254B3DD744D}"/>
    <cellStyle name="40% - Accent3 12 2_Working Capital Current" xfId="14715" xr:uid="{E40FCD35-FED0-49EF-B1BC-3111728A1B6A}"/>
    <cellStyle name="40% - Accent3 12 3" xfId="9513" xr:uid="{A34DE46C-F69A-47E9-8D67-820962BE3AAA}"/>
    <cellStyle name="40% - Accent3 12 3 2" xfId="9514" xr:uid="{4048B15E-756B-4572-8063-C660D3FBAB7A}"/>
    <cellStyle name="40% - Accent3 12 3_Working Capital Current" xfId="14716" xr:uid="{B4E84FCF-465A-4908-A1E0-2E5DDF78E7CA}"/>
    <cellStyle name="40% - Accent3 12 4" xfId="9515" xr:uid="{409ECF98-CF86-49D1-994E-FE0C27531872}"/>
    <cellStyle name="40% - Accent3 12 5" xfId="9516" xr:uid="{CF7C6692-14D2-4CF1-BDD5-DF36C4E7CE4D}"/>
    <cellStyle name="40% - Accent3 12_Not_for_upload_before_M4_correc" xfId="14717" xr:uid="{3990E265-6FBF-44F8-8041-E9357DE2BE58}"/>
    <cellStyle name="40% - Accent3 13" xfId="9517" xr:uid="{C25BC23D-2179-493F-A051-EC7AB029238F}"/>
    <cellStyle name="40% - Accent3 13 2" xfId="9518" xr:uid="{F5B58480-747A-4711-BFC9-F63FE1C37F2E}"/>
    <cellStyle name="40% - Accent3 13 2 2" xfId="9519" xr:uid="{7BB9F647-F3AF-4F85-B8E1-97BC51BAC489}"/>
    <cellStyle name="40% - Accent3 13 2 2 2" xfId="9520" xr:uid="{69B052B6-481A-48FE-A8B8-3CFB73BBEEC1}"/>
    <cellStyle name="40% - Accent3 13 2 2_Working Capital Current" xfId="14718" xr:uid="{93CDA648-C15B-40A4-9851-F409C83ABF9A}"/>
    <cellStyle name="40% - Accent3 13 2 3" xfId="9521" xr:uid="{45254721-5985-495C-A7A3-04D8033B1630}"/>
    <cellStyle name="40% - Accent3 13 2 4" xfId="9522" xr:uid="{35DFC9EE-52D6-495F-9467-117503ABEB91}"/>
    <cellStyle name="40% - Accent3 13 2_Working Capital Current" xfId="14719" xr:uid="{81688D88-41AD-4EBC-B84A-5F4B824BB5A8}"/>
    <cellStyle name="40% - Accent3 13 3" xfId="9523" xr:uid="{7DED8DE9-A299-40C4-8648-3AEF28B34003}"/>
    <cellStyle name="40% - Accent3 13 3 2" xfId="9524" xr:uid="{3830E646-883E-4EF6-B927-32F0AAADB211}"/>
    <cellStyle name="40% - Accent3 13 3_Working Capital Current" xfId="14720" xr:uid="{A1AD2CB0-7254-4B88-9B8B-1F379E9DA123}"/>
    <cellStyle name="40% - Accent3 13 4" xfId="9525" xr:uid="{C8228D8B-EAC7-4EDE-8E63-D83540F1D048}"/>
    <cellStyle name="40% - Accent3 13 5" xfId="9526" xr:uid="{50A14E37-E5CF-4A4C-9678-887D226EC85B}"/>
    <cellStyle name="40% - Accent3 13_Not_for_upload_before_M4_correc" xfId="14721" xr:uid="{72687496-9BEC-4B3F-B579-C8D43B0E6F1F}"/>
    <cellStyle name="40% - Accent3 14" xfId="9527" xr:uid="{FD12C61B-22A4-4419-A369-8F064DCDCC18}"/>
    <cellStyle name="40% - Accent3 14 2" xfId="9528" xr:uid="{54326A33-28FD-4589-B9BE-6C675D184F2B}"/>
    <cellStyle name="40% - Accent3 14 2 2" xfId="9529" xr:uid="{8BBA7A83-E7E8-4267-A4F4-4343A5904CC9}"/>
    <cellStyle name="40% - Accent3 14 2 2 2" xfId="9530" xr:uid="{6627E668-D362-43B0-8F6C-3546F45F17D2}"/>
    <cellStyle name="40% - Accent3 14 2 2_Working Capital Current" xfId="14722" xr:uid="{BD0FF80D-ADF4-4F09-B20C-8DCA2E1E4A2A}"/>
    <cellStyle name="40% - Accent3 14 2 3" xfId="9531" xr:uid="{45C33FC4-E27C-4955-8F95-E541CFECB253}"/>
    <cellStyle name="40% - Accent3 14 2 4" xfId="9532" xr:uid="{ED721EC6-BAC2-48FF-B776-C7D3599F6CD0}"/>
    <cellStyle name="40% - Accent3 14 2_Working Capital Current" xfId="14723" xr:uid="{1D6782D1-8B3E-45D8-84A3-AAEDEA704568}"/>
    <cellStyle name="40% - Accent3 14 3" xfId="9533" xr:uid="{AA85E835-8444-472E-9912-B1D8379CA50E}"/>
    <cellStyle name="40% - Accent3 14 3 2" xfId="9534" xr:uid="{EE90FCCF-037C-47E7-870B-805FF1A00194}"/>
    <cellStyle name="40% - Accent3 14 3_Working Capital Current" xfId="14724" xr:uid="{BAA3A003-006C-401C-8D51-760A09FC8155}"/>
    <cellStyle name="40% - Accent3 14 4" xfId="9535" xr:uid="{F40CDBD7-7640-4079-B9C4-32F52971DF5D}"/>
    <cellStyle name="40% - Accent3 14 5" xfId="9536" xr:uid="{37A7CB7E-CB9E-4232-8DD1-AC154EE4D5C4}"/>
    <cellStyle name="40% - Accent3 14_Not_for_upload_before_M4_correc" xfId="14725" xr:uid="{2B04B6DD-318B-42E0-AD86-0A605C31B28D}"/>
    <cellStyle name="40% - Accent3 15" xfId="9537" xr:uid="{E16A4615-BED2-4BA6-96F0-28582D489BC5}"/>
    <cellStyle name="40% - Accent3 15 2" xfId="9538" xr:uid="{1781A33F-D405-4C4C-B483-BB86B198C571}"/>
    <cellStyle name="40% - Accent3 15 2 2" xfId="9539" xr:uid="{A7B4EA21-F8BB-4C32-B70F-DBEE9363533C}"/>
    <cellStyle name="40% - Accent3 15 2 2 2" xfId="9540" xr:uid="{4759E40B-61CB-4ADB-81D1-267A682709C9}"/>
    <cellStyle name="40% - Accent3 15 2 2_Working Capital Current" xfId="14726" xr:uid="{B0468877-EDEC-48C1-AF61-38EDBC4587C0}"/>
    <cellStyle name="40% - Accent3 15 2 3" xfId="9541" xr:uid="{D8163BEB-11C0-4D8A-B594-232BD28C0317}"/>
    <cellStyle name="40% - Accent3 15 2 4" xfId="9542" xr:uid="{8147311F-76F0-4EAB-BE42-241FA4D95B0E}"/>
    <cellStyle name="40% - Accent3 15 2_Working Capital Current" xfId="14727" xr:uid="{95E06C59-FC0A-413E-A816-DCD6332D7F3E}"/>
    <cellStyle name="40% - Accent3 15 3" xfId="9543" xr:uid="{EF6E66A6-6C1F-4941-AABF-AFBAB4158ACB}"/>
    <cellStyle name="40% - Accent3 15 3 2" xfId="9544" xr:uid="{CCDF0D0A-D8AE-42BC-BD8F-13FB10826546}"/>
    <cellStyle name="40% - Accent3 15 3_Working Capital Current" xfId="14728" xr:uid="{C30A4EE4-6B02-4DC0-8EB0-48761D9DE206}"/>
    <cellStyle name="40% - Accent3 15 4" xfId="9545" xr:uid="{BF0A23C0-2D74-4D17-8F3C-3EB3D0860AF9}"/>
    <cellStyle name="40% - Accent3 15 5" xfId="9546" xr:uid="{FB2A275B-17D2-4A61-B2E3-56DC27B87ABD}"/>
    <cellStyle name="40% - Accent3 15_Not_for_upload_before_M4_correc" xfId="14729" xr:uid="{52A80711-E7B8-435E-A0D6-6DE83817DCBE}"/>
    <cellStyle name="40% - Accent3 16" xfId="9547" xr:uid="{785615A8-521C-45F1-B358-63E851F334A5}"/>
    <cellStyle name="40% - Accent3 16 2" xfId="9548" xr:uid="{D90990A2-9B45-4FFA-AD87-9596E688B368}"/>
    <cellStyle name="40% - Accent3 16 2 2" xfId="9549" xr:uid="{36CC69BE-C288-418C-A1ED-4B0328DBB01F}"/>
    <cellStyle name="40% - Accent3 16 2 2 2" xfId="9550" xr:uid="{D1DD7255-4DB7-4371-8C9E-23C69717EB97}"/>
    <cellStyle name="40% - Accent3 16 2 2_Working Capital Current" xfId="14730" xr:uid="{E34FBC3B-8411-4DC5-9FA8-59B9066CA497}"/>
    <cellStyle name="40% - Accent3 16 2 3" xfId="9551" xr:uid="{CF666955-73D1-4AF5-AEC8-446D17DB3BB6}"/>
    <cellStyle name="40% - Accent3 16 2 4" xfId="9552" xr:uid="{7D6D88EA-B19E-4445-B5EA-528DC13896B6}"/>
    <cellStyle name="40% - Accent3 16 2_Working Capital Current" xfId="14731" xr:uid="{38F1B4AE-CB8B-4128-A40F-5A3B8D66A235}"/>
    <cellStyle name="40% - Accent3 16 3" xfId="9553" xr:uid="{1E84D218-8AB0-4A51-8C61-7BEC352513CD}"/>
    <cellStyle name="40% - Accent3 16 3 2" xfId="9554" xr:uid="{6D869579-88CA-4F63-B551-95A93C7134F3}"/>
    <cellStyle name="40% - Accent3 16 3_Working Capital Current" xfId="14732" xr:uid="{D96D5909-0A69-4C45-8112-04F1EAEC4201}"/>
    <cellStyle name="40% - Accent3 16 4" xfId="9555" xr:uid="{F8ABD898-96BA-4901-8881-488DCEB7E5D6}"/>
    <cellStyle name="40% - Accent3 16 5" xfId="9556" xr:uid="{2539C6B5-A6A7-4756-8815-3EB316DD9EA0}"/>
    <cellStyle name="40% - Accent3 16_Not_for_upload_before_M4_correc" xfId="14733" xr:uid="{3D6EA36E-4CC5-4D3E-88CA-518CF809B837}"/>
    <cellStyle name="40% - Accent3 17" xfId="9557" xr:uid="{B1A41837-8619-4218-B673-33CFF7F233F8}"/>
    <cellStyle name="40% - Accent3 17 2" xfId="9558" xr:uid="{A89C5B80-11E8-4691-AA84-E1D7C0294357}"/>
    <cellStyle name="40% - Accent3 17 2 2" xfId="9559" xr:uid="{66569339-BB90-4374-B45B-D31AE49197B0}"/>
    <cellStyle name="40% - Accent3 17 2 2 2" xfId="9560" xr:uid="{70147CB2-D6E5-4A97-BF51-2C9AC011B81E}"/>
    <cellStyle name="40% - Accent3 17 2 2_Working Capital Current" xfId="14734" xr:uid="{5A6C1910-5340-4701-AB3D-1C0C2B4E67A5}"/>
    <cellStyle name="40% - Accent3 17 2 3" xfId="9561" xr:uid="{E1BC055F-1190-4CEC-B196-771EA418E2B9}"/>
    <cellStyle name="40% - Accent3 17 2 4" xfId="9562" xr:uid="{F8AEC888-1628-4155-80A4-A986B40976FD}"/>
    <cellStyle name="40% - Accent3 17 2_Working Capital Current" xfId="14735" xr:uid="{3D19DF0E-BD41-4B60-BE3D-688227126443}"/>
    <cellStyle name="40% - Accent3 17 3" xfId="9563" xr:uid="{5B82B37B-4F15-4C83-9215-2FD8255D30DF}"/>
    <cellStyle name="40% - Accent3 17 3 2" xfId="9564" xr:uid="{1BCEB24E-5DAA-460A-93E4-5D83342FC741}"/>
    <cellStyle name="40% - Accent3 17 3_Working Capital Current" xfId="14736" xr:uid="{5B65B8B6-D529-435A-91A4-9CB00C9218B9}"/>
    <cellStyle name="40% - Accent3 17 4" xfId="9565" xr:uid="{C67B3400-962D-4ED4-8123-E046868E0EC7}"/>
    <cellStyle name="40% - Accent3 17 5" xfId="9566" xr:uid="{5EE6C5B0-449A-49CE-8A77-9AFE6EDAB497}"/>
    <cellStyle name="40% - Accent3 17_Not_for_upload_before_M4_correc" xfId="14737" xr:uid="{533BEBF6-6175-43D3-A66E-85D7E900C6D1}"/>
    <cellStyle name="40% - Accent3 18" xfId="9567" xr:uid="{73596688-8B71-4712-A067-170A564072FE}"/>
    <cellStyle name="40% - Accent3 18 2" xfId="9568" xr:uid="{9C04725B-6873-4860-AC8A-558FACAEF817}"/>
    <cellStyle name="40% - Accent3 18 2 2" xfId="9569" xr:uid="{10065DF5-533D-44BA-8105-B64D4CE13A78}"/>
    <cellStyle name="40% - Accent3 18 2 2 2" xfId="9570" xr:uid="{C6728BAE-1C67-4858-9E10-36CEEE52460A}"/>
    <cellStyle name="40% - Accent3 18 2 2_Working Capital Current" xfId="14738" xr:uid="{6032A039-DC44-44B0-925D-3E238BDCE278}"/>
    <cellStyle name="40% - Accent3 18 2 3" xfId="9571" xr:uid="{445CA187-A150-42F4-9758-5996167AB082}"/>
    <cellStyle name="40% - Accent3 18 2 4" xfId="9572" xr:uid="{7976405D-6993-448F-90F9-CCC0099018F4}"/>
    <cellStyle name="40% - Accent3 18 2_Working Capital Current" xfId="14739" xr:uid="{917F899A-9D5D-44FE-BF48-CC8622D0B718}"/>
    <cellStyle name="40% - Accent3 18 3" xfId="9573" xr:uid="{D312B931-FC54-4668-AF53-B7375C873DE2}"/>
    <cellStyle name="40% - Accent3 18 3 2" xfId="9574" xr:uid="{82976C4C-F444-41A3-A137-04221DDC2B66}"/>
    <cellStyle name="40% - Accent3 18 3_Working Capital Current" xfId="14740" xr:uid="{FE7B2262-24FF-40FC-964E-52E7B69DE115}"/>
    <cellStyle name="40% - Accent3 18 4" xfId="9575" xr:uid="{BB4A1200-27A9-4593-BFEB-53F2A4F5A92B}"/>
    <cellStyle name="40% - Accent3 18 5" xfId="9576" xr:uid="{5A882384-7EE4-4FD6-9263-114DAA2C417C}"/>
    <cellStyle name="40% - Accent3 18_Not_for_upload_before_M4_correc" xfId="14741" xr:uid="{DE0D2A2B-C6AA-4ED3-A268-4646A2AC7461}"/>
    <cellStyle name="40% - Accent3 19" xfId="9577" xr:uid="{69C56DB1-DB77-49EF-A422-1B40FCD51F6D}"/>
    <cellStyle name="40% - Accent3 19 2" xfId="9578" xr:uid="{267848D6-603E-4147-889F-FDF0AC9E74CB}"/>
    <cellStyle name="40% - Accent3 19 2 2" xfId="9579" xr:uid="{032F7C53-F673-498B-B55C-36D9B6FEC7FE}"/>
    <cellStyle name="40% - Accent3 19 2 2 2" xfId="9580" xr:uid="{3B70F72F-E864-4C58-AB5C-9BD22D141CE8}"/>
    <cellStyle name="40% - Accent3 19 2 2_Working Capital Current" xfId="14742" xr:uid="{20A2A900-1357-456D-A182-D2880495A5AC}"/>
    <cellStyle name="40% - Accent3 19 2 3" xfId="9581" xr:uid="{429E3EB7-9BF9-46B3-A211-209B6E835E3B}"/>
    <cellStyle name="40% - Accent3 19 2 4" xfId="9582" xr:uid="{B34E9A23-62E9-4A5C-B146-F967BD7B1D64}"/>
    <cellStyle name="40% - Accent3 19 2_Working Capital Current" xfId="14743" xr:uid="{D37550F5-A84C-4C98-B5BC-296CC0BDCC7F}"/>
    <cellStyle name="40% - Accent3 19 3" xfId="9583" xr:uid="{A86B25DB-4627-4B16-9444-81725F482DD9}"/>
    <cellStyle name="40% - Accent3 19 3 2" xfId="9584" xr:uid="{263695D9-B304-488B-9A1C-8F02F3EE6185}"/>
    <cellStyle name="40% - Accent3 19 3_Working Capital Current" xfId="14744" xr:uid="{D0F7CA79-7B70-492A-8277-F49AA9B9B0D8}"/>
    <cellStyle name="40% - Accent3 19 4" xfId="9585" xr:uid="{68D93919-B13F-4FA3-B5F9-02695B64C12C}"/>
    <cellStyle name="40% - Accent3 19 5" xfId="9586" xr:uid="{ED19FD8F-688C-4954-BD34-0171657D9123}"/>
    <cellStyle name="40% - Accent3 19_Not_for_upload_before_M4_correc" xfId="14745" xr:uid="{7C044DDE-0825-4A02-A451-610FB69FF43B}"/>
    <cellStyle name="40% - Accent3 2" xfId="96" xr:uid="{8E0FB02C-4ED4-4146-A992-C3E12BEAB4A2}"/>
    <cellStyle name="40% - Accent3 2 10" xfId="9587" xr:uid="{2BEFE089-23D2-4D39-9E85-B79C247C1E5A}"/>
    <cellStyle name="40% - Accent3 2 11" xfId="16527" xr:uid="{B193B8AF-C7DC-4315-BBA1-8B449B13A965}"/>
    <cellStyle name="40% - Accent3 2 12" xfId="17172" xr:uid="{24B5E022-3D6B-4080-AB0E-8C3DD79D32E7}"/>
    <cellStyle name="40% - Accent3 2 2" xfId="97" xr:uid="{36657F30-F8DD-4F36-BB81-149340E06949}"/>
    <cellStyle name="40% - Accent3 2 2 2" xfId="1927" xr:uid="{7EF6F3E4-300E-4DF6-A629-3F9BCD006F27}"/>
    <cellStyle name="40% - Accent3 2 2 2 2" xfId="9590" xr:uid="{3BC3A35A-929F-4471-A1B1-D10A9C9684EA}"/>
    <cellStyle name="40% - Accent3 2 2 2 2 2" xfId="9591" xr:uid="{A15EE14F-7F07-4A62-8444-13B87C5FC2B7}"/>
    <cellStyle name="40% - Accent3 2 2 2 2_Working Capital Current" xfId="14746" xr:uid="{A204266B-FDBE-4439-BEFC-480A5854ABE8}"/>
    <cellStyle name="40% - Accent3 2 2 2 3" xfId="9592" xr:uid="{1DD4F05C-167A-4B4B-B13D-3B1CF707A74F}"/>
    <cellStyle name="40% - Accent3 2 2 2 4" xfId="9593" xr:uid="{1AAFBCA9-69C5-435A-852D-41A2715019E0}"/>
    <cellStyle name="40% - Accent3 2 2 2 5" xfId="17657" xr:uid="{583BA47E-E16D-4BBD-B4C6-CB9489943A81}"/>
    <cellStyle name="40% - Accent3 2 2 2 6" xfId="18210" xr:uid="{51EAE688-9669-4C68-AD2D-EB3826B4AF73}"/>
    <cellStyle name="40% - Accent3 2 2 2 7" xfId="9589" xr:uid="{6554B8EF-ADB8-4A1C-9BB9-13C44873FADF}"/>
    <cellStyle name="40% - Accent3 2 2 2_Working Capital Current" xfId="14747" xr:uid="{917EE615-564E-4987-BF24-44B5C279E20B}"/>
    <cellStyle name="40% - Accent3 2 2 3" xfId="9594" xr:uid="{CABF345E-CB7E-4759-8054-691E4DF70CB9}"/>
    <cellStyle name="40% - Accent3 2 2 3 2" xfId="9595" xr:uid="{8FC9608B-BA5A-4C9B-AB79-B82E49B8E778}"/>
    <cellStyle name="40% - Accent3 2 2 3_Working Capital Current" xfId="14748" xr:uid="{164A8E32-C25E-43AC-9371-66459796E9C9}"/>
    <cellStyle name="40% - Accent3 2 2 4" xfId="9596" xr:uid="{4F371D20-3427-4971-B30B-0AB9896F5F28}"/>
    <cellStyle name="40% - Accent3 2 2 5" xfId="9597" xr:uid="{699624E5-BDE4-4666-8099-957E2737D209}"/>
    <cellStyle name="40% - Accent3 2 2 6" xfId="9588" xr:uid="{607C1A3B-2F24-458B-A7A9-B8724EFF007D}"/>
    <cellStyle name="40% - Accent3 2 2 7" xfId="16528" xr:uid="{503E7AE9-94F3-4070-8C61-D6560CD2A342}"/>
    <cellStyle name="40% - Accent3 2 2 8" xfId="16972" xr:uid="{63C67D42-1085-4AB7-A1CF-1B6BE9D74054}"/>
    <cellStyle name="40% - Accent3 2 2_Not_for_upload_before_M4_correc" xfId="14749" xr:uid="{43718E66-700B-4AEB-8FE3-EA9BAB4B5729}"/>
    <cellStyle name="40% - Accent3 2 3" xfId="98" xr:uid="{75B1FD5B-A24E-4189-B0BC-9E92CEB602BB}"/>
    <cellStyle name="40% - Accent3 2 3 2" xfId="99" xr:uid="{4337DB3E-CB30-47D1-A320-F0702B91B617}"/>
    <cellStyle name="40% - Accent3 2 3 2 2" xfId="899" xr:uid="{B501F431-B525-4F13-87D8-4FB6D5094094}"/>
    <cellStyle name="40% - Accent3 2 3 2 2 2" xfId="9601" xr:uid="{F164698B-7EF9-49C2-9BAF-AF7E0892E48F}"/>
    <cellStyle name="40% - Accent3 2 3 2 2 3" xfId="17096" xr:uid="{9BA3AC1B-1886-4B6E-B7B6-9489893D1FF3}"/>
    <cellStyle name="40% - Accent3 2 3 2 2 4" xfId="9600" xr:uid="{471BB44F-CF52-4492-9CA4-F6A9DAE233B3}"/>
    <cellStyle name="40% - Accent3 2 3 2 2_Working Capital Current" xfId="14750" xr:uid="{BDA8C303-F052-4BE0-A4FC-00040E5CD981}"/>
    <cellStyle name="40% - Accent3 2 3 2 3" xfId="1929" xr:uid="{65C223E4-83A4-43DF-9C0B-D9B61AA57E3D}"/>
    <cellStyle name="40% - Accent3 2 3 2 3 2" xfId="17659" xr:uid="{B2534F58-55BB-4268-AF29-13B7BB4E982A}"/>
    <cellStyle name="40% - Accent3 2 3 2 3 3" xfId="9602" xr:uid="{0C21275C-343F-4C02-BBDD-1C9526A5B697}"/>
    <cellStyle name="40% - Accent3 2 3 2 4" xfId="9603" xr:uid="{7FC65489-875C-441A-A09F-12CE5FB796DE}"/>
    <cellStyle name="40% - Accent3 2 3 2 5" xfId="9599" xr:uid="{388FF28B-1520-43AD-9C1D-0003C1FD02D9}"/>
    <cellStyle name="40% - Accent3 2 3 2 6" xfId="16530" xr:uid="{2413D995-4A7E-44DD-A0B4-7A5058C4779E}"/>
    <cellStyle name="40% - Accent3 2 3 2 7" xfId="16971" xr:uid="{98FDECE9-051B-420A-893B-1EE9A963108F}"/>
    <cellStyle name="40% - Accent3 2 3 2 8" xfId="3886" xr:uid="{4478DC16-1342-4376-8EBD-C83D46F03D1D}"/>
    <cellStyle name="40% - Accent3 2 3 2 9" xfId="18357" xr:uid="{C9422551-401A-42AB-8935-E57F0473A92C}"/>
    <cellStyle name="40% - Accent3 2 3 2_Working Capital Current" xfId="14751" xr:uid="{78B4790C-CA8C-49CB-9D94-A7C5AC6AF8F8}"/>
    <cellStyle name="40% - Accent3 2 3 3" xfId="100" xr:uid="{5064FFAE-6FE6-4897-8E05-B9E23B539915}"/>
    <cellStyle name="40% - Accent3 2 3 3 2" xfId="1930" xr:uid="{0A4C73E5-F9DC-41EE-842E-9229AE99C06E}"/>
    <cellStyle name="40% - Accent3 2 3 3 2 2" xfId="17660" xr:uid="{6503465D-9EC3-4E73-83EA-2CEBA099AA50}"/>
    <cellStyle name="40% - Accent3 2 3 3 2 3" xfId="9605" xr:uid="{99F19FE4-2C6A-42EB-A5B7-79D9159E46ED}"/>
    <cellStyle name="40% - Accent3 2 3 3 3" xfId="9604" xr:uid="{481A50A9-BAD3-435E-8D8E-41361EAA56CE}"/>
    <cellStyle name="40% - Accent3 2 3 3 4" xfId="16531" xr:uid="{C4F15588-A252-452E-BFAA-F007D6C3A91D}"/>
    <cellStyle name="40% - Accent3 2 3 3_Working Capital Current" xfId="14752" xr:uid="{A2F6DCA7-2AA2-49D0-9CDB-24CC91C5D3AC}"/>
    <cellStyle name="40% - Accent3 2 3 4" xfId="101" xr:uid="{030431BD-28EF-47B4-BFFC-B67D7365057F}"/>
    <cellStyle name="40% - Accent3 2 3 4 2" xfId="1931" xr:uid="{352C821C-EF6D-47D2-917F-2507EC182DE0}"/>
    <cellStyle name="40% - Accent3 2 3 4 2 2" xfId="17661" xr:uid="{97DE6FF6-9B12-4DF3-92B3-8ACB99FA53C2}"/>
    <cellStyle name="40% - Accent3 2 3 4 2 3" xfId="9606" xr:uid="{33EF3463-BD6E-4A97-8387-53D8FCC598F1}"/>
    <cellStyle name="40% - Accent3 2 3 4 3" xfId="16532" xr:uid="{4D15A462-9B35-488D-9193-902B68EF6E6B}"/>
    <cellStyle name="40% - Accent3 2 3 5" xfId="1928" xr:uid="{E59AB0FC-9E11-4586-8127-1722A984C0CF}"/>
    <cellStyle name="40% - Accent3 2 3 5 2" xfId="17658" xr:uid="{0783C970-D77F-4F35-8263-3AD79A2229D7}"/>
    <cellStyle name="40% - Accent3 2 3 5 3" xfId="9607" xr:uid="{E74CB873-D61A-4618-AE75-C583A2EEF331}"/>
    <cellStyle name="40% - Accent3 2 3 6" xfId="9598" xr:uid="{325BAB60-5E3A-4D63-88A5-866EE2F17DD3}"/>
    <cellStyle name="40% - Accent3 2 3 7" xfId="16529" xr:uid="{5D3AB34E-43F3-4CF1-9BAB-D50B515C0E89}"/>
    <cellStyle name="40% - Accent3 2 3 8" xfId="3887" xr:uid="{06983D11-FF65-4CF1-9BD7-EF7865B091E6}"/>
    <cellStyle name="40% - Accent3 2 3 9" xfId="17211" xr:uid="{14AEA948-4025-41FB-8C36-7E035C996B63}"/>
    <cellStyle name="40% - Accent3 2 3_Not_for_upload_before_M4_correc" xfId="14753" xr:uid="{FF3867A2-3361-42D2-89C9-12018CECC382}"/>
    <cellStyle name="40% - Accent3 2 4" xfId="1926" xr:uid="{589FC497-162D-4C68-AF21-652BB739D811}"/>
    <cellStyle name="40% - Accent3 2 4 2" xfId="9609" xr:uid="{F5AEBECF-A540-4288-ACFE-020801E30A12}"/>
    <cellStyle name="40% - Accent3 2 4 2 2" xfId="9610" xr:uid="{6E083D67-1F29-4378-9F52-A3741789CFA3}"/>
    <cellStyle name="40% - Accent3 2 4 2 2 2" xfId="9611" xr:uid="{64DDF9F1-A066-49FD-ADEF-49CAD046D0BE}"/>
    <cellStyle name="40% - Accent3 2 4 2 2_Working Capital Current" xfId="14754" xr:uid="{835C741C-CC57-4157-9649-F3375CCF2E7D}"/>
    <cellStyle name="40% - Accent3 2 4 2 3" xfId="9612" xr:uid="{EC729A67-B013-4BE2-9650-DDA5C2AB8DEF}"/>
    <cellStyle name="40% - Accent3 2 4 2 4" xfId="9613" xr:uid="{DCBED640-6DE6-447E-9F55-86F998F40636}"/>
    <cellStyle name="40% - Accent3 2 4 2_Working Capital Current" xfId="14755" xr:uid="{33E3EF57-284D-4D91-9843-80A216B78DCE}"/>
    <cellStyle name="40% - Accent3 2 4 3" xfId="9614" xr:uid="{C9270969-C0CA-4712-B03F-F7CDE03DBBB0}"/>
    <cellStyle name="40% - Accent3 2 4 3 2" xfId="9615" xr:uid="{C6A819EC-D4EC-4298-B80D-6D1AEDD9C56B}"/>
    <cellStyle name="40% - Accent3 2 4 3_Working Capital Current" xfId="14756" xr:uid="{EBFAF892-C6DE-4D57-9FCB-96127185E105}"/>
    <cellStyle name="40% - Accent3 2 4 4" xfId="9616" xr:uid="{CD2E8B11-CAFB-4C61-825B-E7CE09D2BF45}"/>
    <cellStyle name="40% - Accent3 2 4 5" xfId="9617" xr:uid="{7B48AEE5-B361-4DEE-B9E1-9EDEEF1E2F63}"/>
    <cellStyle name="40% - Accent3 2 4 6" xfId="17656" xr:uid="{1402BAED-05AE-4FBC-88AD-BF21FC760750}"/>
    <cellStyle name="40% - Accent3 2 4 7" xfId="18209" xr:uid="{2C8FCB20-5BAE-47EA-A0D7-F2628CAC2BAF}"/>
    <cellStyle name="40% - Accent3 2 4 8" xfId="9608" xr:uid="{411FE322-50AD-47C9-B681-9DB570876FCD}"/>
    <cellStyle name="40% - Accent3 2 4_Not_for_upload_before_M4_correc" xfId="14757" xr:uid="{3A974DE9-2471-41C8-8D36-CE27EAB0E628}"/>
    <cellStyle name="40% - Accent3 2 5" xfId="9618" xr:uid="{5D7C6334-5BFE-4B38-BECE-C484F1913C2C}"/>
    <cellStyle name="40% - Accent3 2 5 2" xfId="9619" xr:uid="{011FDD6A-0E8A-466C-B140-91157732CBE7}"/>
    <cellStyle name="40% - Accent3 2 5 2 2" xfId="9620" xr:uid="{8F2396EF-944B-47EC-81A9-F883BDE79B08}"/>
    <cellStyle name="40% - Accent3 2 5 2_Working Capital Current" xfId="14758" xr:uid="{704DDF36-811E-4CBA-876A-D21227040C7C}"/>
    <cellStyle name="40% - Accent3 2 5 3" xfId="9621" xr:uid="{37C6F775-8BBA-4D3C-96AE-96F78E3E5799}"/>
    <cellStyle name="40% - Accent3 2 5_Working Capital Current" xfId="14759" xr:uid="{C42EE49A-962C-4BF4-9785-440956FEC943}"/>
    <cellStyle name="40% - Accent3 2 6" xfId="9622" xr:uid="{6F080A04-0F10-446E-B86B-230F2DCC2D2F}"/>
    <cellStyle name="40% - Accent3 2 6 2" xfId="9623" xr:uid="{6ACD8D65-C23F-453E-AB20-32BEB4C647D2}"/>
    <cellStyle name="40% - Accent3 2 6_Working Capital Current" xfId="14760" xr:uid="{9A61C81D-AB1F-48A5-B6D5-2EE484BE8A4C}"/>
    <cellStyle name="40% - Accent3 2 7" xfId="9624" xr:uid="{E8FDC880-5A3F-4793-9BA0-47B8427D425A}"/>
    <cellStyle name="40% - Accent3 2 7 2" xfId="9625" xr:uid="{1EAB92C4-5352-4E33-902F-2B3ABB8937A8}"/>
    <cellStyle name="40% - Accent3 2 7_Working Capital Current" xfId="14761" xr:uid="{15E9F633-8275-49B8-A56B-B7A16980A707}"/>
    <cellStyle name="40% - Accent3 2 8" xfId="9626" xr:uid="{8E0D9AF6-9322-4975-8641-D7B57B269B22}"/>
    <cellStyle name="40% - Accent3 2 9" xfId="9627" xr:uid="{9CD6DD48-A54D-4ED2-A2F5-79221F3C7D09}"/>
    <cellStyle name="40% - Accent3 2_Not_for_upload_before_M4_correc" xfId="14762" xr:uid="{73F95B0B-DBA7-4A44-903E-9EC0F50E8046}"/>
    <cellStyle name="40% - Accent3 20" xfId="9628" xr:uid="{A98B992A-AEAA-4385-B47C-31619A5B4DEF}"/>
    <cellStyle name="40% - Accent3 20 2" xfId="9629" xr:uid="{51D45A00-32A3-4516-94A1-8A8B2C9CF85A}"/>
    <cellStyle name="40% - Accent3 20 2 2" xfId="9630" xr:uid="{0C5F4082-92B8-42B0-AD0C-601E7EB78497}"/>
    <cellStyle name="40% - Accent3 20 2 2 2" xfId="9631" xr:uid="{3A39F5A3-5F35-455A-A1A2-453DCF3B62FC}"/>
    <cellStyle name="40% - Accent3 20 2 2_Working Capital Current" xfId="14763" xr:uid="{9A1B6DA8-9160-46A9-9677-69F5D3CE86CA}"/>
    <cellStyle name="40% - Accent3 20 2 3" xfId="9632" xr:uid="{6D6DE256-A963-48AE-A518-38A55DED31FA}"/>
    <cellStyle name="40% - Accent3 20 2 4" xfId="9633" xr:uid="{18F83C59-DA10-4CD5-AE95-351C5AA5D3CF}"/>
    <cellStyle name="40% - Accent3 20 2_Working Capital Current" xfId="14764" xr:uid="{333B07BA-1A01-4D39-83DD-B3ADDA9D0383}"/>
    <cellStyle name="40% - Accent3 20 3" xfId="9634" xr:uid="{40C22C67-DFE7-4E1B-B5AA-5CBF7135BDE5}"/>
    <cellStyle name="40% - Accent3 20 3 2" xfId="9635" xr:uid="{9C039179-DF50-49E5-9440-BB817F02EFF9}"/>
    <cellStyle name="40% - Accent3 20 3_Working Capital Current" xfId="14765" xr:uid="{E7669C93-B333-480E-A09E-10A58A6370BD}"/>
    <cellStyle name="40% - Accent3 20 4" xfId="9636" xr:uid="{D89B2D34-FB29-4F03-AF9F-B622A5D063BA}"/>
    <cellStyle name="40% - Accent3 20 5" xfId="9637" xr:uid="{1C52F836-7A9E-466C-B13C-B1218FE6FE88}"/>
    <cellStyle name="40% - Accent3 20_Not_for_upload_before_M4_correc" xfId="14766" xr:uid="{E948FCDB-89D9-421B-8567-96FB0907C356}"/>
    <cellStyle name="40% - Accent3 21" xfId="9638" xr:uid="{943A255F-E93E-462E-8BCA-5A75669027B4}"/>
    <cellStyle name="40% - Accent3 21 2" xfId="9639" xr:uid="{B37DA923-64BF-478C-B9A6-5A029791F046}"/>
    <cellStyle name="40% - Accent3 21 2 2" xfId="9640" xr:uid="{B031EB80-7024-486A-98AF-22F75AD589F2}"/>
    <cellStyle name="40% - Accent3 21 2 2 2" xfId="9641" xr:uid="{D4007329-9580-4905-B581-AD3F6D07B55F}"/>
    <cellStyle name="40% - Accent3 21 2 2_Working Capital Current" xfId="14767" xr:uid="{BD7AD6E9-D6CC-4992-AA48-9ECF5A74C82C}"/>
    <cellStyle name="40% - Accent3 21 2 3" xfId="9642" xr:uid="{E02BA448-30B1-4EB9-8DCA-913F8B5AF79E}"/>
    <cellStyle name="40% - Accent3 21 2 4" xfId="9643" xr:uid="{DD1528E0-4B12-4C0E-A173-5C3729D8D7FA}"/>
    <cellStyle name="40% - Accent3 21 2_Working Capital Current" xfId="14768" xr:uid="{3DF10388-DCFB-4820-8574-037A841ABEA7}"/>
    <cellStyle name="40% - Accent3 21 3" xfId="9644" xr:uid="{DF320FF8-D2E1-4341-AD0F-9D644EFB4996}"/>
    <cellStyle name="40% - Accent3 21 3 2" xfId="9645" xr:uid="{91825F3E-E5B3-40A9-8C8F-41E4B29D4321}"/>
    <cellStyle name="40% - Accent3 21 3_Working Capital Current" xfId="14769" xr:uid="{7036C3AA-C014-46F5-90B9-90301916471C}"/>
    <cellStyle name="40% - Accent3 21 4" xfId="9646" xr:uid="{0782FCFD-A658-43DF-AEBF-3E04626F53D4}"/>
    <cellStyle name="40% - Accent3 21 5" xfId="9647" xr:uid="{10345C55-0057-4313-AA3E-35E38BC04823}"/>
    <cellStyle name="40% - Accent3 21_Not_for_upload_before_M4_correc" xfId="14770" xr:uid="{21DA6165-7778-40B5-966C-3FD0CD5B4470}"/>
    <cellStyle name="40% - Accent3 22" xfId="9648" xr:uid="{043B5CA7-3A74-4A7C-91BD-1DABB4876F21}"/>
    <cellStyle name="40% - Accent3 22 2" xfId="9649" xr:uid="{CFB8C2A8-02DF-4ACA-A78F-6623109AC6CA}"/>
    <cellStyle name="40% - Accent3 22 2 2" xfId="9650" xr:uid="{57D6A238-6A96-4923-8A6A-5D32CA23EFC6}"/>
    <cellStyle name="40% - Accent3 22 2 2 2" xfId="9651" xr:uid="{F85FE51D-9BF6-478D-AAE2-1CC7A9E4CD33}"/>
    <cellStyle name="40% - Accent3 22 2 2_Working Capital Current" xfId="14771" xr:uid="{540B3E3C-4801-4020-ADF2-70DB01EED302}"/>
    <cellStyle name="40% - Accent3 22 2 3" xfId="9652" xr:uid="{F95E9DB8-998C-42CF-A823-E0480CAA05A3}"/>
    <cellStyle name="40% - Accent3 22 2 4" xfId="9653" xr:uid="{2BE189E3-763B-4DD5-821B-C6D29A7B9E28}"/>
    <cellStyle name="40% - Accent3 22 2_Working Capital Current" xfId="14772" xr:uid="{EBC8F7FA-DC24-4226-A9B0-EC23EF3F30FD}"/>
    <cellStyle name="40% - Accent3 22 3" xfId="9654" xr:uid="{CC81DCE5-A9F5-4E10-9402-DDEB775684F0}"/>
    <cellStyle name="40% - Accent3 22 3 2" xfId="9655" xr:uid="{A5F2BB38-6D0B-4F3D-B5FC-4251A678FFFC}"/>
    <cellStyle name="40% - Accent3 22 3_Working Capital Current" xfId="14773" xr:uid="{4CF8984E-7CA4-4F6E-A593-95E3B62396C3}"/>
    <cellStyle name="40% - Accent3 22 4" xfId="9656" xr:uid="{85733C5B-E383-4B0B-B42C-7036E67B79A8}"/>
    <cellStyle name="40% - Accent3 22 5" xfId="9657" xr:uid="{EF86D656-0B52-4844-99E5-7A6548F4A267}"/>
    <cellStyle name="40% - Accent3 22_Not_for_upload_before_M4_correc" xfId="14774" xr:uid="{7BB7BE99-C7DC-4280-8A18-C6526285AA60}"/>
    <cellStyle name="40% - Accent3 23" xfId="9658" xr:uid="{E5295052-8D4D-4DAA-9895-EFB899D5DB85}"/>
    <cellStyle name="40% - Accent3 23 2" xfId="9659" xr:uid="{5EEB5540-FC89-4A30-B300-E14955DCD76C}"/>
    <cellStyle name="40% - Accent3 23 2 2" xfId="9660" xr:uid="{5F791C8B-0233-4EC1-9C1B-73B5C79E21A2}"/>
    <cellStyle name="40% - Accent3 23 2 2 2" xfId="9661" xr:uid="{BF8F12E8-103C-4092-BA3A-E8B5B19321D5}"/>
    <cellStyle name="40% - Accent3 23 2 2_Working Capital Current" xfId="14775" xr:uid="{D1018C3A-7F94-4B07-A4BE-1AFBA2D167DC}"/>
    <cellStyle name="40% - Accent3 23 2 3" xfId="9662" xr:uid="{348505E9-409E-4A53-8779-D7D6682EDC54}"/>
    <cellStyle name="40% - Accent3 23 2 4" xfId="9663" xr:uid="{4DD22186-7157-4B27-84C5-7D45DCE710CB}"/>
    <cellStyle name="40% - Accent3 23 2_Working Capital Current" xfId="14776" xr:uid="{EE63F1A4-C7E9-402C-A7D6-22721F735C58}"/>
    <cellStyle name="40% - Accent3 23 3" xfId="9664" xr:uid="{19159CAB-B621-4421-BAD9-4A72E391590E}"/>
    <cellStyle name="40% - Accent3 23 3 2" xfId="9665" xr:uid="{5D7A661F-FD90-451D-A29D-9D02FC31EB5B}"/>
    <cellStyle name="40% - Accent3 23 3_Working Capital Current" xfId="14777" xr:uid="{FB5F636E-9DD6-420B-8A44-7312728306E9}"/>
    <cellStyle name="40% - Accent3 23 4" xfId="9666" xr:uid="{1D68ACBC-E34D-4FB2-AC80-4E2B50366FD9}"/>
    <cellStyle name="40% - Accent3 23 5" xfId="9667" xr:uid="{7DFBD9AC-1D50-4292-BFBD-8C4093399AC3}"/>
    <cellStyle name="40% - Accent3 23_Not_for_upload_before_M4_correc" xfId="14778" xr:uid="{8EC0BBE0-B415-4BC5-ACEF-8144EA555477}"/>
    <cellStyle name="40% - Accent3 24" xfId="9668" xr:uid="{FECE9606-F4BE-4164-99B9-56F7818881BF}"/>
    <cellStyle name="40% - Accent3 24 2" xfId="9669" xr:uid="{A10A9F02-6A24-4710-AE45-C4A83961A756}"/>
    <cellStyle name="40% - Accent3 24 2 2" xfId="9670" xr:uid="{4D60C22B-710D-49F6-8A79-198601729132}"/>
    <cellStyle name="40% - Accent3 24 2 2 2" xfId="9671" xr:uid="{0360AC63-C6BD-44AC-BF3D-2BE0298135C6}"/>
    <cellStyle name="40% - Accent3 24 2 2_Working Capital Current" xfId="14779" xr:uid="{C21EF483-2698-47DD-9119-B0A3C767D2CD}"/>
    <cellStyle name="40% - Accent3 24 2 3" xfId="9672" xr:uid="{787A8E18-3C71-4E95-8417-75617CB7E5DC}"/>
    <cellStyle name="40% - Accent3 24 2 4" xfId="9673" xr:uid="{9557061C-809C-4D7A-BFAF-A248B7360AFC}"/>
    <cellStyle name="40% - Accent3 24 2_Working Capital Current" xfId="14780" xr:uid="{25D02B67-2A9A-4505-AB00-9BBD1307F017}"/>
    <cellStyle name="40% - Accent3 24 3" xfId="9674" xr:uid="{3D9B3FF8-9D30-453C-BAFB-C1A534B47723}"/>
    <cellStyle name="40% - Accent3 24 3 2" xfId="9675" xr:uid="{3649708F-0559-4242-ACF7-E40D52339DFC}"/>
    <cellStyle name="40% - Accent3 24 3_Working Capital Current" xfId="14781" xr:uid="{DAD48559-1D43-405D-9490-9825839D2567}"/>
    <cellStyle name="40% - Accent3 24 4" xfId="9676" xr:uid="{A1A97B07-E1EB-41F4-95F2-440EF9C96208}"/>
    <cellStyle name="40% - Accent3 24 5" xfId="9677" xr:uid="{A034F1DD-CAEF-4620-8700-29C32138C860}"/>
    <cellStyle name="40% - Accent3 24_Not_for_upload_before_M4_correc" xfId="14782" xr:uid="{B9920C54-4415-4B41-B7C4-817BE5F1C272}"/>
    <cellStyle name="40% - Accent3 25" xfId="9678" xr:uid="{FDAEF5B1-645D-4EB4-B98A-B25232774B1B}"/>
    <cellStyle name="40% - Accent3 25 2" xfId="9679" xr:uid="{9BD85E1C-4799-423D-838B-2DFAAFAB2D16}"/>
    <cellStyle name="40% - Accent3 25 2 2" xfId="9680" xr:uid="{08C4D5D2-E031-4764-BC62-346745B40647}"/>
    <cellStyle name="40% - Accent3 25 2 2 2" xfId="9681" xr:uid="{1F4968C2-51FC-4341-978A-ED0B76D1CC30}"/>
    <cellStyle name="40% - Accent3 25 2 2_Working Capital Current" xfId="14783" xr:uid="{940E4CA2-85DB-4550-A343-DAA6CEB9AD2D}"/>
    <cellStyle name="40% - Accent3 25 2 3" xfId="9682" xr:uid="{1290ACB2-13AC-42FB-A26B-ADA5D0A6A956}"/>
    <cellStyle name="40% - Accent3 25 2 4" xfId="9683" xr:uid="{58C9061D-46B2-458E-A443-3C4B04F1B3C6}"/>
    <cellStyle name="40% - Accent3 25 2_Working Capital Current" xfId="14784" xr:uid="{000B32C9-BFD0-449F-9A0B-304BDE1395F0}"/>
    <cellStyle name="40% - Accent3 25 3" xfId="9684" xr:uid="{0F654080-9FDA-492D-A83A-DE4B2422EE2C}"/>
    <cellStyle name="40% - Accent3 25 3 2" xfId="9685" xr:uid="{73EFE93C-17A3-4F3F-BF48-7908991612BF}"/>
    <cellStyle name="40% - Accent3 25 3_Working Capital Current" xfId="14785" xr:uid="{90238046-CE8F-46D9-A35A-451F63D6236B}"/>
    <cellStyle name="40% - Accent3 25 4" xfId="9686" xr:uid="{BFE7D27B-C9C5-4729-AB10-19A23D2CBCFA}"/>
    <cellStyle name="40% - Accent3 25 5" xfId="9687" xr:uid="{0E045FB0-CD92-4E34-8C76-DB221DEAFC0A}"/>
    <cellStyle name="40% - Accent3 25_Not_for_upload_before_M4_correc" xfId="14786" xr:uid="{CD79133F-BD5F-4B81-BB5E-933143833E23}"/>
    <cellStyle name="40% - Accent3 26" xfId="9688" xr:uid="{3480938D-E599-447F-ABFD-55929A74D0CD}"/>
    <cellStyle name="40% - Accent3 26 2" xfId="9689" xr:uid="{1F11163F-8CD9-4721-A75D-A5182085BFD7}"/>
    <cellStyle name="40% - Accent3 26 2 2" xfId="9690" xr:uid="{7BD90CF0-E0C7-4D1C-9BCA-D3DEF25915C8}"/>
    <cellStyle name="40% - Accent3 26 2 3" xfId="9691" xr:uid="{0F417E11-8193-4B7A-B263-AD84AF85D431}"/>
    <cellStyle name="40% - Accent3 26 2_Working Capital Current" xfId="14787" xr:uid="{5CF0CB91-9D19-4B45-BA01-68D3479E3C73}"/>
    <cellStyle name="40% - Accent3 26 3" xfId="9692" xr:uid="{E11F7EE7-93EB-49D6-BBEC-EA112079524B}"/>
    <cellStyle name="40% - Accent3 26 3 2" xfId="9693" xr:uid="{194B2F0A-98A8-4E78-99E1-F636D70DD7C4}"/>
    <cellStyle name="40% - Accent3 26 3_Working Capital Current" xfId="14788" xr:uid="{9ACDBD38-54C2-44A5-9174-55C5027615E0}"/>
    <cellStyle name="40% - Accent3 26 4" xfId="9694" xr:uid="{968841CD-9B55-4B2A-B355-F017D3D87940}"/>
    <cellStyle name="40% - Accent3 26 5" xfId="9695" xr:uid="{180B25E2-8D15-4941-B168-49BE62F14DB2}"/>
    <cellStyle name="40% - Accent3 26_Not_for_upload_before_M4_correc" xfId="14789" xr:uid="{D80F70C1-FD62-44F5-974F-E38B122B09F0}"/>
    <cellStyle name="40% - Accent3 27" xfId="9696" xr:uid="{DA521F38-CD65-41B3-AC94-079954DFCFF3}"/>
    <cellStyle name="40% - Accent3 27 2" xfId="9697" xr:uid="{690B6A17-0EFB-4961-BC23-45D9846DE215}"/>
    <cellStyle name="40% - Accent3 27 2 2" xfId="9698" xr:uid="{7C59A0FD-41C2-4224-93C9-21A6DCC0A64A}"/>
    <cellStyle name="40% - Accent3 27 2 3" xfId="9699" xr:uid="{AC5A334B-D28E-4DF6-90E3-E5C7DA4ED5BD}"/>
    <cellStyle name="40% - Accent3 27 2_Working Capital Current" xfId="14790" xr:uid="{CF088D3F-F774-409C-9FF0-34ABF031B802}"/>
    <cellStyle name="40% - Accent3 27 3" xfId="9700" xr:uid="{52524AB9-F1B9-4F39-AA08-5F2C38625C17}"/>
    <cellStyle name="40% - Accent3 27 3 2" xfId="9701" xr:uid="{9AED4B02-57EC-4E90-9A08-F26CD469A9A9}"/>
    <cellStyle name="40% - Accent3 27 3_Working Capital Current" xfId="14791" xr:uid="{C06BD22F-2F99-4077-9F84-A3AE8A50E0F4}"/>
    <cellStyle name="40% - Accent3 27 4" xfId="9702" xr:uid="{EFA7B2C5-F8C3-4626-8550-8D5FF6DBF5C0}"/>
    <cellStyle name="40% - Accent3 27 5" xfId="9703" xr:uid="{A7B210A6-5FCB-46DA-9192-45DABB6C025F}"/>
    <cellStyle name="40% - Accent3 27_Not_for_upload_before_M4_correc" xfId="14792" xr:uid="{009C8DF1-8BBD-40A4-89C7-50FAF9DA382D}"/>
    <cellStyle name="40% - Accent3 28" xfId="9704" xr:uid="{8423C9A5-23A5-496B-91EF-6C7FD5F92C59}"/>
    <cellStyle name="40% - Accent3 28 2" xfId="9705" xr:uid="{AF193DE6-3797-4219-A990-F19A4550D619}"/>
    <cellStyle name="40% - Accent3 28 2 2" xfId="9706" xr:uid="{29592868-754B-4016-8924-D287E086F63A}"/>
    <cellStyle name="40% - Accent3 28 2 3" xfId="9707" xr:uid="{B983CFE4-99C0-4DC0-9FA3-856A03E88938}"/>
    <cellStyle name="40% - Accent3 28 2_Working Capital Current" xfId="14793" xr:uid="{815490C3-16FE-46B1-B7D6-C4636F8D91F6}"/>
    <cellStyle name="40% - Accent3 28 3" xfId="9708" xr:uid="{66DF6BBB-5D2F-42B1-AC27-BBE220804055}"/>
    <cellStyle name="40% - Accent3 28 3 2" xfId="9709" xr:uid="{E84CC632-252C-4DC6-A293-D85A915718C6}"/>
    <cellStyle name="40% - Accent3 28 3_Working Capital Current" xfId="14794" xr:uid="{DACEC132-D7AC-477D-B123-877FF049B49E}"/>
    <cellStyle name="40% - Accent3 28 4" xfId="9710" xr:uid="{2FCA8CF6-AD82-4B96-98B7-35568D1607E4}"/>
    <cellStyle name="40% - Accent3 28 5" xfId="9711" xr:uid="{9D503105-A7F1-4C09-A3C7-A2DB97F14BC7}"/>
    <cellStyle name="40% - Accent3 28_Not_for_upload_before_M4_correc" xfId="14795" xr:uid="{46794D5C-F0F2-41BD-861F-4795DC967770}"/>
    <cellStyle name="40% - Accent3 29" xfId="9712" xr:uid="{99F565E7-9BE9-4616-98B3-1F47683F158D}"/>
    <cellStyle name="40% - Accent3 29 2" xfId="9713" xr:uid="{843ED421-5CF7-454E-BC70-120FA4A11E32}"/>
    <cellStyle name="40% - Accent3 29 2 2" xfId="9714" xr:uid="{F07227C0-45F4-42CD-916A-BF8FE3C82E49}"/>
    <cellStyle name="40% - Accent3 29 2_Working Capital Current" xfId="14796" xr:uid="{6EC7F06B-095A-4803-AACB-5DCA4D92DFC4}"/>
    <cellStyle name="40% - Accent3 29 3" xfId="9715" xr:uid="{30B09E01-A32C-4D40-A0CE-4831845DDAF8}"/>
    <cellStyle name="40% - Accent3 29 4" xfId="9716" xr:uid="{606F0B94-D044-45D9-813F-7F99C4A23DD4}"/>
    <cellStyle name="40% - Accent3 29_Not_for_upload_before_M4_correc" xfId="14797" xr:uid="{F9FE0568-C8DD-4706-AF83-A4CFA0864AAC}"/>
    <cellStyle name="40% - Accent3 3" xfId="102" xr:uid="{FA4BAA04-A91E-4C45-B86E-AB08008547F2}"/>
    <cellStyle name="40% - Accent3 3 10" xfId="16533" xr:uid="{DD288865-1111-4FF2-9893-231BEE721391}"/>
    <cellStyle name="40% - Accent3 3 2" xfId="1932" xr:uid="{9758ED4C-CA17-445A-BE65-9C1003905933}"/>
    <cellStyle name="40% - Accent3 3 2 2" xfId="9719" xr:uid="{A1B6B9BF-3851-4118-B285-F917A1A12A9E}"/>
    <cellStyle name="40% - Accent3 3 2 2 2" xfId="9720" xr:uid="{FCF2692C-08CF-42C9-9F4A-C0BE895B9DB7}"/>
    <cellStyle name="40% - Accent3 3 2 2 2 2" xfId="9721" xr:uid="{E1F32D75-6FEF-454F-8021-18A71A7E05D6}"/>
    <cellStyle name="40% - Accent3 3 2 2 2_Working Capital Current" xfId="14798" xr:uid="{44074438-109F-4C06-9A1C-750EE58717DE}"/>
    <cellStyle name="40% - Accent3 3 2 2 3" xfId="9722" xr:uid="{38052A08-B95A-49B6-95E2-102A0970CD74}"/>
    <cellStyle name="40% - Accent3 3 2 2 4" xfId="9723" xr:uid="{90638B7B-4397-417F-898E-804EC2DCE899}"/>
    <cellStyle name="40% - Accent3 3 2 2_Working Capital Current" xfId="14799" xr:uid="{BFDC3947-CDF1-47B0-AA78-C96B84167149}"/>
    <cellStyle name="40% - Accent3 3 2 3" xfId="9724" xr:uid="{A3FDDC1F-5514-4136-8334-7ED920848101}"/>
    <cellStyle name="40% - Accent3 3 2 3 2" xfId="9725" xr:uid="{1D4BD5C2-2B61-4BCF-823F-2129796520EE}"/>
    <cellStyle name="40% - Accent3 3 2 3_Working Capital Current" xfId="14800" xr:uid="{8EDB097F-D2DA-414C-91A9-9626424AD8C6}"/>
    <cellStyle name="40% - Accent3 3 2 4" xfId="9726" xr:uid="{F77A4BF4-7229-445C-9C08-89108FFDEF87}"/>
    <cellStyle name="40% - Accent3 3 2 5" xfId="9727" xr:uid="{141F0B10-BE79-4E1D-A1CB-5EBDB7FEFAA9}"/>
    <cellStyle name="40% - Accent3 3 2 6" xfId="17662" xr:uid="{96624D6B-85B9-4632-B180-649305CCD01B}"/>
    <cellStyle name="40% - Accent3 3 2 7" xfId="18211" xr:uid="{2EDB3019-050D-4F0E-B5F7-4DCEC3ECD2D7}"/>
    <cellStyle name="40% - Accent3 3 2 8" xfId="9718" xr:uid="{CDC7F6A8-9AFD-4E9A-B27C-0DF5344E3884}"/>
    <cellStyle name="40% - Accent3 3 2_Not_for_upload_before_M4_correc" xfId="14801" xr:uid="{1494E841-A6BC-4130-998C-40974ACED126}"/>
    <cellStyle name="40% - Accent3 3 3" xfId="9728" xr:uid="{CB27A0EC-1C1B-4A87-957E-FF7A527FED6F}"/>
    <cellStyle name="40% - Accent3 3 3 2" xfId="9729" xr:uid="{C46173E9-C983-43E8-A8A7-F76E24D946B0}"/>
    <cellStyle name="40% - Accent3 3 3 2 2" xfId="9730" xr:uid="{1BE513E1-0231-472F-B570-69A071132D23}"/>
    <cellStyle name="40% - Accent3 3 3 2 2 2" xfId="9731" xr:uid="{60175FA1-F14D-4047-9530-14EB2BD90408}"/>
    <cellStyle name="40% - Accent3 3 3 2 2_Working Capital Current" xfId="14802" xr:uid="{60F84D24-BA5E-42AA-86A1-15EEADAACE03}"/>
    <cellStyle name="40% - Accent3 3 3 2 3" xfId="9732" xr:uid="{72C3CCD4-99C4-4B4A-BE86-F040072B223D}"/>
    <cellStyle name="40% - Accent3 3 3 2 4" xfId="9733" xr:uid="{E86B3232-8FC9-44AF-8BA8-CB0B5C509A40}"/>
    <cellStyle name="40% - Accent3 3 3 2_Working Capital Current" xfId="14803" xr:uid="{B814A67F-2CC4-4495-B3DC-9747D1E454BA}"/>
    <cellStyle name="40% - Accent3 3 3 3" xfId="9734" xr:uid="{E7125CE6-5993-44B8-A2F9-20637323E2E7}"/>
    <cellStyle name="40% - Accent3 3 3 3 2" xfId="9735" xr:uid="{C154FC6E-50FA-4635-A9EF-9D97026A98D2}"/>
    <cellStyle name="40% - Accent3 3 3 3_Working Capital Current" xfId="14804" xr:uid="{0F78447C-8CB4-47AF-AF5E-E9103444E859}"/>
    <cellStyle name="40% - Accent3 3 3 4" xfId="9736" xr:uid="{A56B98AC-0767-46BF-8971-997601FEB19F}"/>
    <cellStyle name="40% - Accent3 3 3 5" xfId="9737" xr:uid="{149E8070-DE94-4D35-8E0E-168B87B7EB0F}"/>
    <cellStyle name="40% - Accent3 3 3_Not_for_upload_before_M4_correc" xfId="14805" xr:uid="{D87EE830-C15C-4DBF-BBE3-E7AA48DC9BAB}"/>
    <cellStyle name="40% - Accent3 3 4" xfId="9738" xr:uid="{18A3DB34-2D83-4233-A4DE-053E1699EB32}"/>
    <cellStyle name="40% - Accent3 3 4 2" xfId="9739" xr:uid="{B4EA10B5-D04D-45C9-90CC-A3DB92DF9520}"/>
    <cellStyle name="40% - Accent3 3 4 2 2" xfId="9740" xr:uid="{9D51179F-8953-4D8C-90A8-1E78810D090F}"/>
    <cellStyle name="40% - Accent3 3 4 2 2 2" xfId="9741" xr:uid="{B83C4944-A58B-41BC-BB3E-23DA9D7AB958}"/>
    <cellStyle name="40% - Accent3 3 4 2 2_Working Capital Current" xfId="14806" xr:uid="{A11CAC54-0DF3-40F9-B75E-CF7EE49C35C2}"/>
    <cellStyle name="40% - Accent3 3 4 2 3" xfId="9742" xr:uid="{93FAC61C-304E-4EFD-8CCF-851D646EEEC4}"/>
    <cellStyle name="40% - Accent3 3 4 2 4" xfId="9743" xr:uid="{0B771E59-2CAD-4A9D-B869-00992FF83488}"/>
    <cellStyle name="40% - Accent3 3 4 2_Working Capital Current" xfId="14807" xr:uid="{D95863F0-D4AB-4F50-A003-8A7C3B29A652}"/>
    <cellStyle name="40% - Accent3 3 4 3" xfId="9744" xr:uid="{B7B50B33-B003-47CB-BCB4-5A83BC92CCA2}"/>
    <cellStyle name="40% - Accent3 3 4 3 2" xfId="9745" xr:uid="{DC73D3A5-886A-4990-8957-D25D4845D6EC}"/>
    <cellStyle name="40% - Accent3 3 4 3_Working Capital Current" xfId="14808" xr:uid="{5A2D5FC4-43C4-48CA-AD61-619F0B4891DE}"/>
    <cellStyle name="40% - Accent3 3 4 4" xfId="9746" xr:uid="{353E95DC-E79A-41ED-A770-72748ED3A4F0}"/>
    <cellStyle name="40% - Accent3 3 4 5" xfId="9747" xr:uid="{9B092D8A-EBDE-4F94-B3AB-23E5F5A80B25}"/>
    <cellStyle name="40% - Accent3 3 4_Not_for_upload_before_M4_correc" xfId="14809" xr:uid="{EA6A64BA-9ADF-4875-99FF-B62324A4B12A}"/>
    <cellStyle name="40% - Accent3 3 5" xfId="9748" xr:uid="{E630BEB1-89DC-49DD-AE73-6A47C8952E52}"/>
    <cellStyle name="40% - Accent3 3 5 2" xfId="9749" xr:uid="{AE401584-C952-4606-92AE-F29CA756B55E}"/>
    <cellStyle name="40% - Accent3 3 5 2 2" xfId="9750" xr:uid="{69DB6C6E-4EC5-42DB-A208-ACDC4A6C7CF8}"/>
    <cellStyle name="40% - Accent3 3 5 2_Working Capital Current" xfId="14810" xr:uid="{F4E2AE46-A3C5-4C1E-A700-6950A65017FE}"/>
    <cellStyle name="40% - Accent3 3 5 3" xfId="9751" xr:uid="{EE0E8E8E-882F-47C5-9B78-5A2CA5AAB180}"/>
    <cellStyle name="40% - Accent3 3 5 4" xfId="9752" xr:uid="{1FA82201-9A8A-4E63-903D-7341F8858616}"/>
    <cellStyle name="40% - Accent3 3 5_Working Capital Current" xfId="14811" xr:uid="{61C77D70-AB76-4CC0-88C2-E9081C685A3D}"/>
    <cellStyle name="40% - Accent3 3 6" xfId="9753" xr:uid="{409031D8-9FA6-4C00-B127-E8314E31CCE9}"/>
    <cellStyle name="40% - Accent3 3 6 2" xfId="9754" xr:uid="{A9600160-1415-4D85-9FC0-D9A04F7D7350}"/>
    <cellStyle name="40% - Accent3 3 6_Working Capital Current" xfId="14812" xr:uid="{7E5279C4-6B67-468C-92B8-80462B289979}"/>
    <cellStyle name="40% - Accent3 3 7" xfId="9755" xr:uid="{9744BBC9-7A4C-4F67-A275-8C808DC4E0F7}"/>
    <cellStyle name="40% - Accent3 3 8" xfId="9756" xr:uid="{6052289D-822C-42CD-9796-A7B0A8FD697E}"/>
    <cellStyle name="40% - Accent3 3 9" xfId="9717" xr:uid="{387825E6-ACBE-4C09-952A-C9326F8F479D}"/>
    <cellStyle name="40% - Accent3 3_Not_for_upload_before_M4_correc" xfId="14813" xr:uid="{451FFB7E-7340-48E6-80A8-8EC9F2082081}"/>
    <cellStyle name="40% - Accent3 30" xfId="9757" xr:uid="{45065518-5D22-44B7-8935-DC56839D7DBF}"/>
    <cellStyle name="40% - Accent3 30 2" xfId="9758" xr:uid="{A778722E-771C-4DE2-A516-6E6D60903399}"/>
    <cellStyle name="40% - Accent3 30 2 2" xfId="9759" xr:uid="{0B0B67F5-8559-4302-8EE2-75EC9C6A8AA2}"/>
    <cellStyle name="40% - Accent3 30 2_Working Capital Current" xfId="14814" xr:uid="{D40B6F8B-F855-4083-918B-4C73285CF164}"/>
    <cellStyle name="40% - Accent3 30 3" xfId="9760" xr:uid="{50348C9A-4DE8-4EA5-BA83-CD8F5B967815}"/>
    <cellStyle name="40% - Accent3 30 4" xfId="9761" xr:uid="{2AF0F452-0AC1-43B3-A919-F8DAC97E9678}"/>
    <cellStyle name="40% - Accent3 30_Working Capital Current" xfId="14815" xr:uid="{0C9EBA05-8AB7-4D1E-9BAF-E125433192AB}"/>
    <cellStyle name="40% - Accent3 31" xfId="9762" xr:uid="{A55EA788-1A5D-4D93-8492-18EF69DD05F9}"/>
    <cellStyle name="40% - Accent3 31 2" xfId="9763" xr:uid="{348DDCF3-B30F-4CFA-AE4F-A7B9B0D8E18A}"/>
    <cellStyle name="40% - Accent3 31 2 2" xfId="9764" xr:uid="{E299D63C-3B0B-4DDF-A6F1-DD9FADD02E73}"/>
    <cellStyle name="40% - Accent3 31 2_Working Capital Current" xfId="14816" xr:uid="{7A445595-F975-44A7-A589-8522A029314C}"/>
    <cellStyle name="40% - Accent3 31 3" xfId="9765" xr:uid="{3C97DC87-AE47-4237-AD1B-F04973E2CA38}"/>
    <cellStyle name="40% - Accent3 31 4" xfId="9766" xr:uid="{77DAB4E2-87C4-485D-AF7D-E40EB8E33A07}"/>
    <cellStyle name="40% - Accent3 31_Working Capital Current" xfId="14817" xr:uid="{079490E6-A69D-4F80-8DEF-692EC5FF9A86}"/>
    <cellStyle name="40% - Accent3 32" xfId="9767" xr:uid="{CC8E4771-3E76-4533-9A8F-0AB35754D7DF}"/>
    <cellStyle name="40% - Accent3 32 2" xfId="9768" xr:uid="{D33B260A-962C-4F92-9FB3-407015AD7BFF}"/>
    <cellStyle name="40% - Accent3 32 2 2" xfId="9769" xr:uid="{32670580-7357-4DF2-A2B8-3053186090AB}"/>
    <cellStyle name="40% - Accent3 32 2_Working Capital Current" xfId="14818" xr:uid="{8131C9C8-BA25-494E-8527-9366CF948DBA}"/>
    <cellStyle name="40% - Accent3 32 3" xfId="9770" xr:uid="{8CECF57A-D692-4D75-A658-4DFFE6E5E225}"/>
    <cellStyle name="40% - Accent3 32 4" xfId="9771" xr:uid="{8756D8E4-B5A1-495C-AFD3-48236F143E23}"/>
    <cellStyle name="40% - Accent3 32_Working Capital Current" xfId="14819" xr:uid="{BE42F664-EF70-49E1-BBCE-193807BBF7ED}"/>
    <cellStyle name="40% - Accent3 33" xfId="9772" xr:uid="{B748EB24-030E-4CEA-9F44-2508F5395A2A}"/>
    <cellStyle name="40% - Accent3 33 2" xfId="9773" xr:uid="{B9146F37-F686-4A59-8611-00CC82B21BB1}"/>
    <cellStyle name="40% - Accent3 33 2 2" xfId="9774" xr:uid="{B80ED335-161A-45F7-9FEE-45906834ADC2}"/>
    <cellStyle name="40% - Accent3 33 2_Working Capital Current" xfId="14820" xr:uid="{D9DAC444-A56F-4393-AF6E-CC9E94E02F31}"/>
    <cellStyle name="40% - Accent3 33 3" xfId="9775" xr:uid="{A416CF61-378B-45FC-851F-EA6014E8F94A}"/>
    <cellStyle name="40% - Accent3 33 4" xfId="9776" xr:uid="{7B7C8583-E025-4DF0-A81D-014ECAC17E79}"/>
    <cellStyle name="40% - Accent3 33_Working Capital Current" xfId="14821" xr:uid="{0A04632D-35A6-4081-9848-9F7BE9093E49}"/>
    <cellStyle name="40% - Accent3 34" xfId="9777" xr:uid="{DA2B9CDE-88F9-4271-96A5-60054A85967B}"/>
    <cellStyle name="40% - Accent3 34 2" xfId="9778" xr:uid="{1E92D43A-6258-45CF-A561-F9A1D07E6ACC}"/>
    <cellStyle name="40% - Accent3 34 2 2" xfId="9779" xr:uid="{B8A23BF1-0090-4E55-8548-7B565744D22E}"/>
    <cellStyle name="40% - Accent3 34 2_Working Capital Current" xfId="14822" xr:uid="{B3F99302-DCE5-48EA-AA42-F9221589237C}"/>
    <cellStyle name="40% - Accent3 34 3" xfId="9780" xr:uid="{1430867B-A934-4793-A943-4E76FE33AFE5}"/>
    <cellStyle name="40% - Accent3 34 4" xfId="9781" xr:uid="{0F8E9F5B-A9E5-4236-8BE2-115E092FE1B3}"/>
    <cellStyle name="40% - Accent3 34_Working Capital Current" xfId="14823" xr:uid="{24E44303-9C09-4A46-BA83-6C47DCD94C81}"/>
    <cellStyle name="40% - Accent3 35" xfId="9782" xr:uid="{3039C7CB-4632-4BF3-A1A6-67653A58761F}"/>
    <cellStyle name="40% - Accent3 35 2" xfId="9783" xr:uid="{FF5764A0-9E2C-480E-9146-1399A1276085}"/>
    <cellStyle name="40% - Accent3 35 2 2" xfId="9784" xr:uid="{809D0E74-7293-427F-A4F3-70B1A99B4F31}"/>
    <cellStyle name="40% - Accent3 35 2_Working Capital Current" xfId="14824" xr:uid="{2EF79DDC-AF0E-4C5A-92CA-CA9F9B58D630}"/>
    <cellStyle name="40% - Accent3 35 3" xfId="9785" xr:uid="{515F03EA-4CD1-4B07-808F-56BD0A062368}"/>
    <cellStyle name="40% - Accent3 35 4" xfId="9786" xr:uid="{C9AFF64A-D12D-494D-A75F-2D1BF898FE25}"/>
    <cellStyle name="40% - Accent3 35_Working Capital Current" xfId="14825" xr:uid="{271D1968-0583-4FEA-8E78-DDBC52031AB9}"/>
    <cellStyle name="40% - Accent3 36" xfId="9787" xr:uid="{C866EFF5-F4CC-41BE-B1E2-BDF32EA0198F}"/>
    <cellStyle name="40% - Accent3 36 2" xfId="9788" xr:uid="{D3F37B7B-1C84-47E4-9C1A-58CA651CCCEF}"/>
    <cellStyle name="40% - Accent3 36 2 2" xfId="9789" xr:uid="{EB6D71C1-ACEE-4366-9A78-E5C637DA261B}"/>
    <cellStyle name="40% - Accent3 36 2_Working Capital Current" xfId="14826" xr:uid="{755EB939-E549-4B29-85BA-26374FD45BDD}"/>
    <cellStyle name="40% - Accent3 36 3" xfId="9790" xr:uid="{908B7368-31E3-4C4B-BB5E-3484133611F2}"/>
    <cellStyle name="40% - Accent3 36 4" xfId="9791" xr:uid="{815EE10E-5CE5-4568-AB44-D351BABEADDB}"/>
    <cellStyle name="40% - Accent3 36_Working Capital Current" xfId="14827" xr:uid="{C84DE114-DDF2-4EEF-AE0F-CCE05D54DDCD}"/>
    <cellStyle name="40% - Accent3 37" xfId="9792" xr:uid="{92040A70-EBB6-4414-B42D-CBE9C27F98CD}"/>
    <cellStyle name="40% - Accent3 37 2" xfId="9793" xr:uid="{A9C5B9B9-80FC-479D-AFF6-68BB344FBF40}"/>
    <cellStyle name="40% - Accent3 37 2 2" xfId="9794" xr:uid="{21E691B9-232B-4DC2-AE8D-FE0D4DA48101}"/>
    <cellStyle name="40% - Accent3 37 2_Working Capital Current" xfId="14828" xr:uid="{4E5BAC75-7EC9-4AB6-ACCC-D7DD130EF89A}"/>
    <cellStyle name="40% - Accent3 37 3" xfId="9795" xr:uid="{19AC8254-8537-4E1F-897B-6E597BF54BD2}"/>
    <cellStyle name="40% - Accent3 37 4" xfId="9796" xr:uid="{B8AEFED8-5D44-4D22-AC98-E962CE1E38A4}"/>
    <cellStyle name="40% - Accent3 37_Working Capital Current" xfId="14829" xr:uid="{5DF0657B-FBBB-4E9F-82DC-94B3419F8436}"/>
    <cellStyle name="40% - Accent3 38" xfId="9797" xr:uid="{E8C23E9A-74B2-41EF-9A0B-93DBDF3EEEDB}"/>
    <cellStyle name="40% - Accent3 38 2" xfId="9798" xr:uid="{742F0565-E7AB-401E-99D5-9D95C60812E1}"/>
    <cellStyle name="40% - Accent3 38 2 2" xfId="9799" xr:uid="{A509B9F0-B27A-4789-A936-5A9ED08E43F1}"/>
    <cellStyle name="40% - Accent3 38 2_Working Capital Current" xfId="14830" xr:uid="{346BC3C8-9440-4ED1-965E-0B5A06D86F8A}"/>
    <cellStyle name="40% - Accent3 38 3" xfId="9800" xr:uid="{7E1CC842-ECAB-4778-9907-CCF325D02A6F}"/>
    <cellStyle name="40% - Accent3 38 4" xfId="9801" xr:uid="{7B901597-DB71-4914-9385-161050843A19}"/>
    <cellStyle name="40% - Accent3 38_Working Capital Current" xfId="14831" xr:uid="{964BF182-3D14-4AA2-AA2E-3ED87454A4C2}"/>
    <cellStyle name="40% - Accent3 39" xfId="9802" xr:uid="{709C82E3-0F29-4BE4-81D6-8865AA764BE2}"/>
    <cellStyle name="40% - Accent3 39 2" xfId="9803" xr:uid="{F754317D-76D5-4D21-98AD-81089ADECBCA}"/>
    <cellStyle name="40% - Accent3 39 2 2" xfId="9804" xr:uid="{226F9ACB-331C-4BE5-91B4-B6B6E768AB80}"/>
    <cellStyle name="40% - Accent3 39 2_Working Capital Current" xfId="14832" xr:uid="{5C0B09AE-1EE2-4212-A4F9-878F160ED812}"/>
    <cellStyle name="40% - Accent3 39 3" xfId="9805" xr:uid="{525BB9F3-9678-44D6-B8BC-9E9005C486FE}"/>
    <cellStyle name="40% - Accent3 39 4" xfId="9806" xr:uid="{CCC68486-47B9-4A0D-BF30-5C0FA7C8F837}"/>
    <cellStyle name="40% - Accent3 39_Working Capital Current" xfId="14833" xr:uid="{51BB9C1C-106D-4353-9A72-BE89D8A2DEAF}"/>
    <cellStyle name="40% - Accent3 4" xfId="1872" xr:uid="{0ADCEC94-7378-4660-AAE9-B0F18BBDF115}"/>
    <cellStyle name="40% - Accent3 4 2" xfId="9808" xr:uid="{2387F8E1-BFA2-4A3B-83BB-70FCA36E3764}"/>
    <cellStyle name="40% - Accent3 4 2 2" xfId="9809" xr:uid="{D4BEC3E2-5418-4C0D-B66C-DEE45728205D}"/>
    <cellStyle name="40% - Accent3 4 2 2 2" xfId="9810" xr:uid="{88A831E3-79B8-4F21-B6FD-227EADC64CD2}"/>
    <cellStyle name="40% - Accent3 4 2 2_Working Capital Current" xfId="14834" xr:uid="{F1F29FCA-9B3C-4EB5-8387-6D69CF4C5619}"/>
    <cellStyle name="40% - Accent3 4 2 3" xfId="9811" xr:uid="{346A29E5-B046-4F05-9EB6-B79EAFA52A2F}"/>
    <cellStyle name="40% - Accent3 4 2 4" xfId="9812" xr:uid="{31AA5F24-2B70-4373-B5A3-93A28691AC1B}"/>
    <cellStyle name="40% - Accent3 4 2_Working Capital Current" xfId="14835" xr:uid="{DB32A4A1-D879-4E60-BE34-D72D26D3D619}"/>
    <cellStyle name="40% - Accent3 4 3" xfId="9813" xr:uid="{00EE0BF8-BBC7-4776-9D7A-91531EBB75FC}"/>
    <cellStyle name="40% - Accent3 4 3 2" xfId="9814" xr:uid="{70F6DB8D-A6D0-47DC-99AF-B07A0F52BAF5}"/>
    <cellStyle name="40% - Accent3 4 3_Working Capital Current" xfId="14836" xr:uid="{AA1ED6B9-D775-4B6D-9D38-ED60EE2094F9}"/>
    <cellStyle name="40% - Accent3 4 4" xfId="9815" xr:uid="{3B2DEC25-6D4F-4ECC-9447-DABCACCF4C3F}"/>
    <cellStyle name="40% - Accent3 4 5" xfId="9816" xr:uid="{3AE178EE-D6F0-4C31-87BF-2B6635B7696B}"/>
    <cellStyle name="40% - Accent3 4 6" xfId="17609" xr:uid="{62B552C7-F35D-4901-958E-3BAD8089ACA6}"/>
    <cellStyle name="40% - Accent3 4 7" xfId="18178" xr:uid="{224B9B80-2EC4-4971-A261-EBE500A2C77B}"/>
    <cellStyle name="40% - Accent3 4 8" xfId="9807" xr:uid="{09918FFA-56A3-4C94-862D-A51D36B63AC9}"/>
    <cellStyle name="40% - Accent3 4_Not_for_upload_before_M4_correc" xfId="14837" xr:uid="{2A571E87-946F-445F-AF58-1DB818534DDD}"/>
    <cellStyle name="40% - Accent3 40" xfId="9817" xr:uid="{31FA0FF1-A416-4E88-BF27-AE23EEC40008}"/>
    <cellStyle name="40% - Accent3 40 2" xfId="9818" xr:uid="{35A8BEEC-7940-46FE-A125-3E5F8E0881A9}"/>
    <cellStyle name="40% - Accent3 40 2 2" xfId="9819" xr:uid="{3D800B20-8A45-4DEF-A1E5-AADE283CFED0}"/>
    <cellStyle name="40% - Accent3 40 2_Working Capital Current" xfId="14838" xr:uid="{EC7D482A-BB72-4989-85A4-6688BDAE02E1}"/>
    <cellStyle name="40% - Accent3 40 3" xfId="9820" xr:uid="{6B2C5EB7-64D2-47C6-BEF0-8912E7632AC1}"/>
    <cellStyle name="40% - Accent3 40 4" xfId="9821" xr:uid="{61ACDF26-9C79-488E-950D-5E9A4F7E21AA}"/>
    <cellStyle name="40% - Accent3 40_Working Capital Current" xfId="14839" xr:uid="{699870AF-C6B2-4F0C-883C-8B358D6118CD}"/>
    <cellStyle name="40% - Accent3 41" xfId="9822" xr:uid="{90804F68-654D-495A-8E9F-4B307EA21C36}"/>
    <cellStyle name="40% - Accent3 41 2" xfId="9823" xr:uid="{B190088F-4BBC-49B6-95E5-72462A85D477}"/>
    <cellStyle name="40% - Accent3 41 2 2" xfId="9824" xr:uid="{70F33595-2DE2-48F3-9A6E-4286BD4F79CB}"/>
    <cellStyle name="40% - Accent3 41 2_Working Capital Current" xfId="14840" xr:uid="{EBE5CE37-4B8F-4C7F-8128-0A9B22B37697}"/>
    <cellStyle name="40% - Accent3 41 3" xfId="9825" xr:uid="{4003B8C2-D3DE-4FC0-B11D-335FBA4135D9}"/>
    <cellStyle name="40% - Accent3 41 4" xfId="9826" xr:uid="{649A27D7-DAC9-469D-B210-6883AD27C95F}"/>
    <cellStyle name="40% - Accent3 41_Working Capital Current" xfId="14841" xr:uid="{3CE79021-1987-4EC1-AE35-6B34E46135FA}"/>
    <cellStyle name="40% - Accent3 42" xfId="9827" xr:uid="{65015284-D1BE-4530-940A-7FDC59FBA824}"/>
    <cellStyle name="40% - Accent3 42 2" xfId="9828" xr:uid="{AD52C318-1EA6-414C-BB01-85A06347609E}"/>
    <cellStyle name="40% - Accent3 42 2 2" xfId="9829" xr:uid="{BA285FAD-448D-4A7A-8EFD-6F2A832C64CF}"/>
    <cellStyle name="40% - Accent3 42 2_Working Capital Current" xfId="14842" xr:uid="{D9CDE7CD-ECDC-4D62-A2EE-74D783E724BD}"/>
    <cellStyle name="40% - Accent3 42 3" xfId="9830" xr:uid="{FD86D097-2B3D-4643-85E5-B8FD927BA21A}"/>
    <cellStyle name="40% - Accent3 42 4" xfId="9831" xr:uid="{B74C2322-8E40-428A-939F-EFB6FD93BBF2}"/>
    <cellStyle name="40% - Accent3 42_Working Capital Current" xfId="14843" xr:uid="{CE09E0BA-AC27-4559-8B91-D1BFF78D8872}"/>
    <cellStyle name="40% - Accent3 43" xfId="9832" xr:uid="{F4B564CF-BF7A-434B-A7EF-9F25C56011D9}"/>
    <cellStyle name="40% - Accent3 43 2" xfId="9833" xr:uid="{BE9368B3-F3CF-4D6A-99B5-03330994F5B2}"/>
    <cellStyle name="40% - Accent3 43 2 2" xfId="9834" xr:uid="{EAEC7922-3B1E-45FB-84EC-CCE47F910C30}"/>
    <cellStyle name="40% - Accent3 43 2_Working Capital Current" xfId="14844" xr:uid="{E3967573-8982-40B1-9C57-37E31F564057}"/>
    <cellStyle name="40% - Accent3 43 3" xfId="9835" xr:uid="{BAB8BF43-C4F9-4997-B910-9EBC5C4EEC2B}"/>
    <cellStyle name="40% - Accent3 43 4" xfId="9836" xr:uid="{4CADE92A-9FF3-426A-BCE2-C23DF9F2E16C}"/>
    <cellStyle name="40% - Accent3 43_Working Capital Current" xfId="14845" xr:uid="{6C3866EC-F9B9-4610-8395-F5674C3D9EA1}"/>
    <cellStyle name="40% - Accent3 44" xfId="9837" xr:uid="{9995D557-529F-4CBC-A90A-BD9C70F73BB3}"/>
    <cellStyle name="40% - Accent3 44 2" xfId="9838" xr:uid="{2554E5BF-1DB5-439D-BDFF-CF3BCF83E40C}"/>
    <cellStyle name="40% - Accent3 44 2 2" xfId="9839" xr:uid="{21B35150-A252-4BEC-99A8-DBB3303001B5}"/>
    <cellStyle name="40% - Accent3 44 2_Working Capital Current" xfId="14846" xr:uid="{F277AB0A-7183-4663-BA7C-64030B863216}"/>
    <cellStyle name="40% - Accent3 44 3" xfId="9840" xr:uid="{EE339A78-7C40-4036-B4AC-75CC30D842B9}"/>
    <cellStyle name="40% - Accent3 44 4" xfId="9841" xr:uid="{39E9E58F-3740-44B2-9A00-1F1A0CA51FAE}"/>
    <cellStyle name="40% - Accent3 44_Working Capital Current" xfId="14847" xr:uid="{F331E0F0-F33C-4142-B5EB-E645CC3AE715}"/>
    <cellStyle name="40% - Accent3 45" xfId="9842" xr:uid="{85AE5F75-2331-4790-88AE-1928A5AFE74A}"/>
    <cellStyle name="40% - Accent3 45 2" xfId="9843" xr:uid="{0116C03F-E5F2-4679-82E2-0021EB36135D}"/>
    <cellStyle name="40% - Accent3 45 2 2" xfId="9844" xr:uid="{6205ED67-D7C6-46F3-937E-FD7B39C3E2AA}"/>
    <cellStyle name="40% - Accent3 45 2_Working Capital Current" xfId="14848" xr:uid="{F52B1AA6-9646-4C69-A64F-62DAB681FBA2}"/>
    <cellStyle name="40% - Accent3 45 3" xfId="9845" xr:uid="{627F234F-93C4-488E-AC86-2DC10946C498}"/>
    <cellStyle name="40% - Accent3 45 4" xfId="9846" xr:uid="{B5F5FC26-C570-493A-BA78-ED04E191A745}"/>
    <cellStyle name="40% - Accent3 45_Working Capital Current" xfId="14849" xr:uid="{4CDE91DA-65D6-467F-B4B7-BC6EED9DEB1F}"/>
    <cellStyle name="40% - Accent3 46" xfId="9847" xr:uid="{920A8577-F332-4AA4-B2C9-209E4D27821E}"/>
    <cellStyle name="40% - Accent3 46 2" xfId="9848" xr:uid="{72D432AE-4AAA-4624-98D9-AB7D2C062795}"/>
    <cellStyle name="40% - Accent3 46 2 2" xfId="9849" xr:uid="{0D24087A-8E5E-4F88-B03A-AF3A4B1FA26F}"/>
    <cellStyle name="40% - Accent3 46 2_Working Capital Current" xfId="14850" xr:uid="{D202E123-3255-4772-AB76-3FFD6B32BD35}"/>
    <cellStyle name="40% - Accent3 46 3" xfId="9850" xr:uid="{E237E30D-E79C-4778-B865-4E9700AB3C6B}"/>
    <cellStyle name="40% - Accent3 46 4" xfId="9851" xr:uid="{A3FF60C9-2EF3-4053-B2BB-27749741EBB7}"/>
    <cellStyle name="40% - Accent3 46_Working Capital Current" xfId="14851" xr:uid="{868D30BA-1E89-4C8C-9469-EBF6C27B6940}"/>
    <cellStyle name="40% - Accent3 47" xfId="9852" xr:uid="{BB61F3F2-F76D-457C-AB7F-A2174778BEBD}"/>
    <cellStyle name="40% - Accent3 47 2" xfId="9853" xr:uid="{24C3A8F6-A871-41C6-91A7-F5B41A236502}"/>
    <cellStyle name="40% - Accent3 47 2 2" xfId="9854" xr:uid="{0860E102-FB41-4F36-B80C-A0D3B243A006}"/>
    <cellStyle name="40% - Accent3 47 2_Working Capital Current" xfId="14852" xr:uid="{4030E919-2AC4-4440-B237-EB91D1C33833}"/>
    <cellStyle name="40% - Accent3 47 3" xfId="9855" xr:uid="{0140DC72-4BAF-4EFE-BFF5-5CF191981DBC}"/>
    <cellStyle name="40% - Accent3 47 4" xfId="9856" xr:uid="{4FDBD6A1-84A8-44D9-A0D6-77849AB0CCC3}"/>
    <cellStyle name="40% - Accent3 47_Working Capital Current" xfId="14853" xr:uid="{8998AB5B-101C-4E19-98F3-6DCB10759E28}"/>
    <cellStyle name="40% - Accent3 48" xfId="9857" xr:uid="{17034B56-EDED-4E89-91B3-ABAB85A65B59}"/>
    <cellStyle name="40% - Accent3 48 2" xfId="9858" xr:uid="{84F870CF-9F66-4958-9DDE-534B96652061}"/>
    <cellStyle name="40% - Accent3 48 2 2" xfId="9859" xr:uid="{2F141B27-05D1-4FE3-B8D7-5C10A997F159}"/>
    <cellStyle name="40% - Accent3 48 2_Working Capital Current" xfId="14854" xr:uid="{1335E483-ABF0-4556-8CAC-A7C5D288C9BC}"/>
    <cellStyle name="40% - Accent3 48 3" xfId="9860" xr:uid="{0B920F1C-30A2-44BB-8916-3CA5C417F5E0}"/>
    <cellStyle name="40% - Accent3 48 4" xfId="9861" xr:uid="{7B9A44F2-7B29-452E-9322-42FD823D92A2}"/>
    <cellStyle name="40% - Accent3 48_Working Capital Current" xfId="14855" xr:uid="{860E8C46-FF1A-471B-9355-0F40C83BE7FF}"/>
    <cellStyle name="40% - Accent3 49" xfId="9862" xr:uid="{1E332325-3743-443C-B36F-533ED38ED1F1}"/>
    <cellStyle name="40% - Accent3 49 2" xfId="9863" xr:uid="{ADD8CC87-AAC3-497B-A69C-83C5A6596A2D}"/>
    <cellStyle name="40% - Accent3 49 2 2" xfId="9864" xr:uid="{CCDF0FB0-24CF-41DD-AB7C-51F6A41A2AC1}"/>
    <cellStyle name="40% - Accent3 49 2_Working Capital Current" xfId="14856" xr:uid="{3AF4524D-EC67-4D40-A200-27914210CBBB}"/>
    <cellStyle name="40% - Accent3 49 3" xfId="9865" xr:uid="{E17CD7DA-A5EE-41CE-A372-FF79F06EF487}"/>
    <cellStyle name="40% - Accent3 49 4" xfId="9866" xr:uid="{78CA4690-A265-4486-86CB-C0DFF1286E54}"/>
    <cellStyle name="40% - Accent3 49_Working Capital Current" xfId="14857" xr:uid="{4C8484B1-BFF7-43C4-B043-00D44B444CD3}"/>
    <cellStyle name="40% - Accent3 5" xfId="9867" xr:uid="{6328BAD8-63F6-4697-AAB0-2EC6403A939F}"/>
    <cellStyle name="40% - Accent3 5 2" xfId="9868" xr:uid="{0BED673C-D5FA-4587-B3DA-CEAFC881818B}"/>
    <cellStyle name="40% - Accent3 5 2 2" xfId="9869" xr:uid="{CF1E3F00-219D-4992-B297-04F8DDD1F588}"/>
    <cellStyle name="40% - Accent3 5 2 2 2" xfId="9870" xr:uid="{809CA840-9C6B-4913-A4BD-5FD829EC95B1}"/>
    <cellStyle name="40% - Accent3 5 2 2_Working Capital Current" xfId="14858" xr:uid="{D870EFFE-E606-4A27-A06F-AE5AF19EB96D}"/>
    <cellStyle name="40% - Accent3 5 2 3" xfId="9871" xr:uid="{2905CBB6-7447-450D-9648-5828DF5F34E2}"/>
    <cellStyle name="40% - Accent3 5 2 4" xfId="9872" xr:uid="{F9BDC354-E5DF-4F62-BA14-C11F23B4E601}"/>
    <cellStyle name="40% - Accent3 5 2_Working Capital Current" xfId="14859" xr:uid="{B3137234-CE65-4092-B66C-D13052C91EDE}"/>
    <cellStyle name="40% - Accent3 5 3" xfId="9873" xr:uid="{EB262F3E-6314-4EE8-AB87-2CF367CD1876}"/>
    <cellStyle name="40% - Accent3 5 3 2" xfId="9874" xr:uid="{7EA311D1-F26C-4B86-ABA8-A94640DB3D5F}"/>
    <cellStyle name="40% - Accent3 5 3_Working Capital Current" xfId="14860" xr:uid="{EF6EDA9F-FEF5-4120-9D62-048E620A855A}"/>
    <cellStyle name="40% - Accent3 5 4" xfId="9875" xr:uid="{5174F7C2-CA53-4697-8C2E-055A686FAEE3}"/>
    <cellStyle name="40% - Accent3 5 5" xfId="9876" xr:uid="{A9D5B506-FA86-4DA0-A821-E90E4C961AFD}"/>
    <cellStyle name="40% - Accent3 5_Not_for_upload_before_M4_correc" xfId="14861" xr:uid="{31EA6D1E-4561-4023-9D5B-44C29CC1C28F}"/>
    <cellStyle name="40% - Accent3 50" xfId="9877" xr:uid="{4D40DFFB-359E-43E9-B8C6-529DE4237C75}"/>
    <cellStyle name="40% - Accent3 50 2" xfId="9878" xr:uid="{B7B34A14-3FD5-4733-97F0-D7ADE871D0E3}"/>
    <cellStyle name="40% - Accent3 50 2 2" xfId="9879" xr:uid="{AB53B002-0F8D-4843-8B3C-737132321C7B}"/>
    <cellStyle name="40% - Accent3 50 2_Working Capital Current" xfId="14862" xr:uid="{C575E586-F3AE-49FF-A244-DACA47A875AC}"/>
    <cellStyle name="40% - Accent3 50 3" xfId="9880" xr:uid="{6A2151BE-8D73-4A9A-A4B1-01572C05A1B9}"/>
    <cellStyle name="40% - Accent3 50 4" xfId="9881" xr:uid="{AB69DFA8-6270-4B76-B467-065701DDEE88}"/>
    <cellStyle name="40% - Accent3 50_Working Capital Current" xfId="14863" xr:uid="{EE634979-3F75-4D9F-A2F4-D7301B83ECB6}"/>
    <cellStyle name="40% - Accent3 51" xfId="9882" xr:uid="{02E5A70E-7BAF-4ECC-A6A2-1CC24976BC21}"/>
    <cellStyle name="40% - Accent3 51 2" xfId="9883" xr:uid="{83F4E2B9-B79F-403D-B4A7-AD75BBB762D3}"/>
    <cellStyle name="40% - Accent3 51 2 2" xfId="9884" xr:uid="{AE9CF55B-9310-49CE-B15A-36B4845CBD84}"/>
    <cellStyle name="40% - Accent3 51 2_Working Capital Current" xfId="14864" xr:uid="{A27E4D1D-436D-4764-94E9-E4DD98324D42}"/>
    <cellStyle name="40% - Accent3 51 3" xfId="9885" xr:uid="{C3A385F1-1E20-4519-A0D7-3040928470EA}"/>
    <cellStyle name="40% - Accent3 51 4" xfId="9886" xr:uid="{0EAD31EC-F146-4EA4-9336-854E562ACA3F}"/>
    <cellStyle name="40% - Accent3 51_Working Capital Current" xfId="14865" xr:uid="{2008116D-AE08-408E-9461-2F95668269B8}"/>
    <cellStyle name="40% - Accent3 52" xfId="9887" xr:uid="{A0B15F07-E70E-4031-BDDF-1643887F0A96}"/>
    <cellStyle name="40% - Accent3 52 2" xfId="9888" xr:uid="{F0BE60ED-5A7D-4424-9136-5B08CD4008A0}"/>
    <cellStyle name="40% - Accent3 52 2 2" xfId="9889" xr:uid="{DD63877D-0A95-453D-BA82-B1FBB2F884BE}"/>
    <cellStyle name="40% - Accent3 52 2_Working Capital Current" xfId="14866" xr:uid="{EFB3CFDC-C6FD-48E3-BCAF-0C5BB3A3FBCE}"/>
    <cellStyle name="40% - Accent3 52 3" xfId="9890" xr:uid="{CA9B3AED-581C-4F77-818D-31BA7D5904A1}"/>
    <cellStyle name="40% - Accent3 52 4" xfId="9891" xr:uid="{B0BF1DB4-96C2-4AD6-9D59-D7412F5943A3}"/>
    <cellStyle name="40% - Accent3 52_Working Capital Current" xfId="14867" xr:uid="{4B562BFB-F125-423A-A9BC-58A9216E67A8}"/>
    <cellStyle name="40% - Accent3 53" xfId="9892" xr:uid="{18755C98-1E7F-4CBE-B45A-13A6C035CA7E}"/>
    <cellStyle name="40% - Accent3 53 2" xfId="9893" xr:uid="{C327FF50-0648-453F-B83B-DAD97FA800E7}"/>
    <cellStyle name="40% - Accent3 53 2 2" xfId="9894" xr:uid="{A642310D-C2C6-4E76-9D91-CDCF36AF4731}"/>
    <cellStyle name="40% - Accent3 53 2_Working Capital Current" xfId="14868" xr:uid="{2F984547-3B7C-4128-BACD-3B9920C01836}"/>
    <cellStyle name="40% - Accent3 53 3" xfId="9895" xr:uid="{EB6C33BE-EDAB-41CC-8F4E-A599A6535939}"/>
    <cellStyle name="40% - Accent3 53 4" xfId="9896" xr:uid="{BE5B343C-5C04-4EE5-B3E7-1BC3717109FF}"/>
    <cellStyle name="40% - Accent3 53_Working Capital Current" xfId="14869" xr:uid="{0F873A93-3EFC-4669-A3CA-1F4D771153F1}"/>
    <cellStyle name="40% - Accent3 54" xfId="9897" xr:uid="{6AB913F4-EEDF-4F67-A0EB-51FACAECE51D}"/>
    <cellStyle name="40% - Accent3 54 2" xfId="9898" xr:uid="{3CF0947F-2FA9-4540-A2C9-2A66CF90DFDF}"/>
    <cellStyle name="40% - Accent3 54 2 2" xfId="9899" xr:uid="{F3EE86BD-D563-4D79-B5F0-BCF1923B9633}"/>
    <cellStyle name="40% - Accent3 54 2_Working Capital Current" xfId="14870" xr:uid="{168ED976-6CCE-43F3-B126-5F93DFE92213}"/>
    <cellStyle name="40% - Accent3 54 3" xfId="9900" xr:uid="{8AE8F289-5E80-43D9-81D9-AD2B1605D46D}"/>
    <cellStyle name="40% - Accent3 54 4" xfId="9901" xr:uid="{B63E83E5-BAF7-4E46-A72F-FE74088565BB}"/>
    <cellStyle name="40% - Accent3 54_Working Capital Current" xfId="14871" xr:uid="{4C64B156-A374-41A5-B578-427EC43C48AC}"/>
    <cellStyle name="40% - Accent3 55" xfId="9902" xr:uid="{CDFABEA8-E571-4D3D-85A2-24C2E118BA89}"/>
    <cellStyle name="40% - Accent3 55 2" xfId="9903" xr:uid="{A817A2A7-682E-4611-AB87-72BB2FEF7B97}"/>
    <cellStyle name="40% - Accent3 55 2 2" xfId="9904" xr:uid="{BEFC12FE-4DE1-40C1-9622-B02DAD3364A9}"/>
    <cellStyle name="40% - Accent3 55 2_Working Capital Current" xfId="14872" xr:uid="{B598853E-9323-4D28-A850-768B19A24699}"/>
    <cellStyle name="40% - Accent3 55 3" xfId="9905" xr:uid="{9CF9A140-9D0E-48C6-B9B8-0303A7838BF9}"/>
    <cellStyle name="40% - Accent3 55 4" xfId="9906" xr:uid="{4FFFE3A7-10A1-477E-98B9-CCFF7C38F5AE}"/>
    <cellStyle name="40% - Accent3 55_Working Capital Current" xfId="14873" xr:uid="{A2180177-9DBA-498A-A64A-DD30DE1EBF77}"/>
    <cellStyle name="40% - Accent3 56" xfId="9907" xr:uid="{FA0E51C1-351D-41C7-9FE9-7D626ECF024C}"/>
    <cellStyle name="40% - Accent3 56 2" xfId="9908" xr:uid="{4F43FD08-CCD3-4A0C-A378-207FDBA34D51}"/>
    <cellStyle name="40% - Accent3 56 2 2" xfId="9909" xr:uid="{22B6E101-C5D1-48C5-91EF-5674AA990E01}"/>
    <cellStyle name="40% - Accent3 56 2_Working Capital Current" xfId="14874" xr:uid="{D0B6B160-4273-4536-9286-8BE0CA03B775}"/>
    <cellStyle name="40% - Accent3 56 3" xfId="9910" xr:uid="{FDDC2842-8F87-447A-AE06-BBB4F7964D0F}"/>
    <cellStyle name="40% - Accent3 56 4" xfId="9911" xr:uid="{51195DE2-44A3-4E45-ABC4-15440561DAF7}"/>
    <cellStyle name="40% - Accent3 56_Working Capital Current" xfId="14875" xr:uid="{A7464429-7F48-4205-895F-ECD79C0A7907}"/>
    <cellStyle name="40% - Accent3 57" xfId="9912" xr:uid="{B28EA277-97B5-4371-91BB-2B9CB20BA5C1}"/>
    <cellStyle name="40% - Accent3 57 2" xfId="9913" xr:uid="{0684CF00-01ED-49D4-AF8C-29FC59D51FB3}"/>
    <cellStyle name="40% - Accent3 57 2 2" xfId="9914" xr:uid="{DA9152DA-AE3D-4099-A0E1-68BCB803C524}"/>
    <cellStyle name="40% - Accent3 57 2_Working Capital Current" xfId="14876" xr:uid="{E9946D25-4058-4E8A-9CC3-1D7C4591549E}"/>
    <cellStyle name="40% - Accent3 57 3" xfId="9915" xr:uid="{27CAF380-E372-4DBF-8E86-30A28B16E233}"/>
    <cellStyle name="40% - Accent3 57 4" xfId="9916" xr:uid="{7EB31970-C4C8-40E3-853F-D552C91A8D5F}"/>
    <cellStyle name="40% - Accent3 57_Working Capital Current" xfId="14877" xr:uid="{317944FA-1C02-4780-98CF-D5519FB2D1A8}"/>
    <cellStyle name="40% - Accent3 58" xfId="9917" xr:uid="{36E34E82-71D3-4B8F-8A9B-B685780179B6}"/>
    <cellStyle name="40% - Accent3 58 2" xfId="9918" xr:uid="{5F9A1879-E71A-4030-BCEB-4E5C080978EA}"/>
    <cellStyle name="40% - Accent3 58 2 2" xfId="9919" xr:uid="{6A3C2A82-10A0-4549-BC46-501BDAC8486F}"/>
    <cellStyle name="40% - Accent3 58 2_Working Capital Current" xfId="14878" xr:uid="{99AAA551-A2D5-44AD-8AA5-F21421B57723}"/>
    <cellStyle name="40% - Accent3 58 3" xfId="9920" xr:uid="{16AEB488-6428-4782-B447-B42BDB167C54}"/>
    <cellStyle name="40% - Accent3 58 4" xfId="9921" xr:uid="{A3F6D3EA-0890-431F-BAB8-F7B6A478CBD8}"/>
    <cellStyle name="40% - Accent3 58_Working Capital Current" xfId="14879" xr:uid="{064EE235-51F5-4CC1-83E1-F30683550C3A}"/>
    <cellStyle name="40% - Accent3 59" xfId="9922" xr:uid="{D52AB7E6-0335-41A5-B26B-F1FC386FFBBD}"/>
    <cellStyle name="40% - Accent3 59 2" xfId="9923" xr:uid="{2FA185C0-E819-4999-B2C9-5D1881E7CE1C}"/>
    <cellStyle name="40% - Accent3 59 2 2" xfId="9924" xr:uid="{BC3CB06E-F8ED-4850-8432-5CE0A5741816}"/>
    <cellStyle name="40% - Accent3 59 2_Working Capital Current" xfId="14880" xr:uid="{D0BA95AB-D266-4D24-A88D-E85F25079C82}"/>
    <cellStyle name="40% - Accent3 59 3" xfId="9925" xr:uid="{0EB706DE-C014-457D-8D35-81238C49CBE5}"/>
    <cellStyle name="40% - Accent3 59 4" xfId="9926" xr:uid="{5FCB6376-D4CB-4852-9E74-81971DE9252B}"/>
    <cellStyle name="40% - Accent3 59_Working Capital Current" xfId="14881" xr:uid="{0AA36327-4E7A-4046-9DA1-1B6F6FBBA70F}"/>
    <cellStyle name="40% - Accent3 6" xfId="9927" xr:uid="{12F57412-6549-4A75-A94A-1DA620F0338E}"/>
    <cellStyle name="40% - Accent3 6 2" xfId="9928" xr:uid="{1996B9A2-106E-417D-90FB-D8F1B710A861}"/>
    <cellStyle name="40% - Accent3 6 2 2" xfId="9929" xr:uid="{78EB0339-4C9C-4CC3-8D39-4F25E67B0E4A}"/>
    <cellStyle name="40% - Accent3 6 2 2 2" xfId="9930" xr:uid="{2843DC94-5AFB-42B0-AFBB-9AF90D03EC83}"/>
    <cellStyle name="40% - Accent3 6 2 2_Working Capital Current" xfId="14882" xr:uid="{FAAF4F2F-2A5E-4161-91D6-CEAD98AB96A8}"/>
    <cellStyle name="40% - Accent3 6 2 3" xfId="9931" xr:uid="{1BC3EF0E-5A51-412A-80B3-09C22EB1FA5A}"/>
    <cellStyle name="40% - Accent3 6 2 4" xfId="9932" xr:uid="{31F39A30-E5B2-4FFF-B65F-F8EC5AFC53E8}"/>
    <cellStyle name="40% - Accent3 6 2_Working Capital Current" xfId="14883" xr:uid="{A5D2F489-94F1-4754-96FD-7AD605A8CE6F}"/>
    <cellStyle name="40% - Accent3 6 3" xfId="9933" xr:uid="{5779C2AB-7AAC-4363-99DE-691F685727CE}"/>
    <cellStyle name="40% - Accent3 6 3 2" xfId="9934" xr:uid="{DDE562DB-5FBD-473D-AF12-FF463D35E3B5}"/>
    <cellStyle name="40% - Accent3 6 3_Working Capital Current" xfId="14884" xr:uid="{84E092F8-180B-459F-B80C-CB15EC6418B2}"/>
    <cellStyle name="40% - Accent3 6 4" xfId="9935" xr:uid="{9FB3DB20-AF3F-4D39-BAC0-D5A3CA89A9C0}"/>
    <cellStyle name="40% - Accent3 6 5" xfId="9936" xr:uid="{DA117C29-E0B6-4837-9296-4A4110B2E2E6}"/>
    <cellStyle name="40% - Accent3 6_Not_for_upload_before_M4_correc" xfId="14885" xr:uid="{C588E94D-2C19-4D22-BDF5-25291C4A8D10}"/>
    <cellStyle name="40% - Accent3 60" xfId="9937" xr:uid="{962B2C1F-A4F2-4C67-96B7-857FDAF78774}"/>
    <cellStyle name="40% - Accent3 60 2" xfId="9938" xr:uid="{453A019D-5C67-4D9A-9E67-00FB65240120}"/>
    <cellStyle name="40% - Accent3 60 2 2" xfId="9939" xr:uid="{6BCC9B66-3C1C-41C0-84A1-AAAE8B85DD78}"/>
    <cellStyle name="40% - Accent3 60 2_Working Capital Current" xfId="14886" xr:uid="{40EABC98-D6FA-4825-99BA-6DB4C9E2A7AB}"/>
    <cellStyle name="40% - Accent3 60 3" xfId="9940" xr:uid="{D8BE8B73-5E48-4E93-A8B6-6BC9A169F2EB}"/>
    <cellStyle name="40% - Accent3 60 4" xfId="9941" xr:uid="{319BB388-CD51-4149-BA1F-E16136DEF499}"/>
    <cellStyle name="40% - Accent3 60_Working Capital Current" xfId="14887" xr:uid="{2F4ABA4E-9FC6-4786-9E75-5499F945394E}"/>
    <cellStyle name="40% - Accent3 61" xfId="9942" xr:uid="{94659BBE-6C2A-4FAA-A0C1-486DB3F8B027}"/>
    <cellStyle name="40% - Accent3 61 2" xfId="9943" xr:uid="{2D3862A6-2DE5-445C-BDB8-A9A16F037E50}"/>
    <cellStyle name="40% - Accent3 61 2 2" xfId="9944" xr:uid="{25320B8D-B885-447C-AD0F-5765109AC185}"/>
    <cellStyle name="40% - Accent3 61 2_Working Capital Current" xfId="14888" xr:uid="{2A686EAA-EA8B-4488-BF64-76D8BA2E193D}"/>
    <cellStyle name="40% - Accent3 61 3" xfId="9945" xr:uid="{3E202DF8-892F-4C3A-8AD1-64FFDF670905}"/>
    <cellStyle name="40% - Accent3 61 4" xfId="9946" xr:uid="{BCCAA73C-9DBA-410C-B34E-53B094C3927D}"/>
    <cellStyle name="40% - Accent3 61_Working Capital Current" xfId="14889" xr:uid="{0B987C58-653E-438B-8490-85311A94C7D8}"/>
    <cellStyle name="40% - Accent3 62" xfId="9947" xr:uid="{CDE650B3-1CC4-4ACE-87A9-08498FC42677}"/>
    <cellStyle name="40% - Accent3 62 2" xfId="9948" xr:uid="{5A171CB9-0F0D-4105-8DC6-82F97F18F0D3}"/>
    <cellStyle name="40% - Accent3 62 2 2" xfId="9949" xr:uid="{BD4F2C37-F8C6-40DE-8E9B-2BCFD993BD46}"/>
    <cellStyle name="40% - Accent3 62 2_Working Capital Current" xfId="14890" xr:uid="{80DAD84A-DE8A-4C9D-8E5F-5C5429DBA562}"/>
    <cellStyle name="40% - Accent3 62 3" xfId="9950" xr:uid="{264E3D1A-45D2-423E-B910-EE072497FAD3}"/>
    <cellStyle name="40% - Accent3 62 4" xfId="9951" xr:uid="{66D4D16C-8085-4396-A0E7-5B427424F519}"/>
    <cellStyle name="40% - Accent3 62_Working Capital Current" xfId="14891" xr:uid="{8BC13EB6-CCBF-4312-84B4-3D363170524F}"/>
    <cellStyle name="40% - Accent3 63" xfId="9952" xr:uid="{C478B5B9-D94F-4524-B11F-C2E48BE8B61B}"/>
    <cellStyle name="40% - Accent3 63 2" xfId="9953" xr:uid="{3CAA4B1C-2335-4664-9BB7-75913CF69EB3}"/>
    <cellStyle name="40% - Accent3 63 2 2" xfId="9954" xr:uid="{7F34E6B3-202E-46B9-A928-7F3230731565}"/>
    <cellStyle name="40% - Accent3 63 2_Working Capital Current" xfId="14892" xr:uid="{5B0A959A-FA8C-4F1E-9201-A8107CF86881}"/>
    <cellStyle name="40% - Accent3 63 3" xfId="9955" xr:uid="{B9F3778C-EAD0-413A-AF30-6E7A45F3524A}"/>
    <cellStyle name="40% - Accent3 63 4" xfId="9956" xr:uid="{4B4C2768-D46F-419E-BAE3-5B2070410C6A}"/>
    <cellStyle name="40% - Accent3 63_Working Capital Current" xfId="14893" xr:uid="{89265F90-7B50-493B-A65A-9DA0D0CE91CF}"/>
    <cellStyle name="40% - Accent3 64" xfId="9957" xr:uid="{FB325E74-9543-4F6A-98D6-0C2FD8F953AA}"/>
    <cellStyle name="40% - Accent3 64 2" xfId="9958" xr:uid="{F6164007-FF54-42E4-BF94-27D65F497965}"/>
    <cellStyle name="40% - Accent3 64 2 2" xfId="9959" xr:uid="{5484BA92-FCB7-4219-A674-810A86284ECD}"/>
    <cellStyle name="40% - Accent3 64 2_Working Capital Current" xfId="14894" xr:uid="{C9F36AE0-B43B-4DAB-B02A-9E9108BDE140}"/>
    <cellStyle name="40% - Accent3 64 3" xfId="9960" xr:uid="{053279C3-63C5-46A9-8855-AAA5AA1292B0}"/>
    <cellStyle name="40% - Accent3 64 4" xfId="9961" xr:uid="{1DBE5B31-A774-4515-B675-FDD96512C61C}"/>
    <cellStyle name="40% - Accent3 64_Working Capital Current" xfId="14895" xr:uid="{B0A31EF4-05EA-4F3B-A681-159EEAADD0A5}"/>
    <cellStyle name="40% - Accent3 65" xfId="9962" xr:uid="{FB2CFF7C-7C40-477B-829D-7A9EC3B54DA7}"/>
    <cellStyle name="40% - Accent3 65 2" xfId="9963" xr:uid="{0D81FB8C-97FA-4FD8-9B6B-C4B9404697E5}"/>
    <cellStyle name="40% - Accent3 65 2 2" xfId="9964" xr:uid="{8E6DC0FC-A71E-498F-B809-3A7E493681F3}"/>
    <cellStyle name="40% - Accent3 65 2_Working Capital Current" xfId="14896" xr:uid="{3AEBE318-BE81-4038-8FAD-5EF16DD7DD7F}"/>
    <cellStyle name="40% - Accent3 65 3" xfId="9965" xr:uid="{ABCE3BDA-1EC3-4314-87C9-EF7FFE9B0FC6}"/>
    <cellStyle name="40% - Accent3 65 4" xfId="9966" xr:uid="{625F3BE1-B959-472D-B13A-02D6424C9803}"/>
    <cellStyle name="40% - Accent3 65_Working Capital Current" xfId="14897" xr:uid="{BFF2CE2B-4B04-4C83-8D10-95F03DECE2B4}"/>
    <cellStyle name="40% - Accent3 66" xfId="9967" xr:uid="{25A9BA12-D24D-4934-A5F9-3B86E126AF6F}"/>
    <cellStyle name="40% - Accent3 66 2" xfId="9968" xr:uid="{32192B7F-617C-46B0-8179-34A71B951D23}"/>
    <cellStyle name="40% - Accent3 66 2 2" xfId="9969" xr:uid="{B2380355-2DC3-4EDB-94D6-4FDAC3BB033B}"/>
    <cellStyle name="40% - Accent3 66 2_Working Capital Current" xfId="14898" xr:uid="{CDE41BCC-E1C8-406C-8F8E-37A9F5F2BF70}"/>
    <cellStyle name="40% - Accent3 66 3" xfId="9970" xr:uid="{ABAD7B47-110A-4CB5-9EF3-7B9E1CF92E67}"/>
    <cellStyle name="40% - Accent3 66 4" xfId="9971" xr:uid="{46EE6837-C9E3-4764-A222-10508273F667}"/>
    <cellStyle name="40% - Accent3 66_Working Capital Current" xfId="14899" xr:uid="{7BFA56DB-94DF-4B06-8DAE-036FF66E7D45}"/>
    <cellStyle name="40% - Accent3 67" xfId="9972" xr:uid="{318D5D9D-5A14-498B-B95E-3B93F27E8944}"/>
    <cellStyle name="40% - Accent3 67 2" xfId="9973" xr:uid="{E15A3BD4-6EAF-4F74-9AF6-0E3A13115C22}"/>
    <cellStyle name="40% - Accent3 67 2 2" xfId="9974" xr:uid="{49C7652A-F1D4-41F9-A106-764869C1F544}"/>
    <cellStyle name="40% - Accent3 67 2_Working Capital Current" xfId="14900" xr:uid="{C200EC36-6789-4520-ADB8-7F29FA518913}"/>
    <cellStyle name="40% - Accent3 67 3" xfId="9975" xr:uid="{08A16ED7-92EA-45F6-8593-5E67F3D6871E}"/>
    <cellStyle name="40% - Accent3 67 4" xfId="9976" xr:uid="{AF5984E1-EDA7-4754-BC0C-FF7B078CA0A3}"/>
    <cellStyle name="40% - Accent3 67_Working Capital Current" xfId="14901" xr:uid="{7A127B5C-695C-4FE5-AB7A-202508ECF85E}"/>
    <cellStyle name="40% - Accent3 68" xfId="9977" xr:uid="{3F09AD22-2E56-44D1-9AB2-8CCAC73A278C}"/>
    <cellStyle name="40% - Accent3 68 2" xfId="9978" xr:uid="{14A3BA64-9B20-4674-93FF-4B28D9F87980}"/>
    <cellStyle name="40% - Accent3 68 2 2" xfId="9979" xr:uid="{B89A9262-F8E3-4BED-B158-DBE3AF15827E}"/>
    <cellStyle name="40% - Accent3 68 2_Working Capital Current" xfId="14902" xr:uid="{F1E7AF54-88FD-441E-A39E-D2FE99313EA8}"/>
    <cellStyle name="40% - Accent3 68 3" xfId="9980" xr:uid="{D2B87A56-DBE0-416E-A686-66EB31A63D22}"/>
    <cellStyle name="40% - Accent3 68 4" xfId="9981" xr:uid="{463BF4EC-EE7A-41AC-BFA4-E19504B16E4F}"/>
    <cellStyle name="40% - Accent3 68_Working Capital Current" xfId="14903" xr:uid="{EA68A377-B67A-4443-8C2E-7300260F86BC}"/>
    <cellStyle name="40% - Accent3 69" xfId="9982" xr:uid="{CD852F6A-A092-43D6-A7AB-4F362740E71C}"/>
    <cellStyle name="40% - Accent3 69 2" xfId="9983" xr:uid="{D6F0FA78-AE16-4569-960E-29BD85625BFF}"/>
    <cellStyle name="40% - Accent3 69 2 2" xfId="9984" xr:uid="{F273AE91-87CB-4CE4-8063-5D975F2DC6B2}"/>
    <cellStyle name="40% - Accent3 69 2_Working Capital Current" xfId="14904" xr:uid="{7FEEAB67-041C-4D67-BC8F-F10E45115061}"/>
    <cellStyle name="40% - Accent3 69 3" xfId="9985" xr:uid="{42FB8D1B-B5C0-42FE-9C50-08AC4E09A471}"/>
    <cellStyle name="40% - Accent3 69 4" xfId="9986" xr:uid="{EE297EBF-32F7-4F7D-B7E8-683D871A4A49}"/>
    <cellStyle name="40% - Accent3 69_Working Capital Current" xfId="14905" xr:uid="{1945552E-1E34-4608-991C-D74EFF75FF70}"/>
    <cellStyle name="40% - Accent3 7" xfId="9987" xr:uid="{FFEFF5CC-D305-4438-86B1-F09DC45D9C4E}"/>
    <cellStyle name="40% - Accent3 7 2" xfId="9988" xr:uid="{A2733715-7C89-4A2E-BE06-51E24E818E57}"/>
    <cellStyle name="40% - Accent3 7 2 2" xfId="9989" xr:uid="{943802F6-4BE9-4953-9559-D14B3D929CC9}"/>
    <cellStyle name="40% - Accent3 7 2 2 2" xfId="9990" xr:uid="{FE8BF125-67C6-48B3-9413-0B04671BE2FF}"/>
    <cellStyle name="40% - Accent3 7 2 2_Working Capital Current" xfId="14906" xr:uid="{22151A33-3971-48A8-B2D9-C591AC33AD72}"/>
    <cellStyle name="40% - Accent3 7 2 3" xfId="9991" xr:uid="{C8D081AE-81AB-4EE6-8588-DE4BB4A9230A}"/>
    <cellStyle name="40% - Accent3 7 2 4" xfId="9992" xr:uid="{D8F3131A-B74E-4BE5-86DB-92B005A83073}"/>
    <cellStyle name="40% - Accent3 7 2_Working Capital Current" xfId="14907" xr:uid="{E9A6EE29-1B67-4FFB-9228-99E80601BCA0}"/>
    <cellStyle name="40% - Accent3 7 3" xfId="9993" xr:uid="{5B6E75ED-BC9D-402D-8428-300227E65D2B}"/>
    <cellStyle name="40% - Accent3 7 3 2" xfId="9994" xr:uid="{AC69D232-62F6-4C4A-AA18-DC038F79CA56}"/>
    <cellStyle name="40% - Accent3 7 3_Working Capital Current" xfId="14908" xr:uid="{358FF74D-F01D-455C-9827-3E80CE64D0AC}"/>
    <cellStyle name="40% - Accent3 7 4" xfId="9995" xr:uid="{F847E714-E4E0-44C1-8607-C1E8CCBA2A54}"/>
    <cellStyle name="40% - Accent3 7 5" xfId="9996" xr:uid="{86C99A14-66AB-43E5-8877-3A0843C130A1}"/>
    <cellStyle name="40% - Accent3 7_Not_for_upload_before_M4_correc" xfId="14909" xr:uid="{11C974B7-5B3C-4DF6-A214-5F071283915C}"/>
    <cellStyle name="40% - Accent3 70" xfId="9997" xr:uid="{657B4E70-E738-486F-88DE-109064132DC4}"/>
    <cellStyle name="40% - Accent3 70 2" xfId="9998" xr:uid="{A96BB1A4-12F7-4E89-A108-A000F71F079D}"/>
    <cellStyle name="40% - Accent3 70 2 2" xfId="9999" xr:uid="{C94A511D-57D8-4324-8076-4273A8E44FF5}"/>
    <cellStyle name="40% - Accent3 70 2_Working Capital Current" xfId="14910" xr:uid="{0F676430-430B-499F-8729-0BC2DFAB8E25}"/>
    <cellStyle name="40% - Accent3 70 3" xfId="10000" xr:uid="{2C62907C-F34B-4801-A556-C48B41E7C83A}"/>
    <cellStyle name="40% - Accent3 70 4" xfId="10001" xr:uid="{5F061C19-5CFB-4F76-9E32-A017B57DF95F}"/>
    <cellStyle name="40% - Accent3 70_Working Capital Current" xfId="14911" xr:uid="{11612A46-AF9E-4ADE-8664-8828CD0D4DEC}"/>
    <cellStyle name="40% - Accent3 71" xfId="10002" xr:uid="{95CC28F6-CFA7-4EFD-B90E-2C9A3D3811D5}"/>
    <cellStyle name="40% - Accent3 71 2" xfId="10003" xr:uid="{E4F3630C-B813-478C-9A01-946CEE60DCC5}"/>
    <cellStyle name="40% - Accent3 71 2 2" xfId="10004" xr:uid="{BC484471-9012-459C-ACBD-F03163307D6B}"/>
    <cellStyle name="40% - Accent3 71 2_Working Capital Current" xfId="14912" xr:uid="{E5EAC617-51EA-4A6E-A148-5ECB05350022}"/>
    <cellStyle name="40% - Accent3 71 3" xfId="10005" xr:uid="{860C128A-018D-41C3-B67A-C0D484076F6D}"/>
    <cellStyle name="40% - Accent3 71 4" xfId="10006" xr:uid="{23904ECA-B1D1-4162-865B-725B680493AE}"/>
    <cellStyle name="40% - Accent3 71_Working Capital Current" xfId="14913" xr:uid="{0CE846B5-618A-4090-BFD7-A460ACA1C6BC}"/>
    <cellStyle name="40% - Accent3 72" xfId="10007" xr:uid="{E0190677-4BB9-4713-A177-43DB06DA0CBA}"/>
    <cellStyle name="40% - Accent3 72 2" xfId="10008" xr:uid="{26B87F0E-6385-4AF7-9CFE-EC29F07243A8}"/>
    <cellStyle name="40% - Accent3 72 2 2" xfId="10009" xr:uid="{CB437F42-BA0A-4265-BC53-DBDD07EE4A97}"/>
    <cellStyle name="40% - Accent3 72 2_Working Capital Current" xfId="14914" xr:uid="{F8ED71F8-C536-4747-8ACC-AF7E9CE44034}"/>
    <cellStyle name="40% - Accent3 72 3" xfId="10010" xr:uid="{E500DE3E-BAE0-4716-809B-BCDADDEC70E7}"/>
    <cellStyle name="40% - Accent3 72 4" xfId="10011" xr:uid="{6B03D66C-D600-4EE1-B718-7EBAE489B8E4}"/>
    <cellStyle name="40% - Accent3 72_Working Capital Current" xfId="14915" xr:uid="{F4867880-B17D-4021-A62B-D642C1461290}"/>
    <cellStyle name="40% - Accent3 73" xfId="10012" xr:uid="{7330CFE8-71AA-4A0B-9623-5F6724732558}"/>
    <cellStyle name="40% - Accent3 73 2" xfId="10013" xr:uid="{FC964700-B479-4B5F-A210-C23120733989}"/>
    <cellStyle name="40% - Accent3 73 2 2" xfId="10014" xr:uid="{79B997AA-25FA-4580-835E-45DCCD986E2C}"/>
    <cellStyle name="40% - Accent3 73 2_Working Capital Current" xfId="14916" xr:uid="{CDEFDBC0-2851-4BF3-84AD-AED13A7610DC}"/>
    <cellStyle name="40% - Accent3 73 3" xfId="10015" xr:uid="{5B19F540-7363-487F-A333-074235767997}"/>
    <cellStyle name="40% - Accent3 73 4" xfId="10016" xr:uid="{3546347C-920C-4BA0-B829-BA24B26EA4C3}"/>
    <cellStyle name="40% - Accent3 73_Working Capital Current" xfId="14917" xr:uid="{034FAE71-51CD-43C0-9C2A-E77F476FC4D3}"/>
    <cellStyle name="40% - Accent3 74" xfId="10017" xr:uid="{13BDBFFB-E571-4CB7-B237-4D8EB2A18C01}"/>
    <cellStyle name="40% - Accent3 74 2" xfId="10018" xr:uid="{AC3ADE17-5D4F-4A7C-BD83-B2E30021A7E1}"/>
    <cellStyle name="40% - Accent3 74 2 2" xfId="10019" xr:uid="{17D8DE93-C7D6-43D0-9954-D659AAA2BC7B}"/>
    <cellStyle name="40% - Accent3 74 2_Working Capital Current" xfId="14918" xr:uid="{6AABB833-3BBD-4891-A244-CEC9BD95BA6B}"/>
    <cellStyle name="40% - Accent3 74 3" xfId="10020" xr:uid="{DA60A2FD-631E-4B71-966E-F551FCBE26FD}"/>
    <cellStyle name="40% - Accent3 74 4" xfId="10021" xr:uid="{1E48045B-3DC7-4309-8086-3396790EBECE}"/>
    <cellStyle name="40% - Accent3 74_Working Capital Current" xfId="14919" xr:uid="{5232DA44-CBE5-4136-A06F-FDDF1802A674}"/>
    <cellStyle name="40% - Accent3 75" xfId="10022" xr:uid="{B2582327-4C79-43C1-BD06-166E7F13BFE0}"/>
    <cellStyle name="40% - Accent3 75 2" xfId="10023" xr:uid="{3A453FDA-EC1A-4F33-9FE1-1016E2945721}"/>
    <cellStyle name="40% - Accent3 75 2 2" xfId="10024" xr:uid="{ED139825-7058-4138-82B7-BB7BC0B3F023}"/>
    <cellStyle name="40% - Accent3 75 2_Working Capital Current" xfId="14920" xr:uid="{B87F570E-8DBD-4714-821B-9FBFFCD3BBD4}"/>
    <cellStyle name="40% - Accent3 75 3" xfId="10025" xr:uid="{EA55C187-15AF-4040-8968-44EBD256932B}"/>
    <cellStyle name="40% - Accent3 75 4" xfId="10026" xr:uid="{A2CFBE37-C55B-4DB3-8C54-63B1FFD8D94F}"/>
    <cellStyle name="40% - Accent3 75_Working Capital Current" xfId="14921" xr:uid="{0531C3A1-A656-4959-9E98-6C6A8003D842}"/>
    <cellStyle name="40% - Accent3 76" xfId="10027" xr:uid="{3B3EE064-0026-4279-9310-5609A37E989D}"/>
    <cellStyle name="40% - Accent3 76 2" xfId="10028" xr:uid="{F4B8AB35-F3D7-48C3-9BB8-58873E0A9F4A}"/>
    <cellStyle name="40% - Accent3 76 2 2" xfId="10029" xr:uid="{07180496-6C93-47D6-A3E7-9A07FE34D389}"/>
    <cellStyle name="40% - Accent3 76 2_Working Capital Current" xfId="14922" xr:uid="{9D166D03-03C7-408C-B85F-C6331054DFAA}"/>
    <cellStyle name="40% - Accent3 76 3" xfId="10030" xr:uid="{778768EB-2449-4B12-8D03-BCF8864154C7}"/>
    <cellStyle name="40% - Accent3 76 4" xfId="10031" xr:uid="{2182DEF3-CA8A-4194-9E47-6FBA8700F1E9}"/>
    <cellStyle name="40% - Accent3 76_Working Capital Current" xfId="14923" xr:uid="{06E6E85A-0171-45AD-9096-8D8B50CC6AFF}"/>
    <cellStyle name="40% - Accent3 77" xfId="10032" xr:uid="{899B084B-0BA4-49D3-BD77-58C0681C8F8E}"/>
    <cellStyle name="40% - Accent3 77 2" xfId="10033" xr:uid="{B510CD14-7900-464E-8518-8F0E67E95A26}"/>
    <cellStyle name="40% - Accent3 77 2 2" xfId="10034" xr:uid="{973A20B4-9D92-4D10-B09E-24112C5ED37A}"/>
    <cellStyle name="40% - Accent3 77 2_Working Capital Current" xfId="14924" xr:uid="{4C64B9AF-5321-406A-877E-62E77AD6A0EC}"/>
    <cellStyle name="40% - Accent3 77 3" xfId="10035" xr:uid="{EB99F6F6-9FF2-4D46-A830-DCC6671C9C16}"/>
    <cellStyle name="40% - Accent3 77 4" xfId="10036" xr:uid="{41BE0072-F1CB-4484-9FE8-63746C9B84AD}"/>
    <cellStyle name="40% - Accent3 77_Working Capital Current" xfId="14925" xr:uid="{94EC940D-8590-4350-A697-C8687999E529}"/>
    <cellStyle name="40% - Accent3 78" xfId="10037" xr:uid="{E6BBC51C-C1B2-4203-BD30-5201C1113508}"/>
    <cellStyle name="40% - Accent3 78 2" xfId="10038" xr:uid="{4B3C41A4-123A-4168-9320-B02A12935AB6}"/>
    <cellStyle name="40% - Accent3 78 2 2" xfId="10039" xr:uid="{E743CCC7-C0E9-4C99-8A37-C5352CDF92DB}"/>
    <cellStyle name="40% - Accent3 78 2_Working Capital Current" xfId="14926" xr:uid="{417B49CF-9BB0-4AD6-93A3-A3A7FAD7CB6B}"/>
    <cellStyle name="40% - Accent3 78 3" xfId="10040" xr:uid="{29811FA6-00AF-453E-8201-528568729EE8}"/>
    <cellStyle name="40% - Accent3 78 4" xfId="10041" xr:uid="{B83663CE-9BFE-49C8-9B21-B3C749015459}"/>
    <cellStyle name="40% - Accent3 78_Working Capital Current" xfId="14927" xr:uid="{1734E453-D0C3-4676-AE10-BD86F479AA73}"/>
    <cellStyle name="40% - Accent3 79" xfId="10042" xr:uid="{BFEC994E-2EF7-4F70-B690-EC96D468ACCD}"/>
    <cellStyle name="40% - Accent3 79 2" xfId="10043" xr:uid="{F54EBB4B-D077-447F-BA11-FE5A6215B347}"/>
    <cellStyle name="40% - Accent3 79 2 2" xfId="10044" xr:uid="{E361A901-191C-451B-A24E-C380362C05FA}"/>
    <cellStyle name="40% - Accent3 79 2_Working Capital Current" xfId="14928" xr:uid="{180B78A8-CB23-4944-8AFB-C2872EA81CAE}"/>
    <cellStyle name="40% - Accent3 79 3" xfId="10045" xr:uid="{2C90229D-4DBE-4E68-89AF-9779A8820927}"/>
    <cellStyle name="40% - Accent3 79 4" xfId="10046" xr:uid="{FA9795D2-A8C8-4CE5-AFA2-9DCD5FC03321}"/>
    <cellStyle name="40% - Accent3 79_Working Capital Current" xfId="14929" xr:uid="{1BD11272-6B6D-4272-808B-ACB3C778BA99}"/>
    <cellStyle name="40% - Accent3 8" xfId="10047" xr:uid="{E33599E8-BEA4-4A68-A52F-49D8C6D48529}"/>
    <cellStyle name="40% - Accent3 8 2" xfId="10048" xr:uid="{39AA55DE-4DBD-46BE-80A5-5FA71C2C0EDE}"/>
    <cellStyle name="40% - Accent3 8 2 2" xfId="10049" xr:uid="{2345B0E2-8750-4363-AE1E-134811510712}"/>
    <cellStyle name="40% - Accent3 8 2 2 2" xfId="10050" xr:uid="{88B8880E-4C6B-4B2B-8781-4E8771449978}"/>
    <cellStyle name="40% - Accent3 8 2 2_Working Capital Current" xfId="14930" xr:uid="{E389866E-013A-43C9-9F00-2F88DFB42C9E}"/>
    <cellStyle name="40% - Accent3 8 2 3" xfId="10051" xr:uid="{BC174120-5357-4C9E-BCA7-6BCEA4C8112D}"/>
    <cellStyle name="40% - Accent3 8 2 4" xfId="10052" xr:uid="{FD010B73-7B22-4D15-A724-7F69FE4950FD}"/>
    <cellStyle name="40% - Accent3 8 2_Working Capital Current" xfId="14931" xr:uid="{89B28557-2B14-4047-8CAA-F95425BA0D3B}"/>
    <cellStyle name="40% - Accent3 8 3" xfId="10053" xr:uid="{DD01A5A5-A07A-4933-A583-23BF00F7F04D}"/>
    <cellStyle name="40% - Accent3 8 3 2" xfId="10054" xr:uid="{956BF1A2-4CD6-4CB7-BB08-80F64AD111A3}"/>
    <cellStyle name="40% - Accent3 8 3_Working Capital Current" xfId="14932" xr:uid="{6FEBCA0C-F7CC-4FDF-BAE6-FE7537981FD6}"/>
    <cellStyle name="40% - Accent3 8 4" xfId="10055" xr:uid="{41CF5895-CB25-470E-AEF8-7F64D89459B8}"/>
    <cellStyle name="40% - Accent3 8 5" xfId="10056" xr:uid="{328AF99E-1929-4056-B81C-F67B956FF592}"/>
    <cellStyle name="40% - Accent3 8_Not_for_upload_before_M4_correc" xfId="14933" xr:uid="{0969F102-C63E-4C3F-8212-367DDFC39624}"/>
    <cellStyle name="40% - Accent3 80" xfId="10057" xr:uid="{5A031E5A-4F7A-4929-A041-3804974060B7}"/>
    <cellStyle name="40% - Accent3 80 2" xfId="10058" xr:uid="{6165D21B-67DE-498C-99D6-FC7B0D0B531C}"/>
    <cellStyle name="40% - Accent3 80 2 2" xfId="10059" xr:uid="{72E30C54-AE2B-4185-A7C7-BA9EE8F6D63A}"/>
    <cellStyle name="40% - Accent3 80 2_Working Capital Current" xfId="14934" xr:uid="{342AE023-FB6D-48C9-8373-F801885F80A2}"/>
    <cellStyle name="40% - Accent3 80 3" xfId="10060" xr:uid="{41C2C136-B2C9-4D30-A053-62CC0A0959B2}"/>
    <cellStyle name="40% - Accent3 80 4" xfId="10061" xr:uid="{0774BC2C-779B-4CC8-BF08-02E17A1BF6C5}"/>
    <cellStyle name="40% - Accent3 80_Working Capital Current" xfId="14935" xr:uid="{ED7D596F-8F04-4CB8-817F-8B1C30B9FFBA}"/>
    <cellStyle name="40% - Accent3 81" xfId="10062" xr:uid="{FB17D46E-87ED-484A-A1B1-CD43527A6095}"/>
    <cellStyle name="40% - Accent3 81 2" xfId="10063" xr:uid="{89B42653-08C1-46CC-AD19-F37CF153E55D}"/>
    <cellStyle name="40% - Accent3 81 2 2" xfId="10064" xr:uid="{37BA19DF-7AA1-4A69-88BD-7E6AE8F937F2}"/>
    <cellStyle name="40% - Accent3 81 2_Working Capital Current" xfId="14936" xr:uid="{E7B95C9B-13F9-48B4-87CB-85F9F747973F}"/>
    <cellStyle name="40% - Accent3 81 3" xfId="10065" xr:uid="{B4A4AAF5-0145-43EF-9A00-E5844002E46B}"/>
    <cellStyle name="40% - Accent3 81 4" xfId="10066" xr:uid="{6696A0BC-CA57-4C5F-AA0B-34BB599EEDEE}"/>
    <cellStyle name="40% - Accent3 81_Working Capital Current" xfId="14937" xr:uid="{B0F2EEDB-4D6E-4438-A67C-8C242D6E719D}"/>
    <cellStyle name="40% - Accent3 82" xfId="10067" xr:uid="{E4157957-0E0E-4D68-A7A5-A9097C65D6BA}"/>
    <cellStyle name="40% - Accent3 82 2" xfId="10068" xr:uid="{A26AD4CA-648C-459E-A1C8-B3455A74216F}"/>
    <cellStyle name="40% - Accent3 82 2 2" xfId="10069" xr:uid="{94061755-DB46-42B3-BF5B-759B7E39E981}"/>
    <cellStyle name="40% - Accent3 82 2_Working Capital Current" xfId="14938" xr:uid="{B95C0E37-9504-4982-9608-2BB96E962058}"/>
    <cellStyle name="40% - Accent3 82 3" xfId="10070" xr:uid="{3025668E-166E-47B3-B30B-3539C89F818F}"/>
    <cellStyle name="40% - Accent3 82 4" xfId="10071" xr:uid="{6B867D55-FEE8-48CA-ADA8-0B7972D41A79}"/>
    <cellStyle name="40% - Accent3 82_Working Capital Current" xfId="14939" xr:uid="{660B756E-7BCF-4352-84F3-EB42B7B91F07}"/>
    <cellStyle name="40% - Accent3 83" xfId="10072" xr:uid="{1DF46D5B-033E-4A65-81D7-8BF576F770FD}"/>
    <cellStyle name="40% - Accent3 83 2" xfId="10073" xr:uid="{08115F13-A218-4F73-B209-D848000DC025}"/>
    <cellStyle name="40% - Accent3 83 2 2" xfId="10074" xr:uid="{681B3694-585D-4DD1-9DC7-8E3E97F3F7FF}"/>
    <cellStyle name="40% - Accent3 83 2_Working Capital Current" xfId="14940" xr:uid="{C3EE8ECE-35A5-405D-8ECB-CDB311BCDFCE}"/>
    <cellStyle name="40% - Accent3 83 3" xfId="10075" xr:uid="{9620FB24-5460-4FB5-93D1-98E1AA1BE31C}"/>
    <cellStyle name="40% - Accent3 83 4" xfId="10076" xr:uid="{6EEB3BDF-2CAA-490E-AFD5-7B16B5D5ABE4}"/>
    <cellStyle name="40% - Accent3 83_Working Capital Current" xfId="14941" xr:uid="{11836287-A4F7-4615-9162-FDF9CB9E8AE3}"/>
    <cellStyle name="40% - Accent3 84" xfId="10077" xr:uid="{F410D80C-33D5-470E-821E-699A5F5DC835}"/>
    <cellStyle name="40% - Accent3 84 2" xfId="10078" xr:uid="{4732AEA4-CF13-45A1-B471-55C717419E43}"/>
    <cellStyle name="40% - Accent3 84 2 2" xfId="10079" xr:uid="{A267AD60-1605-4ED1-909D-6F5BB9578D51}"/>
    <cellStyle name="40% - Accent3 84 2_Working Capital Current" xfId="14942" xr:uid="{878C28F5-D147-4107-9B4E-B22E60F5C239}"/>
    <cellStyle name="40% - Accent3 84 3" xfId="10080" xr:uid="{8E90DF8F-794A-4B68-888D-EED6619CEA1E}"/>
    <cellStyle name="40% - Accent3 84 4" xfId="10081" xr:uid="{9F379C9A-9CE7-4105-968F-037AE7CDFB79}"/>
    <cellStyle name="40% - Accent3 84_Working Capital Current" xfId="14943" xr:uid="{2D011441-E9DA-4F4A-84C1-AF003021B3B6}"/>
    <cellStyle name="40% - Accent3 85" xfId="10082" xr:uid="{E0CBE706-2BD6-4A23-A3B0-65A02455140B}"/>
    <cellStyle name="40% - Accent3 85 2" xfId="10083" xr:uid="{E5D9BDF7-106B-4B18-941A-AD097C6A8D89}"/>
    <cellStyle name="40% - Accent3 85 2 2" xfId="10084" xr:uid="{25AEAA26-F006-4BC4-AB44-C55FBCF891D1}"/>
    <cellStyle name="40% - Accent3 85 2_Working Capital Current" xfId="14944" xr:uid="{625E939A-98CD-4B0F-98F2-6D9A104F2DB0}"/>
    <cellStyle name="40% - Accent3 85 3" xfId="10085" xr:uid="{0012745A-7DF4-434C-B7EB-15AA17E8C7F6}"/>
    <cellStyle name="40% - Accent3 85 4" xfId="10086" xr:uid="{2F9D57DC-FBEE-433B-9D6D-FAD08099015B}"/>
    <cellStyle name="40% - Accent3 85_Working Capital Current" xfId="14945" xr:uid="{9F5BDD7F-6E0E-4576-89B8-55DBE2C1308D}"/>
    <cellStyle name="40% - Accent3 86" xfId="10087" xr:uid="{B8F6447D-AA2C-4BF2-BA9D-737474C9D063}"/>
    <cellStyle name="40% - Accent3 86 2" xfId="10088" xr:uid="{53B6FEEB-6FE9-4361-A7F9-57C13AC3071D}"/>
    <cellStyle name="40% - Accent3 86 2 2" xfId="10089" xr:uid="{E75076E1-E297-4CDE-A5A9-1A20FD843BCE}"/>
    <cellStyle name="40% - Accent3 86 2_Working Capital Current" xfId="14946" xr:uid="{46B6DD2D-4998-4974-939D-15BBEA8B7A73}"/>
    <cellStyle name="40% - Accent3 86 3" xfId="10090" xr:uid="{23357A2C-3D55-4148-879D-94A5AA1178CB}"/>
    <cellStyle name="40% - Accent3 86 4" xfId="10091" xr:uid="{8D2F7523-8B81-4130-8D4C-2C5C59BD0D15}"/>
    <cellStyle name="40% - Accent3 86_Working Capital Current" xfId="14947" xr:uid="{989F969B-A28F-4D4A-ACA1-8C5B8635CBA0}"/>
    <cellStyle name="40% - Accent3 87" xfId="10092" xr:uid="{F1EBBF83-D572-4E87-A7CE-C00072E3D580}"/>
    <cellStyle name="40% - Accent3 87 2" xfId="10093" xr:uid="{30E3CA08-1616-437F-A706-3994914E6273}"/>
    <cellStyle name="40% - Accent3 87 2 2" xfId="10094" xr:uid="{E3F56D7D-3235-430C-AE6F-40A443E8EBDE}"/>
    <cellStyle name="40% - Accent3 87 2_Working Capital Current" xfId="14948" xr:uid="{DCDA8571-0573-45DD-A277-33EE3DB381E7}"/>
    <cellStyle name="40% - Accent3 87 3" xfId="10095" xr:uid="{B6581A40-FC8E-4B33-B9C0-226F61F4C37C}"/>
    <cellStyle name="40% - Accent3 87 4" xfId="10096" xr:uid="{8E686123-024C-4253-B7D8-5C6AAA652B68}"/>
    <cellStyle name="40% - Accent3 87_Working Capital Current" xfId="14949" xr:uid="{F8B06475-2B57-4EB8-BD7F-CAEF7AC6DCB8}"/>
    <cellStyle name="40% - Accent3 88" xfId="10097" xr:uid="{73DD5E81-EDEC-4B4D-BBA9-4C6CBFDBFC3B}"/>
    <cellStyle name="40% - Accent3 88 2" xfId="10098" xr:uid="{1DCD854E-37BF-4588-BC95-573225603449}"/>
    <cellStyle name="40% - Accent3 88 2 2" xfId="10099" xr:uid="{A095A2E1-6009-44F9-A872-D3A5A7EA16DB}"/>
    <cellStyle name="40% - Accent3 88 2_Working Capital Current" xfId="14950" xr:uid="{D24DDD7C-2AF5-4A53-9D0B-A14D0D0DF8AA}"/>
    <cellStyle name="40% - Accent3 88 3" xfId="10100" xr:uid="{315C0436-925C-4A14-951B-AD008C8D8463}"/>
    <cellStyle name="40% - Accent3 88 4" xfId="10101" xr:uid="{E3AAC3E5-86A5-4E32-803F-B0CA1A4C96F8}"/>
    <cellStyle name="40% - Accent3 88_Working Capital Current" xfId="14951" xr:uid="{6984DFA1-8846-4561-8337-54095653C1B5}"/>
    <cellStyle name="40% - Accent3 89" xfId="10102" xr:uid="{2FEE516F-DEE8-4D39-9C74-BB256CBB2C7A}"/>
    <cellStyle name="40% - Accent3 89 2" xfId="10103" xr:uid="{EC5F145B-FFE2-4F28-BD88-F78E74761633}"/>
    <cellStyle name="40% - Accent3 89 2 2" xfId="10104" xr:uid="{2522525E-C783-473F-B9BF-3C831228CC15}"/>
    <cellStyle name="40% - Accent3 89 2_Working Capital Current" xfId="14952" xr:uid="{2FE26949-6EA0-461D-8299-15AAD1ADE9A8}"/>
    <cellStyle name="40% - Accent3 89 3" xfId="10105" xr:uid="{C78F9CC7-7C05-4F82-8229-ECB8378E1441}"/>
    <cellStyle name="40% - Accent3 89 4" xfId="10106" xr:uid="{DABF6AAC-4CFD-45E5-A5D7-484D3FC5DA60}"/>
    <cellStyle name="40% - Accent3 89_Working Capital Current" xfId="14953" xr:uid="{06C34203-CBE1-447D-A5EA-292B37D218AE}"/>
    <cellStyle name="40% - Accent3 9" xfId="10107" xr:uid="{D3228FBB-2BA3-4112-A8F0-71BD5E3CE3AA}"/>
    <cellStyle name="40% - Accent3 9 2" xfId="10108" xr:uid="{9B1382DC-AC6D-47D9-BB89-324CB3FC316A}"/>
    <cellStyle name="40% - Accent3 9 2 2" xfId="10109" xr:uid="{58395A09-2128-4888-96BD-814756F725E0}"/>
    <cellStyle name="40% - Accent3 9 2 2 2" xfId="10110" xr:uid="{71AF1E1F-FE21-44BD-B026-A9508214E937}"/>
    <cellStyle name="40% - Accent3 9 2 2_Working Capital Current" xfId="14954" xr:uid="{65E058F2-4E73-4C0D-A49A-F3C38C22DE48}"/>
    <cellStyle name="40% - Accent3 9 2 3" xfId="10111" xr:uid="{80DA9685-B939-426C-B110-3150A4A8FC80}"/>
    <cellStyle name="40% - Accent3 9 2 4" xfId="10112" xr:uid="{CCA7A652-24B6-462C-BF9F-B843D059A4E0}"/>
    <cellStyle name="40% - Accent3 9 2_Working Capital Current" xfId="14955" xr:uid="{80EB161C-D633-4E82-9809-F67CD11B98D9}"/>
    <cellStyle name="40% - Accent3 9 3" xfId="10113" xr:uid="{EB7A9C54-7FBE-4A14-BAA8-A13351DB15C5}"/>
    <cellStyle name="40% - Accent3 9 3 2" xfId="10114" xr:uid="{0CAD2E1E-FAAD-4B7B-8A60-428D95ED16B2}"/>
    <cellStyle name="40% - Accent3 9 3_Working Capital Current" xfId="14956" xr:uid="{4E86DCC9-272A-4877-94AC-D03797B95FD1}"/>
    <cellStyle name="40% - Accent3 9 4" xfId="10115" xr:uid="{049FDFD0-CBCE-462C-8538-0668C9C9488A}"/>
    <cellStyle name="40% - Accent3 9 5" xfId="10116" xr:uid="{8DBFB3B9-64F5-4A5A-B495-BAE969A17BDF}"/>
    <cellStyle name="40% - Accent3 9_Not_for_upload_before_M4_correc" xfId="14957" xr:uid="{D230E424-22EF-4DEB-93C0-079A03B3828D}"/>
    <cellStyle name="40% - Accent3 90" xfId="10117" xr:uid="{E76EA4A5-DB53-4F38-9FE2-7362475E1EF4}"/>
    <cellStyle name="40% - Accent3 90 2" xfId="10118" xr:uid="{6762633A-DE0B-48D1-8C71-0A34C8440B36}"/>
    <cellStyle name="40% - Accent3 90 2 2" xfId="10119" xr:uid="{9C09BA58-CC34-4DD9-9C77-3203B7736A55}"/>
    <cellStyle name="40% - Accent3 90 2_Working Capital Current" xfId="14958" xr:uid="{53FAF228-BCC9-4764-9CAF-63CA079518EA}"/>
    <cellStyle name="40% - Accent3 90 3" xfId="10120" xr:uid="{B34F99F9-97C2-4407-B55F-8F5433705A46}"/>
    <cellStyle name="40% - Accent3 90 4" xfId="10121" xr:uid="{E8252C1C-5C52-41C2-974D-3E036F946AEA}"/>
    <cellStyle name="40% - Accent3 90_Working Capital Current" xfId="14959" xr:uid="{16F32D72-A2D7-44D3-BEE8-79726DDF8D75}"/>
    <cellStyle name="40% - Accent3 91" xfId="10122" xr:uid="{E61BE34D-A1EE-4A28-9B3A-0EA889DC7F8A}"/>
    <cellStyle name="40% - Accent3 91 2" xfId="10123" xr:uid="{A2153419-95B8-4FDE-B5ED-59AC8C8F2672}"/>
    <cellStyle name="40% - Accent3 91 2 2" xfId="10124" xr:uid="{66B57666-A918-448B-B6E7-BF83E55F446E}"/>
    <cellStyle name="40% - Accent3 91 2_Working Capital Current" xfId="14960" xr:uid="{83E3C8A6-6374-4FE9-AA9D-28496681024C}"/>
    <cellStyle name="40% - Accent3 91 3" xfId="10125" xr:uid="{F45BBA16-238A-4606-8BAA-00BFF278641F}"/>
    <cellStyle name="40% - Accent3 91 4" xfId="10126" xr:uid="{68BC7581-BC4E-4ACD-9111-549C09653770}"/>
    <cellStyle name="40% - Accent3 91_Working Capital Current" xfId="14961" xr:uid="{74434025-0748-4A3E-B41E-FD9E6493E988}"/>
    <cellStyle name="40% - Accent3 92" xfId="10127" xr:uid="{3C11B173-A737-4A74-9564-43EA0B326B55}"/>
    <cellStyle name="40% - Accent3 92 2" xfId="10128" xr:uid="{46BD5430-22C7-4DEB-9B4B-C9373C35F949}"/>
    <cellStyle name="40% - Accent3 92 2 2" xfId="10129" xr:uid="{E466D9A8-F860-42CD-8FAF-6F17AD63D43C}"/>
    <cellStyle name="40% - Accent3 92 2_Working Capital Current" xfId="14962" xr:uid="{353488D0-4D6B-419C-B428-FBCF54E3F66D}"/>
    <cellStyle name="40% - Accent3 92 3" xfId="10130" xr:uid="{D0DDA022-F8B1-4070-9ECD-753ABB7B6B87}"/>
    <cellStyle name="40% - Accent3 92 4" xfId="10131" xr:uid="{14835496-463E-4A88-A03A-29A15FE2BDED}"/>
    <cellStyle name="40% - Accent3 92_Working Capital Current" xfId="14963" xr:uid="{C1DECE21-85C5-44E3-950D-E911A58B5B75}"/>
    <cellStyle name="40% - Accent3 93" xfId="10132" xr:uid="{B82726AD-615F-419A-BC0D-465A232D6092}"/>
    <cellStyle name="40% - Accent3 93 2" xfId="10133" xr:uid="{ED23018B-B771-4CA2-90C2-B7060DCB079F}"/>
    <cellStyle name="40% - Accent3 93 2 2" xfId="10134" xr:uid="{30DD67CE-94B2-443E-BFE2-D15D931EBC4E}"/>
    <cellStyle name="40% - Accent3 93 2_Working Capital Current" xfId="14964" xr:uid="{E1010ADE-62F2-4A6F-82D1-EE23AED02C16}"/>
    <cellStyle name="40% - Accent3 93 3" xfId="10135" xr:uid="{073DE9BC-92C3-4129-B2FA-02F1742A612D}"/>
    <cellStyle name="40% - Accent3 93 4" xfId="10136" xr:uid="{D609A968-C7CC-43A9-B640-C2FFE31334E1}"/>
    <cellStyle name="40% - Accent3 93_Working Capital Current" xfId="14965" xr:uid="{34E697DA-705E-4C9E-A2D7-A40920100D28}"/>
    <cellStyle name="40% - Accent3 94" xfId="10137" xr:uid="{8C438FF7-58F0-4FBB-836F-EFBEF33C3ECA}"/>
    <cellStyle name="40% - Accent3 94 2" xfId="10138" xr:uid="{E039DB79-E437-41C1-9955-78C8AD93EC9E}"/>
    <cellStyle name="40% - Accent3 94 2 2" xfId="10139" xr:uid="{80EE8E49-6A51-4D6E-8527-1B58DF8ADA1A}"/>
    <cellStyle name="40% - Accent3 94 2_Working Capital Current" xfId="14966" xr:uid="{5497EFEE-D2BA-4BF6-9791-63F017FD0FEF}"/>
    <cellStyle name="40% - Accent3 94 3" xfId="10140" xr:uid="{CC136C66-1FD8-4B8B-8246-67C03487C930}"/>
    <cellStyle name="40% - Accent3 94 4" xfId="10141" xr:uid="{8D2822A6-50DC-4924-A284-53DE634617E8}"/>
    <cellStyle name="40% - Accent3 94_Working Capital Current" xfId="14967" xr:uid="{40B2C5AA-6137-432F-9B12-413058BC8300}"/>
    <cellStyle name="40% - Accent3 95" xfId="10142" xr:uid="{4A622950-5247-4D08-A8C7-EB920208095F}"/>
    <cellStyle name="40% - Accent3 95 2" xfId="10143" xr:uid="{5B6E9D44-20BF-412A-AE40-3C8420321A9D}"/>
    <cellStyle name="40% - Accent3 95 2 2" xfId="10144" xr:uid="{F09B024D-372C-4558-87FA-81EC12D40560}"/>
    <cellStyle name="40% - Accent3 95 2_Working Capital Current" xfId="14968" xr:uid="{37FCD7AD-CCEF-4877-9E79-76FF48F0975A}"/>
    <cellStyle name="40% - Accent3 95 3" xfId="10145" xr:uid="{0B59212D-43EE-4B31-BE60-6A72166A766B}"/>
    <cellStyle name="40% - Accent3 95 4" xfId="10146" xr:uid="{1E169EEE-4E60-4440-A5D9-CBC4F11BFE20}"/>
    <cellStyle name="40% - Accent3 95_Working Capital Current" xfId="14969" xr:uid="{3DB5F77E-06AF-4440-9C75-9B291789F45C}"/>
    <cellStyle name="40% - Accent3 96" xfId="10147" xr:uid="{36234BFC-AD96-4CDC-9773-D0D5D3EE34F1}"/>
    <cellStyle name="40% - Accent3 96 2" xfId="10148" xr:uid="{D076E893-3263-4B32-BBB6-2EA97FE1AD97}"/>
    <cellStyle name="40% - Accent3 96 2 2" xfId="10149" xr:uid="{9BD8990B-1AC7-46B8-9817-4C0DDEC6D4F5}"/>
    <cellStyle name="40% - Accent3 96 2_Working Capital Current" xfId="14970" xr:uid="{F1424B74-6E23-49DE-8FAE-DD64214B4FC5}"/>
    <cellStyle name="40% - Accent3 96 3" xfId="10150" xr:uid="{A89565E0-92E8-4119-A26D-3E1207D6819C}"/>
    <cellStyle name="40% - Accent3 96 4" xfId="10151" xr:uid="{74DD021C-5263-4A46-A2DE-3057F914EDEB}"/>
    <cellStyle name="40% - Accent3 96_Working Capital Current" xfId="14971" xr:uid="{86DB67ED-9044-44B4-B4B9-1741043C2024}"/>
    <cellStyle name="40% - Accent3 97" xfId="10152" xr:uid="{39F8541D-6E5B-44FC-9014-1D867EC82D77}"/>
    <cellStyle name="40% - Accent3 97 2" xfId="10153" xr:uid="{DB074EE8-25E4-4D53-8B50-AA5DA0F3A307}"/>
    <cellStyle name="40% - Accent3 97 2 2" xfId="10154" xr:uid="{4E8FEE5B-211A-42BA-AF3F-D34CF7D5D06A}"/>
    <cellStyle name="40% - Accent3 97 2_Working Capital Current" xfId="14972" xr:uid="{A4113FC5-F18B-4F98-916E-021D6D847D1D}"/>
    <cellStyle name="40% - Accent3 97 3" xfId="10155" xr:uid="{05251F9E-3CE8-48CF-A331-AF12ABAFF319}"/>
    <cellStyle name="40% - Accent3 97 4" xfId="10156" xr:uid="{474C7123-B774-47BD-96FA-7FB156EAED33}"/>
    <cellStyle name="40% - Accent3 97_Working Capital Current" xfId="14973" xr:uid="{45CFAE75-FAFD-47FC-96EA-DED5912D4E54}"/>
    <cellStyle name="40% - Accent3 98" xfId="10157" xr:uid="{25593DF1-C328-4B27-BD7B-A3CB3F61BC11}"/>
    <cellStyle name="40% - Accent3 98 2" xfId="10158" xr:uid="{0832597F-AD47-4F3D-B079-87C375CC50F6}"/>
    <cellStyle name="40% - Accent3 98 2 2" xfId="10159" xr:uid="{9BCFC096-7B3E-4EAF-AE1D-4E9A3691E426}"/>
    <cellStyle name="40% - Accent3 98 2_Working Capital Current" xfId="14974" xr:uid="{DAB4B493-0400-4F71-92D8-C78B33A8DC01}"/>
    <cellStyle name="40% - Accent3 98 3" xfId="10160" xr:uid="{133E9AFF-69DF-48ED-BED7-8EAB17B27508}"/>
    <cellStyle name="40% - Accent3 98 4" xfId="10161" xr:uid="{35B83B32-0E19-42B9-8640-26B1BC064EC2}"/>
    <cellStyle name="40% - Accent3 98_Working Capital Current" xfId="14975" xr:uid="{86CFB4C5-4A6B-4EC6-8FC9-4311ABE14166}"/>
    <cellStyle name="40% - Accent3 99" xfId="10162" xr:uid="{417CA109-6232-4B40-BC54-45F03A3E1C8E}"/>
    <cellStyle name="40% - Accent3 99 2" xfId="10163" xr:uid="{8F1417C0-5FFF-4077-9D01-6426CDA6050E}"/>
    <cellStyle name="40% - Accent3 99 2 2" xfId="10164" xr:uid="{EF8FF103-0B09-4E3E-9980-517818EB9419}"/>
    <cellStyle name="40% - Accent3 99 2_Working Capital Current" xfId="14976" xr:uid="{3E07E713-8ED8-41F9-939A-6F8FDCCF8658}"/>
    <cellStyle name="40% - Accent3 99 3" xfId="10165" xr:uid="{17E66A33-7D97-4E66-9F7E-52F150F73CB9}"/>
    <cellStyle name="40% - Accent3 99 4" xfId="10166" xr:uid="{A969248D-708B-4B02-8C40-78A2CD764B02}"/>
    <cellStyle name="40% - Accent3 99_Working Capital Current" xfId="14977" xr:uid="{973F0265-7B83-4E04-91DE-B3203448CBBC}"/>
    <cellStyle name="40% - Accent4" xfId="36" builtinId="43" customBuiltin="1"/>
    <cellStyle name="40% - Accent4 10" xfId="10167" xr:uid="{41669486-1A9B-4707-A12B-47554CAB757F}"/>
    <cellStyle name="40% - Accent4 10 2" xfId="10168" xr:uid="{16DDB21D-B6E2-4821-861D-5F0A446D050C}"/>
    <cellStyle name="40% - Accent4 10 2 2" xfId="10169" xr:uid="{22D8871E-CBD0-47EE-9E9A-CF93BD95F665}"/>
    <cellStyle name="40% - Accent4 10 2 2 2" xfId="10170" xr:uid="{D2845ED7-FAE9-4F71-A772-9709FDFCEE73}"/>
    <cellStyle name="40% - Accent4 10 2 2_Working Capital Current" xfId="14978" xr:uid="{D57238D9-17AC-40EA-BCF7-7D8E91891692}"/>
    <cellStyle name="40% - Accent4 10 2 3" xfId="10171" xr:uid="{A42098A9-3E16-49CD-B486-829ED25CA887}"/>
    <cellStyle name="40% - Accent4 10 2 4" xfId="10172" xr:uid="{01435924-77B2-4E56-BC43-84F5BAFD9A22}"/>
    <cellStyle name="40% - Accent4 10 2_Working Capital Current" xfId="14979" xr:uid="{1930CAFA-8C27-4010-A288-0223DEE96BFD}"/>
    <cellStyle name="40% - Accent4 10 3" xfId="10173" xr:uid="{5D03EA9B-669C-40DD-A68B-ED000CEE4CC1}"/>
    <cellStyle name="40% - Accent4 10 3 2" xfId="10174" xr:uid="{EC2BD3A4-B03A-4C5A-95B8-0B8D789E0E4A}"/>
    <cellStyle name="40% - Accent4 10 3_Working Capital Current" xfId="14980" xr:uid="{882AFBE0-60F1-4715-8D01-85AAA11B3EBC}"/>
    <cellStyle name="40% - Accent4 10 4" xfId="10175" xr:uid="{6E948615-084E-4AC8-9D0B-D8A0969F344B}"/>
    <cellStyle name="40% - Accent4 10 5" xfId="10176" xr:uid="{837C8043-7E56-4FB2-A626-0F79B474A6AB}"/>
    <cellStyle name="40% - Accent4 10_Not_for_upload_before_M4_correc" xfId="14981" xr:uid="{6B938F2E-B8B7-4EEA-A468-AFBC3107BD05}"/>
    <cellStyle name="40% - Accent4 100" xfId="10177" xr:uid="{8A4244E3-0ED2-466D-B7D9-91F911238AF2}"/>
    <cellStyle name="40% - Accent4 100 2" xfId="10178" xr:uid="{7C6CF675-3DCA-4BFA-8B72-98F12B5523F8}"/>
    <cellStyle name="40% - Accent4 100 2 2" xfId="10179" xr:uid="{769F89FD-A255-418F-B6D4-7B8C441A72B3}"/>
    <cellStyle name="40% - Accent4 100 2_Working Capital Current" xfId="14982" xr:uid="{1A7D7B47-7DD1-4DFA-95E8-0BE3161DF6D9}"/>
    <cellStyle name="40% - Accent4 100 3" xfId="10180" xr:uid="{350A5A72-6C05-4FF4-8578-543E6B6712BE}"/>
    <cellStyle name="40% - Accent4 100 4" xfId="10181" xr:uid="{4D3F1CAC-8451-426E-A95F-FC4F70CE5055}"/>
    <cellStyle name="40% - Accent4 100_Working Capital Current" xfId="14983" xr:uid="{A8AE9BC7-6CC8-42B0-98B5-1FFBF4D79737}"/>
    <cellStyle name="40% - Accent4 101" xfId="10182" xr:uid="{31A2FE4A-D582-4601-B273-E74D96F51329}"/>
    <cellStyle name="40% - Accent4 101 2" xfId="10183" xr:uid="{1FF8D071-59FC-4AD4-B42C-D2C4E3D27348}"/>
    <cellStyle name="40% - Accent4 101 3" xfId="10184" xr:uid="{5D419345-B5A9-4E9A-8D6E-A0EBE20AA12C}"/>
    <cellStyle name="40% - Accent4 101_Working Capital Current" xfId="14984" xr:uid="{C7E6F277-0FA0-4571-9E8A-B44480874216}"/>
    <cellStyle name="40% - Accent4 102" xfId="10185" xr:uid="{48E09B68-9CEC-4AC1-AAD4-54E4254640A9}"/>
    <cellStyle name="40% - Accent4 102 2" xfId="10186" xr:uid="{94582339-4E56-478F-B65D-F4EB3EB34138}"/>
    <cellStyle name="40% - Accent4 102 3" xfId="10187" xr:uid="{279CC766-BE1C-4315-8AF4-A085CD4EF697}"/>
    <cellStyle name="40% - Accent4 102_Working Capital Current" xfId="14985" xr:uid="{2A785388-29E1-404D-AA64-0F2EE3A3BFA6}"/>
    <cellStyle name="40% - Accent4 103" xfId="10188" xr:uid="{A7AD9046-88B8-4B51-AC10-23C730E89D03}"/>
    <cellStyle name="40% - Accent4 104" xfId="10189" xr:uid="{F3E83EBA-6FED-423C-8338-417EAD171FC5}"/>
    <cellStyle name="40% - Accent4 105" xfId="14986" xr:uid="{C86841C0-0136-4084-99FF-D2C3EDD54ED4}"/>
    <cellStyle name="40% - Accent4 106" xfId="16496" xr:uid="{CEF87E32-A99B-4AD7-B615-80A55EE5EA66}"/>
    <cellStyle name="40% - Accent4 107" xfId="16987" xr:uid="{38DCD15C-7C14-4B20-A2FA-93E49723499B}"/>
    <cellStyle name="40% - Accent4 108" xfId="3901" xr:uid="{A7197A0C-9453-401A-B616-90A6CB335155}"/>
    <cellStyle name="40% - Accent4 109" xfId="18341" xr:uid="{4EB634A3-114B-4796-8809-FD7849682748}"/>
    <cellStyle name="40% - Accent4 11" xfId="10190" xr:uid="{8875F9EA-B8F0-45C1-93D8-8E3C1A32F1E5}"/>
    <cellStyle name="40% - Accent4 11 2" xfId="10191" xr:uid="{D4507A35-A8F0-406C-BC79-BAA3803865DC}"/>
    <cellStyle name="40% - Accent4 11 2 2" xfId="10192" xr:uid="{40AA5C53-9574-4148-BA3B-BE824BCD3251}"/>
    <cellStyle name="40% - Accent4 11 2 2 2" xfId="10193" xr:uid="{0D5CC5DA-27A0-4F0A-97EC-414FF63F03EF}"/>
    <cellStyle name="40% - Accent4 11 2 2_Working Capital Current" xfId="14987" xr:uid="{CF51AA74-46B4-42F2-8C06-77083FDA095C}"/>
    <cellStyle name="40% - Accent4 11 2 3" xfId="10194" xr:uid="{BB81C2BD-954D-44ED-A220-BB1EC998D3B1}"/>
    <cellStyle name="40% - Accent4 11 2 4" xfId="10195" xr:uid="{B55EC31A-0766-442A-8B7C-262F406C2B69}"/>
    <cellStyle name="40% - Accent4 11 2_Working Capital Current" xfId="14988" xr:uid="{F8FA2DC2-BB52-49E8-9340-E3C8646C1F6D}"/>
    <cellStyle name="40% - Accent4 11 3" xfId="10196" xr:uid="{9CB371AA-3F20-4C02-994E-CBB8F827CB5E}"/>
    <cellStyle name="40% - Accent4 11 3 2" xfId="10197" xr:uid="{B157C736-5691-456D-B411-CE573E426D86}"/>
    <cellStyle name="40% - Accent4 11 3_Working Capital Current" xfId="14989" xr:uid="{1A3A3CF0-3426-42BA-B465-BF282AAE1293}"/>
    <cellStyle name="40% - Accent4 11 4" xfId="10198" xr:uid="{7C0A51A4-5A8E-45A7-9A3B-4C7013AEF5D7}"/>
    <cellStyle name="40% - Accent4 11 5" xfId="10199" xr:uid="{736BE032-76F8-4F1E-808E-B83F88CB86D5}"/>
    <cellStyle name="40% - Accent4 11_Not_for_upload_before_M4_correc" xfId="14990" xr:uid="{D1DFCB9E-CE04-4023-81F5-915108ECB940}"/>
    <cellStyle name="40% - Accent4 12" xfId="10200" xr:uid="{063908F0-5D2C-4836-AB31-11DA9865A04C}"/>
    <cellStyle name="40% - Accent4 12 2" xfId="10201" xr:uid="{EE326641-941B-4701-B1FA-FC590CD34074}"/>
    <cellStyle name="40% - Accent4 12 2 2" xfId="10202" xr:uid="{B4698FC2-E178-4D1C-BCDF-221FE8C2918F}"/>
    <cellStyle name="40% - Accent4 12 2 2 2" xfId="10203" xr:uid="{A67D0965-78FF-4DE3-88D1-941C4ED7252D}"/>
    <cellStyle name="40% - Accent4 12 2 2_Working Capital Current" xfId="14991" xr:uid="{025997A0-9E8C-4C4C-BAA1-90CCF81AFED4}"/>
    <cellStyle name="40% - Accent4 12 2 3" xfId="10204" xr:uid="{F1D2874B-DCB0-4BB7-9B9E-E4F3159C0C31}"/>
    <cellStyle name="40% - Accent4 12 2 4" xfId="10205" xr:uid="{BD1BDB9D-8EF9-4EDC-9CFE-B29D893C0ECB}"/>
    <cellStyle name="40% - Accent4 12 2_Working Capital Current" xfId="14992" xr:uid="{A4F0BB4E-9F6B-4B35-BDE4-2B2F1A37AF65}"/>
    <cellStyle name="40% - Accent4 12 3" xfId="10206" xr:uid="{D4C7AB3E-D019-40B7-8E53-612D4DC12760}"/>
    <cellStyle name="40% - Accent4 12 3 2" xfId="10207" xr:uid="{86E5C5AD-17D9-4862-AF52-0ADD3D9A19FE}"/>
    <cellStyle name="40% - Accent4 12 3_Working Capital Current" xfId="14993" xr:uid="{CB70287F-6D0B-4DF4-90F1-B7CFB58EEA77}"/>
    <cellStyle name="40% - Accent4 12 4" xfId="10208" xr:uid="{8850070D-8907-47CC-BAAB-52C50F663752}"/>
    <cellStyle name="40% - Accent4 12 5" xfId="10209" xr:uid="{B1899893-936C-40EC-A58F-40BC78B0B614}"/>
    <cellStyle name="40% - Accent4 12_Not_for_upload_before_M4_correc" xfId="14994" xr:uid="{EA2037E0-3B4D-4C40-8017-C74AA7CA9792}"/>
    <cellStyle name="40% - Accent4 13" xfId="10210" xr:uid="{94E91BE8-678E-42DA-9670-94D82F4F349A}"/>
    <cellStyle name="40% - Accent4 13 2" xfId="10211" xr:uid="{6E9F3B55-340E-4F20-B926-5AC7849CD808}"/>
    <cellStyle name="40% - Accent4 13 2 2" xfId="10212" xr:uid="{85F1B1A6-3659-48ED-A222-0E6996E3018C}"/>
    <cellStyle name="40% - Accent4 13 2 2 2" xfId="10213" xr:uid="{E94ACB79-68B7-476E-A0A5-29C89741031B}"/>
    <cellStyle name="40% - Accent4 13 2 2_Working Capital Current" xfId="14995" xr:uid="{B529309F-99D1-4664-8F9D-77526A911325}"/>
    <cellStyle name="40% - Accent4 13 2 3" xfId="10214" xr:uid="{E1DEC553-C40C-4B9E-8414-40333739CB97}"/>
    <cellStyle name="40% - Accent4 13 2 4" xfId="10215" xr:uid="{BE41A614-4F04-4C7E-A2E9-E4317A8E64C4}"/>
    <cellStyle name="40% - Accent4 13 2_Working Capital Current" xfId="14996" xr:uid="{837B64D8-3821-494B-98A5-CBCA2DE995C1}"/>
    <cellStyle name="40% - Accent4 13 3" xfId="10216" xr:uid="{5411E845-10EE-497F-933E-F5735F043581}"/>
    <cellStyle name="40% - Accent4 13 3 2" xfId="10217" xr:uid="{98CC6D6B-3C4B-47FD-8893-A048C0ADD18B}"/>
    <cellStyle name="40% - Accent4 13 3_Working Capital Current" xfId="14997" xr:uid="{0A6F43DF-CC01-4165-9D34-38D6320D19C4}"/>
    <cellStyle name="40% - Accent4 13 4" xfId="10218" xr:uid="{99DBBD8A-F46E-4502-AD01-046A462AF0D7}"/>
    <cellStyle name="40% - Accent4 13 5" xfId="10219" xr:uid="{375650EB-1E31-4313-B43B-9AE7950C545B}"/>
    <cellStyle name="40% - Accent4 13_Not_for_upload_before_M4_correc" xfId="14998" xr:uid="{C1D87B2B-9A79-423E-94B7-1216EFFD5292}"/>
    <cellStyle name="40% - Accent4 14" xfId="10220" xr:uid="{C88F8B1C-C654-4457-980F-4A5E9A7B9FA2}"/>
    <cellStyle name="40% - Accent4 14 2" xfId="10221" xr:uid="{7DE7A016-DF32-4E98-BE2A-E7A4915C9458}"/>
    <cellStyle name="40% - Accent4 14 2 2" xfId="10222" xr:uid="{8C7E4E4A-2D7C-4D92-8C42-C9F2D8A81168}"/>
    <cellStyle name="40% - Accent4 14 2 2 2" xfId="10223" xr:uid="{039233B5-DC3E-41B6-B310-C2E114927E6A}"/>
    <cellStyle name="40% - Accent4 14 2 2_Working Capital Current" xfId="14999" xr:uid="{A4D147E1-29AC-43ED-9D4A-99968C16641E}"/>
    <cellStyle name="40% - Accent4 14 2 3" xfId="10224" xr:uid="{90B2AEF6-BE57-4404-A1A4-5F689B718EA1}"/>
    <cellStyle name="40% - Accent4 14 2 4" xfId="10225" xr:uid="{23F0FC0A-80ED-4294-AE8E-02A36123611B}"/>
    <cellStyle name="40% - Accent4 14 2_Working Capital Current" xfId="15000" xr:uid="{C1FF6A4C-A231-4ACD-ADE8-CE366F2A7FE5}"/>
    <cellStyle name="40% - Accent4 14 3" xfId="10226" xr:uid="{6614BC69-B02F-4D40-873C-5EA3A16550DD}"/>
    <cellStyle name="40% - Accent4 14 3 2" xfId="10227" xr:uid="{5750DBC0-B4A3-4C45-BA52-B11092046CE6}"/>
    <cellStyle name="40% - Accent4 14 3_Working Capital Current" xfId="15001" xr:uid="{A094F93C-99B0-43A1-883A-C10F8FBCCF41}"/>
    <cellStyle name="40% - Accent4 14 4" xfId="10228" xr:uid="{358727BB-324E-4CC3-8DFD-46A5CB7BA168}"/>
    <cellStyle name="40% - Accent4 14 5" xfId="10229" xr:uid="{8F29F22F-D4F0-4FBA-BC61-67B3DB53A668}"/>
    <cellStyle name="40% - Accent4 14_Not_for_upload_before_M4_correc" xfId="15002" xr:uid="{E5F65B99-315A-468D-9181-4CF152ADA171}"/>
    <cellStyle name="40% - Accent4 15" xfId="10230" xr:uid="{22EAF4AE-E2E1-4AE1-A502-DC45A6821ABA}"/>
    <cellStyle name="40% - Accent4 15 2" xfId="10231" xr:uid="{8DBEB233-5A65-426B-9DA8-B0B680BE895C}"/>
    <cellStyle name="40% - Accent4 15 2 2" xfId="10232" xr:uid="{649F03D1-075F-43DF-B414-A2B40639EEE1}"/>
    <cellStyle name="40% - Accent4 15 2 2 2" xfId="10233" xr:uid="{E7911166-83AA-42D1-873A-772E4F2C9FC5}"/>
    <cellStyle name="40% - Accent4 15 2 2_Working Capital Current" xfId="15003" xr:uid="{CEC32ACC-F01B-408D-9247-06665EA31B01}"/>
    <cellStyle name="40% - Accent4 15 2 3" xfId="10234" xr:uid="{7AF375CF-25EB-47F6-B50B-CCA715753A68}"/>
    <cellStyle name="40% - Accent4 15 2 4" xfId="10235" xr:uid="{D09DC370-E230-43D9-B305-D045553F42B2}"/>
    <cellStyle name="40% - Accent4 15 2_Working Capital Current" xfId="15004" xr:uid="{523A2713-5FE5-4487-9733-5FE501B6F789}"/>
    <cellStyle name="40% - Accent4 15 3" xfId="10236" xr:uid="{20885F4B-C480-4FC0-B2F8-B6F11F1A7E9D}"/>
    <cellStyle name="40% - Accent4 15 3 2" xfId="10237" xr:uid="{23EA7C37-5E0B-4218-B164-3DBE214BDE94}"/>
    <cellStyle name="40% - Accent4 15 3_Working Capital Current" xfId="15005" xr:uid="{D8A9276D-82A8-42B3-9593-42A6EBF1D8A5}"/>
    <cellStyle name="40% - Accent4 15 4" xfId="10238" xr:uid="{F0F02580-6200-43C2-B115-58664B97A34A}"/>
    <cellStyle name="40% - Accent4 15 5" xfId="10239" xr:uid="{18C884B6-4787-41C8-9E92-708E4F0A1F71}"/>
    <cellStyle name="40% - Accent4 15_Not_for_upload_before_M4_correc" xfId="15006" xr:uid="{B7FF8EB1-E771-4902-A107-D54A1870F182}"/>
    <cellStyle name="40% - Accent4 16" xfId="10240" xr:uid="{25D1FBD8-12CC-4F1F-AC7B-E2E291600572}"/>
    <cellStyle name="40% - Accent4 16 2" xfId="10241" xr:uid="{B10AAE0D-7858-4945-913A-CEF4BEA4F87E}"/>
    <cellStyle name="40% - Accent4 16 2 2" xfId="10242" xr:uid="{A1F45E76-9EC7-4413-9DE7-CFAE3D93117A}"/>
    <cellStyle name="40% - Accent4 16 2 2 2" xfId="10243" xr:uid="{7F3C738B-3A19-469A-B13B-5914567DCE4B}"/>
    <cellStyle name="40% - Accent4 16 2 2_Working Capital Current" xfId="15007" xr:uid="{B2FA97FD-F8BE-4DE1-9DBB-3CA1A43A32B6}"/>
    <cellStyle name="40% - Accent4 16 2 3" xfId="10244" xr:uid="{095A176E-5144-4FD3-A14D-F04677C696FD}"/>
    <cellStyle name="40% - Accent4 16 2 4" xfId="10245" xr:uid="{A8D19DF8-39A9-4BA7-8690-9916BD848905}"/>
    <cellStyle name="40% - Accent4 16 2_Working Capital Current" xfId="15008" xr:uid="{BFC1A8FB-D65A-4869-B7B0-49A1C6C89972}"/>
    <cellStyle name="40% - Accent4 16 3" xfId="10246" xr:uid="{1315256B-BB9D-4C07-9791-64B699CA2C1D}"/>
    <cellStyle name="40% - Accent4 16 3 2" xfId="10247" xr:uid="{8F1CEE60-B902-4E7F-88C0-72F25AFA1F64}"/>
    <cellStyle name="40% - Accent4 16 3_Working Capital Current" xfId="15009" xr:uid="{A43F13E7-1EE7-4079-BF19-218ECA69A30E}"/>
    <cellStyle name="40% - Accent4 16 4" xfId="10248" xr:uid="{743360CD-18AC-4425-89E8-CB8BEAC0637D}"/>
    <cellStyle name="40% - Accent4 16 5" xfId="10249" xr:uid="{6B6D2E52-6179-4966-B2CB-94CC4082C445}"/>
    <cellStyle name="40% - Accent4 16_Not_for_upload_before_M4_correc" xfId="15010" xr:uid="{2F0D4342-6F78-4DA1-9ABD-90453AF1BC35}"/>
    <cellStyle name="40% - Accent4 17" xfId="10250" xr:uid="{E54F0E9A-41AE-46AE-9595-717B3D6976AC}"/>
    <cellStyle name="40% - Accent4 17 2" xfId="10251" xr:uid="{3A7FF38A-A08F-4CA9-8544-20ED41F546BA}"/>
    <cellStyle name="40% - Accent4 17 2 2" xfId="10252" xr:uid="{106038A2-0547-422F-989B-98E32D537AB9}"/>
    <cellStyle name="40% - Accent4 17 2 2 2" xfId="10253" xr:uid="{7237E3C2-D49B-4D59-BEA2-EE8A182483D4}"/>
    <cellStyle name="40% - Accent4 17 2 2_Working Capital Current" xfId="15011" xr:uid="{E4237B1A-CCBA-43D3-8E1A-8558CB4D0268}"/>
    <cellStyle name="40% - Accent4 17 2 3" xfId="10254" xr:uid="{1080FBA1-629D-40CA-96A4-5C79897ED7A3}"/>
    <cellStyle name="40% - Accent4 17 2 4" xfId="10255" xr:uid="{3FDE2AD3-77C3-484A-9553-9090ADC09F2B}"/>
    <cellStyle name="40% - Accent4 17 2_Working Capital Current" xfId="15012" xr:uid="{9450B7E8-C920-4159-BC4D-D3CEE60A1392}"/>
    <cellStyle name="40% - Accent4 17 3" xfId="10256" xr:uid="{2CAB7A7D-B2BD-4307-9147-98D1600A684F}"/>
    <cellStyle name="40% - Accent4 17 3 2" xfId="10257" xr:uid="{8B5D9B05-6325-4212-A8A6-A112D8BB9EAC}"/>
    <cellStyle name="40% - Accent4 17 3_Working Capital Current" xfId="15013" xr:uid="{B4666171-5425-4FDD-87FA-FE7DC0EB548E}"/>
    <cellStyle name="40% - Accent4 17 4" xfId="10258" xr:uid="{37F2DBDC-B164-4990-A94C-454A62BCC960}"/>
    <cellStyle name="40% - Accent4 17 5" xfId="10259" xr:uid="{FEA4B605-29DF-47A4-AA89-1D9091DC0AF2}"/>
    <cellStyle name="40% - Accent4 17_Not_for_upload_before_M4_correc" xfId="15014" xr:uid="{6380B6EB-EB7B-4892-B446-3A496002FC34}"/>
    <cellStyle name="40% - Accent4 18" xfId="10260" xr:uid="{C936CAB7-9101-498E-9F93-AA5E59176ADF}"/>
    <cellStyle name="40% - Accent4 18 2" xfId="10261" xr:uid="{6842C9A4-04BB-4BE2-9084-98ED9DA6FB02}"/>
    <cellStyle name="40% - Accent4 18 2 2" xfId="10262" xr:uid="{F2372E0C-93CD-4FBB-BCFF-0F840DB029AE}"/>
    <cellStyle name="40% - Accent4 18 2 2 2" xfId="10263" xr:uid="{6FB05642-056E-492E-947B-834AD30BAC68}"/>
    <cellStyle name="40% - Accent4 18 2 2_Working Capital Current" xfId="15015" xr:uid="{D7EF05F4-B345-4AFA-BA31-2F44EAACFB53}"/>
    <cellStyle name="40% - Accent4 18 2 3" xfId="10264" xr:uid="{808F64B3-A0EF-4AE1-8205-8ED9486FB4BC}"/>
    <cellStyle name="40% - Accent4 18 2 4" xfId="10265" xr:uid="{9F5BBCA3-6236-46AC-8B02-39D6C648BA13}"/>
    <cellStyle name="40% - Accent4 18 2_Working Capital Current" xfId="15016" xr:uid="{6E4D64E0-0885-4947-BF20-26BB8A47F7CD}"/>
    <cellStyle name="40% - Accent4 18 3" xfId="10266" xr:uid="{B5356EC7-DFEC-46AE-9CA8-399250386CE3}"/>
    <cellStyle name="40% - Accent4 18 3 2" xfId="10267" xr:uid="{FF7639C6-4E6D-4F8F-BCC9-88C1B4779A4D}"/>
    <cellStyle name="40% - Accent4 18 3_Working Capital Current" xfId="15017" xr:uid="{C10DA506-110F-4036-9F70-82544A5AC281}"/>
    <cellStyle name="40% - Accent4 18 4" xfId="10268" xr:uid="{2A4CC977-9ADE-43F6-ACB0-2811CD2E97FE}"/>
    <cellStyle name="40% - Accent4 18 5" xfId="10269" xr:uid="{4656884C-409A-4970-A127-E82212D630A4}"/>
    <cellStyle name="40% - Accent4 18_Not_for_upload_before_M4_correc" xfId="15018" xr:uid="{1B40E213-9CF5-4424-B92F-CC51213BB1F5}"/>
    <cellStyle name="40% - Accent4 19" xfId="10270" xr:uid="{3AF41161-D61B-47A9-B6C4-77E8944F808E}"/>
    <cellStyle name="40% - Accent4 19 2" xfId="10271" xr:uid="{DB60D61C-8047-4AA8-A59D-E0BCF97B5DB0}"/>
    <cellStyle name="40% - Accent4 19 2 2" xfId="10272" xr:uid="{BB5D46E5-77B1-4DFA-9A10-767835C33482}"/>
    <cellStyle name="40% - Accent4 19 2 2 2" xfId="10273" xr:uid="{9A640741-FE1A-4BF5-9486-281EF3422273}"/>
    <cellStyle name="40% - Accent4 19 2 2_Working Capital Current" xfId="15019" xr:uid="{242CB710-D0E0-43CA-BDB3-11C964FC7C1E}"/>
    <cellStyle name="40% - Accent4 19 2 3" xfId="10274" xr:uid="{4EC09E2E-6A24-4425-AA5A-7EC0D97B6DB6}"/>
    <cellStyle name="40% - Accent4 19 2 4" xfId="10275" xr:uid="{FAC77B1A-34A9-4377-9F77-253910C1F7A0}"/>
    <cellStyle name="40% - Accent4 19 2_Working Capital Current" xfId="15020" xr:uid="{95BCA2FE-8CDF-4A97-BAA9-30025306136D}"/>
    <cellStyle name="40% - Accent4 19 3" xfId="10276" xr:uid="{59339C82-962B-4629-9401-E63161C6F734}"/>
    <cellStyle name="40% - Accent4 19 3 2" xfId="10277" xr:uid="{B56D3794-936D-4EC8-AC55-9F7569E8A93C}"/>
    <cellStyle name="40% - Accent4 19 3_Working Capital Current" xfId="15021" xr:uid="{64A0E6C5-AB36-4EAC-8451-F23B2AD00102}"/>
    <cellStyle name="40% - Accent4 19 4" xfId="10278" xr:uid="{50491AE2-E543-4EE5-9C7B-D8DA8F0CA1AE}"/>
    <cellStyle name="40% - Accent4 19 5" xfId="10279" xr:uid="{0411A486-F4EA-4457-BF09-6214B2E55A84}"/>
    <cellStyle name="40% - Accent4 19_Not_for_upload_before_M4_correc" xfId="15022" xr:uid="{5D62C73E-8D43-4647-94EF-27CB847FE1CA}"/>
    <cellStyle name="40% - Accent4 2" xfId="103" xr:uid="{89AF99DB-4FC7-4AAE-9AFB-44BFEFD278B3}"/>
    <cellStyle name="40% - Accent4 2 10" xfId="10280" xr:uid="{F0C0DEAD-E975-4E78-AA97-5E49881E818A}"/>
    <cellStyle name="40% - Accent4 2 11" xfId="16534" xr:uid="{B8001E36-048F-41CF-9BF7-6301D1DA72FA}"/>
    <cellStyle name="40% - Accent4 2 12" xfId="17171" xr:uid="{C64B5FFD-6195-4E80-8FB8-CDA56402956E}"/>
    <cellStyle name="40% - Accent4 2 2" xfId="104" xr:uid="{9CA3575D-BEE8-4C07-804D-9A325955FE2C}"/>
    <cellStyle name="40% - Accent4 2 2 2" xfId="1934" xr:uid="{56CA8593-7DB5-4AEF-BA9C-9D012467F730}"/>
    <cellStyle name="40% - Accent4 2 2 2 2" xfId="10283" xr:uid="{2317E41F-93C6-4B1C-A795-435C35FE69BD}"/>
    <cellStyle name="40% - Accent4 2 2 2 2 2" xfId="10284" xr:uid="{24DEC730-71F0-4B6D-B5C9-AA97B39502E1}"/>
    <cellStyle name="40% - Accent4 2 2 2 2_Working Capital Current" xfId="15023" xr:uid="{E2D7D15B-8118-4A17-950F-0E5C62FE625C}"/>
    <cellStyle name="40% - Accent4 2 2 2 3" xfId="10285" xr:uid="{92D8CAC5-46C0-4593-BB5C-F9D9AE075292}"/>
    <cellStyle name="40% - Accent4 2 2 2 4" xfId="10286" xr:uid="{0AFD4AD3-2377-4137-92AE-3A2E18D99A1F}"/>
    <cellStyle name="40% - Accent4 2 2 2 5" xfId="17664" xr:uid="{AE526FA0-1CB2-4C13-9996-C6AF7F00B497}"/>
    <cellStyle name="40% - Accent4 2 2 2 6" xfId="18213" xr:uid="{2B8BC0A8-93BA-49E3-B754-989B290AD976}"/>
    <cellStyle name="40% - Accent4 2 2 2 7" xfId="10282" xr:uid="{FC8FB8D3-566F-4F7C-AFC4-37CB66A84101}"/>
    <cellStyle name="40% - Accent4 2 2 2_Working Capital Current" xfId="15024" xr:uid="{DA19AC9A-8257-4BA3-B19B-1589D122716E}"/>
    <cellStyle name="40% - Accent4 2 2 3" xfId="10287" xr:uid="{30C19BBF-3744-42C7-B325-F587C61E2FAB}"/>
    <cellStyle name="40% - Accent4 2 2 3 2" xfId="10288" xr:uid="{FE73948C-C474-4624-BE03-91B4FC8180D9}"/>
    <cellStyle name="40% - Accent4 2 2 3_Working Capital Current" xfId="15025" xr:uid="{E3053CB6-418B-4AB7-B3B4-1091558A5843}"/>
    <cellStyle name="40% - Accent4 2 2 4" xfId="10289" xr:uid="{56E3BE8B-393C-449C-82C1-40A730FCF4F8}"/>
    <cellStyle name="40% - Accent4 2 2 5" xfId="10290" xr:uid="{A3F1866F-CAB0-4DFE-9499-388E4D4AC3CD}"/>
    <cellStyle name="40% - Accent4 2 2 6" xfId="10281" xr:uid="{2539C596-7B0B-4403-A78C-7550252F3662}"/>
    <cellStyle name="40% - Accent4 2 2 7" xfId="16535" xr:uid="{3CD82728-5518-4B33-A5CA-EED588620B61}"/>
    <cellStyle name="40% - Accent4 2 2 8" xfId="16970" xr:uid="{4315E204-736E-40BC-8A0C-2C717178E1A7}"/>
    <cellStyle name="40% - Accent4 2 2_Not_for_upload_before_M4_correc" xfId="15026" xr:uid="{A2DB7EFF-6890-43C1-AEFD-DA9681F6DD35}"/>
    <cellStyle name="40% - Accent4 2 3" xfId="1933" xr:uid="{451369E3-F004-4191-8BDE-6EC4C6E7A551}"/>
    <cellStyle name="40% - Accent4 2 3 2" xfId="10292" xr:uid="{2FE1676B-AF61-41C5-BE90-72CEE33F4CB2}"/>
    <cellStyle name="40% - Accent4 2 3 2 2" xfId="10293" xr:uid="{012A9DAE-EAD5-4605-94B4-70E5A525C7E8}"/>
    <cellStyle name="40% - Accent4 2 3 2 2 2" xfId="10294" xr:uid="{A428A85C-659E-4E6B-9F78-82337A9B70FA}"/>
    <cellStyle name="40% - Accent4 2 3 2 2_Working Capital Current" xfId="15027" xr:uid="{46842C9A-8AE9-4774-8ED9-329C0FB5F82C}"/>
    <cellStyle name="40% - Accent4 2 3 2 3" xfId="10295" xr:uid="{7B1D223F-93E5-4287-905B-40B0FF2F8842}"/>
    <cellStyle name="40% - Accent4 2 3 2 4" xfId="10296" xr:uid="{6C1CCB51-6C72-47E4-9280-7D1548339AAC}"/>
    <cellStyle name="40% - Accent4 2 3 2_Working Capital Current" xfId="15028" xr:uid="{3887A9A8-23CC-41CC-9563-D507B8FB37FD}"/>
    <cellStyle name="40% - Accent4 2 3 3" xfId="10297" xr:uid="{51533C41-D531-422F-B00E-C5501107951C}"/>
    <cellStyle name="40% - Accent4 2 3 3 2" xfId="10298" xr:uid="{4848301D-17E7-4406-8B5C-A64212DDB4D2}"/>
    <cellStyle name="40% - Accent4 2 3 3_Working Capital Current" xfId="15029" xr:uid="{F6372CD0-E48E-49DF-AA2A-90DEF912A4DF}"/>
    <cellStyle name="40% - Accent4 2 3 4" xfId="10299" xr:uid="{BC202F01-D9CB-4915-82D0-CCB16E0E2977}"/>
    <cellStyle name="40% - Accent4 2 3 5" xfId="10300" xr:uid="{8351FC44-1B6E-4BA1-9C23-376EE41D0168}"/>
    <cellStyle name="40% - Accent4 2 3 6" xfId="17663" xr:uid="{52A3C7D9-A254-4BCA-9F3B-D128100A4D93}"/>
    <cellStyle name="40% - Accent4 2 3 7" xfId="18212" xr:uid="{A18D9722-7186-463F-A202-35D157A7E8C8}"/>
    <cellStyle name="40% - Accent4 2 3 8" xfId="10291" xr:uid="{27954B96-3238-443A-BAD0-B7C04D753766}"/>
    <cellStyle name="40% - Accent4 2 3_Not_for_upload_before_M4_correc" xfId="15030" xr:uid="{7B42B890-6408-4B02-A249-65FF782C1CC8}"/>
    <cellStyle name="40% - Accent4 2 4" xfId="10301" xr:uid="{8869E46E-1A22-4015-9400-D34237A2537D}"/>
    <cellStyle name="40% - Accent4 2 4 2" xfId="10302" xr:uid="{6F545A40-7F82-4E99-B06A-9D5D3D0DA4A6}"/>
    <cellStyle name="40% - Accent4 2 4 2 2" xfId="10303" xr:uid="{773971E7-06BF-44FD-8F75-12EAE1DBE853}"/>
    <cellStyle name="40% - Accent4 2 4 2 2 2" xfId="10304" xr:uid="{3E322AA8-902F-4DF8-ACA4-58A5DB003D55}"/>
    <cellStyle name="40% - Accent4 2 4 2 2_Working Capital Current" xfId="15031" xr:uid="{BEAD1016-385B-4EFA-960A-7BAF310B7079}"/>
    <cellStyle name="40% - Accent4 2 4 2 3" xfId="10305" xr:uid="{5CCB0C51-9E47-43D0-92D0-84C38A960CAE}"/>
    <cellStyle name="40% - Accent4 2 4 2 4" xfId="10306" xr:uid="{BD8B98C7-3D84-48F7-B9FC-A7AABD716441}"/>
    <cellStyle name="40% - Accent4 2 4 2_Working Capital Current" xfId="15032" xr:uid="{82EE2A25-FE4A-404C-B959-814F6972BA01}"/>
    <cellStyle name="40% - Accent4 2 4 3" xfId="10307" xr:uid="{3E4A005B-E8A5-4712-9625-C690CDC80B1C}"/>
    <cellStyle name="40% - Accent4 2 4 3 2" xfId="10308" xr:uid="{9548A10C-C850-49BD-9851-0E3F9AD18F4C}"/>
    <cellStyle name="40% - Accent4 2 4 3_Working Capital Current" xfId="15033" xr:uid="{D1089213-E533-43C6-87FC-BFB41AB50AE5}"/>
    <cellStyle name="40% - Accent4 2 4 4" xfId="10309" xr:uid="{65CDFF58-CE7A-464D-A4EF-39F33C954283}"/>
    <cellStyle name="40% - Accent4 2 4 5" xfId="10310" xr:uid="{4ED8AB10-02C6-498A-BDBC-4F8435315DFD}"/>
    <cellStyle name="40% - Accent4 2 4_Not_for_upload_before_M4_correc" xfId="15034" xr:uid="{77C0ACBD-4263-4916-8911-E2AF1B20F5BA}"/>
    <cellStyle name="40% - Accent4 2 5" xfId="10311" xr:uid="{862F3167-2239-4DF8-80BB-3AA0B1A8F707}"/>
    <cellStyle name="40% - Accent4 2 5 2" xfId="10312" xr:uid="{6AB7B0F7-339F-4122-87F7-7D0DB62CEB98}"/>
    <cellStyle name="40% - Accent4 2 5 2 2" xfId="10313" xr:uid="{D78D510D-C9D9-40E6-A4F9-04140497F8DA}"/>
    <cellStyle name="40% - Accent4 2 5 2_Working Capital Current" xfId="15035" xr:uid="{9F143631-205D-477B-9BE0-49EC057076A9}"/>
    <cellStyle name="40% - Accent4 2 5 3" xfId="10314" xr:uid="{3F85467C-A0E4-40B9-9CB0-369B08CA0F9B}"/>
    <cellStyle name="40% - Accent4 2 5_Working Capital Current" xfId="15036" xr:uid="{CA842716-4A0B-44DA-9E32-0CB50A9C3980}"/>
    <cellStyle name="40% - Accent4 2 6" xfId="10315" xr:uid="{0FF1382D-A0C8-4F9A-BF12-16B2C7966E97}"/>
    <cellStyle name="40% - Accent4 2 6 2" xfId="10316" xr:uid="{FE89D45A-571E-4BFC-A14A-04110F9589EA}"/>
    <cellStyle name="40% - Accent4 2 6_Working Capital Current" xfId="15037" xr:uid="{4635694B-DF0E-4072-853E-0436A4DF3A03}"/>
    <cellStyle name="40% - Accent4 2 7" xfId="10317" xr:uid="{7C7D577D-A81F-41B3-9986-8C848C18BBC6}"/>
    <cellStyle name="40% - Accent4 2 7 2" xfId="10318" xr:uid="{A007B793-8029-461D-80AF-1516A09D4EC0}"/>
    <cellStyle name="40% - Accent4 2 7_Working Capital Current" xfId="15038" xr:uid="{4C44B4B5-7985-430C-9DCE-706228512787}"/>
    <cellStyle name="40% - Accent4 2 8" xfId="10319" xr:uid="{CDEFC68C-BD90-44D1-99AD-69D24065C6FE}"/>
    <cellStyle name="40% - Accent4 2 9" xfId="10320" xr:uid="{AD4DCF5D-79F4-4DDA-BC1F-F73C579DDC15}"/>
    <cellStyle name="40% - Accent4 2_Not_for_upload_before_M4_correc" xfId="15039" xr:uid="{7F5ACCD1-B873-4C34-955D-893944D07104}"/>
    <cellStyle name="40% - Accent4 20" xfId="10321" xr:uid="{CFE821F2-95FE-4019-B64C-5F239D33F03F}"/>
    <cellStyle name="40% - Accent4 20 2" xfId="10322" xr:uid="{64B4B647-84DE-4CE3-AD7C-F09517D088A9}"/>
    <cellStyle name="40% - Accent4 20 2 2" xfId="10323" xr:uid="{EF098A89-B05C-4006-A957-906421FCB1C2}"/>
    <cellStyle name="40% - Accent4 20 2 2 2" xfId="10324" xr:uid="{3190A23C-061F-41EE-839D-46F83751302B}"/>
    <cellStyle name="40% - Accent4 20 2 2_Working Capital Current" xfId="15040" xr:uid="{9B497167-97DF-4CB6-8556-B7478A38A11C}"/>
    <cellStyle name="40% - Accent4 20 2 3" xfId="10325" xr:uid="{3322E2CF-401E-4736-A140-1CA5039128AA}"/>
    <cellStyle name="40% - Accent4 20 2 4" xfId="10326" xr:uid="{334B8737-38CF-4328-AA4E-8D23D9614B64}"/>
    <cellStyle name="40% - Accent4 20 2_Working Capital Current" xfId="15041" xr:uid="{DFCF03AE-1C32-4C72-8853-660FBEDF6FEA}"/>
    <cellStyle name="40% - Accent4 20 3" xfId="10327" xr:uid="{9F037DD7-6ACE-49D5-9931-B70CC909BA33}"/>
    <cellStyle name="40% - Accent4 20 3 2" xfId="10328" xr:uid="{8EF045EE-A098-4982-9F66-8EE2B4A2C5DB}"/>
    <cellStyle name="40% - Accent4 20 3_Working Capital Current" xfId="15042" xr:uid="{B5970C65-47A0-4B86-9E01-374A9A49F47F}"/>
    <cellStyle name="40% - Accent4 20 4" xfId="10329" xr:uid="{D217BA9A-5D65-4DDD-85F9-7B73507852A7}"/>
    <cellStyle name="40% - Accent4 20 5" xfId="10330" xr:uid="{F481D627-457D-44FA-9E18-0BA75FF4CE91}"/>
    <cellStyle name="40% - Accent4 20_Not_for_upload_before_M4_correc" xfId="15043" xr:uid="{81C76072-6D6A-4E20-996D-BA9D64D3B4B0}"/>
    <cellStyle name="40% - Accent4 21" xfId="10331" xr:uid="{98AC971C-0627-4E86-844D-01B2BBF2E9F9}"/>
    <cellStyle name="40% - Accent4 21 2" xfId="10332" xr:uid="{A829277F-D7BB-489C-AA45-E227DBF41410}"/>
    <cellStyle name="40% - Accent4 21 2 2" xfId="10333" xr:uid="{AEDD42ED-F0E2-4115-B065-B661B106A38D}"/>
    <cellStyle name="40% - Accent4 21 2 2 2" xfId="10334" xr:uid="{159AA057-E5CC-4D0E-BD5D-1E7EB64C0DD5}"/>
    <cellStyle name="40% - Accent4 21 2 2_Working Capital Current" xfId="15044" xr:uid="{4515BE77-7C45-463A-A9F2-C3D86887AA9A}"/>
    <cellStyle name="40% - Accent4 21 2 3" xfId="10335" xr:uid="{22F7735D-1A6F-4731-84FA-ACC716CF3686}"/>
    <cellStyle name="40% - Accent4 21 2 4" xfId="10336" xr:uid="{F76CBE9E-2152-47A6-A369-2FCB50FA66CF}"/>
    <cellStyle name="40% - Accent4 21 2_Working Capital Current" xfId="15045" xr:uid="{ED409B77-AAB5-44E3-8B4F-12818E1DAF5B}"/>
    <cellStyle name="40% - Accent4 21 3" xfId="10337" xr:uid="{217B61E9-534E-45E9-AE06-96CB4E3AA105}"/>
    <cellStyle name="40% - Accent4 21 3 2" xfId="10338" xr:uid="{82B26D3C-77B7-42EF-8349-8120071D0873}"/>
    <cellStyle name="40% - Accent4 21 3_Working Capital Current" xfId="15046" xr:uid="{AB8B6B89-A42A-4A98-9415-67C717E54887}"/>
    <cellStyle name="40% - Accent4 21 4" xfId="10339" xr:uid="{B7D45579-BCCF-4AA2-A8DD-808CE1B3BBC9}"/>
    <cellStyle name="40% - Accent4 21 5" xfId="10340" xr:uid="{A146BD62-DDCE-4240-8686-6CE49270D16F}"/>
    <cellStyle name="40% - Accent4 21_Not_for_upload_before_M4_correc" xfId="15047" xr:uid="{BBE0F170-DB9C-4FCE-A143-F5F2A132C49F}"/>
    <cellStyle name="40% - Accent4 22" xfId="10341" xr:uid="{2AF3AF62-CD91-42B0-AE87-11B89B78B219}"/>
    <cellStyle name="40% - Accent4 22 2" xfId="10342" xr:uid="{5A5553ED-63F4-4116-ABD7-CF2F59284229}"/>
    <cellStyle name="40% - Accent4 22 2 2" xfId="10343" xr:uid="{4460FDCE-EDA9-4382-B67C-B8D251490C8A}"/>
    <cellStyle name="40% - Accent4 22 2 2 2" xfId="10344" xr:uid="{E53388FD-2A33-43DC-BCF4-7F2CC063056C}"/>
    <cellStyle name="40% - Accent4 22 2 2_Working Capital Current" xfId="15048" xr:uid="{9E2F1F45-D479-4989-B374-D356DE172504}"/>
    <cellStyle name="40% - Accent4 22 2 3" xfId="10345" xr:uid="{9430D477-E422-4EB8-B2B6-CAC19C62C568}"/>
    <cellStyle name="40% - Accent4 22 2 4" xfId="10346" xr:uid="{FAC53DA2-18FA-4BA3-AE41-B781B9069684}"/>
    <cellStyle name="40% - Accent4 22 2_Working Capital Current" xfId="15049" xr:uid="{E573C38A-2BB6-4925-B83B-C6A6F997FB18}"/>
    <cellStyle name="40% - Accent4 22 3" xfId="10347" xr:uid="{E49645D1-E15A-4124-AF1B-9023431807EF}"/>
    <cellStyle name="40% - Accent4 22 3 2" xfId="10348" xr:uid="{3C7024D6-9CF0-4680-AB28-8477F6F6C591}"/>
    <cellStyle name="40% - Accent4 22 3_Working Capital Current" xfId="15050" xr:uid="{ACC51C92-3A3B-4947-9B9B-E8A0E6764BEF}"/>
    <cellStyle name="40% - Accent4 22 4" xfId="10349" xr:uid="{34ABD1F7-013B-4F7C-AD95-38EB8DC26589}"/>
    <cellStyle name="40% - Accent4 22 5" xfId="10350" xr:uid="{96185BCA-8668-44C9-A6B2-D4CB5BDE0E88}"/>
    <cellStyle name="40% - Accent4 22_Not_for_upload_before_M4_correc" xfId="15051" xr:uid="{18C904F3-0C06-46A6-BD23-8FA06F7AD833}"/>
    <cellStyle name="40% - Accent4 23" xfId="10351" xr:uid="{F1306A2A-828E-45DF-8F1F-AF6FA61A0996}"/>
    <cellStyle name="40% - Accent4 23 2" xfId="10352" xr:uid="{8A68CE02-2873-4CE4-B83A-C4B208FCD17B}"/>
    <cellStyle name="40% - Accent4 23 2 2" xfId="10353" xr:uid="{D4575B3C-2CC7-4A36-8B1F-A522601606FA}"/>
    <cellStyle name="40% - Accent4 23 2 2 2" xfId="10354" xr:uid="{BD00C262-2884-44DD-ADFF-204310FEC75C}"/>
    <cellStyle name="40% - Accent4 23 2 2_Working Capital Current" xfId="15052" xr:uid="{F2D750ED-BD18-4332-9B89-11508C1797B4}"/>
    <cellStyle name="40% - Accent4 23 2 3" xfId="10355" xr:uid="{FEE6C866-B820-4DD3-9211-172B47E3B2A5}"/>
    <cellStyle name="40% - Accent4 23 2 4" xfId="10356" xr:uid="{20B26B54-7F95-453B-A90D-11FD159B7EC4}"/>
    <cellStyle name="40% - Accent4 23 2_Working Capital Current" xfId="15053" xr:uid="{0C9F3058-0B1B-41C5-A1CF-455FD25F53E9}"/>
    <cellStyle name="40% - Accent4 23 3" xfId="10357" xr:uid="{77A6660D-A51A-4D33-9C43-2DE4A3A8342C}"/>
    <cellStyle name="40% - Accent4 23 3 2" xfId="10358" xr:uid="{FD340C8F-21FE-4D01-BC2D-1CCACA10F5D8}"/>
    <cellStyle name="40% - Accent4 23 3_Working Capital Current" xfId="15054" xr:uid="{65332CD7-0957-41EE-8D23-4FE03CC9C117}"/>
    <cellStyle name="40% - Accent4 23 4" xfId="10359" xr:uid="{4B3F685F-55ED-44A7-93A5-47BB10A99569}"/>
    <cellStyle name="40% - Accent4 23 5" xfId="10360" xr:uid="{FC125A33-E4AB-44EA-A9ED-415AA1A9F4FE}"/>
    <cellStyle name="40% - Accent4 23_Not_for_upload_before_M4_correc" xfId="15055" xr:uid="{0860FED6-973A-4EDD-8CBC-D8E505143E03}"/>
    <cellStyle name="40% - Accent4 24" xfId="10361" xr:uid="{DDE9ED03-FCC7-49FE-99FB-58988BFFFA04}"/>
    <cellStyle name="40% - Accent4 24 2" xfId="10362" xr:uid="{FDA6AF2F-428C-432D-A379-93B3482E89CB}"/>
    <cellStyle name="40% - Accent4 24 2 2" xfId="10363" xr:uid="{EC5C8238-7F9E-4613-B20E-4C7AD9F9B741}"/>
    <cellStyle name="40% - Accent4 24 2 2 2" xfId="10364" xr:uid="{F20300DC-D49E-4239-B30C-C483678DF14B}"/>
    <cellStyle name="40% - Accent4 24 2 2_Working Capital Current" xfId="15056" xr:uid="{B9CDC97C-3770-4570-A101-34B19B19A2F4}"/>
    <cellStyle name="40% - Accent4 24 2 3" xfId="10365" xr:uid="{0DEC0179-1F87-4EDB-A569-602E1A5B2EBD}"/>
    <cellStyle name="40% - Accent4 24 2 4" xfId="10366" xr:uid="{F3ED52D3-75B9-47C2-BE6D-D885A12E536A}"/>
    <cellStyle name="40% - Accent4 24 2_Working Capital Current" xfId="15057" xr:uid="{0A926A00-E5E8-4FE9-8BDC-7F218DADF61E}"/>
    <cellStyle name="40% - Accent4 24 3" xfId="10367" xr:uid="{64CAD791-04A9-4116-8160-5C8D5DE23414}"/>
    <cellStyle name="40% - Accent4 24 3 2" xfId="10368" xr:uid="{38EA4C37-38FC-4E03-B0E5-2A57BBC302B0}"/>
    <cellStyle name="40% - Accent4 24 3_Working Capital Current" xfId="15058" xr:uid="{E76F6D6B-5B39-45EF-8D47-A0DD470D557E}"/>
    <cellStyle name="40% - Accent4 24 4" xfId="10369" xr:uid="{0D96BC11-46FC-4431-AF8A-6A6FF92DBF32}"/>
    <cellStyle name="40% - Accent4 24 5" xfId="10370" xr:uid="{B80A3469-D64C-4CEC-B0CC-2E3BCEBEAD56}"/>
    <cellStyle name="40% - Accent4 24_Not_for_upload_before_M4_correc" xfId="15059" xr:uid="{779ED953-B203-40FE-A1F8-94C745AE1D3D}"/>
    <cellStyle name="40% - Accent4 25" xfId="10371" xr:uid="{D29BA659-2CFC-41EE-BD8B-25FBB68D1963}"/>
    <cellStyle name="40% - Accent4 25 2" xfId="10372" xr:uid="{18A00E9C-C9C1-4CB3-A04F-255B738326A5}"/>
    <cellStyle name="40% - Accent4 25 2 2" xfId="10373" xr:uid="{89A716AA-BD94-446B-9999-C225FF08CDF9}"/>
    <cellStyle name="40% - Accent4 25 2 2 2" xfId="10374" xr:uid="{489227F8-5A43-4484-9D12-C2526D4699CC}"/>
    <cellStyle name="40% - Accent4 25 2 2_Working Capital Current" xfId="15060" xr:uid="{D0A611D1-FBAD-4C6D-BD95-F646C15499BF}"/>
    <cellStyle name="40% - Accent4 25 2 3" xfId="10375" xr:uid="{0F477345-9BC7-4C47-A7A5-68C7A41B9AAD}"/>
    <cellStyle name="40% - Accent4 25 2 4" xfId="10376" xr:uid="{E8E72589-2569-4B96-8F26-1F76A29BB29C}"/>
    <cellStyle name="40% - Accent4 25 2_Working Capital Current" xfId="15061" xr:uid="{016F5E7D-169D-4638-A924-CDFEA4AEC8C5}"/>
    <cellStyle name="40% - Accent4 25 3" xfId="10377" xr:uid="{B5928676-8BBC-41B0-9A38-F53CFB3A0691}"/>
    <cellStyle name="40% - Accent4 25 3 2" xfId="10378" xr:uid="{BB78D55D-D972-4B72-A196-706AC08B7E5C}"/>
    <cellStyle name="40% - Accent4 25 3_Working Capital Current" xfId="15062" xr:uid="{D2D0BB01-8FDB-472F-9BD3-9B7E20AABE7B}"/>
    <cellStyle name="40% - Accent4 25 4" xfId="10379" xr:uid="{C35A4617-7368-42DD-B6F3-F7F56AA7C92C}"/>
    <cellStyle name="40% - Accent4 25 5" xfId="10380" xr:uid="{106DA4F9-7FC4-47F3-A59C-21910375C142}"/>
    <cellStyle name="40% - Accent4 25_Not_for_upload_before_M4_correc" xfId="15063" xr:uid="{56A42C98-D526-4BD5-A342-FBAAEC6107AB}"/>
    <cellStyle name="40% - Accent4 26" xfId="10381" xr:uid="{47FE37F3-E160-4E1F-9F28-2DD7118A04EF}"/>
    <cellStyle name="40% - Accent4 26 2" xfId="10382" xr:uid="{C4116C8D-5F34-43D6-8907-34B4079A856E}"/>
    <cellStyle name="40% - Accent4 26 2 2" xfId="10383" xr:uid="{3F3BC7D8-2FC9-49EC-8038-F01556F34108}"/>
    <cellStyle name="40% - Accent4 26 2 3" xfId="10384" xr:uid="{E5061938-B400-407B-B353-43DAAE790044}"/>
    <cellStyle name="40% - Accent4 26 2_Working Capital Current" xfId="15064" xr:uid="{8C85CE52-C86F-4AB7-9BE8-4250DE6BA5BA}"/>
    <cellStyle name="40% - Accent4 26 3" xfId="10385" xr:uid="{42921DBC-C91B-456A-B4C8-56E8039709F6}"/>
    <cellStyle name="40% - Accent4 26 3 2" xfId="10386" xr:uid="{89E45E53-E7EA-47E6-9A85-CF8B381C3AC6}"/>
    <cellStyle name="40% - Accent4 26 3_Working Capital Current" xfId="15065" xr:uid="{4B16B339-3678-424B-8A8B-9E222680F977}"/>
    <cellStyle name="40% - Accent4 26 4" xfId="10387" xr:uid="{91214A06-9F21-4F01-BE02-F19BE27E8936}"/>
    <cellStyle name="40% - Accent4 26 5" xfId="10388" xr:uid="{41474CD3-64F9-478D-B0CF-C53B22B5C829}"/>
    <cellStyle name="40% - Accent4 26_Not_for_upload_before_M4_correc" xfId="15066" xr:uid="{9E02FB07-4EB0-4A13-8488-28306EF770CB}"/>
    <cellStyle name="40% - Accent4 27" xfId="10389" xr:uid="{AE8C003C-A9D2-467C-AE39-0A254C884154}"/>
    <cellStyle name="40% - Accent4 27 2" xfId="10390" xr:uid="{15E0589D-0915-4420-BA5D-C1F8DE5BA268}"/>
    <cellStyle name="40% - Accent4 27 2 2" xfId="10391" xr:uid="{320BB138-EC87-40C2-BB8A-7F04847B9D39}"/>
    <cellStyle name="40% - Accent4 27 2 3" xfId="10392" xr:uid="{D6BE221D-CA79-44E4-9103-5DF46AE0AFBC}"/>
    <cellStyle name="40% - Accent4 27 2_Working Capital Current" xfId="15067" xr:uid="{DB5280ED-DE9D-43D6-93D4-DD8AF5CBA1CD}"/>
    <cellStyle name="40% - Accent4 27 3" xfId="10393" xr:uid="{77A5B75B-6C86-4A2F-A9ED-E7F9A285731E}"/>
    <cellStyle name="40% - Accent4 27 3 2" xfId="10394" xr:uid="{B49B890F-E082-46F1-91C4-1C946CD9CCBC}"/>
    <cellStyle name="40% - Accent4 27 3_Working Capital Current" xfId="15068" xr:uid="{A506C1F8-D2A7-47EC-A1EB-BBFFE2E71FD6}"/>
    <cellStyle name="40% - Accent4 27 4" xfId="10395" xr:uid="{55AF6CDA-53E9-4C46-BE4A-73E96D4D3E2F}"/>
    <cellStyle name="40% - Accent4 27 5" xfId="10396" xr:uid="{C1B622B5-1319-449D-9C6F-87B2F84C35E9}"/>
    <cellStyle name="40% - Accent4 27_Not_for_upload_before_M4_correc" xfId="15069" xr:uid="{CCF6B79C-990D-40D1-901E-16BF2BFBDCF0}"/>
    <cellStyle name="40% - Accent4 28" xfId="10397" xr:uid="{C8AB5F54-B392-4497-91F5-653E02BC18AC}"/>
    <cellStyle name="40% - Accent4 28 2" xfId="10398" xr:uid="{46AE9FEB-77CE-4D92-BF15-65C2EE444354}"/>
    <cellStyle name="40% - Accent4 28 2 2" xfId="10399" xr:uid="{5C1FDF04-A8B2-4CBC-9463-C749EBD111B3}"/>
    <cellStyle name="40% - Accent4 28 2 3" xfId="10400" xr:uid="{A91FCBD7-C74F-4680-981D-549D18D8BAF7}"/>
    <cellStyle name="40% - Accent4 28 2_Working Capital Current" xfId="15070" xr:uid="{D10B9301-9A0B-4F42-9D33-7A73D0F9FCF4}"/>
    <cellStyle name="40% - Accent4 28 3" xfId="10401" xr:uid="{AF05B43C-0169-46E4-B945-48BC1D19E21B}"/>
    <cellStyle name="40% - Accent4 28 3 2" xfId="10402" xr:uid="{9B3CDF6F-C175-4E02-B05E-DC397F8EAB8B}"/>
    <cellStyle name="40% - Accent4 28 3_Working Capital Current" xfId="15071" xr:uid="{B162EC1A-0780-4474-917F-28245010EF23}"/>
    <cellStyle name="40% - Accent4 28 4" xfId="10403" xr:uid="{BD6EF1E8-FA19-48E8-A576-ADCAE7B6D30F}"/>
    <cellStyle name="40% - Accent4 28 5" xfId="10404" xr:uid="{80BDFF0B-170B-49E9-A31F-3CAA7D1E2A81}"/>
    <cellStyle name="40% - Accent4 28_Not_for_upload_before_M4_correc" xfId="15072" xr:uid="{249E02A9-76ED-4B47-8792-1A46D9DB204A}"/>
    <cellStyle name="40% - Accent4 29" xfId="10405" xr:uid="{BE300883-845A-423D-B52E-E00486C7B15A}"/>
    <cellStyle name="40% - Accent4 29 2" xfId="10406" xr:uid="{75B3F832-47A1-4926-917E-691EE3C91385}"/>
    <cellStyle name="40% - Accent4 29 2 2" xfId="10407" xr:uid="{5EF45119-1B56-4D2D-8683-94F3262F2E6F}"/>
    <cellStyle name="40% - Accent4 29 2_Working Capital Current" xfId="15073" xr:uid="{D9A92D56-B119-49F8-A83B-3E0A2260324C}"/>
    <cellStyle name="40% - Accent4 29 3" xfId="10408" xr:uid="{5304A322-3F6E-4DE8-90F7-D661B6E5BC90}"/>
    <cellStyle name="40% - Accent4 29 4" xfId="10409" xr:uid="{9AF7BD58-CA84-40F3-921C-DCB38BD67BFC}"/>
    <cellStyle name="40% - Accent4 29_Not_for_upload_before_M4_correc" xfId="15074" xr:uid="{5AAED1C8-3F2F-4601-9647-87138CC5572E}"/>
    <cellStyle name="40% - Accent4 3" xfId="105" xr:uid="{86D78C8D-4C94-482E-BD45-35CE235BC525}"/>
    <cellStyle name="40% - Accent4 3 10" xfId="16536" xr:uid="{5917B6E0-6B1A-4BE4-98E3-BF28B7CCC57A}"/>
    <cellStyle name="40% - Accent4 3 2" xfId="1935" xr:uid="{CD1D33E8-A7A5-43D2-89C4-23142C46C675}"/>
    <cellStyle name="40% - Accent4 3 2 2" xfId="10412" xr:uid="{001C2C19-CE70-41DC-A419-2476EF960266}"/>
    <cellStyle name="40% - Accent4 3 2 2 2" xfId="10413" xr:uid="{E0A7383F-BFD6-4025-A436-932A2767D9C5}"/>
    <cellStyle name="40% - Accent4 3 2 2 2 2" xfId="10414" xr:uid="{8E4108BF-CEF0-48C1-A0AA-9A8DFFBD7465}"/>
    <cellStyle name="40% - Accent4 3 2 2 2_Working Capital Current" xfId="15075" xr:uid="{3372D1F8-17C8-49E6-B81F-328BD816E4DA}"/>
    <cellStyle name="40% - Accent4 3 2 2 3" xfId="10415" xr:uid="{21AA0994-0DFB-4DAC-8FE4-F3275A4B170E}"/>
    <cellStyle name="40% - Accent4 3 2 2 4" xfId="10416" xr:uid="{BA0DBD10-44FD-40C2-894C-FB6AAD563C16}"/>
    <cellStyle name="40% - Accent4 3 2 2_Working Capital Current" xfId="15076" xr:uid="{4F05FFD5-3615-4F7A-A10E-2E6C373B6961}"/>
    <cellStyle name="40% - Accent4 3 2 3" xfId="10417" xr:uid="{82DDE7BC-C6CB-45C3-ACD4-EED44F5E62BA}"/>
    <cellStyle name="40% - Accent4 3 2 3 2" xfId="10418" xr:uid="{2427AE2B-2CB4-4867-9FD0-91D792EFAA2A}"/>
    <cellStyle name="40% - Accent4 3 2 3_Working Capital Current" xfId="15077" xr:uid="{749EDF77-3C85-4872-9ECB-A8C77B6BDED6}"/>
    <cellStyle name="40% - Accent4 3 2 4" xfId="10419" xr:uid="{7D86B94C-4258-4D86-81FA-961D21295CBE}"/>
    <cellStyle name="40% - Accent4 3 2 5" xfId="10420" xr:uid="{7D1B9A1C-5640-4589-9771-98E1BF2854B8}"/>
    <cellStyle name="40% - Accent4 3 2 6" xfId="17665" xr:uid="{4B377E67-B38E-466D-8CB5-96ACD0D55F5B}"/>
    <cellStyle name="40% - Accent4 3 2 7" xfId="18214" xr:uid="{A1E17D4A-479D-493C-AE4B-0CAFE3D759BC}"/>
    <cellStyle name="40% - Accent4 3 2 8" xfId="10411" xr:uid="{CD94D4E7-A498-4FEF-8CC5-D795B3D74FD2}"/>
    <cellStyle name="40% - Accent4 3 2_Not_for_upload_before_M4_correc" xfId="15078" xr:uid="{38A9238D-FC25-4279-AC87-4FA068DD95A9}"/>
    <cellStyle name="40% - Accent4 3 3" xfId="10421" xr:uid="{279E8A7F-57FB-4FA3-8605-D0F74EE32E3F}"/>
    <cellStyle name="40% - Accent4 3 3 2" xfId="10422" xr:uid="{F441C330-CD68-46E8-859C-C9CB42000EDF}"/>
    <cellStyle name="40% - Accent4 3 3 2 2" xfId="10423" xr:uid="{D0F6FE9F-365F-4C3B-8436-C1761FA94E09}"/>
    <cellStyle name="40% - Accent4 3 3 2 2 2" xfId="10424" xr:uid="{009BA708-46E8-4FF6-9913-AEB95737932A}"/>
    <cellStyle name="40% - Accent4 3 3 2 2_Working Capital Current" xfId="15079" xr:uid="{F979C545-2EBE-4665-B76D-0C645BCBBE83}"/>
    <cellStyle name="40% - Accent4 3 3 2 3" xfId="10425" xr:uid="{D2691447-35D9-48C9-BCC7-8D9D2905BDF4}"/>
    <cellStyle name="40% - Accent4 3 3 2 4" xfId="10426" xr:uid="{99D92B97-6631-45FB-82CF-8BC7485B94CA}"/>
    <cellStyle name="40% - Accent4 3 3 2_Working Capital Current" xfId="15080" xr:uid="{8E1ECC4F-2324-49EF-A229-4CD9117F19C8}"/>
    <cellStyle name="40% - Accent4 3 3 3" xfId="10427" xr:uid="{D544201A-47AD-4152-AE9C-3C182BCF3CB1}"/>
    <cellStyle name="40% - Accent4 3 3 3 2" xfId="10428" xr:uid="{34FFC61D-C4CE-4A0F-BEEF-BF469ABC72BB}"/>
    <cellStyle name="40% - Accent4 3 3 3_Working Capital Current" xfId="15081" xr:uid="{AB54827C-F626-4CC6-BDA7-C7B78296BFEB}"/>
    <cellStyle name="40% - Accent4 3 3 4" xfId="10429" xr:uid="{8BE5A99C-118C-48B6-BF6C-D342B71D8463}"/>
    <cellStyle name="40% - Accent4 3 3 5" xfId="10430" xr:uid="{DB74CBE9-091D-428B-AB2C-DBB104C26C17}"/>
    <cellStyle name="40% - Accent4 3 3_Not_for_upload_before_M4_correc" xfId="15082" xr:uid="{F2A9871F-8FD1-4566-8ACF-18A45254A28F}"/>
    <cellStyle name="40% - Accent4 3 4" xfId="10431" xr:uid="{5E346A39-B7E5-432C-B272-5D1613B85BA0}"/>
    <cellStyle name="40% - Accent4 3 4 2" xfId="10432" xr:uid="{82C998EB-E339-43A5-A945-943CD0BD0CAD}"/>
    <cellStyle name="40% - Accent4 3 4 2 2" xfId="10433" xr:uid="{EB0E6921-7307-4B70-AC03-C189FBEF1A89}"/>
    <cellStyle name="40% - Accent4 3 4 2 2 2" xfId="10434" xr:uid="{7ED81508-A41C-4475-9C17-B0C360657E26}"/>
    <cellStyle name="40% - Accent4 3 4 2 2_Working Capital Current" xfId="15083" xr:uid="{71918239-19C9-4468-9C44-373333735E6E}"/>
    <cellStyle name="40% - Accent4 3 4 2 3" xfId="10435" xr:uid="{2CD1855E-AFDF-430D-935A-18380684CB2A}"/>
    <cellStyle name="40% - Accent4 3 4 2 4" xfId="10436" xr:uid="{24D220A5-1529-4386-9DDA-4BC8B4AD1489}"/>
    <cellStyle name="40% - Accent4 3 4 2_Working Capital Current" xfId="15084" xr:uid="{B23FF8C5-9EA7-45D7-AAD1-10C5267A7D5C}"/>
    <cellStyle name="40% - Accent4 3 4 3" xfId="10437" xr:uid="{E67C086A-67DB-417D-85ED-4D6C9E9F5CCF}"/>
    <cellStyle name="40% - Accent4 3 4 3 2" xfId="10438" xr:uid="{4622EECA-9268-4EAB-861F-B6F6B009FA1E}"/>
    <cellStyle name="40% - Accent4 3 4 3_Working Capital Current" xfId="15085" xr:uid="{1BED80E6-5FA9-4B79-8286-79044020572F}"/>
    <cellStyle name="40% - Accent4 3 4 4" xfId="10439" xr:uid="{DBB5CC64-C59F-4783-BE63-40F931489607}"/>
    <cellStyle name="40% - Accent4 3 4 5" xfId="10440" xr:uid="{979AF025-8C2C-4D76-9AA0-C5E3DEEEFD31}"/>
    <cellStyle name="40% - Accent4 3 4_Not_for_upload_before_M4_correc" xfId="15086" xr:uid="{99EEA71C-CE0E-4EA3-B23A-0B7E4AE39F4D}"/>
    <cellStyle name="40% - Accent4 3 5" xfId="10441" xr:uid="{C9EC8805-054D-4345-B33B-A235C82C7C87}"/>
    <cellStyle name="40% - Accent4 3 5 2" xfId="10442" xr:uid="{51FB8672-556D-464E-8BC3-BBB84AA86FA4}"/>
    <cellStyle name="40% - Accent4 3 5 2 2" xfId="10443" xr:uid="{C1ED066C-E6A9-4999-81EF-E9008101829B}"/>
    <cellStyle name="40% - Accent4 3 5 2_Working Capital Current" xfId="15087" xr:uid="{8A240BE6-0B3D-4A47-8176-2DF4E9A46188}"/>
    <cellStyle name="40% - Accent4 3 5 3" xfId="10444" xr:uid="{875BCEF9-CD28-469F-A401-6D930C315A84}"/>
    <cellStyle name="40% - Accent4 3 5 4" xfId="10445" xr:uid="{ABA2B8C4-29C0-44C2-BF36-42FCE112678C}"/>
    <cellStyle name="40% - Accent4 3 5_Working Capital Current" xfId="15088" xr:uid="{456F92BB-66CE-4953-816D-BB9FBDA50CF2}"/>
    <cellStyle name="40% - Accent4 3 6" xfId="10446" xr:uid="{F38BD9ED-DA74-4542-B289-0787E17489B4}"/>
    <cellStyle name="40% - Accent4 3 6 2" xfId="10447" xr:uid="{DDC3D328-A3B2-474C-AC86-271545BADBEA}"/>
    <cellStyle name="40% - Accent4 3 6_Working Capital Current" xfId="15089" xr:uid="{B11DDCC3-019A-4591-A28F-C68F409BD5A0}"/>
    <cellStyle name="40% - Accent4 3 7" xfId="10448" xr:uid="{93D4CB21-95D8-4049-9A4F-5129BCD2D666}"/>
    <cellStyle name="40% - Accent4 3 8" xfId="10449" xr:uid="{05A0A562-B544-420C-8AD1-30F44473BABF}"/>
    <cellStyle name="40% - Accent4 3 9" xfId="10410" xr:uid="{C3FD9C21-42FF-4732-9E9D-60B28C4D5E8D}"/>
    <cellStyle name="40% - Accent4 3_Not_for_upload_before_M4_correc" xfId="15090" xr:uid="{B3E30CDB-4BBE-4650-B09E-F235DDB1D118}"/>
    <cellStyle name="40% - Accent4 30" xfId="10450" xr:uid="{D57DDDB0-3907-450A-AA60-CB56EBB59BFA}"/>
    <cellStyle name="40% - Accent4 30 2" xfId="10451" xr:uid="{3C942DBA-C6B8-4723-91AF-D30FEEDAD543}"/>
    <cellStyle name="40% - Accent4 30 2 2" xfId="10452" xr:uid="{01C883CA-224C-4D4F-AB7A-68C3BC96FBA4}"/>
    <cellStyle name="40% - Accent4 30 2_Working Capital Current" xfId="15091" xr:uid="{4E812BA8-7189-43B5-B3FE-BDA455C60C3E}"/>
    <cellStyle name="40% - Accent4 30 3" xfId="10453" xr:uid="{C1F099C0-F717-4B13-8628-CE6C07D80FC2}"/>
    <cellStyle name="40% - Accent4 30 4" xfId="10454" xr:uid="{C0282E19-327E-4B6F-BA01-136DC85B5311}"/>
    <cellStyle name="40% - Accent4 30_Working Capital Current" xfId="15092" xr:uid="{71E9882E-D552-4513-A97A-8DDE24F32D79}"/>
    <cellStyle name="40% - Accent4 31" xfId="10455" xr:uid="{9AE9FC94-B449-41AC-A505-021F8F5D93F1}"/>
    <cellStyle name="40% - Accent4 31 2" xfId="10456" xr:uid="{3D91FD40-8B29-4242-BB6C-34EAAEC3FF68}"/>
    <cellStyle name="40% - Accent4 31 2 2" xfId="10457" xr:uid="{18C3B5FF-DE5F-4C81-8FC2-532B77788CBA}"/>
    <cellStyle name="40% - Accent4 31 2_Working Capital Current" xfId="15093" xr:uid="{B1B2FFBE-8F6A-48F4-BA90-DCB8E4EC0936}"/>
    <cellStyle name="40% - Accent4 31 3" xfId="10458" xr:uid="{9B069D2C-A146-4C8A-87B7-6602CAE0AA47}"/>
    <cellStyle name="40% - Accent4 31 4" xfId="10459" xr:uid="{75275EB6-06E9-41D6-B107-5E97FECF3B7E}"/>
    <cellStyle name="40% - Accent4 31_Working Capital Current" xfId="15094" xr:uid="{1A35EF47-4F07-405D-988F-A3BC78B30A6F}"/>
    <cellStyle name="40% - Accent4 32" xfId="10460" xr:uid="{E432AD11-DE42-4E8F-A511-467E3594D9BD}"/>
    <cellStyle name="40% - Accent4 32 2" xfId="10461" xr:uid="{8AB11277-2956-4555-B5D3-C373A67C108B}"/>
    <cellStyle name="40% - Accent4 32 2 2" xfId="10462" xr:uid="{A410B3EB-CC6F-4D2B-92D7-842253F5E743}"/>
    <cellStyle name="40% - Accent4 32 2_Working Capital Current" xfId="15095" xr:uid="{59AA50F6-F92F-4F71-8325-DF0A299A5B74}"/>
    <cellStyle name="40% - Accent4 32 3" xfId="10463" xr:uid="{7BF5A825-86A8-47A2-9C73-1E14CF824043}"/>
    <cellStyle name="40% - Accent4 32 4" xfId="10464" xr:uid="{5B73E232-43AD-47AC-B3E9-C4AF7BD90BAB}"/>
    <cellStyle name="40% - Accent4 32_Working Capital Current" xfId="15096" xr:uid="{5A06FC5F-0F2F-4BAF-9388-98CA13D2F4F0}"/>
    <cellStyle name="40% - Accent4 33" xfId="10465" xr:uid="{172A1558-B580-4573-AD90-D9A4B754F414}"/>
    <cellStyle name="40% - Accent4 33 2" xfId="10466" xr:uid="{010E2DCD-517B-4912-B14E-AE456243F66A}"/>
    <cellStyle name="40% - Accent4 33 2 2" xfId="10467" xr:uid="{5A96E615-07F0-40F7-A29F-4B79B79AA645}"/>
    <cellStyle name="40% - Accent4 33 2_Working Capital Current" xfId="15097" xr:uid="{B406E1B4-2AB1-4E29-8816-31049DFDC511}"/>
    <cellStyle name="40% - Accent4 33 3" xfId="10468" xr:uid="{13D35799-D026-40ED-9C6E-E0B77D81AAE9}"/>
    <cellStyle name="40% - Accent4 33 4" xfId="10469" xr:uid="{6CA92FC9-B031-4330-A8B0-BB22730E68E5}"/>
    <cellStyle name="40% - Accent4 33_Working Capital Current" xfId="15098" xr:uid="{1D49CDD1-775A-40F5-8004-9E62DD7846C4}"/>
    <cellStyle name="40% - Accent4 34" xfId="10470" xr:uid="{E44DAD80-6FC3-43F7-A901-06FD05398FEA}"/>
    <cellStyle name="40% - Accent4 34 2" xfId="10471" xr:uid="{4810B611-D947-4FFF-8B96-059E3574B7DC}"/>
    <cellStyle name="40% - Accent4 34 2 2" xfId="10472" xr:uid="{A95110AC-9736-4923-AFA4-A43B0E5081CA}"/>
    <cellStyle name="40% - Accent4 34 2_Working Capital Current" xfId="15099" xr:uid="{7FC73081-6818-4F67-A676-4F8C67A8EB64}"/>
    <cellStyle name="40% - Accent4 34 3" xfId="10473" xr:uid="{A9E6995B-A433-4CC5-9D78-B96D57B60502}"/>
    <cellStyle name="40% - Accent4 34 4" xfId="10474" xr:uid="{CB8BF551-7068-4C12-A09D-3B4A34D2712C}"/>
    <cellStyle name="40% - Accent4 34_Working Capital Current" xfId="15100" xr:uid="{FD6CEC95-8867-401C-A978-4AFC4C9DA243}"/>
    <cellStyle name="40% - Accent4 35" xfId="10475" xr:uid="{5B66B9C6-E2E0-4EF5-8556-7BFC01C47598}"/>
    <cellStyle name="40% - Accent4 35 2" xfId="10476" xr:uid="{88B0C743-3BFF-4A47-881C-09D49DDFF6C4}"/>
    <cellStyle name="40% - Accent4 35 2 2" xfId="10477" xr:uid="{BCECBA97-AB05-40F8-A976-0DD26315BDF6}"/>
    <cellStyle name="40% - Accent4 35 2_Working Capital Current" xfId="15101" xr:uid="{7EC5452D-337F-4F5F-A296-ADA08728A2E7}"/>
    <cellStyle name="40% - Accent4 35 3" xfId="10478" xr:uid="{BA205136-39FA-46D6-A339-AF33891DDDED}"/>
    <cellStyle name="40% - Accent4 35 4" xfId="10479" xr:uid="{ABE5A9B3-5414-4479-A574-81FF813C4017}"/>
    <cellStyle name="40% - Accent4 35_Working Capital Current" xfId="15102" xr:uid="{820A959F-D30A-4481-B5EF-7F2709D11FA5}"/>
    <cellStyle name="40% - Accent4 36" xfId="10480" xr:uid="{AC4577AE-7418-4A07-91B3-CB3961C8DF26}"/>
    <cellStyle name="40% - Accent4 36 2" xfId="10481" xr:uid="{F15C966F-4BCA-4FE3-A9CD-4C51575A70F2}"/>
    <cellStyle name="40% - Accent4 36 2 2" xfId="10482" xr:uid="{B947C74C-CEF8-40C2-8EF9-9AF65535679E}"/>
    <cellStyle name="40% - Accent4 36 2_Working Capital Current" xfId="15103" xr:uid="{1B612C6D-1D50-44CA-82D7-06F09616703B}"/>
    <cellStyle name="40% - Accent4 36 3" xfId="10483" xr:uid="{99BC817B-9783-4A8F-B667-7F31F0C2E3CE}"/>
    <cellStyle name="40% - Accent4 36 4" xfId="10484" xr:uid="{22D2C6A1-421C-4AE5-8AD3-9B9725F59494}"/>
    <cellStyle name="40% - Accent4 36_Working Capital Current" xfId="15104" xr:uid="{5C62D505-9F09-461B-84E0-558E0B68A7E6}"/>
    <cellStyle name="40% - Accent4 37" xfId="10485" xr:uid="{147FFB0A-6A3E-4F15-85BB-C731145D1B19}"/>
    <cellStyle name="40% - Accent4 37 2" xfId="10486" xr:uid="{EE07ECA6-4F9D-4F25-A65F-AA1E7BF2BF6E}"/>
    <cellStyle name="40% - Accent4 37 2 2" xfId="10487" xr:uid="{841D7E43-F921-4F30-B0A2-C92FBB78054A}"/>
    <cellStyle name="40% - Accent4 37 2_Working Capital Current" xfId="15105" xr:uid="{B673217D-623E-404F-BAD4-100CFFE34E4E}"/>
    <cellStyle name="40% - Accent4 37 3" xfId="10488" xr:uid="{898C0F97-DC8F-4677-B7E5-57E98909E2BA}"/>
    <cellStyle name="40% - Accent4 37 4" xfId="10489" xr:uid="{A772D853-FE7D-49D7-9B1D-90CA68A0E126}"/>
    <cellStyle name="40% - Accent4 37_Working Capital Current" xfId="15106" xr:uid="{36719DE9-BE06-488D-BC32-D4D79EBA4348}"/>
    <cellStyle name="40% - Accent4 38" xfId="10490" xr:uid="{B408CD1E-F405-401F-8E71-86D21A30C254}"/>
    <cellStyle name="40% - Accent4 38 2" xfId="10491" xr:uid="{F90FD75F-A634-4FC8-8482-741E52619ED1}"/>
    <cellStyle name="40% - Accent4 38 2 2" xfId="10492" xr:uid="{E2BBDE4C-92E7-48BC-A2F6-A2599CE70FE6}"/>
    <cellStyle name="40% - Accent4 38 2_Working Capital Current" xfId="15107" xr:uid="{A110BE9C-2FAE-4944-AEB5-64648A9A31AC}"/>
    <cellStyle name="40% - Accent4 38 3" xfId="10493" xr:uid="{C3E9F20C-3EC1-48E7-9EAC-7095A85E9FB1}"/>
    <cellStyle name="40% - Accent4 38 4" xfId="10494" xr:uid="{F04D7BE0-319D-46F8-9D9D-D25833A387E9}"/>
    <cellStyle name="40% - Accent4 38_Working Capital Current" xfId="15108" xr:uid="{7419E751-668A-4241-AF01-CB56C7DC31FA}"/>
    <cellStyle name="40% - Accent4 39" xfId="10495" xr:uid="{2811D693-51FF-4DA3-B131-5052C8E3BA4E}"/>
    <cellStyle name="40% - Accent4 39 2" xfId="10496" xr:uid="{6E9EB262-D8F2-4944-B05F-8E039DAEDE54}"/>
    <cellStyle name="40% - Accent4 39 2 2" xfId="10497" xr:uid="{64239B03-0C06-4291-BEC3-54EB67F2D59C}"/>
    <cellStyle name="40% - Accent4 39 2_Working Capital Current" xfId="15109" xr:uid="{1BF4BC28-AF67-4318-89FE-506B1CBF34C7}"/>
    <cellStyle name="40% - Accent4 39 3" xfId="10498" xr:uid="{DFC3B8C1-B502-4721-BD25-761F711FDAA0}"/>
    <cellStyle name="40% - Accent4 39 4" xfId="10499" xr:uid="{892653A1-7B00-4821-A512-EB11F06ACEA4}"/>
    <cellStyle name="40% - Accent4 39_Working Capital Current" xfId="15110" xr:uid="{A1EF997D-3CB9-4EF9-A591-B2AAB1699AA2}"/>
    <cellStyle name="40% - Accent4 4" xfId="1875" xr:uid="{D7744F2F-7266-4142-A119-7B43EE7BB2E5}"/>
    <cellStyle name="40% - Accent4 4 2" xfId="10501" xr:uid="{FBFE97D3-4333-455D-BCF1-024017E5B516}"/>
    <cellStyle name="40% - Accent4 4 2 2" xfId="10502" xr:uid="{B7837128-DAF7-45F1-BA2D-373F946C15E8}"/>
    <cellStyle name="40% - Accent4 4 2 2 2" xfId="10503" xr:uid="{B08ADC19-FBF7-47D4-B2C6-C23B28DB4DFE}"/>
    <cellStyle name="40% - Accent4 4 2 2_Working Capital Current" xfId="15111" xr:uid="{BD7C26A6-9525-470A-97D5-3569F97350DB}"/>
    <cellStyle name="40% - Accent4 4 2 3" xfId="10504" xr:uid="{3C203926-9207-4210-A8FB-F53802FA7EFE}"/>
    <cellStyle name="40% - Accent4 4 2 4" xfId="10505" xr:uid="{04EED5DC-9BAD-44EC-9175-179E1955E8A8}"/>
    <cellStyle name="40% - Accent4 4 2_Working Capital Current" xfId="15112" xr:uid="{6B35069F-8498-4212-869F-76854E46A42E}"/>
    <cellStyle name="40% - Accent4 4 3" xfId="10506" xr:uid="{9FE9EFA1-C0AE-41D9-8667-A2D5B8AA7DFB}"/>
    <cellStyle name="40% - Accent4 4 3 2" xfId="10507" xr:uid="{DFCBA867-BBCA-4D17-A0AE-582E06BB64CA}"/>
    <cellStyle name="40% - Accent4 4 3_Working Capital Current" xfId="15113" xr:uid="{B976BF12-EC47-4BC4-B5DA-27D6E8CC454D}"/>
    <cellStyle name="40% - Accent4 4 4" xfId="10508" xr:uid="{31B9E89A-44DD-4806-87E0-5BA3B753DE51}"/>
    <cellStyle name="40% - Accent4 4 5" xfId="10509" xr:uid="{E85051F3-4775-4E58-8FFA-292610319E60}"/>
    <cellStyle name="40% - Accent4 4 6" xfId="17611" xr:uid="{673EA29D-18C0-4447-AC7F-78D5F56926A5}"/>
    <cellStyle name="40% - Accent4 4 7" xfId="18180" xr:uid="{E1B88AAC-602D-4EDD-A98E-A6DAC223BA0F}"/>
    <cellStyle name="40% - Accent4 4 8" xfId="10500" xr:uid="{3746E0C2-86CD-4C22-9EE4-F0432E64BD32}"/>
    <cellStyle name="40% - Accent4 4_Not_for_upload_before_M4_correc" xfId="15114" xr:uid="{1C7EABF4-895A-40A4-846F-5363CF7910CF}"/>
    <cellStyle name="40% - Accent4 40" xfId="10510" xr:uid="{5AC7D87D-7494-4D47-9161-F626FF121EBC}"/>
    <cellStyle name="40% - Accent4 40 2" xfId="10511" xr:uid="{8D95C253-0B12-427A-9B1A-D690AED9FA19}"/>
    <cellStyle name="40% - Accent4 40 2 2" xfId="10512" xr:uid="{78F68A0C-624B-4057-BEB3-3CD37E57D81C}"/>
    <cellStyle name="40% - Accent4 40 2_Working Capital Current" xfId="15115" xr:uid="{F572A036-4C29-4D42-A764-F179C39F2B12}"/>
    <cellStyle name="40% - Accent4 40 3" xfId="10513" xr:uid="{C05D66CB-45F5-4570-B25C-C8F523D5FFE8}"/>
    <cellStyle name="40% - Accent4 40 4" xfId="10514" xr:uid="{4C1B63B9-2A1F-4E68-ADF7-A8D8B0C1B99B}"/>
    <cellStyle name="40% - Accent4 40_Working Capital Current" xfId="15116" xr:uid="{0ACA5AE3-93C8-428E-B2DF-6EB8F63D33E3}"/>
    <cellStyle name="40% - Accent4 41" xfId="10515" xr:uid="{C22640D9-05FD-400C-8601-651B027FEB35}"/>
    <cellStyle name="40% - Accent4 41 2" xfId="10516" xr:uid="{76887226-1DE5-43D6-A95D-8B32823E18A2}"/>
    <cellStyle name="40% - Accent4 41 2 2" xfId="10517" xr:uid="{82549E9F-0F56-4DC2-BBB5-EC3402F9B3DA}"/>
    <cellStyle name="40% - Accent4 41 2_Working Capital Current" xfId="15117" xr:uid="{3E337B4C-6A39-405E-94C5-843E3B0D6B4F}"/>
    <cellStyle name="40% - Accent4 41 3" xfId="10518" xr:uid="{788BB7C5-CD9E-4993-BB17-368977CC1A13}"/>
    <cellStyle name="40% - Accent4 41 4" xfId="10519" xr:uid="{8A540D90-DA57-4EB7-BE31-12F1FF2864CE}"/>
    <cellStyle name="40% - Accent4 41_Working Capital Current" xfId="15118" xr:uid="{A6284EB8-86AC-4F2C-8426-1778935BBD7D}"/>
    <cellStyle name="40% - Accent4 42" xfId="10520" xr:uid="{41C51E31-E9A9-4EE3-9466-39D82008BE06}"/>
    <cellStyle name="40% - Accent4 42 2" xfId="10521" xr:uid="{472E63B4-33B4-4F69-8CAF-1DC201A3DBBC}"/>
    <cellStyle name="40% - Accent4 42 2 2" xfId="10522" xr:uid="{7BE6D2CD-7303-4554-A479-1935AC8FC3FF}"/>
    <cellStyle name="40% - Accent4 42 2_Working Capital Current" xfId="15119" xr:uid="{29891381-6053-4EEC-BE80-CA6FA9E1EFA5}"/>
    <cellStyle name="40% - Accent4 42 3" xfId="10523" xr:uid="{DD23B2EB-79E7-483B-87F2-B7B61FC9FEF7}"/>
    <cellStyle name="40% - Accent4 42 4" xfId="10524" xr:uid="{DC9C5E28-A59D-4700-A8F9-98D29E395028}"/>
    <cellStyle name="40% - Accent4 42_Working Capital Current" xfId="15120" xr:uid="{38831256-A387-4E76-AF2F-564398F2712F}"/>
    <cellStyle name="40% - Accent4 43" xfId="10525" xr:uid="{34272D25-F402-454B-BEC4-AA20A00EF409}"/>
    <cellStyle name="40% - Accent4 43 2" xfId="10526" xr:uid="{63FE0A79-E70E-476C-8530-08BBBF9F9AFD}"/>
    <cellStyle name="40% - Accent4 43 2 2" xfId="10527" xr:uid="{7A31C8C1-2E64-44C7-A355-4A0C4174082C}"/>
    <cellStyle name="40% - Accent4 43 2_Working Capital Current" xfId="15121" xr:uid="{B8B799A3-0718-461A-A486-F94D82ECD20E}"/>
    <cellStyle name="40% - Accent4 43 3" xfId="10528" xr:uid="{D939FBEA-E6EA-4068-8FFD-7C345405E2A8}"/>
    <cellStyle name="40% - Accent4 43 4" xfId="10529" xr:uid="{A29311FE-5B2D-4680-91AF-A398CD110A46}"/>
    <cellStyle name="40% - Accent4 43_Working Capital Current" xfId="15122" xr:uid="{6BA503E6-6751-43B7-8DC2-6480DA0B04D5}"/>
    <cellStyle name="40% - Accent4 44" xfId="10530" xr:uid="{355CBDF4-7ECC-4283-87C1-E91A3F4C93EC}"/>
    <cellStyle name="40% - Accent4 44 2" xfId="10531" xr:uid="{C603A014-7094-47B8-B33A-20A34ADD136D}"/>
    <cellStyle name="40% - Accent4 44 2 2" xfId="10532" xr:uid="{C18ED222-5557-4385-803C-529DC20054D1}"/>
    <cellStyle name="40% - Accent4 44 2_Working Capital Current" xfId="15123" xr:uid="{6F2ED032-48FE-4443-BA58-BFBB26F8A321}"/>
    <cellStyle name="40% - Accent4 44 3" xfId="10533" xr:uid="{B06DA2DE-4853-469E-9C32-2D8D4BDC4F3A}"/>
    <cellStyle name="40% - Accent4 44 4" xfId="10534" xr:uid="{538FEAC8-FF11-46FA-9765-16B9FEADE2F5}"/>
    <cellStyle name="40% - Accent4 44_Working Capital Current" xfId="15124" xr:uid="{C2D5B8DC-E276-4B21-B724-503B9F874C17}"/>
    <cellStyle name="40% - Accent4 45" xfId="10535" xr:uid="{872E9674-33F4-4DDE-86BE-3DAFB50E4F02}"/>
    <cellStyle name="40% - Accent4 45 2" xfId="10536" xr:uid="{4213A5D4-E6A8-4ED6-8B7D-FC544803411E}"/>
    <cellStyle name="40% - Accent4 45 2 2" xfId="10537" xr:uid="{2219187F-E76E-4ED6-81B7-8AEF1B4AC8F1}"/>
    <cellStyle name="40% - Accent4 45 2_Working Capital Current" xfId="15125" xr:uid="{C7B29E8D-A959-4786-9803-2B0C2EC79325}"/>
    <cellStyle name="40% - Accent4 45 3" xfId="10538" xr:uid="{F5F744B5-20A1-45FC-A2F9-46FC368F4E10}"/>
    <cellStyle name="40% - Accent4 45 4" xfId="10539" xr:uid="{D231B598-F7CF-4E14-9DC4-ABA3D1635351}"/>
    <cellStyle name="40% - Accent4 45_Working Capital Current" xfId="15126" xr:uid="{18CC25D6-C02E-42BE-BE23-C312FFB4E2AF}"/>
    <cellStyle name="40% - Accent4 46" xfId="10540" xr:uid="{D3EC2722-E17A-48B9-B243-88F27BF24CF0}"/>
    <cellStyle name="40% - Accent4 46 2" xfId="10541" xr:uid="{11B1A61F-1449-4F40-9EC9-E49742831A5D}"/>
    <cellStyle name="40% - Accent4 46 2 2" xfId="10542" xr:uid="{422E8422-A207-4575-914B-C3AFE077B4E3}"/>
    <cellStyle name="40% - Accent4 46 2_Working Capital Current" xfId="15127" xr:uid="{08539ED4-8BA3-4BF3-8E48-A9323ABE1018}"/>
    <cellStyle name="40% - Accent4 46 3" xfId="10543" xr:uid="{A4E2659B-7A2C-4F0B-944C-1C6B92D2C682}"/>
    <cellStyle name="40% - Accent4 46 4" xfId="10544" xr:uid="{52F5F0BB-2DB7-4377-972A-3564BE9432C6}"/>
    <cellStyle name="40% - Accent4 46_Working Capital Current" xfId="15128" xr:uid="{A133DD24-21D6-4222-87F7-339967F2816D}"/>
    <cellStyle name="40% - Accent4 47" xfId="10545" xr:uid="{919429A4-5BE2-4C9A-8A8C-DABD0802020F}"/>
    <cellStyle name="40% - Accent4 47 2" xfId="10546" xr:uid="{BDB02014-372C-46D4-AAF7-687E4A82C385}"/>
    <cellStyle name="40% - Accent4 47 2 2" xfId="10547" xr:uid="{D546E591-14E5-425D-82CE-5FD0B52EB209}"/>
    <cellStyle name="40% - Accent4 47 2_Working Capital Current" xfId="15129" xr:uid="{E01DFB75-0565-4CFE-813A-130F50693C54}"/>
    <cellStyle name="40% - Accent4 47 3" xfId="10548" xr:uid="{76FC44E8-99DC-4942-851D-78B0E76C50EE}"/>
    <cellStyle name="40% - Accent4 47 4" xfId="10549" xr:uid="{9E3687B8-9152-4A05-8CFD-1FD6DE2CD45C}"/>
    <cellStyle name="40% - Accent4 47_Working Capital Current" xfId="15130" xr:uid="{BE6E1775-D16E-4F6F-8A34-4B59F0ACA860}"/>
    <cellStyle name="40% - Accent4 48" xfId="10550" xr:uid="{1C198071-0676-42B3-9D66-FB73F3AC1C86}"/>
    <cellStyle name="40% - Accent4 48 2" xfId="10551" xr:uid="{C26AA263-24C1-4A27-8623-1F59DC2CB121}"/>
    <cellStyle name="40% - Accent4 48 2 2" xfId="10552" xr:uid="{A54F6121-E509-4FB0-A5A5-BD6201C531E0}"/>
    <cellStyle name="40% - Accent4 48 2_Working Capital Current" xfId="15131" xr:uid="{6201F159-ABBA-4EC9-BF23-0F24112D0324}"/>
    <cellStyle name="40% - Accent4 48 3" xfId="10553" xr:uid="{3DEF4C7F-72E7-48B2-8776-C6DAABE63DC2}"/>
    <cellStyle name="40% - Accent4 48 4" xfId="10554" xr:uid="{A171F1D3-FA0D-4E05-90C6-5F972AF71170}"/>
    <cellStyle name="40% - Accent4 48_Working Capital Current" xfId="15132" xr:uid="{2BDAC192-0AF7-4F2F-89B9-F06AF691D36B}"/>
    <cellStyle name="40% - Accent4 49" xfId="10555" xr:uid="{B7C1DECA-945A-4725-8F57-B5F429F2A90E}"/>
    <cellStyle name="40% - Accent4 49 2" xfId="10556" xr:uid="{A94B7871-E427-49CF-8E1C-D1FD6482F72E}"/>
    <cellStyle name="40% - Accent4 49 2 2" xfId="10557" xr:uid="{1AF51AC1-F2C4-48E8-822A-327F6949FBD2}"/>
    <cellStyle name="40% - Accent4 49 2_Working Capital Current" xfId="15133" xr:uid="{697B515E-AF44-461E-9599-A066F624D5F2}"/>
    <cellStyle name="40% - Accent4 49 3" xfId="10558" xr:uid="{BC593658-3A7D-4004-87D5-BA23263D6533}"/>
    <cellStyle name="40% - Accent4 49 4" xfId="10559" xr:uid="{8EEEB3F8-2DAE-4E1F-847F-35BAE8D85442}"/>
    <cellStyle name="40% - Accent4 49_Working Capital Current" xfId="15134" xr:uid="{88BCC287-2917-45E3-B96F-4020F6B2D51B}"/>
    <cellStyle name="40% - Accent4 5" xfId="10560" xr:uid="{16EF1102-3299-4E7C-A306-D59DB3C31F05}"/>
    <cellStyle name="40% - Accent4 5 2" xfId="10561" xr:uid="{FF71B466-E75F-499C-9DD7-696E28A5AD21}"/>
    <cellStyle name="40% - Accent4 5 2 2" xfId="10562" xr:uid="{8F99178A-A78C-415C-BB7D-E8DBF1B29526}"/>
    <cellStyle name="40% - Accent4 5 2 2 2" xfId="10563" xr:uid="{0D1F6252-6D35-46DD-B485-18BDB1A1D0F7}"/>
    <cellStyle name="40% - Accent4 5 2 2_Working Capital Current" xfId="15135" xr:uid="{B6C9BD3D-00E6-4696-9C18-430AB36EE08B}"/>
    <cellStyle name="40% - Accent4 5 2 3" xfId="10564" xr:uid="{A1F0381D-CF4F-4885-9B63-E328745A1ADC}"/>
    <cellStyle name="40% - Accent4 5 2 4" xfId="10565" xr:uid="{5FD1CEA4-A7D7-411C-B738-3D9DBD98AFC5}"/>
    <cellStyle name="40% - Accent4 5 2_Working Capital Current" xfId="15136" xr:uid="{31309C21-3EBC-428B-ABEC-8A50E44FD160}"/>
    <cellStyle name="40% - Accent4 5 3" xfId="10566" xr:uid="{FEE8491E-8BEF-4DDD-9354-A87D9E37D651}"/>
    <cellStyle name="40% - Accent4 5 3 2" xfId="10567" xr:uid="{1DF31E16-15C2-4F7D-90F3-E1C2EF705B3B}"/>
    <cellStyle name="40% - Accent4 5 3_Working Capital Current" xfId="15137" xr:uid="{55C58264-254D-48FE-AF35-227CC780A883}"/>
    <cellStyle name="40% - Accent4 5 4" xfId="10568" xr:uid="{27DDBE13-6364-4E3A-AC42-37A7D7109862}"/>
    <cellStyle name="40% - Accent4 5 5" xfId="10569" xr:uid="{EF8267CF-1E0F-4102-899F-40675ECC26F4}"/>
    <cellStyle name="40% - Accent4 5_Not_for_upload_before_M4_correc" xfId="15138" xr:uid="{0BAD5C55-1881-4EFE-AE23-1E1CA801E460}"/>
    <cellStyle name="40% - Accent4 50" xfId="10570" xr:uid="{A36E4BF4-7F0B-458C-8CA9-280C6E1713F8}"/>
    <cellStyle name="40% - Accent4 50 2" xfId="10571" xr:uid="{6BB9EEF2-565E-4743-BCA8-F1C58A24DF42}"/>
    <cellStyle name="40% - Accent4 50 2 2" xfId="10572" xr:uid="{7684C82E-09AC-4432-8216-485B20FB5095}"/>
    <cellStyle name="40% - Accent4 50 2_Working Capital Current" xfId="15139" xr:uid="{3E8221C3-36C8-46E8-A3F7-E01F51BB633C}"/>
    <cellStyle name="40% - Accent4 50 3" xfId="10573" xr:uid="{3D5A19E5-8036-40DB-B0FD-00A35D2A94A8}"/>
    <cellStyle name="40% - Accent4 50 4" xfId="10574" xr:uid="{C997CB34-6D05-4802-8672-558D6301669A}"/>
    <cellStyle name="40% - Accent4 50_Working Capital Current" xfId="15140" xr:uid="{9FE32CCD-AFF8-42B8-BAEE-6BFC5E3F18E2}"/>
    <cellStyle name="40% - Accent4 51" xfId="10575" xr:uid="{7E449401-76F3-4E74-8F43-52B0522A4BF1}"/>
    <cellStyle name="40% - Accent4 51 2" xfId="10576" xr:uid="{197477D9-68A4-4213-B2D6-ADFAD59A9AA9}"/>
    <cellStyle name="40% - Accent4 51 2 2" xfId="10577" xr:uid="{4A0DA219-1014-47B4-B20A-11F14604CEFC}"/>
    <cellStyle name="40% - Accent4 51 2_Working Capital Current" xfId="15141" xr:uid="{4F0E5988-A1E2-4483-B373-50899F70BA80}"/>
    <cellStyle name="40% - Accent4 51 3" xfId="10578" xr:uid="{8731CB32-8FE2-4D22-B1A9-87B2CAEBADD4}"/>
    <cellStyle name="40% - Accent4 51 4" xfId="10579" xr:uid="{618F6D1B-CB75-4AE4-ACB2-1DC872C4C3AF}"/>
    <cellStyle name="40% - Accent4 51_Working Capital Current" xfId="15142" xr:uid="{57CECEBA-D9A2-4D88-AF21-3C17A43F2AFF}"/>
    <cellStyle name="40% - Accent4 52" xfId="10580" xr:uid="{97D4B1F3-E8F1-40F4-B7B1-6B4CC978B008}"/>
    <cellStyle name="40% - Accent4 52 2" xfId="10581" xr:uid="{3E308AF6-89CC-47C8-8B3E-5F1A1A8C84E8}"/>
    <cellStyle name="40% - Accent4 52 2 2" xfId="10582" xr:uid="{9D4D8B0D-F32C-4277-9A15-3BEA08328CC7}"/>
    <cellStyle name="40% - Accent4 52 2_Working Capital Current" xfId="15143" xr:uid="{3BB6ECA4-0E51-4C2C-9C20-C06ACEC3525C}"/>
    <cellStyle name="40% - Accent4 52 3" xfId="10583" xr:uid="{D371A565-8686-4FAC-8369-2CDDBF8F38F6}"/>
    <cellStyle name="40% - Accent4 52 4" xfId="10584" xr:uid="{4EEF16F8-EA6A-461F-AE43-513FE523CD85}"/>
    <cellStyle name="40% - Accent4 52_Working Capital Current" xfId="15144" xr:uid="{08FCDFCA-87E6-4B95-A187-BF71C67A62EA}"/>
    <cellStyle name="40% - Accent4 53" xfId="10585" xr:uid="{AA6492A7-94F9-407D-B871-1776BE858D99}"/>
    <cellStyle name="40% - Accent4 53 2" xfId="10586" xr:uid="{59973234-61F0-4185-8E6C-82E9E05B8470}"/>
    <cellStyle name="40% - Accent4 53 2 2" xfId="10587" xr:uid="{4D0F7571-C73B-4A18-97C1-A9E748F351D7}"/>
    <cellStyle name="40% - Accent4 53 2_Working Capital Current" xfId="15145" xr:uid="{3352A301-9581-4C41-9185-C8B9769C2CA5}"/>
    <cellStyle name="40% - Accent4 53 3" xfId="10588" xr:uid="{D14BBE33-26BD-46F7-AAAA-71A6E205D872}"/>
    <cellStyle name="40% - Accent4 53 4" xfId="10589" xr:uid="{BAAD73BC-E8D0-42B8-A43C-4737FF657876}"/>
    <cellStyle name="40% - Accent4 53_Working Capital Current" xfId="15146" xr:uid="{A4FFFBDC-2B83-4C0B-B23D-0C1DA6D06CA8}"/>
    <cellStyle name="40% - Accent4 54" xfId="10590" xr:uid="{7217687C-D4BB-4080-950C-F9094BA8E8FE}"/>
    <cellStyle name="40% - Accent4 54 2" xfId="10591" xr:uid="{67FA95CB-E019-45A3-B917-860F87DB2DBB}"/>
    <cellStyle name="40% - Accent4 54 2 2" xfId="10592" xr:uid="{8EBBECE7-1833-4989-B4EA-E13240A99B33}"/>
    <cellStyle name="40% - Accent4 54 2_Working Capital Current" xfId="15147" xr:uid="{99C92421-06B3-49B6-90EF-4629E64E347C}"/>
    <cellStyle name="40% - Accent4 54 3" xfId="10593" xr:uid="{AB7D3A8C-CC8D-41F5-94B4-2A2D0403797B}"/>
    <cellStyle name="40% - Accent4 54 4" xfId="10594" xr:uid="{1D1A184B-8E4A-423B-9C56-60217AE3B0D3}"/>
    <cellStyle name="40% - Accent4 54_Working Capital Current" xfId="15148" xr:uid="{DF107B1F-CCA0-4600-9965-4667F07C52DA}"/>
    <cellStyle name="40% - Accent4 55" xfId="10595" xr:uid="{5666A9B6-E02D-4867-8A95-5A40944E1FCC}"/>
    <cellStyle name="40% - Accent4 55 2" xfId="10596" xr:uid="{9E02377D-FB54-4049-85E8-9869EF360CB9}"/>
    <cellStyle name="40% - Accent4 55 2 2" xfId="10597" xr:uid="{84811DD6-76F3-40EE-A5C6-746D740E3C5D}"/>
    <cellStyle name="40% - Accent4 55 2_Working Capital Current" xfId="15149" xr:uid="{674FEA98-FDF5-44CF-A133-B4BA6335CD73}"/>
    <cellStyle name="40% - Accent4 55 3" xfId="10598" xr:uid="{D8641332-1A13-4245-8BF2-07255EB79163}"/>
    <cellStyle name="40% - Accent4 55 4" xfId="10599" xr:uid="{44BD55BB-EDE3-4288-AC71-249F8385CDFB}"/>
    <cellStyle name="40% - Accent4 55_Working Capital Current" xfId="15150" xr:uid="{A358E9E7-4DAA-4844-AE3B-BCF535E44428}"/>
    <cellStyle name="40% - Accent4 56" xfId="10600" xr:uid="{6E1F5F58-619B-45F6-BEEA-2991934C8721}"/>
    <cellStyle name="40% - Accent4 56 2" xfId="10601" xr:uid="{2048E365-EAF0-47A4-8DDA-F5F90B700998}"/>
    <cellStyle name="40% - Accent4 56 2 2" xfId="10602" xr:uid="{35B05381-9FAA-4AE1-908A-28809DE33A4A}"/>
    <cellStyle name="40% - Accent4 56 2_Working Capital Current" xfId="15151" xr:uid="{C830A218-11FE-4B79-8C88-DDA1581353CD}"/>
    <cellStyle name="40% - Accent4 56 3" xfId="10603" xr:uid="{F4567A20-0781-4C7B-AE67-2E953A5FB125}"/>
    <cellStyle name="40% - Accent4 56 4" xfId="10604" xr:uid="{7362C001-06C6-4CA3-89AB-DDDFAC2D3661}"/>
    <cellStyle name="40% - Accent4 56_Working Capital Current" xfId="15152" xr:uid="{FA45DB15-F34F-41DF-8636-3023D551C0F2}"/>
    <cellStyle name="40% - Accent4 57" xfId="10605" xr:uid="{1CAE5C33-D159-448F-9297-066283767B13}"/>
    <cellStyle name="40% - Accent4 57 2" xfId="10606" xr:uid="{17A1F5CF-8270-4B8B-8821-C3E01E3D87D3}"/>
    <cellStyle name="40% - Accent4 57 2 2" xfId="10607" xr:uid="{01F1730B-DD75-41D5-AA26-B69F92E18C88}"/>
    <cellStyle name="40% - Accent4 57 2_Working Capital Current" xfId="15153" xr:uid="{331B579D-13BD-42FB-8600-60D7CAA71DAF}"/>
    <cellStyle name="40% - Accent4 57 3" xfId="10608" xr:uid="{ED9ACFBA-510F-433B-BEF4-2C62D625EDEC}"/>
    <cellStyle name="40% - Accent4 57 4" xfId="10609" xr:uid="{4825FEA6-0785-46A7-8ED4-F3A631E55258}"/>
    <cellStyle name="40% - Accent4 57_Working Capital Current" xfId="15154" xr:uid="{B2E4FA57-291A-40B4-A224-F8E0F644EE84}"/>
    <cellStyle name="40% - Accent4 58" xfId="10610" xr:uid="{8CD6F2A9-9CBF-4CAD-9C30-BA1460492A06}"/>
    <cellStyle name="40% - Accent4 58 2" xfId="10611" xr:uid="{58A792A8-F66D-4F56-8815-260BCA47E4AD}"/>
    <cellStyle name="40% - Accent4 58 2 2" xfId="10612" xr:uid="{212638B6-9638-469E-9627-6EC8C9BA0333}"/>
    <cellStyle name="40% - Accent4 58 2_Working Capital Current" xfId="15155" xr:uid="{FA3A3F48-70F2-46AB-9525-F39F61CF1470}"/>
    <cellStyle name="40% - Accent4 58 3" xfId="10613" xr:uid="{CFD10055-C5E9-4427-936A-EBCB1CBE00AB}"/>
    <cellStyle name="40% - Accent4 58 4" xfId="10614" xr:uid="{A162ED00-EA12-48EB-AA8D-5F42B3246A1C}"/>
    <cellStyle name="40% - Accent4 58_Working Capital Current" xfId="15156" xr:uid="{8023D180-663E-4AED-83E0-F5958135BF30}"/>
    <cellStyle name="40% - Accent4 59" xfId="10615" xr:uid="{ADD4DCD6-75FF-40A4-A88B-3CB85BF97FE3}"/>
    <cellStyle name="40% - Accent4 59 2" xfId="10616" xr:uid="{0B5EB7F0-0C15-4957-BEAD-243BE0A4FD05}"/>
    <cellStyle name="40% - Accent4 59 2 2" xfId="10617" xr:uid="{0D3A8AA7-DEB3-447B-A376-AEDEFEB115E1}"/>
    <cellStyle name="40% - Accent4 59 2_Working Capital Current" xfId="15157" xr:uid="{F88A4C9F-CEBD-41D6-8749-0FD9A8F9EC3F}"/>
    <cellStyle name="40% - Accent4 59 3" xfId="10618" xr:uid="{9C753CB2-93B0-4080-A749-B9B24568EA81}"/>
    <cellStyle name="40% - Accent4 59 4" xfId="10619" xr:uid="{111202B1-09FA-4A88-BA8E-9C49B82BE1F8}"/>
    <cellStyle name="40% - Accent4 59_Working Capital Current" xfId="15158" xr:uid="{431334D1-65CA-4ACA-BDF9-DA6185383542}"/>
    <cellStyle name="40% - Accent4 6" xfId="10620" xr:uid="{FE503975-5963-4E17-91A6-69A4B541815B}"/>
    <cellStyle name="40% - Accent4 6 2" xfId="10621" xr:uid="{9922FD41-6E40-495D-9DDF-43A66366373A}"/>
    <cellStyle name="40% - Accent4 6 2 2" xfId="10622" xr:uid="{34CBE44C-0B6D-4C56-A010-C987C06098B3}"/>
    <cellStyle name="40% - Accent4 6 2 2 2" xfId="10623" xr:uid="{BB7634F7-D640-47B3-A7AB-0D5F4B1CE5CC}"/>
    <cellStyle name="40% - Accent4 6 2 2_Working Capital Current" xfId="15159" xr:uid="{DD3D516A-8FBC-4130-AF80-CB20C8943482}"/>
    <cellStyle name="40% - Accent4 6 2 3" xfId="10624" xr:uid="{AA27C2C8-3EFC-48FA-8534-6E9B401F0E3D}"/>
    <cellStyle name="40% - Accent4 6 2 4" xfId="10625" xr:uid="{3D3FAE54-CF31-4F15-B9E1-75F727F46FDD}"/>
    <cellStyle name="40% - Accent4 6 2_Working Capital Current" xfId="15160" xr:uid="{12C74D54-CA27-4D14-AB53-7A0DD06DDF88}"/>
    <cellStyle name="40% - Accent4 6 3" xfId="10626" xr:uid="{3E928DC6-E3C6-4725-A544-07C286F4F7CF}"/>
    <cellStyle name="40% - Accent4 6 3 2" xfId="10627" xr:uid="{658EB71D-FD35-4546-A73E-D0F46C691241}"/>
    <cellStyle name="40% - Accent4 6 3_Working Capital Current" xfId="15161" xr:uid="{005B9445-59FA-4B5A-BFEC-376A5AC520D8}"/>
    <cellStyle name="40% - Accent4 6 4" xfId="10628" xr:uid="{76538B11-049E-413E-9040-7DCC787860D8}"/>
    <cellStyle name="40% - Accent4 6 5" xfId="10629" xr:uid="{33354599-0994-4666-9EC8-BB98A12E6A40}"/>
    <cellStyle name="40% - Accent4 6_Not_for_upload_before_M4_correc" xfId="15162" xr:uid="{1A98E7EF-76A7-45A3-8EB4-2F3811567403}"/>
    <cellStyle name="40% - Accent4 60" xfId="10630" xr:uid="{FA02D30D-F256-4FAA-A38D-BDA1EE09C760}"/>
    <cellStyle name="40% - Accent4 60 2" xfId="10631" xr:uid="{A75EEBC6-302A-4EB8-9ADD-E06D25DD57CB}"/>
    <cellStyle name="40% - Accent4 60 2 2" xfId="10632" xr:uid="{CA573B24-873A-429B-84F1-C1E958C6EE29}"/>
    <cellStyle name="40% - Accent4 60 2_Working Capital Current" xfId="15163" xr:uid="{28E96094-BDF1-4BEF-A9EE-7763561EC40D}"/>
    <cellStyle name="40% - Accent4 60 3" xfId="10633" xr:uid="{A762282F-5D7B-4632-A47D-8737D1FC727E}"/>
    <cellStyle name="40% - Accent4 60 4" xfId="10634" xr:uid="{D5968702-7E8E-4733-A8F0-4DA29C6D63AB}"/>
    <cellStyle name="40% - Accent4 60_Working Capital Current" xfId="15164" xr:uid="{621439DC-074C-4F8B-8EC1-E36EC73E1C43}"/>
    <cellStyle name="40% - Accent4 61" xfId="10635" xr:uid="{05CADC3A-D206-4E37-A1DC-70859370A691}"/>
    <cellStyle name="40% - Accent4 61 2" xfId="10636" xr:uid="{D089D869-41BB-46BB-A650-1898A325CFDF}"/>
    <cellStyle name="40% - Accent4 61 2 2" xfId="10637" xr:uid="{F519DA47-973B-4488-84E4-9CBDA2A3F669}"/>
    <cellStyle name="40% - Accent4 61 2_Working Capital Current" xfId="15165" xr:uid="{E38D1A82-0127-4839-959E-1140010D53BA}"/>
    <cellStyle name="40% - Accent4 61 3" xfId="10638" xr:uid="{75FFBBCF-6EB3-4385-AE17-FF4CA8CBE960}"/>
    <cellStyle name="40% - Accent4 61 4" xfId="10639" xr:uid="{72A4441F-6DB1-4DB7-B314-C208F0803647}"/>
    <cellStyle name="40% - Accent4 61_Working Capital Current" xfId="15166" xr:uid="{7A58E661-7BA2-4AE1-AF76-9993DCE8DBB9}"/>
    <cellStyle name="40% - Accent4 62" xfId="10640" xr:uid="{E464F0F5-D22D-4AB4-8365-EE2F61D04E5A}"/>
    <cellStyle name="40% - Accent4 62 2" xfId="10641" xr:uid="{276AB87B-CB8E-4778-A0E4-EE4921B94061}"/>
    <cellStyle name="40% - Accent4 62 2 2" xfId="10642" xr:uid="{09BFA886-055D-44FC-BD57-FA4725C39127}"/>
    <cellStyle name="40% - Accent4 62 2_Working Capital Current" xfId="15167" xr:uid="{7E660957-B93D-49A5-AF32-E80A71DA8032}"/>
    <cellStyle name="40% - Accent4 62 3" xfId="10643" xr:uid="{D5F25981-3750-4D82-B37A-0C3CFCF5650E}"/>
    <cellStyle name="40% - Accent4 62 4" xfId="10644" xr:uid="{B604EBEA-4735-47EE-8119-2CF8293E71DF}"/>
    <cellStyle name="40% - Accent4 62_Working Capital Current" xfId="15168" xr:uid="{52EAC42B-C06B-4477-9D04-A42986ECCE27}"/>
    <cellStyle name="40% - Accent4 63" xfId="10645" xr:uid="{32FF6404-67DD-4D99-BF41-092E585D931C}"/>
    <cellStyle name="40% - Accent4 63 2" xfId="10646" xr:uid="{2BDF59F1-1889-4D0B-AF2E-694ECFC7C3CB}"/>
    <cellStyle name="40% - Accent4 63 2 2" xfId="10647" xr:uid="{585D6267-6373-40C6-B232-9ACE87D0C434}"/>
    <cellStyle name="40% - Accent4 63 2_Working Capital Current" xfId="15169" xr:uid="{FDFD7BB3-E7B6-4E49-B789-B580E09A1F98}"/>
    <cellStyle name="40% - Accent4 63 3" xfId="10648" xr:uid="{E597F815-F66F-47DB-9A8D-2C2AEF6881F6}"/>
    <cellStyle name="40% - Accent4 63 4" xfId="10649" xr:uid="{487C8150-4BFF-404A-876F-8A6C41612A82}"/>
    <cellStyle name="40% - Accent4 63_Working Capital Current" xfId="15170" xr:uid="{68E850BB-5E7A-496D-9ED9-E26B5AF6EE3E}"/>
    <cellStyle name="40% - Accent4 64" xfId="10650" xr:uid="{7835E92B-A583-476A-98FC-3D6522B8C60F}"/>
    <cellStyle name="40% - Accent4 64 2" xfId="10651" xr:uid="{D53E1669-AED2-40B6-A342-BFAFF170F0EC}"/>
    <cellStyle name="40% - Accent4 64 2 2" xfId="10652" xr:uid="{B45C660F-A755-406F-83E9-7600FE75F37C}"/>
    <cellStyle name="40% - Accent4 64 2_Working Capital Current" xfId="15171" xr:uid="{D6BE1354-6340-4E8A-AF00-70FDB4A514A2}"/>
    <cellStyle name="40% - Accent4 64 3" xfId="10653" xr:uid="{CAD19C02-2069-453D-96A0-3DFD6AB7AC8B}"/>
    <cellStyle name="40% - Accent4 64 4" xfId="10654" xr:uid="{2ADB1C4F-792A-4B4F-BE72-F1150990D0DA}"/>
    <cellStyle name="40% - Accent4 64_Working Capital Current" xfId="15172" xr:uid="{F690BE28-A2B0-4705-BADA-D28788710FA4}"/>
    <cellStyle name="40% - Accent4 65" xfId="10655" xr:uid="{C1E37CFE-0A86-48B0-8AEF-F32C28C313F2}"/>
    <cellStyle name="40% - Accent4 65 2" xfId="10656" xr:uid="{CC7F059D-8E52-4C50-9411-168AAAB411FB}"/>
    <cellStyle name="40% - Accent4 65 2 2" xfId="10657" xr:uid="{C082D189-BDCA-4C54-9501-A7AB32259899}"/>
    <cellStyle name="40% - Accent4 65 2_Working Capital Current" xfId="15173" xr:uid="{4B50F0C4-2098-47BD-AF0D-B6E5E8F22D14}"/>
    <cellStyle name="40% - Accent4 65 3" xfId="10658" xr:uid="{E0E55C39-9C5A-4408-BFBF-FAC75BA2CC79}"/>
    <cellStyle name="40% - Accent4 65 4" xfId="10659" xr:uid="{75BFAE74-D2B2-404C-932C-4E5F211AD5CC}"/>
    <cellStyle name="40% - Accent4 65_Working Capital Current" xfId="15174" xr:uid="{82E96DC4-F37C-4B48-9CC7-E46C8A1C60DD}"/>
    <cellStyle name="40% - Accent4 66" xfId="10660" xr:uid="{045C6D58-F143-4D64-A402-00702972E152}"/>
    <cellStyle name="40% - Accent4 66 2" xfId="10661" xr:uid="{2FC051D3-2CDD-4C7D-9BBF-B8C74585C943}"/>
    <cellStyle name="40% - Accent4 66 2 2" xfId="10662" xr:uid="{75BF69B2-3BA2-40CD-8F4A-EFCBDF7C359E}"/>
    <cellStyle name="40% - Accent4 66 2_Working Capital Current" xfId="15175" xr:uid="{A9D07352-8C6C-4144-B51E-10A47E04AC58}"/>
    <cellStyle name="40% - Accent4 66 3" xfId="10663" xr:uid="{C358D8B6-A0EB-4F6B-87B9-B06E6DE619C3}"/>
    <cellStyle name="40% - Accent4 66 4" xfId="10664" xr:uid="{09B9E388-824A-4732-8C3F-2C97440423B3}"/>
    <cellStyle name="40% - Accent4 66_Working Capital Current" xfId="15176" xr:uid="{A3F2B797-135B-4AD0-A423-8711882C300D}"/>
    <cellStyle name="40% - Accent4 67" xfId="10665" xr:uid="{57611B81-54D6-4730-A507-46C91FCA4AFA}"/>
    <cellStyle name="40% - Accent4 67 2" xfId="10666" xr:uid="{B9C717A2-69A7-41EE-81FA-9AFC504DEE61}"/>
    <cellStyle name="40% - Accent4 67 2 2" xfId="10667" xr:uid="{EF51AEDB-3B4A-41BD-9FAE-0AC22D0D5C2D}"/>
    <cellStyle name="40% - Accent4 67 2_Working Capital Current" xfId="15177" xr:uid="{9B6E7F34-FC50-422A-95AA-7C25303BDA1A}"/>
    <cellStyle name="40% - Accent4 67 3" xfId="10668" xr:uid="{D9B75ABC-6AC3-4FCB-8D67-1CCBF7ED5E66}"/>
    <cellStyle name="40% - Accent4 67 4" xfId="10669" xr:uid="{12C4A0F0-C9B8-4389-A109-8EDE7B453AE9}"/>
    <cellStyle name="40% - Accent4 67_Working Capital Current" xfId="15178" xr:uid="{38F7FE5A-094C-4E80-8EBB-DD61EF02AB16}"/>
    <cellStyle name="40% - Accent4 68" xfId="10670" xr:uid="{0102462F-65C9-444B-8582-48C556DBCE73}"/>
    <cellStyle name="40% - Accent4 68 2" xfId="10671" xr:uid="{4AF6F01E-8CDE-4DD9-B9FF-D94EDEF156C2}"/>
    <cellStyle name="40% - Accent4 68 2 2" xfId="10672" xr:uid="{7D42130A-3641-47DC-82D4-C1EB4CD232EB}"/>
    <cellStyle name="40% - Accent4 68 2_Working Capital Current" xfId="15179" xr:uid="{0C85BFE1-BCFC-4431-90F2-D7513D7FF040}"/>
    <cellStyle name="40% - Accent4 68 3" xfId="10673" xr:uid="{B47E6351-B6B0-40B9-A608-3FC8AA8B99FC}"/>
    <cellStyle name="40% - Accent4 68 4" xfId="10674" xr:uid="{A4A504BB-FDDA-4B69-81EA-C177B0776CED}"/>
    <cellStyle name="40% - Accent4 68_Working Capital Current" xfId="15180" xr:uid="{164399EB-BDC2-4DAA-B87B-F09AF32CB4A8}"/>
    <cellStyle name="40% - Accent4 69" xfId="10675" xr:uid="{0FFC32C3-72E4-42C7-80D8-38A11C51CC0B}"/>
    <cellStyle name="40% - Accent4 69 2" xfId="10676" xr:uid="{ACFC1F72-D5B9-45DD-8D1A-0547A4219D88}"/>
    <cellStyle name="40% - Accent4 69 2 2" xfId="10677" xr:uid="{EA9546C0-2873-44DB-9188-60F2A3BE7C3E}"/>
    <cellStyle name="40% - Accent4 69 2_Working Capital Current" xfId="15181" xr:uid="{53A10421-B842-41DA-8FE8-C197B93025E4}"/>
    <cellStyle name="40% - Accent4 69 3" xfId="10678" xr:uid="{820D22AE-5078-451B-B666-2E4614C786B7}"/>
    <cellStyle name="40% - Accent4 69 4" xfId="10679" xr:uid="{7FAB213F-1A52-4D87-AB1C-67A7EFDD7C79}"/>
    <cellStyle name="40% - Accent4 69_Working Capital Current" xfId="15182" xr:uid="{1F881533-C5C7-4DBD-8B45-C135496CBAE9}"/>
    <cellStyle name="40% - Accent4 7" xfId="10680" xr:uid="{12FAC6F7-B850-49C4-AEB9-5C474D771770}"/>
    <cellStyle name="40% - Accent4 7 2" xfId="10681" xr:uid="{73B70425-B5CD-4FCF-9F79-892B2377B837}"/>
    <cellStyle name="40% - Accent4 7 2 2" xfId="10682" xr:uid="{B6016EB2-329B-4881-96C6-F6D560469ED4}"/>
    <cellStyle name="40% - Accent4 7 2 2 2" xfId="10683" xr:uid="{D1CB0DAE-B252-45CE-BAC9-227C2AF0FA14}"/>
    <cellStyle name="40% - Accent4 7 2 2_Working Capital Current" xfId="15183" xr:uid="{A658345E-A6AA-496D-80DA-FD3FD8D6BB21}"/>
    <cellStyle name="40% - Accent4 7 2 3" xfId="10684" xr:uid="{357E2779-6172-432C-A469-9D275F37F35B}"/>
    <cellStyle name="40% - Accent4 7 2 4" xfId="10685" xr:uid="{F97739E6-4F41-443F-AA53-B6162DC96ED6}"/>
    <cellStyle name="40% - Accent4 7 2_Working Capital Current" xfId="15184" xr:uid="{A3CA5854-3A58-4922-9A2C-C81A0B9399A6}"/>
    <cellStyle name="40% - Accent4 7 3" xfId="10686" xr:uid="{34830701-3288-486C-A36B-4EA74E6BA9A1}"/>
    <cellStyle name="40% - Accent4 7 3 2" xfId="10687" xr:uid="{89C385A0-0670-48BF-BD63-13340D09E7EB}"/>
    <cellStyle name="40% - Accent4 7 3_Working Capital Current" xfId="15185" xr:uid="{99C00D11-E3BE-4F22-9EC1-9167C156BC35}"/>
    <cellStyle name="40% - Accent4 7 4" xfId="10688" xr:uid="{BF28CC5C-44A6-45B7-B632-40869345C1C9}"/>
    <cellStyle name="40% - Accent4 7 5" xfId="10689" xr:uid="{BD9DE509-5BDB-470B-9CD9-496109E26B73}"/>
    <cellStyle name="40% - Accent4 7_Not_for_upload_before_M4_correc" xfId="15186" xr:uid="{B287B778-77FC-4DF1-B1FD-4FB417088E21}"/>
    <cellStyle name="40% - Accent4 70" xfId="10690" xr:uid="{BF667656-B412-4445-943C-00BC0B1608A3}"/>
    <cellStyle name="40% - Accent4 70 2" xfId="10691" xr:uid="{2764B8DB-3EDD-4AF3-8999-4A9317DDABD6}"/>
    <cellStyle name="40% - Accent4 70 2 2" xfId="10692" xr:uid="{788BE35E-263C-43A7-97F4-AC31D2908B5D}"/>
    <cellStyle name="40% - Accent4 70 2_Working Capital Current" xfId="15187" xr:uid="{DCB1AC53-491A-4467-962A-14ABBF23D517}"/>
    <cellStyle name="40% - Accent4 70 3" xfId="10693" xr:uid="{3C5DDA3D-7BF5-41FD-83E0-C86659629572}"/>
    <cellStyle name="40% - Accent4 70 4" xfId="10694" xr:uid="{A2734492-397F-425F-9373-B3574E42678C}"/>
    <cellStyle name="40% - Accent4 70_Working Capital Current" xfId="15188" xr:uid="{CF076548-3C4C-4136-84E0-C35802C4AEF0}"/>
    <cellStyle name="40% - Accent4 71" xfId="10695" xr:uid="{DF802823-C332-4581-A086-D59A48C0A0B0}"/>
    <cellStyle name="40% - Accent4 71 2" xfId="10696" xr:uid="{7DE1BF7C-E47E-4EEB-825D-311B6E75B9A3}"/>
    <cellStyle name="40% - Accent4 71 2 2" xfId="10697" xr:uid="{69237DC6-FC64-4278-B795-8F78C51B9F8A}"/>
    <cellStyle name="40% - Accent4 71 2_Working Capital Current" xfId="15189" xr:uid="{D6890FCE-E170-406E-AA21-722A95457F46}"/>
    <cellStyle name="40% - Accent4 71 3" xfId="10698" xr:uid="{BB807A97-BEDE-4F2E-9B9C-7F453EE18EFD}"/>
    <cellStyle name="40% - Accent4 71 4" xfId="10699" xr:uid="{C74CE4DD-EB6A-4EF9-AB6C-358497D974BE}"/>
    <cellStyle name="40% - Accent4 71_Working Capital Current" xfId="15190" xr:uid="{B27739E6-8A03-4D07-B386-4B56BA9077D9}"/>
    <cellStyle name="40% - Accent4 72" xfId="10700" xr:uid="{A3DCF850-679F-4DB5-8AA9-4E146C8B4F31}"/>
    <cellStyle name="40% - Accent4 72 2" xfId="10701" xr:uid="{F3A0AF32-2A4A-4AC5-9483-A9F99AD403A9}"/>
    <cellStyle name="40% - Accent4 72 2 2" xfId="10702" xr:uid="{51156E1B-A640-4BD5-88AB-AE30EE7A112E}"/>
    <cellStyle name="40% - Accent4 72 2_Working Capital Current" xfId="15191" xr:uid="{614A412D-1512-4674-A896-82FF604B7F68}"/>
    <cellStyle name="40% - Accent4 72 3" xfId="10703" xr:uid="{051FCA1E-C9F8-4D3C-BA36-11B1E75C334E}"/>
    <cellStyle name="40% - Accent4 72 4" xfId="10704" xr:uid="{AC6FF1B0-82AD-4C1E-8931-890A152BE8ED}"/>
    <cellStyle name="40% - Accent4 72_Working Capital Current" xfId="15192" xr:uid="{6F3D65A4-F304-4A80-B795-A12F1AA04F2E}"/>
    <cellStyle name="40% - Accent4 73" xfId="10705" xr:uid="{B882E5FF-56BB-4EBB-8A1F-D134CD95F4B1}"/>
    <cellStyle name="40% - Accent4 73 2" xfId="10706" xr:uid="{38175659-F4B0-48D5-8CF8-E80C0A593771}"/>
    <cellStyle name="40% - Accent4 73 2 2" xfId="10707" xr:uid="{AE0E83EA-DEE2-4237-AF81-30754619622B}"/>
    <cellStyle name="40% - Accent4 73 2_Working Capital Current" xfId="15193" xr:uid="{985D2494-F88F-4220-B11E-EF6145C7412D}"/>
    <cellStyle name="40% - Accent4 73 3" xfId="10708" xr:uid="{F59D3896-9C79-4D32-93F2-AF52E5CCF6FB}"/>
    <cellStyle name="40% - Accent4 73 4" xfId="10709" xr:uid="{3E7770F9-47FB-41EC-AFB2-F317F4E1A8A4}"/>
    <cellStyle name="40% - Accent4 73_Working Capital Current" xfId="15194" xr:uid="{DD35B82B-4211-470F-83BA-A2EFBC97846B}"/>
    <cellStyle name="40% - Accent4 74" xfId="10710" xr:uid="{AF7B53EC-BE3D-4A2D-9B69-2AA60ACF73D3}"/>
    <cellStyle name="40% - Accent4 74 2" xfId="10711" xr:uid="{654D6DF8-F22E-448F-B11E-F1D1F718DC38}"/>
    <cellStyle name="40% - Accent4 74 2 2" xfId="10712" xr:uid="{DAA728DE-0934-4FE8-A45F-3815D7E33B36}"/>
    <cellStyle name="40% - Accent4 74 2_Working Capital Current" xfId="15195" xr:uid="{7F0F3726-CA8F-4149-82CD-E4E6D043F2EF}"/>
    <cellStyle name="40% - Accent4 74 3" xfId="10713" xr:uid="{B3648365-C76B-462B-9344-41E9C2C5734D}"/>
    <cellStyle name="40% - Accent4 74 4" xfId="10714" xr:uid="{46B1BF86-5B6C-42EE-9FD7-320D1EF15833}"/>
    <cellStyle name="40% - Accent4 74_Working Capital Current" xfId="15196" xr:uid="{3105AB61-640E-47CF-A32F-374CA587F559}"/>
    <cellStyle name="40% - Accent4 75" xfId="10715" xr:uid="{0EF37945-A46B-49E0-9709-17721B758AFC}"/>
    <cellStyle name="40% - Accent4 75 2" xfId="10716" xr:uid="{D1426802-47C2-40C1-B708-DF226954A689}"/>
    <cellStyle name="40% - Accent4 75 2 2" xfId="10717" xr:uid="{AE91816E-4F90-475C-886A-C06E455F3E1B}"/>
    <cellStyle name="40% - Accent4 75 2_Working Capital Current" xfId="15197" xr:uid="{BE89BA9B-F568-47D3-AD59-D6AF90DA62A7}"/>
    <cellStyle name="40% - Accent4 75 3" xfId="10718" xr:uid="{1F69B0A3-0AF7-4421-BB35-4E23CEFA06D9}"/>
    <cellStyle name="40% - Accent4 75 4" xfId="10719" xr:uid="{BD379C6C-97EE-4470-96CD-678BCFE19C0C}"/>
    <cellStyle name="40% - Accent4 75_Working Capital Current" xfId="15198" xr:uid="{744EA159-D3C1-4A37-A887-DCFBA9459FEB}"/>
    <cellStyle name="40% - Accent4 76" xfId="10720" xr:uid="{6DF6B3D1-9140-4F9F-BCF7-A61F5F426982}"/>
    <cellStyle name="40% - Accent4 76 2" xfId="10721" xr:uid="{D6068DD7-6F3C-40D4-A892-16698D744E5E}"/>
    <cellStyle name="40% - Accent4 76 2 2" xfId="10722" xr:uid="{A00D96E8-3E9C-4D7A-A126-C3EC21F2D66B}"/>
    <cellStyle name="40% - Accent4 76 2_Working Capital Current" xfId="15199" xr:uid="{ADB9B3D8-1DC4-4C81-BACC-E12FB64922D3}"/>
    <cellStyle name="40% - Accent4 76 3" xfId="10723" xr:uid="{0DBC910F-D49D-4989-9BEB-8C04CC554ED5}"/>
    <cellStyle name="40% - Accent4 76 4" xfId="10724" xr:uid="{69A456E0-9AA7-4AF2-86C3-B54947C03B3C}"/>
    <cellStyle name="40% - Accent4 76_Working Capital Current" xfId="15200" xr:uid="{7F89797B-3DA4-4704-BD97-48551A66F1F8}"/>
    <cellStyle name="40% - Accent4 77" xfId="10725" xr:uid="{9F1A44E5-6687-4865-A7D7-456220C15F51}"/>
    <cellStyle name="40% - Accent4 77 2" xfId="10726" xr:uid="{49FD866F-BF4D-4A65-966B-3A111442D552}"/>
    <cellStyle name="40% - Accent4 77 2 2" xfId="10727" xr:uid="{923FA7BC-12B4-4438-8192-575ADC0204CE}"/>
    <cellStyle name="40% - Accent4 77 2_Working Capital Current" xfId="15201" xr:uid="{656EDC15-B550-44D6-B45E-1D2A083BC7B2}"/>
    <cellStyle name="40% - Accent4 77 3" xfId="10728" xr:uid="{269775D4-7B19-4CD5-9159-C2ED1C37034F}"/>
    <cellStyle name="40% - Accent4 77 4" xfId="10729" xr:uid="{A70CAB3E-C2E2-4DB3-B877-39675C134D85}"/>
    <cellStyle name="40% - Accent4 77_Working Capital Current" xfId="15202" xr:uid="{6393CB6C-7181-47BD-AC45-580310497B17}"/>
    <cellStyle name="40% - Accent4 78" xfId="10730" xr:uid="{9A19FB65-1C03-43DD-8222-2F470DFAD1D6}"/>
    <cellStyle name="40% - Accent4 78 2" xfId="10731" xr:uid="{67032ED9-04C9-44F9-A547-42304922D31E}"/>
    <cellStyle name="40% - Accent4 78 2 2" xfId="10732" xr:uid="{DE555A2C-AA3D-41EC-A5FB-FE54C16C883A}"/>
    <cellStyle name="40% - Accent4 78 2_Working Capital Current" xfId="15203" xr:uid="{50CCBB0D-2954-480D-8531-7EED917A084C}"/>
    <cellStyle name="40% - Accent4 78 3" xfId="10733" xr:uid="{0FF6CDC5-85A7-48BF-84B7-22E0A39228E7}"/>
    <cellStyle name="40% - Accent4 78 4" xfId="10734" xr:uid="{DEE29400-275B-42C8-ADAF-F0168172123E}"/>
    <cellStyle name="40% - Accent4 78_Working Capital Current" xfId="15204" xr:uid="{C1ABCE18-60B9-4882-BB6A-51D3B98F068C}"/>
    <cellStyle name="40% - Accent4 79" xfId="10735" xr:uid="{EA33199A-42FE-4909-9D65-C390AC134F37}"/>
    <cellStyle name="40% - Accent4 79 2" xfId="10736" xr:uid="{6387DD9E-57C5-409B-A014-69ACE577F829}"/>
    <cellStyle name="40% - Accent4 79 2 2" xfId="10737" xr:uid="{037C9E63-CD0B-48D6-9AAC-D4249C612BB2}"/>
    <cellStyle name="40% - Accent4 79 2_Working Capital Current" xfId="15205" xr:uid="{4A51FEE5-4C57-42B9-8739-E845AF65B66D}"/>
    <cellStyle name="40% - Accent4 79 3" xfId="10738" xr:uid="{82FEAE1C-0C43-4BC2-89A1-3271B9EFB83F}"/>
    <cellStyle name="40% - Accent4 79 4" xfId="10739" xr:uid="{645F1063-90D4-44EB-86CB-B9C4F484FB61}"/>
    <cellStyle name="40% - Accent4 79_Working Capital Current" xfId="15206" xr:uid="{132DA04A-BDA7-4ADC-AB06-E9E64FFD2268}"/>
    <cellStyle name="40% - Accent4 8" xfId="10740" xr:uid="{8019076A-5204-48D7-AEE6-66ED647441CC}"/>
    <cellStyle name="40% - Accent4 8 2" xfId="10741" xr:uid="{15CEDB94-27FD-4744-9A56-CDD2205D4981}"/>
    <cellStyle name="40% - Accent4 8 2 2" xfId="10742" xr:uid="{04EB220B-A761-4ED2-9084-6A6175D6A732}"/>
    <cellStyle name="40% - Accent4 8 2 2 2" xfId="10743" xr:uid="{17BB71C8-3870-4423-B46B-470D98969EC8}"/>
    <cellStyle name="40% - Accent4 8 2 2_Working Capital Current" xfId="15207" xr:uid="{DF0761A3-1164-46FB-8BF4-04B4A55B6B09}"/>
    <cellStyle name="40% - Accent4 8 2 3" xfId="10744" xr:uid="{274C5DCA-B4C4-47CA-BFC0-D4F752A4B36F}"/>
    <cellStyle name="40% - Accent4 8 2 4" xfId="10745" xr:uid="{675FF7CF-4539-49FE-B716-739F59174903}"/>
    <cellStyle name="40% - Accent4 8 2_Working Capital Current" xfId="15208" xr:uid="{DB997320-1482-4647-B089-3D3F2133D4C6}"/>
    <cellStyle name="40% - Accent4 8 3" xfId="10746" xr:uid="{D50ABA2A-B4CD-438D-A6F8-F4576628F3D4}"/>
    <cellStyle name="40% - Accent4 8 3 2" xfId="10747" xr:uid="{12B8E20C-A537-40C1-BEAD-179C68F315F7}"/>
    <cellStyle name="40% - Accent4 8 3_Working Capital Current" xfId="15209" xr:uid="{6E1A0D5D-B116-408C-8009-212D572BE592}"/>
    <cellStyle name="40% - Accent4 8 4" xfId="10748" xr:uid="{EE706481-2C6A-47AA-82A0-4D51C97AFD77}"/>
    <cellStyle name="40% - Accent4 8 5" xfId="10749" xr:uid="{6A87448E-6CEE-4851-9331-E79FEF33CEF9}"/>
    <cellStyle name="40% - Accent4 8_Not_for_upload_before_M4_correc" xfId="15210" xr:uid="{A8173CE9-8D77-407A-9DA3-85BBBB0C382A}"/>
    <cellStyle name="40% - Accent4 80" xfId="10750" xr:uid="{E9674891-76C9-4BC5-8DF3-8B178E7B3181}"/>
    <cellStyle name="40% - Accent4 80 2" xfId="10751" xr:uid="{CB5A6DFC-AFE8-4C1F-BFC5-4CBB2DBB144D}"/>
    <cellStyle name="40% - Accent4 80 2 2" xfId="10752" xr:uid="{B440A00E-9852-4EE6-AA62-29B8E3EBEF71}"/>
    <cellStyle name="40% - Accent4 80 2_Working Capital Current" xfId="15211" xr:uid="{BAD78678-62F1-445F-B796-072CA8F4BD93}"/>
    <cellStyle name="40% - Accent4 80 3" xfId="10753" xr:uid="{72C2BB10-87E6-47DC-9309-4274013528BE}"/>
    <cellStyle name="40% - Accent4 80 4" xfId="10754" xr:uid="{2EE97E23-6832-417F-8FCC-BEE17CBB3AFA}"/>
    <cellStyle name="40% - Accent4 80_Working Capital Current" xfId="15212" xr:uid="{9341A24B-A881-4FDC-A839-918D91217EA3}"/>
    <cellStyle name="40% - Accent4 81" xfId="10755" xr:uid="{6BCC5CAE-650B-403B-8DCE-BC8CC196E399}"/>
    <cellStyle name="40% - Accent4 81 2" xfId="10756" xr:uid="{D5FF1BDD-BFAB-4CE6-BDE2-A993F3AF0C29}"/>
    <cellStyle name="40% - Accent4 81 2 2" xfId="10757" xr:uid="{37A1BD68-AC7B-4BF0-855C-6847F0C1EC3B}"/>
    <cellStyle name="40% - Accent4 81 2_Working Capital Current" xfId="15213" xr:uid="{8C0F0A13-C436-4241-A810-841F1FD06526}"/>
    <cellStyle name="40% - Accent4 81 3" xfId="10758" xr:uid="{BF089DB9-2494-47B6-BC6C-EB78E6C34FCE}"/>
    <cellStyle name="40% - Accent4 81 4" xfId="10759" xr:uid="{C7276AA0-098D-4913-9218-DCE725873E24}"/>
    <cellStyle name="40% - Accent4 81_Working Capital Current" xfId="15214" xr:uid="{3BBF3B3F-CC1A-4127-9191-E4D045B93BAD}"/>
    <cellStyle name="40% - Accent4 82" xfId="10760" xr:uid="{715CFCD6-FF07-45BE-90B5-AB35C4702522}"/>
    <cellStyle name="40% - Accent4 82 2" xfId="10761" xr:uid="{01F15323-0D03-4156-8B21-867C5F35347E}"/>
    <cellStyle name="40% - Accent4 82 2 2" xfId="10762" xr:uid="{3B4962BB-FAF7-41A3-A812-E4DD2E7BE2B2}"/>
    <cellStyle name="40% - Accent4 82 2_Working Capital Current" xfId="15215" xr:uid="{C1391971-A347-47D3-9A95-2CCF9632120D}"/>
    <cellStyle name="40% - Accent4 82 3" xfId="10763" xr:uid="{30826409-75B4-48DB-88A1-23A16CFECE3F}"/>
    <cellStyle name="40% - Accent4 82 4" xfId="10764" xr:uid="{548FDFB3-B8E7-4965-8185-783B900C2828}"/>
    <cellStyle name="40% - Accent4 82_Working Capital Current" xfId="15216" xr:uid="{25004DF0-C580-4213-9BDF-CDF6896B6639}"/>
    <cellStyle name="40% - Accent4 83" xfId="10765" xr:uid="{1BA2A313-E58A-42A1-8C75-57BA443DE77D}"/>
    <cellStyle name="40% - Accent4 83 2" xfId="10766" xr:uid="{B0F3347F-3853-45DA-8EA9-0F0013E750D3}"/>
    <cellStyle name="40% - Accent4 83 2 2" xfId="10767" xr:uid="{ED62EABC-B99B-48D6-8A6F-D981777D15A4}"/>
    <cellStyle name="40% - Accent4 83 2_Working Capital Current" xfId="15217" xr:uid="{FC7DF92A-29CF-46F6-A107-E1F681A0C6FD}"/>
    <cellStyle name="40% - Accent4 83 3" xfId="10768" xr:uid="{DD5319DD-87AA-4C39-92A1-C0A1F15AE827}"/>
    <cellStyle name="40% - Accent4 83 4" xfId="10769" xr:uid="{AA3EB4D2-9C46-461C-83D5-9CE39DB9CFBE}"/>
    <cellStyle name="40% - Accent4 83_Working Capital Current" xfId="15218" xr:uid="{38EB0D4A-C40F-485B-88D3-F70E5BAE34FD}"/>
    <cellStyle name="40% - Accent4 84" xfId="10770" xr:uid="{0830980D-3758-42CE-9F72-7774867A790F}"/>
    <cellStyle name="40% - Accent4 84 2" xfId="10771" xr:uid="{617292E4-6802-4CFA-A1F6-FE6B3F6D1DD3}"/>
    <cellStyle name="40% - Accent4 84 2 2" xfId="10772" xr:uid="{E1D9C271-9702-4FE9-97EF-79520C296814}"/>
    <cellStyle name="40% - Accent4 84 2_Working Capital Current" xfId="15219" xr:uid="{E4B4ABA4-7ED8-4F01-9CF2-EB9E51B2AB0C}"/>
    <cellStyle name="40% - Accent4 84 3" xfId="10773" xr:uid="{2FAC508D-9B7F-4F0A-AE8A-BB6C03B30759}"/>
    <cellStyle name="40% - Accent4 84 4" xfId="10774" xr:uid="{E42BA64A-FE7F-4FD8-BE6F-6788240CC4B0}"/>
    <cellStyle name="40% - Accent4 84_Working Capital Current" xfId="15220" xr:uid="{EAB6D3F4-BC80-4275-81B6-24F3A5CBA092}"/>
    <cellStyle name="40% - Accent4 85" xfId="10775" xr:uid="{2336F85B-6662-44D8-9A2E-244303C05869}"/>
    <cellStyle name="40% - Accent4 85 2" xfId="10776" xr:uid="{5168EB0A-E06D-4A45-B588-C3C6B741E42A}"/>
    <cellStyle name="40% - Accent4 85 2 2" xfId="10777" xr:uid="{4A0063F9-037C-4AE6-A66F-EADA35258A0F}"/>
    <cellStyle name="40% - Accent4 85 2_Working Capital Current" xfId="15221" xr:uid="{A6283A5B-1A38-4998-90EE-885A8E0BADCF}"/>
    <cellStyle name="40% - Accent4 85 3" xfId="10778" xr:uid="{10B219C8-7C90-4ADE-A96F-A2D494C9A517}"/>
    <cellStyle name="40% - Accent4 85 4" xfId="10779" xr:uid="{404CDB39-8D10-4DE7-BEC0-D1E5879BFA7C}"/>
    <cellStyle name="40% - Accent4 85_Working Capital Current" xfId="15222" xr:uid="{E0B14E20-F41D-494E-8410-588707B35CDA}"/>
    <cellStyle name="40% - Accent4 86" xfId="10780" xr:uid="{C772EBFB-410D-4313-B49B-1BAB67FCCF5A}"/>
    <cellStyle name="40% - Accent4 86 2" xfId="10781" xr:uid="{9BBE001D-346D-4594-8A77-17363DAC1D17}"/>
    <cellStyle name="40% - Accent4 86 2 2" xfId="10782" xr:uid="{4780F660-0CD8-47DC-BB6E-579B007D4B24}"/>
    <cellStyle name="40% - Accent4 86 2_Working Capital Current" xfId="15223" xr:uid="{91947184-D309-4712-A58B-4C37A4A73986}"/>
    <cellStyle name="40% - Accent4 86 3" xfId="10783" xr:uid="{7F2AAEF1-1817-4A54-9811-6FBB7522AE6A}"/>
    <cellStyle name="40% - Accent4 86 4" xfId="10784" xr:uid="{9C08CFE2-F0F0-477C-AFC9-2BC65D6E5D1E}"/>
    <cellStyle name="40% - Accent4 86_Working Capital Current" xfId="15224" xr:uid="{8DB3ED25-3B33-469E-91BE-D4F0B15955FC}"/>
    <cellStyle name="40% - Accent4 87" xfId="10785" xr:uid="{EF27211C-9B15-4605-81A7-7394CD3BD451}"/>
    <cellStyle name="40% - Accent4 87 2" xfId="10786" xr:uid="{2BD8DA8F-719E-49F4-9AC5-9360783FBD94}"/>
    <cellStyle name="40% - Accent4 87 2 2" xfId="10787" xr:uid="{71D5984A-AF34-4D62-99BB-B63D79CB0477}"/>
    <cellStyle name="40% - Accent4 87 2_Working Capital Current" xfId="15225" xr:uid="{B1BC8227-ADDD-47E5-B91C-A61B80345BDB}"/>
    <cellStyle name="40% - Accent4 87 3" xfId="10788" xr:uid="{31657B64-E0BC-48F8-8A72-2DDAFD8BBC01}"/>
    <cellStyle name="40% - Accent4 87 4" xfId="10789" xr:uid="{628826B1-0FEB-48AD-9F53-A764855D1474}"/>
    <cellStyle name="40% - Accent4 87_Working Capital Current" xfId="15226" xr:uid="{4928F80C-E343-408F-9131-8B613E6AF0BA}"/>
    <cellStyle name="40% - Accent4 88" xfId="10790" xr:uid="{4EC1D9B4-83C9-47E0-AFB8-68FB204AA0AD}"/>
    <cellStyle name="40% - Accent4 88 2" xfId="10791" xr:uid="{10DDC12D-1B5E-4D00-B395-9BF5AE8A9C54}"/>
    <cellStyle name="40% - Accent4 88 2 2" xfId="10792" xr:uid="{E1A97EEA-7D9E-4519-8B7E-7EE7D8D57247}"/>
    <cellStyle name="40% - Accent4 88 2_Working Capital Current" xfId="15227" xr:uid="{CCBA5896-48EB-4F17-A836-BBCAA935D34C}"/>
    <cellStyle name="40% - Accent4 88 3" xfId="10793" xr:uid="{22783703-9FA6-4D26-AB94-18DB266F95B0}"/>
    <cellStyle name="40% - Accent4 88 4" xfId="10794" xr:uid="{96F47A64-EC16-4EB0-88A0-7329D7B6DEC2}"/>
    <cellStyle name="40% - Accent4 88_Working Capital Current" xfId="15228" xr:uid="{7389FB95-916C-49E8-A327-40EB23CBC839}"/>
    <cellStyle name="40% - Accent4 89" xfId="10795" xr:uid="{EC1F00AA-FE79-435F-95F6-BBDD951355DF}"/>
    <cellStyle name="40% - Accent4 89 2" xfId="10796" xr:uid="{BE2BDF3B-A5E7-41B5-A69A-E0D54F1A140E}"/>
    <cellStyle name="40% - Accent4 89 2 2" xfId="10797" xr:uid="{8BDC72F2-A75C-450A-A400-FACB806339CF}"/>
    <cellStyle name="40% - Accent4 89 2_Working Capital Current" xfId="15229" xr:uid="{315A6B0E-6DC2-4EC5-9E63-948332D4E7D2}"/>
    <cellStyle name="40% - Accent4 89 3" xfId="10798" xr:uid="{A4A3EC59-98FB-4B3F-B0D9-170409CF5061}"/>
    <cellStyle name="40% - Accent4 89 4" xfId="10799" xr:uid="{703D47E7-A687-471B-9D90-6AC8650A142F}"/>
    <cellStyle name="40% - Accent4 89_Working Capital Current" xfId="15230" xr:uid="{01DDB9FB-4C9C-4E42-9E40-9A60D9D43B91}"/>
    <cellStyle name="40% - Accent4 9" xfId="10800" xr:uid="{9BE0CF86-7A30-42AC-B78B-6991B4906330}"/>
    <cellStyle name="40% - Accent4 9 2" xfId="10801" xr:uid="{40DA71A6-1802-4B10-B85E-FF8C54491246}"/>
    <cellStyle name="40% - Accent4 9 2 2" xfId="10802" xr:uid="{2494EF82-842B-4D2E-9453-31B458BEFCE2}"/>
    <cellStyle name="40% - Accent4 9 2 2 2" xfId="10803" xr:uid="{F71DD45C-E616-428D-A986-DC4ADE4BDD4E}"/>
    <cellStyle name="40% - Accent4 9 2 2_Working Capital Current" xfId="15231" xr:uid="{268E2243-CF3E-4E56-81D5-40D38204ADC4}"/>
    <cellStyle name="40% - Accent4 9 2 3" xfId="10804" xr:uid="{B8A2783A-7A6A-4F82-B7CE-62A242C776B9}"/>
    <cellStyle name="40% - Accent4 9 2 4" xfId="10805" xr:uid="{5D4A8740-4FD3-476E-A9E1-58A3EB0AFF24}"/>
    <cellStyle name="40% - Accent4 9 2_Working Capital Current" xfId="15232" xr:uid="{D97C842E-E4EB-417B-BCFD-43E487A2DE57}"/>
    <cellStyle name="40% - Accent4 9 3" xfId="10806" xr:uid="{3F3EBF48-9525-482D-92F9-6610692C8E71}"/>
    <cellStyle name="40% - Accent4 9 3 2" xfId="10807" xr:uid="{CB45B9B7-3948-46C2-9168-0CA6DD7C2EB0}"/>
    <cellStyle name="40% - Accent4 9 3_Working Capital Current" xfId="15233" xr:uid="{C9DD25C5-1ABB-42A6-B5B7-32707428A6E8}"/>
    <cellStyle name="40% - Accent4 9 4" xfId="10808" xr:uid="{495EF543-AEC1-4DC7-B053-E01044AC4DE5}"/>
    <cellStyle name="40% - Accent4 9 5" xfId="10809" xr:uid="{0C608F6C-9E06-4A43-ACF6-3FDAE015B8DE}"/>
    <cellStyle name="40% - Accent4 9_Not_for_upload_before_M4_correc" xfId="15234" xr:uid="{1F5E3C1D-0FF8-4A22-BF3A-B428AA572BC3}"/>
    <cellStyle name="40% - Accent4 90" xfId="10810" xr:uid="{42B720D5-C3F2-46A9-9A54-CD5500B03159}"/>
    <cellStyle name="40% - Accent4 90 2" xfId="10811" xr:uid="{D9FD4E73-8F2C-40C6-A935-950D005165E6}"/>
    <cellStyle name="40% - Accent4 90 2 2" xfId="10812" xr:uid="{789ABF01-5383-4CA6-97B8-C285AE549810}"/>
    <cellStyle name="40% - Accent4 90 2_Working Capital Current" xfId="15235" xr:uid="{A9B12B1E-8AB8-40CE-863A-0B64AC26B075}"/>
    <cellStyle name="40% - Accent4 90 3" xfId="10813" xr:uid="{E9EBC8F7-64EC-4DDA-90C0-335F98BAB39D}"/>
    <cellStyle name="40% - Accent4 90 4" xfId="10814" xr:uid="{75BB9AF3-354E-4713-B38E-B62D1F354E3A}"/>
    <cellStyle name="40% - Accent4 90_Working Capital Current" xfId="15236" xr:uid="{EE0EE678-3B0A-4B50-B3E6-0F5B0ED5E33F}"/>
    <cellStyle name="40% - Accent4 91" xfId="10815" xr:uid="{EBEA05A2-A8F5-4F1B-8F31-D5AD51AFB30B}"/>
    <cellStyle name="40% - Accent4 91 2" xfId="10816" xr:uid="{970C280C-F9E7-4A3B-9F42-BDC1CFC38C1B}"/>
    <cellStyle name="40% - Accent4 91 2 2" xfId="10817" xr:uid="{8287742A-E07E-4A0C-AF71-BD9D256473FB}"/>
    <cellStyle name="40% - Accent4 91 2_Working Capital Current" xfId="15237" xr:uid="{217E7368-1512-4AB2-A433-C6DABE683F1D}"/>
    <cellStyle name="40% - Accent4 91 3" xfId="10818" xr:uid="{73BA6407-CA5E-45DA-A4AB-BB6A1F735BEE}"/>
    <cellStyle name="40% - Accent4 91 4" xfId="10819" xr:uid="{0F75F2FA-6216-4B50-A727-05F5B8B0E20E}"/>
    <cellStyle name="40% - Accent4 91_Working Capital Current" xfId="15238" xr:uid="{7DA36809-23F9-4373-B41A-0F26BC9CD1F7}"/>
    <cellStyle name="40% - Accent4 92" xfId="10820" xr:uid="{0F2173DD-DB90-43B4-A74F-42147F23F5C1}"/>
    <cellStyle name="40% - Accent4 92 2" xfId="10821" xr:uid="{FA1795BB-E2E0-4D42-96C4-C39C09E9B176}"/>
    <cellStyle name="40% - Accent4 92 2 2" xfId="10822" xr:uid="{B06A9F61-84C4-44F1-ACBE-59459A1DE44A}"/>
    <cellStyle name="40% - Accent4 92 2_Working Capital Current" xfId="15239" xr:uid="{4E8C90D6-32AF-4FF8-A9B0-5F829BD6F5B6}"/>
    <cellStyle name="40% - Accent4 92 3" xfId="10823" xr:uid="{18840B94-8C94-4FA5-8D73-522B36E53F4E}"/>
    <cellStyle name="40% - Accent4 92 4" xfId="10824" xr:uid="{84204556-4383-42AE-8C5E-615682466815}"/>
    <cellStyle name="40% - Accent4 92_Working Capital Current" xfId="15240" xr:uid="{3475E91A-49AF-4DCC-8E83-556950FEC8C8}"/>
    <cellStyle name="40% - Accent4 93" xfId="10825" xr:uid="{C0917AF5-6A42-4C9E-8473-4588298DFFFE}"/>
    <cellStyle name="40% - Accent4 93 2" xfId="10826" xr:uid="{504C1AD2-37A2-4B50-BEDB-C61038F19176}"/>
    <cellStyle name="40% - Accent4 93 2 2" xfId="10827" xr:uid="{F99A134B-9FC6-4AF3-BBF6-43C411B67BB4}"/>
    <cellStyle name="40% - Accent4 93 2_Working Capital Current" xfId="15241" xr:uid="{B16B03D8-DD57-4169-AC7B-0F693B19B788}"/>
    <cellStyle name="40% - Accent4 93 3" xfId="10828" xr:uid="{4DFC01A8-6A76-4F15-ACD9-32752DDF85BF}"/>
    <cellStyle name="40% - Accent4 93 4" xfId="10829" xr:uid="{FCAB62BA-2219-4266-83BD-D927A395CF95}"/>
    <cellStyle name="40% - Accent4 93_Working Capital Current" xfId="15242" xr:uid="{865535B9-5547-4245-B1AD-9DEF6A4131F4}"/>
    <cellStyle name="40% - Accent4 94" xfId="10830" xr:uid="{C557A85B-60AE-4E69-98BD-A11426D6CBDB}"/>
    <cellStyle name="40% - Accent4 94 2" xfId="10831" xr:uid="{6A5B13FB-E063-4116-9938-4F724921B14B}"/>
    <cellStyle name="40% - Accent4 94 2 2" xfId="10832" xr:uid="{4BD172E8-1982-4F32-91FA-C52A18047736}"/>
    <cellStyle name="40% - Accent4 94 2_Working Capital Current" xfId="15243" xr:uid="{E61A6189-911E-49C2-B8D4-FE63A040BC6B}"/>
    <cellStyle name="40% - Accent4 94 3" xfId="10833" xr:uid="{3CE5B44B-10B3-40D9-BDD5-AC384F19B56C}"/>
    <cellStyle name="40% - Accent4 94 4" xfId="10834" xr:uid="{2060AF9F-FC61-4837-B594-6109FC4CFA97}"/>
    <cellStyle name="40% - Accent4 94_Working Capital Current" xfId="15244" xr:uid="{741EE07E-A267-4BF0-9AD2-49428EB31CD2}"/>
    <cellStyle name="40% - Accent4 95" xfId="10835" xr:uid="{A7C591DF-72A0-4E09-8F74-FA756D6E502C}"/>
    <cellStyle name="40% - Accent4 95 2" xfId="10836" xr:uid="{5DB2A5F3-A99C-496D-A55C-7809863328F5}"/>
    <cellStyle name="40% - Accent4 95 2 2" xfId="10837" xr:uid="{5381D619-E647-448A-BD1D-EA423ABF272E}"/>
    <cellStyle name="40% - Accent4 95 2_Working Capital Current" xfId="15245" xr:uid="{AE23A545-B27C-416D-81C8-635E978B3C38}"/>
    <cellStyle name="40% - Accent4 95 3" xfId="10838" xr:uid="{35F5DF0A-5C48-4D99-A964-81731221A480}"/>
    <cellStyle name="40% - Accent4 95 4" xfId="10839" xr:uid="{AB5DF62C-A1A5-4823-AC9B-6D202F81AF09}"/>
    <cellStyle name="40% - Accent4 95_Working Capital Current" xfId="15246" xr:uid="{DB8D6C0E-DBE1-48F5-A063-F302657EF6AC}"/>
    <cellStyle name="40% - Accent4 96" xfId="10840" xr:uid="{C03D48B7-FE18-44C9-8249-5EC282BCF2F1}"/>
    <cellStyle name="40% - Accent4 96 2" xfId="10841" xr:uid="{E866F3BB-1F26-461E-9835-6C7C5FAA21F0}"/>
    <cellStyle name="40% - Accent4 96 2 2" xfId="10842" xr:uid="{267A4330-F990-41DD-BBE0-98077F5F32B0}"/>
    <cellStyle name="40% - Accent4 96 2_Working Capital Current" xfId="15247" xr:uid="{DDC4ECF6-FA99-4346-A46B-662CCBF5E196}"/>
    <cellStyle name="40% - Accent4 96 3" xfId="10843" xr:uid="{D3457741-73B9-4696-B68C-0BF98ED88E72}"/>
    <cellStyle name="40% - Accent4 96 4" xfId="10844" xr:uid="{6BD5AD0B-5414-4FC1-BA6F-BEFC6C08C0A3}"/>
    <cellStyle name="40% - Accent4 96_Working Capital Current" xfId="15248" xr:uid="{82C589CC-7E29-4651-B0B5-15FA19705596}"/>
    <cellStyle name="40% - Accent4 97" xfId="10845" xr:uid="{D309DA2F-A17C-4CEC-8B8F-4E7C916B8DFF}"/>
    <cellStyle name="40% - Accent4 97 2" xfId="10846" xr:uid="{D7E55621-212D-4788-B7E2-5D4A02945549}"/>
    <cellStyle name="40% - Accent4 97 2 2" xfId="10847" xr:uid="{FC2C2076-3538-406C-9BFF-8EDA75193D14}"/>
    <cellStyle name="40% - Accent4 97 2_Working Capital Current" xfId="15249" xr:uid="{137ECA90-94F3-46E9-9CD4-46F81B641A6D}"/>
    <cellStyle name="40% - Accent4 97 3" xfId="10848" xr:uid="{F19295B6-5FB8-4828-8838-54777EF5AF91}"/>
    <cellStyle name="40% - Accent4 97 4" xfId="10849" xr:uid="{191E7824-3935-4F86-9FA5-51878C17F3E5}"/>
    <cellStyle name="40% - Accent4 97_Working Capital Current" xfId="15250" xr:uid="{AD246EB5-7C7A-4A2F-82FF-16A9388F0878}"/>
    <cellStyle name="40% - Accent4 98" xfId="10850" xr:uid="{25C4A24E-5A82-44B5-8CEB-6F8512B9EEE5}"/>
    <cellStyle name="40% - Accent4 98 2" xfId="10851" xr:uid="{C0F3EC99-B167-44CF-850C-7B2F3D9C0971}"/>
    <cellStyle name="40% - Accent4 98 2 2" xfId="10852" xr:uid="{837B7FE4-AAA3-4DE9-A834-CB3F386EC79D}"/>
    <cellStyle name="40% - Accent4 98 2_Working Capital Current" xfId="15251" xr:uid="{BD550753-F353-4412-BC6E-45549A6782E1}"/>
    <cellStyle name="40% - Accent4 98 3" xfId="10853" xr:uid="{45956BF1-5FA8-424E-88AD-DC520EA0ECD9}"/>
    <cellStyle name="40% - Accent4 98 4" xfId="10854" xr:uid="{4F47D298-4EA4-42E9-8096-3B409BEDE9BB}"/>
    <cellStyle name="40% - Accent4 98_Working Capital Current" xfId="15252" xr:uid="{A70637A1-C726-448C-A797-67CE9F76EC1B}"/>
    <cellStyle name="40% - Accent4 99" xfId="10855" xr:uid="{FDA81297-7DA0-4E6E-923D-8CA5CDCE4693}"/>
    <cellStyle name="40% - Accent4 99 2" xfId="10856" xr:uid="{E546D744-5EBD-4B03-B8BE-B0D690CE94DE}"/>
    <cellStyle name="40% - Accent4 99 2 2" xfId="10857" xr:uid="{11AD4016-525B-43A7-A403-1A9E273881A0}"/>
    <cellStyle name="40% - Accent4 99 2_Working Capital Current" xfId="15253" xr:uid="{C1FA8C0C-D148-4AF1-9BB7-194EF73A1990}"/>
    <cellStyle name="40% - Accent4 99 3" xfId="10858" xr:uid="{A04B9904-585F-41BA-A01B-C9ECC5F72111}"/>
    <cellStyle name="40% - Accent4 99 4" xfId="10859" xr:uid="{55367279-7D1A-4EC2-977E-A986F41B4890}"/>
    <cellStyle name="40% - Accent4 99_Working Capital Current" xfId="15254" xr:uid="{9020A2CF-79C9-4450-9EC1-560262910FAE}"/>
    <cellStyle name="40% - Accent5" xfId="40" builtinId="47" customBuiltin="1"/>
    <cellStyle name="40% - Accent5 10" xfId="10860" xr:uid="{50B4BD12-AF9F-4140-B97D-6C9FDC562BA7}"/>
    <cellStyle name="40% - Accent5 10 2" xfId="10861" xr:uid="{889A0C93-70FD-4BFD-A557-8C202C3C7816}"/>
    <cellStyle name="40% - Accent5 10 2 2" xfId="10862" xr:uid="{0F452533-2837-430D-B821-0757AF183DE0}"/>
    <cellStyle name="40% - Accent5 10 2 2 2" xfId="10863" xr:uid="{05A8FE3E-052D-4C6D-B2EA-28A9B71D052E}"/>
    <cellStyle name="40% - Accent5 10 2 2_Working Capital Current" xfId="15255" xr:uid="{B30ECD09-E749-4B1A-A1FA-8303746027E6}"/>
    <cellStyle name="40% - Accent5 10 2 3" xfId="10864" xr:uid="{AF39C72E-8077-4178-BD98-C539131BBA7C}"/>
    <cellStyle name="40% - Accent5 10 2 4" xfId="10865" xr:uid="{0CFB4E21-8D91-4992-A1A9-DD5AB133D17B}"/>
    <cellStyle name="40% - Accent5 10 2_Working Capital Current" xfId="15256" xr:uid="{4130B9DE-B939-48C5-9A35-5E06DD9E4CBA}"/>
    <cellStyle name="40% - Accent5 10 3" xfId="10866" xr:uid="{F031E840-2F71-406B-8CD9-D637291C4CA4}"/>
    <cellStyle name="40% - Accent5 10 3 2" xfId="10867" xr:uid="{473C33AE-B705-4AA4-85CE-8D965BB56FF3}"/>
    <cellStyle name="40% - Accent5 10 3_Working Capital Current" xfId="15257" xr:uid="{36D3A720-AC0E-4ED5-99A7-A967A26108B6}"/>
    <cellStyle name="40% - Accent5 10 4" xfId="10868" xr:uid="{FDF415B3-9AAA-4BF4-98F7-40D85A90D11B}"/>
    <cellStyle name="40% - Accent5 10 5" xfId="10869" xr:uid="{802347A5-0405-4665-A7AE-EC0391C9EEDA}"/>
    <cellStyle name="40% - Accent5 10_Not_for_upload_before_M4_correc" xfId="15258" xr:uid="{D03034D1-A29D-4ADD-922E-4B63C496B727}"/>
    <cellStyle name="40% - Accent5 100" xfId="10870" xr:uid="{665905D3-1BA9-4530-8C9C-77B6F2A90F96}"/>
    <cellStyle name="40% - Accent5 100 2" xfId="10871" xr:uid="{ACFDF59F-2637-49B4-AEAB-C5A6C90580B0}"/>
    <cellStyle name="40% - Accent5 100 2 2" xfId="10872" xr:uid="{86889277-E9B7-4002-8A32-CAEA1E2A2BAF}"/>
    <cellStyle name="40% - Accent5 100 2_Working Capital Current" xfId="15259" xr:uid="{8F187BE5-C3EB-4B3D-93FD-D12062CEFC1F}"/>
    <cellStyle name="40% - Accent5 100 3" xfId="10873" xr:uid="{E0E47C7F-7419-45BC-B43A-10F3851096E7}"/>
    <cellStyle name="40% - Accent5 100 4" xfId="10874" xr:uid="{D78FCF6E-7E98-4478-96E9-92DDC7313933}"/>
    <cellStyle name="40% - Accent5 100_Working Capital Current" xfId="15260" xr:uid="{1AF90EED-FA92-4142-9B5A-CE88CE300D95}"/>
    <cellStyle name="40% - Accent5 101" xfId="10875" xr:uid="{6C29DFC6-D125-48EA-A90F-5B65631494D8}"/>
    <cellStyle name="40% - Accent5 101 2" xfId="10876" xr:uid="{4FF63F3A-226D-4DE6-9F3F-D3D46B05D143}"/>
    <cellStyle name="40% - Accent5 101 3" xfId="10877" xr:uid="{40A9548C-5CFD-4402-9E59-AFE1E189C701}"/>
    <cellStyle name="40% - Accent5 101_Working Capital Current" xfId="15261" xr:uid="{44E462D4-A358-4B75-8AE6-8A8E3A298EF5}"/>
    <cellStyle name="40% - Accent5 102" xfId="10878" xr:uid="{9C3FC092-289B-40BD-8C4C-CE4588A76E60}"/>
    <cellStyle name="40% - Accent5 102 2" xfId="10879" xr:uid="{A8412D49-120D-4AFE-860B-6C88AB8CA3F6}"/>
    <cellStyle name="40% - Accent5 102 3" xfId="10880" xr:uid="{CCC6797C-F3D3-4D0A-AF57-47CE2BF46BA4}"/>
    <cellStyle name="40% - Accent5 102_Working Capital Current" xfId="15262" xr:uid="{B2F16B9F-0E50-4267-8C0C-619C07B9CE41}"/>
    <cellStyle name="40% - Accent5 103" xfId="10881" xr:uid="{228F1E41-C450-428D-9073-8B41BE7DBE54}"/>
    <cellStyle name="40% - Accent5 104" xfId="10882" xr:uid="{D75A31AF-535D-4F10-91ED-98F54AD0EAF2}"/>
    <cellStyle name="40% - Accent5 105" xfId="15263" xr:uid="{0FEDCA94-794E-4272-807A-F89895F9934B}"/>
    <cellStyle name="40% - Accent5 106" xfId="16499" xr:uid="{663EC48A-E93A-473D-AC78-7B1BE7234D2F}"/>
    <cellStyle name="40% - Accent5 107" xfId="16984" xr:uid="{B67154A8-AB92-4F29-B908-D209F7507F1D}"/>
    <cellStyle name="40% - Accent5 108" xfId="3898" xr:uid="{26D01A52-4635-45DD-8056-372D1EA827B5}"/>
    <cellStyle name="40% - Accent5 109" xfId="18255" xr:uid="{35A4DD56-30BE-4687-B821-F8CBABA3D3B8}"/>
    <cellStyle name="40% - Accent5 11" xfId="10883" xr:uid="{1485BCDE-ED59-46C1-B88D-88F3F9B801BB}"/>
    <cellStyle name="40% - Accent5 11 2" xfId="10884" xr:uid="{D17B3D52-B092-4AFF-9730-558E423B1659}"/>
    <cellStyle name="40% - Accent5 11 2 2" xfId="10885" xr:uid="{5A9E0D25-5635-49E5-9413-BBF9A2AC7515}"/>
    <cellStyle name="40% - Accent5 11 2 2 2" xfId="10886" xr:uid="{7C307D84-AB28-4547-A071-C3249CA72E21}"/>
    <cellStyle name="40% - Accent5 11 2 2_Working Capital Current" xfId="15264" xr:uid="{9145D942-6C0C-439A-8AFF-60FD5ABF21EB}"/>
    <cellStyle name="40% - Accent5 11 2 3" xfId="10887" xr:uid="{DFFBC918-3000-4548-824B-65F3F8F252BB}"/>
    <cellStyle name="40% - Accent5 11 2 4" xfId="10888" xr:uid="{F210E612-D587-4F5C-93C7-E7F11D0E254D}"/>
    <cellStyle name="40% - Accent5 11 2_Working Capital Current" xfId="15265" xr:uid="{42D9C253-4DB0-42D2-9F4C-E37F5A807137}"/>
    <cellStyle name="40% - Accent5 11 3" xfId="10889" xr:uid="{0C9B2051-89C5-442E-AD17-C5FD316A222F}"/>
    <cellStyle name="40% - Accent5 11 3 2" xfId="10890" xr:uid="{DEF9A1C3-ABBB-41E5-A9C3-D3196B8683B9}"/>
    <cellStyle name="40% - Accent5 11 3_Working Capital Current" xfId="15266" xr:uid="{1B020802-631E-42D9-ABE3-DC807AE78D73}"/>
    <cellStyle name="40% - Accent5 11 4" xfId="10891" xr:uid="{CF48C8B1-468F-4D14-9EFC-303E61230448}"/>
    <cellStyle name="40% - Accent5 11 5" xfId="10892" xr:uid="{D6D75D0F-97B7-435A-9E26-C08F102E3216}"/>
    <cellStyle name="40% - Accent5 11_Not_for_upload_before_M4_correc" xfId="15267" xr:uid="{1E418277-E373-494E-8923-2A0346ACAC65}"/>
    <cellStyle name="40% - Accent5 12" xfId="10893" xr:uid="{7B9ED4A2-6CD8-4D10-B57E-182D9BE314D7}"/>
    <cellStyle name="40% - Accent5 12 2" xfId="10894" xr:uid="{8D6D4FA3-C34A-4050-A491-F46480A77D24}"/>
    <cellStyle name="40% - Accent5 12 2 2" xfId="10895" xr:uid="{10BAEA8D-512C-4F71-8355-E74155A8B1AB}"/>
    <cellStyle name="40% - Accent5 12 2 2 2" xfId="10896" xr:uid="{D7F94319-1340-430B-A718-49BB8D6728C5}"/>
    <cellStyle name="40% - Accent5 12 2 2_Working Capital Current" xfId="15268" xr:uid="{6E5F3208-9CD8-4DA3-8AD8-305AA06D01E0}"/>
    <cellStyle name="40% - Accent5 12 2 3" xfId="10897" xr:uid="{DFD0BF6B-A621-44A9-A4CB-6D1790ECFF74}"/>
    <cellStyle name="40% - Accent5 12 2 4" xfId="10898" xr:uid="{2F5BC770-1D27-41F3-9B95-43923FF0034F}"/>
    <cellStyle name="40% - Accent5 12 2_Working Capital Current" xfId="15269" xr:uid="{E9A5E7DB-8098-4E80-AEF4-00BE19C601A9}"/>
    <cellStyle name="40% - Accent5 12 3" xfId="10899" xr:uid="{4D5C2EDB-23AB-406B-BD2A-966433962C8C}"/>
    <cellStyle name="40% - Accent5 12 3 2" xfId="10900" xr:uid="{5FE52228-DEC7-43C3-8202-1766CA6425CE}"/>
    <cellStyle name="40% - Accent5 12 3_Working Capital Current" xfId="15270" xr:uid="{F7AEA05F-8F77-440A-9BDC-CE682C9283D6}"/>
    <cellStyle name="40% - Accent5 12 4" xfId="10901" xr:uid="{F75B5844-8DDE-4D57-B656-E575F244A2E4}"/>
    <cellStyle name="40% - Accent5 12 5" xfId="10902" xr:uid="{0F60168B-79B0-46BC-948B-3191FF910C0D}"/>
    <cellStyle name="40% - Accent5 12_Not_for_upload_before_M4_correc" xfId="15271" xr:uid="{433FA908-C9E4-4DC6-8C4F-52D26B58CE5E}"/>
    <cellStyle name="40% - Accent5 13" xfId="10903" xr:uid="{6F1F9AFA-865F-471F-8EA7-787983C9B83D}"/>
    <cellStyle name="40% - Accent5 13 2" xfId="10904" xr:uid="{21D026B0-328D-4FA0-9203-3F7E2DA7367F}"/>
    <cellStyle name="40% - Accent5 13 2 2" xfId="10905" xr:uid="{669CC8B0-C030-464E-AEB2-239E5556CB65}"/>
    <cellStyle name="40% - Accent5 13 2 2 2" xfId="10906" xr:uid="{D74D7121-AC4D-40B2-879D-9EADDA56E9C4}"/>
    <cellStyle name="40% - Accent5 13 2 2_Working Capital Current" xfId="15272" xr:uid="{D9FBB9E4-31ED-4682-9362-60C54B41DAA1}"/>
    <cellStyle name="40% - Accent5 13 2 3" xfId="10907" xr:uid="{C61060C5-AD77-4399-8A2E-2E3BCD08822C}"/>
    <cellStyle name="40% - Accent5 13 2 4" xfId="10908" xr:uid="{2A14281C-559D-4CD4-97D2-D98AA1DEC662}"/>
    <cellStyle name="40% - Accent5 13 2_Working Capital Current" xfId="15273" xr:uid="{E47580B9-E57C-47CC-BE1F-2A3180032B38}"/>
    <cellStyle name="40% - Accent5 13 3" xfId="10909" xr:uid="{9F650B4F-86E1-4C39-B3D5-A0091711EFC2}"/>
    <cellStyle name="40% - Accent5 13 3 2" xfId="10910" xr:uid="{094A3841-19D7-49BE-B5AE-D92D8D7E63BC}"/>
    <cellStyle name="40% - Accent5 13 3_Working Capital Current" xfId="15274" xr:uid="{BE155992-62FC-4646-990B-64E79065D084}"/>
    <cellStyle name="40% - Accent5 13 4" xfId="10911" xr:uid="{128F51F2-B13E-4FC0-A9C4-9F9279BDEEFC}"/>
    <cellStyle name="40% - Accent5 13 5" xfId="10912" xr:uid="{6717BA69-E841-44BD-A6E5-8754C847B4ED}"/>
    <cellStyle name="40% - Accent5 13_Not_for_upload_before_M4_correc" xfId="15275" xr:uid="{3203D864-E27C-432C-B2F8-F56907B143ED}"/>
    <cellStyle name="40% - Accent5 14" xfId="10913" xr:uid="{F9D790E5-473A-44B0-AF89-576A8B7BE148}"/>
    <cellStyle name="40% - Accent5 14 2" xfId="10914" xr:uid="{0C23948A-A030-45DC-B1C3-8E747771EFC9}"/>
    <cellStyle name="40% - Accent5 14 2 2" xfId="10915" xr:uid="{84E13FE7-8912-4EC7-9EE4-C8864D1F02B5}"/>
    <cellStyle name="40% - Accent5 14 2 2 2" xfId="10916" xr:uid="{91B53CAC-3450-4AD9-922F-824A113E10F0}"/>
    <cellStyle name="40% - Accent5 14 2 2_Working Capital Current" xfId="15276" xr:uid="{3FC25E91-5151-4E0F-B238-4BED7049890C}"/>
    <cellStyle name="40% - Accent5 14 2 3" xfId="10917" xr:uid="{E392B2B9-E1AA-4A62-BB91-949561F16B23}"/>
    <cellStyle name="40% - Accent5 14 2 4" xfId="10918" xr:uid="{CA69D611-43AD-4A5B-B9F5-55CBB26431CE}"/>
    <cellStyle name="40% - Accent5 14 2_Working Capital Current" xfId="15277" xr:uid="{D89B5565-6280-4BBF-9E4A-7B34D4D9DD3F}"/>
    <cellStyle name="40% - Accent5 14 3" xfId="10919" xr:uid="{1FD911AF-14B0-4E65-B622-7237DBD70B53}"/>
    <cellStyle name="40% - Accent5 14 3 2" xfId="10920" xr:uid="{01EDD49D-08DC-4B65-B83E-43F5E10AC95D}"/>
    <cellStyle name="40% - Accent5 14 3_Working Capital Current" xfId="15278" xr:uid="{9C52EBFB-313F-43FD-A9E4-F35419C3CE37}"/>
    <cellStyle name="40% - Accent5 14 4" xfId="10921" xr:uid="{E8274AB8-CDB7-42A5-96E3-7D1EE634E479}"/>
    <cellStyle name="40% - Accent5 14 5" xfId="10922" xr:uid="{844D36FB-0EB8-4EF6-9D0E-7D3D2222587D}"/>
    <cellStyle name="40% - Accent5 14_Not_for_upload_before_M4_correc" xfId="15279" xr:uid="{AF1A8A4D-2653-43C9-8585-3F8292846760}"/>
    <cellStyle name="40% - Accent5 15" xfId="10923" xr:uid="{DC902A91-5951-48CF-8F51-3B7A9FDBDFB9}"/>
    <cellStyle name="40% - Accent5 15 2" xfId="10924" xr:uid="{FA31AE71-A2AC-4924-AE86-F86727949A29}"/>
    <cellStyle name="40% - Accent5 15 2 2" xfId="10925" xr:uid="{F9F9F9FC-2CCB-4592-A2BA-2F706FA29B71}"/>
    <cellStyle name="40% - Accent5 15 2 2 2" xfId="10926" xr:uid="{64577CF7-19B4-466A-BBE9-9F2BDDA1CE82}"/>
    <cellStyle name="40% - Accent5 15 2 2_Working Capital Current" xfId="15280" xr:uid="{BDD3D2C7-376F-4A52-8A85-191425E91AD8}"/>
    <cellStyle name="40% - Accent5 15 2 3" xfId="10927" xr:uid="{AB171363-BC74-49BB-8A89-09F891F6CA70}"/>
    <cellStyle name="40% - Accent5 15 2 4" xfId="10928" xr:uid="{D548DAE1-695F-4883-BA78-EF2317D93F7D}"/>
    <cellStyle name="40% - Accent5 15 2_Working Capital Current" xfId="15281" xr:uid="{77801FB3-D0F8-4D23-8880-8106E970FF5B}"/>
    <cellStyle name="40% - Accent5 15 3" xfId="10929" xr:uid="{C1C3E803-7D92-4731-BFA9-90A42DEDD191}"/>
    <cellStyle name="40% - Accent5 15 3 2" xfId="10930" xr:uid="{BF729324-8EB5-4970-9FDB-7F3F1F2348C1}"/>
    <cellStyle name="40% - Accent5 15 3_Working Capital Current" xfId="15282" xr:uid="{D35E416F-530E-4EB7-9DF8-8C2B2833F0CB}"/>
    <cellStyle name="40% - Accent5 15 4" xfId="10931" xr:uid="{B1E63E21-1B26-4581-9FB2-A3937A569E6E}"/>
    <cellStyle name="40% - Accent5 15 5" xfId="10932" xr:uid="{D8BDD180-2180-4D5C-BEA9-641CF5B80AB7}"/>
    <cellStyle name="40% - Accent5 15_Not_for_upload_before_M4_correc" xfId="15283" xr:uid="{CE1F01B7-43D0-46E3-8B5B-C742EF915EE9}"/>
    <cellStyle name="40% - Accent5 16" xfId="10933" xr:uid="{F70DAC93-14A3-4753-ACC8-13ACE39799F5}"/>
    <cellStyle name="40% - Accent5 16 2" xfId="10934" xr:uid="{433065F0-EFDD-4C37-9293-8B9634794801}"/>
    <cellStyle name="40% - Accent5 16 2 2" xfId="10935" xr:uid="{2486DBC7-5192-4B41-9E93-0E530AAAFB7D}"/>
    <cellStyle name="40% - Accent5 16 2 2 2" xfId="10936" xr:uid="{BC2B27AB-B5DC-4AB6-9D43-449C0717107C}"/>
    <cellStyle name="40% - Accent5 16 2 2_Working Capital Current" xfId="15284" xr:uid="{0124A0EE-944B-4489-A1C4-04317985A7D8}"/>
    <cellStyle name="40% - Accent5 16 2 3" xfId="10937" xr:uid="{F62928A1-269B-438C-9F3B-724DED98A192}"/>
    <cellStyle name="40% - Accent5 16 2 4" xfId="10938" xr:uid="{3CDA593C-BD6A-41D1-A695-8B3A4C619E36}"/>
    <cellStyle name="40% - Accent5 16 2_Working Capital Current" xfId="15285" xr:uid="{C6D26649-2391-4482-8666-F706721498CA}"/>
    <cellStyle name="40% - Accent5 16 3" xfId="10939" xr:uid="{ABCA436E-5876-44D2-AAD6-5DCFB4FE096A}"/>
    <cellStyle name="40% - Accent5 16 3 2" xfId="10940" xr:uid="{F5DF4F94-F0B8-46A5-95A3-D5C4482EF8E7}"/>
    <cellStyle name="40% - Accent5 16 3_Working Capital Current" xfId="15286" xr:uid="{F8BABDE4-AD0F-4B30-97C8-29E52F64044F}"/>
    <cellStyle name="40% - Accent5 16 4" xfId="10941" xr:uid="{FAD86BAC-FD28-40EB-91B3-F96DFB52E334}"/>
    <cellStyle name="40% - Accent5 16 5" xfId="10942" xr:uid="{EBCD1F8F-C2EC-4CC1-BFD0-97F8ACD284AD}"/>
    <cellStyle name="40% - Accent5 16_Not_for_upload_before_M4_correc" xfId="15287" xr:uid="{09E5B18A-B094-46D5-8D21-A6ECE7F0F28A}"/>
    <cellStyle name="40% - Accent5 17" xfId="10943" xr:uid="{6B8F3492-CDC0-4E6D-BBD6-3DC216BF6A46}"/>
    <cellStyle name="40% - Accent5 17 2" xfId="10944" xr:uid="{0B705293-6B3D-4F2A-9B06-1309BA5FC60A}"/>
    <cellStyle name="40% - Accent5 17 2 2" xfId="10945" xr:uid="{550D758E-E0B7-4CDB-93B2-D7D571C854DF}"/>
    <cellStyle name="40% - Accent5 17 2 2 2" xfId="10946" xr:uid="{1838D62C-1CCA-4345-BF47-5E229A15CEEF}"/>
    <cellStyle name="40% - Accent5 17 2 2_Working Capital Current" xfId="15288" xr:uid="{7A60148B-C6BB-481A-B01D-54743EDD0F1A}"/>
    <cellStyle name="40% - Accent5 17 2 3" xfId="10947" xr:uid="{88D0B9C4-609D-430F-8BF8-7BA699627412}"/>
    <cellStyle name="40% - Accent5 17 2 4" xfId="10948" xr:uid="{E8CB9E7E-9EE1-4173-ABE5-60530B7BCD08}"/>
    <cellStyle name="40% - Accent5 17 2_Working Capital Current" xfId="15289" xr:uid="{D05886DF-5ECB-46B4-BE31-708BDB5A2BB6}"/>
    <cellStyle name="40% - Accent5 17 3" xfId="10949" xr:uid="{03D2B6AD-2FB6-409E-9CCE-2C046511FFD8}"/>
    <cellStyle name="40% - Accent5 17 3 2" xfId="10950" xr:uid="{0C59685E-0E77-4D43-B5D5-460335F5CF06}"/>
    <cellStyle name="40% - Accent5 17 3_Working Capital Current" xfId="15290" xr:uid="{EE2F8CA0-EC50-4021-A449-753E41C64B28}"/>
    <cellStyle name="40% - Accent5 17 4" xfId="10951" xr:uid="{D2FFAAAB-F626-4710-8EB4-B33645AB1EE7}"/>
    <cellStyle name="40% - Accent5 17 5" xfId="10952" xr:uid="{65D0882D-6AE8-455B-987C-5A2F3DBE7EF4}"/>
    <cellStyle name="40% - Accent5 17_Not_for_upload_before_M4_correc" xfId="15291" xr:uid="{61398B42-3F89-4987-A79F-4BBC39B48EDA}"/>
    <cellStyle name="40% - Accent5 18" xfId="10953" xr:uid="{66B7E6FD-A34A-4297-BB9B-D1AD38A5251D}"/>
    <cellStyle name="40% - Accent5 18 2" xfId="10954" xr:uid="{09F7C8C7-BB14-4718-95D9-9F6E05E027B3}"/>
    <cellStyle name="40% - Accent5 18 2 2" xfId="10955" xr:uid="{570C8FBD-23B6-4ACC-B8CC-AE1A7733E695}"/>
    <cellStyle name="40% - Accent5 18 2 2 2" xfId="10956" xr:uid="{9FDF9E66-6E6B-4C31-8C81-23463910066F}"/>
    <cellStyle name="40% - Accent5 18 2 2_Working Capital Current" xfId="15292" xr:uid="{018934DE-3773-4212-9478-96F5B5DFC17D}"/>
    <cellStyle name="40% - Accent5 18 2 3" xfId="10957" xr:uid="{230EBF4B-860A-4F4E-8775-96E860C7BC9A}"/>
    <cellStyle name="40% - Accent5 18 2 4" xfId="10958" xr:uid="{F900548C-F8EC-49C5-AF61-6549E53B15AF}"/>
    <cellStyle name="40% - Accent5 18 2_Working Capital Current" xfId="15293" xr:uid="{61300CC5-F70E-4E40-8628-E20048C6D262}"/>
    <cellStyle name="40% - Accent5 18 3" xfId="10959" xr:uid="{CCF629C0-EFBC-49AF-9897-26B287413D1A}"/>
    <cellStyle name="40% - Accent5 18 3 2" xfId="10960" xr:uid="{96970FE2-B752-4773-B14B-F57833EEE73E}"/>
    <cellStyle name="40% - Accent5 18 3_Working Capital Current" xfId="15294" xr:uid="{B7E65FC9-A3BB-4CA6-88CA-53AC1DA59994}"/>
    <cellStyle name="40% - Accent5 18 4" xfId="10961" xr:uid="{2FB3905B-2131-45D5-8170-5E9DCFC5DF1E}"/>
    <cellStyle name="40% - Accent5 18 5" xfId="10962" xr:uid="{817C6263-BF6D-4D8B-9831-8C1779E37B5F}"/>
    <cellStyle name="40% - Accent5 18_Not_for_upload_before_M4_correc" xfId="15295" xr:uid="{D64E6907-B660-4FF3-8FDC-D997A8197EC3}"/>
    <cellStyle name="40% - Accent5 19" xfId="10963" xr:uid="{1610BD61-13C1-47A6-B2D6-553145DA0FAB}"/>
    <cellStyle name="40% - Accent5 19 2" xfId="10964" xr:uid="{20B4D511-D395-4CC9-9F7A-E8563A0D1080}"/>
    <cellStyle name="40% - Accent5 19 2 2" xfId="10965" xr:uid="{BAC599E8-64FB-4D73-A330-90FE25DDF972}"/>
    <cellStyle name="40% - Accent5 19 2 2 2" xfId="10966" xr:uid="{4C1F344F-65AB-4779-BFDA-EE4CCDC540A3}"/>
    <cellStyle name="40% - Accent5 19 2 2_Working Capital Current" xfId="15296" xr:uid="{0F3ABD17-E20C-4442-BA33-9BF3D1487B63}"/>
    <cellStyle name="40% - Accent5 19 2 3" xfId="10967" xr:uid="{E74B3E09-6A80-4C9C-9CDD-B5B290284951}"/>
    <cellStyle name="40% - Accent5 19 2 4" xfId="10968" xr:uid="{49A1C960-2A29-451E-80A1-1D48F0BA7E22}"/>
    <cellStyle name="40% - Accent5 19 2_Working Capital Current" xfId="15297" xr:uid="{EFBA9299-D0F9-43DA-A736-8BE2FE178D85}"/>
    <cellStyle name="40% - Accent5 19 3" xfId="10969" xr:uid="{1174694E-3DC4-4063-BB4C-630968A691E2}"/>
    <cellStyle name="40% - Accent5 19 3 2" xfId="10970" xr:uid="{E4D05213-09C1-4C7F-B8B2-C0104A13B14C}"/>
    <cellStyle name="40% - Accent5 19 3_Working Capital Current" xfId="15298" xr:uid="{0C6FA902-A86F-4FBD-935F-E5F338852BE2}"/>
    <cellStyle name="40% - Accent5 19 4" xfId="10971" xr:uid="{2266083D-6A20-43B8-9569-4149D6DFF712}"/>
    <cellStyle name="40% - Accent5 19 5" xfId="10972" xr:uid="{E66FF4AD-1C2D-4301-A7FC-BA61D4A3C9F6}"/>
    <cellStyle name="40% - Accent5 19_Not_for_upload_before_M4_correc" xfId="15299" xr:uid="{7038B576-26CB-4AFF-BFAF-F3E3E0DF9E4F}"/>
    <cellStyle name="40% - Accent5 2" xfId="106" xr:uid="{96FE080F-E0DB-4F2E-86B1-2F85028755E7}"/>
    <cellStyle name="40% - Accent5 2 10" xfId="10973" xr:uid="{913A7197-062C-403C-8427-F10C92FD3DF1}"/>
    <cellStyle name="40% - Accent5 2 11" xfId="16537" xr:uid="{560381A3-076C-4D45-BFA2-12A20B24B781}"/>
    <cellStyle name="40% - Accent5 2 12" xfId="17170" xr:uid="{6C82338A-39E1-476C-841E-8CEAFAF55273}"/>
    <cellStyle name="40% - Accent5 2 2" xfId="107" xr:uid="{796CCC4F-B18A-482C-9AFC-CCD5567C1953}"/>
    <cellStyle name="40% - Accent5 2 2 2" xfId="1937" xr:uid="{08848561-DA68-4321-834C-8AEB21AFDBB9}"/>
    <cellStyle name="40% - Accent5 2 2 2 2" xfId="10976" xr:uid="{752DAC3B-521F-4842-9814-54904F66125A}"/>
    <cellStyle name="40% - Accent5 2 2 2 2 2" xfId="10977" xr:uid="{32F51754-E61F-4B7A-8639-1BA0FC890995}"/>
    <cellStyle name="40% - Accent5 2 2 2 2_Working Capital Current" xfId="15300" xr:uid="{C0255746-1C87-4A99-BCE9-1D31AC6E0A2C}"/>
    <cellStyle name="40% - Accent5 2 2 2 3" xfId="10978" xr:uid="{C3760D48-24D9-47D5-9BC9-4DA1D3B8E1E6}"/>
    <cellStyle name="40% - Accent5 2 2 2 4" xfId="10979" xr:uid="{EAACC1AD-EB05-43B5-B45E-348D774AF459}"/>
    <cellStyle name="40% - Accent5 2 2 2 5" xfId="17667" xr:uid="{9C05BC6D-B106-4B9D-9F0A-250172E5F423}"/>
    <cellStyle name="40% - Accent5 2 2 2 6" xfId="18216" xr:uid="{82A25ED0-C667-4014-A033-96A511ED6A98}"/>
    <cellStyle name="40% - Accent5 2 2 2 7" xfId="10975" xr:uid="{3D2AB1D9-A344-4BF9-9695-B29509DDD7EF}"/>
    <cellStyle name="40% - Accent5 2 2 2_Working Capital Current" xfId="15301" xr:uid="{34F19F37-274B-458F-A32A-7CE01D557E5E}"/>
    <cellStyle name="40% - Accent5 2 2 3" xfId="10980" xr:uid="{11827554-43D4-4FE0-B7E2-6A5B1C981E48}"/>
    <cellStyle name="40% - Accent5 2 2 3 2" xfId="10981" xr:uid="{6BA02EC1-A4CE-46A4-9998-16D57B7D023F}"/>
    <cellStyle name="40% - Accent5 2 2 3_Working Capital Current" xfId="15302" xr:uid="{6EEC1028-0A01-41E3-9A53-2FC327FE7C1D}"/>
    <cellStyle name="40% - Accent5 2 2 4" xfId="10982" xr:uid="{31AAC93E-5AA1-4B4D-BE8E-8C2F5FCE1C02}"/>
    <cellStyle name="40% - Accent5 2 2 5" xfId="10983" xr:uid="{C4C497C6-F6B4-47BD-9C42-14FDAA3AF73A}"/>
    <cellStyle name="40% - Accent5 2 2 6" xfId="10974" xr:uid="{530EE56C-17A1-4E51-B753-7309B674CD06}"/>
    <cellStyle name="40% - Accent5 2 2 7" xfId="16538" xr:uid="{96E5B115-3498-4CEF-818A-E2884D851835}"/>
    <cellStyle name="40% - Accent5 2 2 8" xfId="16969" xr:uid="{EFD6E2D1-DCF1-4A68-87C2-1C380922188B}"/>
    <cellStyle name="40% - Accent5 2 2_Not_for_upload_before_M4_correc" xfId="15303" xr:uid="{D2993F07-CE7C-4ECE-A7E2-BBF325429F97}"/>
    <cellStyle name="40% - Accent5 2 3" xfId="1936" xr:uid="{0705CB5D-4F86-4281-A83D-3AE58A51843D}"/>
    <cellStyle name="40% - Accent5 2 3 2" xfId="10985" xr:uid="{98CA734B-C80C-4CC5-9174-7F230D128D58}"/>
    <cellStyle name="40% - Accent5 2 3 2 2" xfId="10986" xr:uid="{08178FA3-AA02-42CA-8C40-91C1CADEC43A}"/>
    <cellStyle name="40% - Accent5 2 3 2 2 2" xfId="10987" xr:uid="{FA920CCB-B518-445A-8852-F32DBEFEEB58}"/>
    <cellStyle name="40% - Accent5 2 3 2 2_Working Capital Current" xfId="15304" xr:uid="{0748C889-D610-4D37-9942-C1FD169482B4}"/>
    <cellStyle name="40% - Accent5 2 3 2 3" xfId="10988" xr:uid="{1BDE0C5A-3521-474A-8754-775E0C39EB55}"/>
    <cellStyle name="40% - Accent5 2 3 2 4" xfId="10989" xr:uid="{C52EDB1B-430F-42D6-A70B-D5287BD188AC}"/>
    <cellStyle name="40% - Accent5 2 3 2_Working Capital Current" xfId="15305" xr:uid="{4F022F59-485A-4BFD-9DF1-EE5BF9E5193C}"/>
    <cellStyle name="40% - Accent5 2 3 3" xfId="10990" xr:uid="{F7111241-2788-46A4-A858-3A6A1CE229D3}"/>
    <cellStyle name="40% - Accent5 2 3 3 2" xfId="10991" xr:uid="{73772803-F7C2-432A-A1ED-BC4C6808B9FB}"/>
    <cellStyle name="40% - Accent5 2 3 3_Working Capital Current" xfId="15306" xr:uid="{5F3899F7-7C0C-4A8A-B554-3FF224E5D2C3}"/>
    <cellStyle name="40% - Accent5 2 3 4" xfId="10992" xr:uid="{0F110675-DC0F-4F73-962E-ADFC2B6AD4EC}"/>
    <cellStyle name="40% - Accent5 2 3 5" xfId="10993" xr:uid="{4996D467-ABF7-4F6B-829B-575295F53628}"/>
    <cellStyle name="40% - Accent5 2 3 6" xfId="17666" xr:uid="{45A66C85-CBC7-4032-8780-DE3D0F17835A}"/>
    <cellStyle name="40% - Accent5 2 3 7" xfId="18215" xr:uid="{0E5931E7-F8E0-40DE-AE6F-D3BEF0779B35}"/>
    <cellStyle name="40% - Accent5 2 3 8" xfId="10984" xr:uid="{C6655E57-2C57-4D89-8C3F-6F48FD1CA95A}"/>
    <cellStyle name="40% - Accent5 2 3_Not_for_upload_before_M4_correc" xfId="15307" xr:uid="{5F46A3AC-907F-412C-A08F-D89784C704E2}"/>
    <cellStyle name="40% - Accent5 2 4" xfId="10994" xr:uid="{53E6F076-A15F-4A70-8627-D056F74DD600}"/>
    <cellStyle name="40% - Accent5 2 4 2" xfId="10995" xr:uid="{C0CA9031-3C5F-4074-A0B9-99F7FB203C76}"/>
    <cellStyle name="40% - Accent5 2 4 2 2" xfId="10996" xr:uid="{C0892524-CE33-42DF-A235-DCE32B0626DB}"/>
    <cellStyle name="40% - Accent5 2 4 2 2 2" xfId="10997" xr:uid="{377FAADE-B022-4E7E-AE03-DB92297080F6}"/>
    <cellStyle name="40% - Accent5 2 4 2 2_Working Capital Current" xfId="15308" xr:uid="{210D5B51-BF6B-48F1-8C5A-6E4A9AE2FB10}"/>
    <cellStyle name="40% - Accent5 2 4 2 3" xfId="10998" xr:uid="{43238FE4-A07E-4A00-863A-C7C6C78A54FD}"/>
    <cellStyle name="40% - Accent5 2 4 2 4" xfId="10999" xr:uid="{9A7777DD-4BBD-4925-A16C-7710A86843B5}"/>
    <cellStyle name="40% - Accent5 2 4 2_Working Capital Current" xfId="15309" xr:uid="{32EEEFFC-F1A5-42B1-A329-2D95E5E2A57C}"/>
    <cellStyle name="40% - Accent5 2 4 3" xfId="11000" xr:uid="{4EE6FB7C-ECCD-43BB-A228-0AECB99AC6D3}"/>
    <cellStyle name="40% - Accent5 2 4 3 2" xfId="11001" xr:uid="{ECD939A8-F441-4058-B8D5-B689F27F6AA2}"/>
    <cellStyle name="40% - Accent5 2 4 3_Working Capital Current" xfId="15310" xr:uid="{EB9F7F94-3CAE-44F5-AE32-6A3AAB444C8F}"/>
    <cellStyle name="40% - Accent5 2 4 4" xfId="11002" xr:uid="{1F8505AA-C86E-481A-B2EF-D03210C6F97C}"/>
    <cellStyle name="40% - Accent5 2 4 5" xfId="11003" xr:uid="{A30362A2-7C55-47B1-8851-9F527E5DB783}"/>
    <cellStyle name="40% - Accent5 2 4_Not_for_upload_before_M4_correc" xfId="15311" xr:uid="{041E837E-CDC1-46BE-98F0-DD162D9EB4C9}"/>
    <cellStyle name="40% - Accent5 2 5" xfId="11004" xr:uid="{208359F4-9FAC-4E5F-BA23-414048197850}"/>
    <cellStyle name="40% - Accent5 2 5 2" xfId="11005" xr:uid="{CCD20E41-8C8C-47B7-97BE-FE2BF17878BE}"/>
    <cellStyle name="40% - Accent5 2 5 2 2" xfId="11006" xr:uid="{461AD4D6-AF06-408C-A009-300CD5560676}"/>
    <cellStyle name="40% - Accent5 2 5 2_Working Capital Current" xfId="15312" xr:uid="{91C540C7-E31A-4159-9209-9D969490B171}"/>
    <cellStyle name="40% - Accent5 2 5 3" xfId="11007" xr:uid="{F10B3101-515A-4570-8193-588E879B0587}"/>
    <cellStyle name="40% - Accent5 2 5_Working Capital Current" xfId="15313" xr:uid="{C16BB347-C78B-4103-B63D-D2C87140C74D}"/>
    <cellStyle name="40% - Accent5 2 6" xfId="11008" xr:uid="{243E6846-E89E-4E89-B609-F7F322D9D4BC}"/>
    <cellStyle name="40% - Accent5 2 6 2" xfId="11009" xr:uid="{AE74FBC8-A8C0-448D-80A5-7EAF56F7D1A3}"/>
    <cellStyle name="40% - Accent5 2 6_Working Capital Current" xfId="15314" xr:uid="{AA2488E2-EEDE-4AB8-9B40-7F3243CA51CA}"/>
    <cellStyle name="40% - Accent5 2 7" xfId="11010" xr:uid="{AA373740-AE7B-436C-8999-907CC1CBC4E9}"/>
    <cellStyle name="40% - Accent5 2 7 2" xfId="11011" xr:uid="{E8669D2B-27D4-45FD-A15F-39A14BBA97C5}"/>
    <cellStyle name="40% - Accent5 2 7_Working Capital Current" xfId="15315" xr:uid="{B4F8D0F9-EE89-4A93-9B81-1BECE50F690C}"/>
    <cellStyle name="40% - Accent5 2 8" xfId="11012" xr:uid="{86E61BF4-364A-457C-9254-C23D62CF0A34}"/>
    <cellStyle name="40% - Accent5 2 9" xfId="11013" xr:uid="{B017784B-7501-4A5B-84BD-D8D459F90DC7}"/>
    <cellStyle name="40% - Accent5 2_Not_for_upload_before_M4_correc" xfId="15316" xr:uid="{3ADEDF77-27B8-4E47-880C-1ED8B9B81828}"/>
    <cellStyle name="40% - Accent5 20" xfId="11014" xr:uid="{FDE82373-F909-464B-9FC6-4D8EC650B049}"/>
    <cellStyle name="40% - Accent5 20 2" xfId="11015" xr:uid="{5BA475CB-C7B5-4A7A-9C5F-E4C03061D121}"/>
    <cellStyle name="40% - Accent5 20 2 2" xfId="11016" xr:uid="{DDCCF9BA-E951-4D82-BF46-021AA36D916B}"/>
    <cellStyle name="40% - Accent5 20 2 2 2" xfId="11017" xr:uid="{B34A4400-E0B0-42B9-805C-7A4EAF4243C3}"/>
    <cellStyle name="40% - Accent5 20 2 2_Working Capital Current" xfId="15317" xr:uid="{7982E672-DDAB-4717-98BA-A04E405F983E}"/>
    <cellStyle name="40% - Accent5 20 2 3" xfId="11018" xr:uid="{054A00CE-06EE-403F-8346-8802E6CEB093}"/>
    <cellStyle name="40% - Accent5 20 2 4" xfId="11019" xr:uid="{D86F953B-576E-4F95-B1AA-89A51270A13C}"/>
    <cellStyle name="40% - Accent5 20 2_Working Capital Current" xfId="15318" xr:uid="{608624DF-F41C-438B-8591-9CB18907F748}"/>
    <cellStyle name="40% - Accent5 20 3" xfId="11020" xr:uid="{24D8AA5C-8B5A-468B-8A2B-406B3661553B}"/>
    <cellStyle name="40% - Accent5 20 3 2" xfId="11021" xr:uid="{9B857CEF-27EC-4CC9-96C5-F276CAD3FDDD}"/>
    <cellStyle name="40% - Accent5 20 3_Working Capital Current" xfId="15319" xr:uid="{E529B809-FB94-461F-AC8D-0EDCAB76444D}"/>
    <cellStyle name="40% - Accent5 20 4" xfId="11022" xr:uid="{A5D4FFAF-1098-4066-B7F1-F0E30911D4E7}"/>
    <cellStyle name="40% - Accent5 20 5" xfId="11023" xr:uid="{CCEF4D7C-E6E4-42E8-A483-C0D019764228}"/>
    <cellStyle name="40% - Accent5 20_Not_for_upload_before_M4_correc" xfId="15320" xr:uid="{9417E145-5578-46CD-9D6B-77971FFC363A}"/>
    <cellStyle name="40% - Accent5 21" xfId="11024" xr:uid="{439A7D0C-8928-429A-BBD6-FFD82AF453EC}"/>
    <cellStyle name="40% - Accent5 21 2" xfId="11025" xr:uid="{4C210589-9607-4D12-9DE3-E8FBB5CFFE4E}"/>
    <cellStyle name="40% - Accent5 21 2 2" xfId="11026" xr:uid="{2A6F5E3F-E686-43B2-BBED-E3696B04BD23}"/>
    <cellStyle name="40% - Accent5 21 2 2 2" xfId="11027" xr:uid="{85947D7B-E607-4E44-8798-255AA0D845BB}"/>
    <cellStyle name="40% - Accent5 21 2 2_Working Capital Current" xfId="15321" xr:uid="{120879D0-B252-480C-AEA0-E644ABCC0172}"/>
    <cellStyle name="40% - Accent5 21 2 3" xfId="11028" xr:uid="{79279618-662C-4FF8-A221-640594BB06BB}"/>
    <cellStyle name="40% - Accent5 21 2 4" xfId="11029" xr:uid="{DEC72700-F700-46C0-838D-05FF3A099F52}"/>
    <cellStyle name="40% - Accent5 21 2_Working Capital Current" xfId="15322" xr:uid="{4ECB8FB3-78FF-4CF6-BF6D-C232A4CFD106}"/>
    <cellStyle name="40% - Accent5 21 3" xfId="11030" xr:uid="{D575681F-D392-4E64-B64B-6618D171270C}"/>
    <cellStyle name="40% - Accent5 21 3 2" xfId="11031" xr:uid="{D37430C9-3C85-4620-8CCE-8263374D7299}"/>
    <cellStyle name="40% - Accent5 21 3_Working Capital Current" xfId="15323" xr:uid="{95B0903E-6148-4234-86DA-DB7408F643D5}"/>
    <cellStyle name="40% - Accent5 21 4" xfId="11032" xr:uid="{B581D347-1D2E-4694-8C95-4892A2C2FBA8}"/>
    <cellStyle name="40% - Accent5 21 5" xfId="11033" xr:uid="{F68E9C61-F7F9-4964-A5D7-876CF032A7D2}"/>
    <cellStyle name="40% - Accent5 21_Not_for_upload_before_M4_correc" xfId="15324" xr:uid="{87079DEA-7B17-459F-9101-7339935E9F84}"/>
    <cellStyle name="40% - Accent5 22" xfId="11034" xr:uid="{FB2091EE-13FC-4027-9D47-268B9B6CA3FC}"/>
    <cellStyle name="40% - Accent5 22 2" xfId="11035" xr:uid="{88DBBC25-DF7A-4C85-8AC8-A95E31B2C371}"/>
    <cellStyle name="40% - Accent5 22 2 2" xfId="11036" xr:uid="{4616DCE6-D493-4486-915E-A1DCAB7E7AE6}"/>
    <cellStyle name="40% - Accent5 22 2 2 2" xfId="11037" xr:uid="{45674448-98C6-4496-AE9D-086BD6A5B479}"/>
    <cellStyle name="40% - Accent5 22 2 2_Working Capital Current" xfId="15325" xr:uid="{B5C12D54-2748-4FAD-A99A-4B73672DB435}"/>
    <cellStyle name="40% - Accent5 22 2 3" xfId="11038" xr:uid="{F425FEBE-F14E-4326-AEAC-AD56B546F7C5}"/>
    <cellStyle name="40% - Accent5 22 2 4" xfId="11039" xr:uid="{A7B0DBD8-E4A1-473A-B377-87A04E6C7D4B}"/>
    <cellStyle name="40% - Accent5 22 2_Working Capital Current" xfId="15326" xr:uid="{21F9A2EF-0591-4E07-964F-E229F451913B}"/>
    <cellStyle name="40% - Accent5 22 3" xfId="11040" xr:uid="{F8835690-9BA6-4006-9C8B-4A6CA0A70B59}"/>
    <cellStyle name="40% - Accent5 22 3 2" xfId="11041" xr:uid="{2A624C14-8795-49C5-B139-BEEE9A43C865}"/>
    <cellStyle name="40% - Accent5 22 3_Working Capital Current" xfId="15327" xr:uid="{5D6E47C8-EF19-43FC-844F-FC9DE037D3B8}"/>
    <cellStyle name="40% - Accent5 22 4" xfId="11042" xr:uid="{D3496229-420F-43FF-8672-6B9222FA5137}"/>
    <cellStyle name="40% - Accent5 22 5" xfId="11043" xr:uid="{670E0E90-1455-4DB4-AD30-A2B7E3117AD4}"/>
    <cellStyle name="40% - Accent5 22_Not_for_upload_before_M4_correc" xfId="15328" xr:uid="{1A55D746-6972-4B18-AA5B-400CFFA7415B}"/>
    <cellStyle name="40% - Accent5 23" xfId="11044" xr:uid="{FD01DE68-A828-44E9-9176-FB733BD0507D}"/>
    <cellStyle name="40% - Accent5 23 2" xfId="11045" xr:uid="{31F674F5-4156-45DB-96BA-65769AE5D18B}"/>
    <cellStyle name="40% - Accent5 23 2 2" xfId="11046" xr:uid="{62DDE576-F33D-4244-9BBE-960F0CE2B6F2}"/>
    <cellStyle name="40% - Accent5 23 2 2 2" xfId="11047" xr:uid="{12642257-9130-4801-A5E5-B4AC6AFFE75C}"/>
    <cellStyle name="40% - Accent5 23 2 2_Working Capital Current" xfId="15329" xr:uid="{4CC2644E-AAE4-494D-8FF6-F401F6CE2EBC}"/>
    <cellStyle name="40% - Accent5 23 2 3" xfId="11048" xr:uid="{7D96CE7F-46B4-4AC2-AFA4-53BC5F712971}"/>
    <cellStyle name="40% - Accent5 23 2 4" xfId="11049" xr:uid="{4468DB6D-5295-4196-AFA2-77E02E14D378}"/>
    <cellStyle name="40% - Accent5 23 2_Working Capital Current" xfId="15330" xr:uid="{EF8CBF4C-D638-421A-998F-6F4DA4243811}"/>
    <cellStyle name="40% - Accent5 23 3" xfId="11050" xr:uid="{15ADCBBB-51FC-43D3-9196-0A3C942CAD7D}"/>
    <cellStyle name="40% - Accent5 23 3 2" xfId="11051" xr:uid="{B3ECDC1E-736B-4C69-A545-F35F58DF0075}"/>
    <cellStyle name="40% - Accent5 23 3_Working Capital Current" xfId="15331" xr:uid="{DD00AF0B-DBB9-4C4A-91A0-32291C2D9C2A}"/>
    <cellStyle name="40% - Accent5 23 4" xfId="11052" xr:uid="{AE675EB1-8022-4D59-A356-7EB69B5BF18A}"/>
    <cellStyle name="40% - Accent5 23 5" xfId="11053" xr:uid="{C80073A9-051F-4D53-9A82-6F9ED3124415}"/>
    <cellStyle name="40% - Accent5 23_Not_for_upload_before_M4_correc" xfId="15332" xr:uid="{08CE3760-A092-440E-A11C-A3F5E8A86909}"/>
    <cellStyle name="40% - Accent5 24" xfId="11054" xr:uid="{AE95B03C-1B9D-4FA9-9554-25E1446F24A9}"/>
    <cellStyle name="40% - Accent5 24 2" xfId="11055" xr:uid="{6709B0F4-ED89-4AFD-B9B7-5ABEC250A66E}"/>
    <cellStyle name="40% - Accent5 24 2 2" xfId="11056" xr:uid="{5DA698A1-FC9E-41CF-BCD8-8717C9FFBEC2}"/>
    <cellStyle name="40% - Accent5 24 2 2 2" xfId="11057" xr:uid="{E66EF83E-6B7F-4459-AB39-987F1D8F2B0B}"/>
    <cellStyle name="40% - Accent5 24 2 2_Working Capital Current" xfId="15333" xr:uid="{7225D960-0FBF-4DA6-B61E-49497931ABA7}"/>
    <cellStyle name="40% - Accent5 24 2 3" xfId="11058" xr:uid="{3D711BFD-FD5B-4EE1-854A-662FBA75D780}"/>
    <cellStyle name="40% - Accent5 24 2 4" xfId="11059" xr:uid="{FA965378-1AA7-4CF4-A437-57ECCB4F9542}"/>
    <cellStyle name="40% - Accent5 24 2_Working Capital Current" xfId="15334" xr:uid="{D7B5D17B-2B4F-424B-980D-21C5A3D37CE3}"/>
    <cellStyle name="40% - Accent5 24 3" xfId="11060" xr:uid="{573371A4-EF51-4F99-A13F-71B07BBB05B7}"/>
    <cellStyle name="40% - Accent5 24 3 2" xfId="11061" xr:uid="{A3D02A7E-215F-43CF-96AD-C0A34FBA231B}"/>
    <cellStyle name="40% - Accent5 24 3_Working Capital Current" xfId="15335" xr:uid="{47710614-7277-4A7F-B22D-7D1DE0296845}"/>
    <cellStyle name="40% - Accent5 24 4" xfId="11062" xr:uid="{70352F2F-738D-4893-81AA-AEF254C1D5C2}"/>
    <cellStyle name="40% - Accent5 24 5" xfId="11063" xr:uid="{3EABC06B-30CE-48DB-81A8-6ED0ABC4DF4B}"/>
    <cellStyle name="40% - Accent5 24_Not_for_upload_before_M4_correc" xfId="15336" xr:uid="{4EDDC03D-B394-4AF3-B5B9-E9399B9F9EF8}"/>
    <cellStyle name="40% - Accent5 25" xfId="11064" xr:uid="{A2116CE9-592A-482A-98A9-C6A9E214AB6F}"/>
    <cellStyle name="40% - Accent5 25 2" xfId="11065" xr:uid="{32F56475-5BFD-4EF0-ACA3-85C95106084E}"/>
    <cellStyle name="40% - Accent5 25 2 2" xfId="11066" xr:uid="{55E8CD6A-CCBA-46C5-9956-A9507CEE8A6C}"/>
    <cellStyle name="40% - Accent5 25 2 2 2" xfId="11067" xr:uid="{46509B6B-A65C-4821-A9C2-35ED6EB05F07}"/>
    <cellStyle name="40% - Accent5 25 2 2_Working Capital Current" xfId="15337" xr:uid="{91E29ED6-E578-47B5-8CFF-8D5763D52680}"/>
    <cellStyle name="40% - Accent5 25 2 3" xfId="11068" xr:uid="{602D541B-D41E-4C58-BCC0-13C071A8A42E}"/>
    <cellStyle name="40% - Accent5 25 2 4" xfId="11069" xr:uid="{DB146689-0DA0-4A4F-B0D4-76709215C304}"/>
    <cellStyle name="40% - Accent5 25 2_Working Capital Current" xfId="15338" xr:uid="{6020B115-6D6E-49B7-8159-D9728BF1B3CA}"/>
    <cellStyle name="40% - Accent5 25 3" xfId="11070" xr:uid="{1A5F90CD-8BA2-468A-9C6C-69E608F4D025}"/>
    <cellStyle name="40% - Accent5 25 3 2" xfId="11071" xr:uid="{CA5BBB6E-6202-4467-B7F0-965CCCAE081D}"/>
    <cellStyle name="40% - Accent5 25 3_Working Capital Current" xfId="15339" xr:uid="{42C83000-6C33-4241-8904-E6B87C27F35F}"/>
    <cellStyle name="40% - Accent5 25 4" xfId="11072" xr:uid="{DFBA5456-8AD9-4634-986C-527322183597}"/>
    <cellStyle name="40% - Accent5 25 5" xfId="11073" xr:uid="{2AB793FD-5474-41E1-A810-62F4DAE25AED}"/>
    <cellStyle name="40% - Accent5 25_Not_for_upload_before_M4_correc" xfId="15340" xr:uid="{836A64AA-3C80-4A87-A261-C3CE47160FAD}"/>
    <cellStyle name="40% - Accent5 26" xfId="11074" xr:uid="{DA6FB604-69ED-4753-A07E-B4CA05CD7C35}"/>
    <cellStyle name="40% - Accent5 26 2" xfId="11075" xr:uid="{0137DAF3-2213-428E-940D-BD1DAD62FD43}"/>
    <cellStyle name="40% - Accent5 26 2 2" xfId="11076" xr:uid="{3B2A2DA7-3BFD-45F9-AFDB-B02976F3EAC4}"/>
    <cellStyle name="40% - Accent5 26 2 3" xfId="11077" xr:uid="{626E2007-3182-4AD4-B441-555D92369612}"/>
    <cellStyle name="40% - Accent5 26 2_Working Capital Current" xfId="15341" xr:uid="{7DF908AD-8C49-45B5-93D9-AC6EC8273530}"/>
    <cellStyle name="40% - Accent5 26 3" xfId="11078" xr:uid="{46756DB8-3DB2-49AB-B7A9-012802E3A2D2}"/>
    <cellStyle name="40% - Accent5 26 3 2" xfId="11079" xr:uid="{83D198D2-E8A2-4AF6-B1FB-A530A2F32D80}"/>
    <cellStyle name="40% - Accent5 26 3_Working Capital Current" xfId="15342" xr:uid="{2139F2EA-4FD0-4367-A09A-9C1E78FDBE9A}"/>
    <cellStyle name="40% - Accent5 26 4" xfId="11080" xr:uid="{AD9B9420-72DA-4935-BBB7-91DA67751C0A}"/>
    <cellStyle name="40% - Accent5 26 5" xfId="11081" xr:uid="{FF83A867-2BF2-486E-B17D-D84ED462D894}"/>
    <cellStyle name="40% - Accent5 26_Not_for_upload_before_M4_correc" xfId="15343" xr:uid="{AED8DE23-D390-4E99-955C-630E4D4B81AC}"/>
    <cellStyle name="40% - Accent5 27" xfId="11082" xr:uid="{1CEF14CA-0F9B-4A25-BC5D-47D7BB996A40}"/>
    <cellStyle name="40% - Accent5 27 2" xfId="11083" xr:uid="{8D32ECFA-65C4-488E-8F93-4A35EF659EAC}"/>
    <cellStyle name="40% - Accent5 27 2 2" xfId="11084" xr:uid="{69D49931-8110-475F-865E-647AB0C44F78}"/>
    <cellStyle name="40% - Accent5 27 2 3" xfId="11085" xr:uid="{ABD993AF-0890-44AA-B30B-54E1469A2547}"/>
    <cellStyle name="40% - Accent5 27 2_Working Capital Current" xfId="15344" xr:uid="{C1DA9F85-9752-4AB4-A961-889F546AF4A8}"/>
    <cellStyle name="40% - Accent5 27 3" xfId="11086" xr:uid="{CB16D8DB-D15F-4090-912D-37B78DB1C992}"/>
    <cellStyle name="40% - Accent5 27 3 2" xfId="11087" xr:uid="{F157D441-C555-41B6-8AC9-E4897579567F}"/>
    <cellStyle name="40% - Accent5 27 3_Working Capital Current" xfId="15345" xr:uid="{B938E00F-462E-43CA-8BFB-49A889A331E9}"/>
    <cellStyle name="40% - Accent5 27 4" xfId="11088" xr:uid="{27BC8B80-46CB-46D1-AEAD-9AAF961D359C}"/>
    <cellStyle name="40% - Accent5 27 5" xfId="11089" xr:uid="{5CA47757-C8D5-4540-9978-D0F9E87BB7BD}"/>
    <cellStyle name="40% - Accent5 27_Not_for_upload_before_M4_correc" xfId="15346" xr:uid="{7C1A5DD8-A297-45CB-8FF4-7BDD6776D542}"/>
    <cellStyle name="40% - Accent5 28" xfId="11090" xr:uid="{D9270B28-3D9B-46D0-899F-C62DB08BAC95}"/>
    <cellStyle name="40% - Accent5 28 2" xfId="11091" xr:uid="{046BE90F-44D0-4B94-9E63-86316966092B}"/>
    <cellStyle name="40% - Accent5 28 2 2" xfId="11092" xr:uid="{65C5CDDF-1480-45F6-B425-B30E59B0DC48}"/>
    <cellStyle name="40% - Accent5 28 2 3" xfId="11093" xr:uid="{6B1E6858-794F-4A34-99D2-C9A8150D2CE3}"/>
    <cellStyle name="40% - Accent5 28 2_Working Capital Current" xfId="15347" xr:uid="{6AA36864-81FB-4A37-B8AE-A7C3058968E6}"/>
    <cellStyle name="40% - Accent5 28 3" xfId="11094" xr:uid="{08A586C6-7A3D-4011-867E-4D920841AA6A}"/>
    <cellStyle name="40% - Accent5 28 3 2" xfId="11095" xr:uid="{B7BD8F5B-C7F1-4592-95E9-2207C6813E15}"/>
    <cellStyle name="40% - Accent5 28 3_Working Capital Current" xfId="15348" xr:uid="{350722AB-4D9F-4332-AC9C-BD4648AF513B}"/>
    <cellStyle name="40% - Accent5 28 4" xfId="11096" xr:uid="{5F1A31E0-C9A2-463C-98C0-1657B2E1F34F}"/>
    <cellStyle name="40% - Accent5 28 5" xfId="11097" xr:uid="{0A415538-0B53-441F-B920-1833D8AB845E}"/>
    <cellStyle name="40% - Accent5 28_Not_for_upload_before_M4_correc" xfId="15349" xr:uid="{17D812A3-CB88-4D9F-AC18-889E10A4841A}"/>
    <cellStyle name="40% - Accent5 29" xfId="11098" xr:uid="{8C7BAD9F-02DF-4396-A404-F14FBA9A706F}"/>
    <cellStyle name="40% - Accent5 29 2" xfId="11099" xr:uid="{E32F805F-4659-4960-9502-9F78EC34899D}"/>
    <cellStyle name="40% - Accent5 29 2 2" xfId="11100" xr:uid="{25DECA40-4E8A-4ACB-8671-1F1B50E015D8}"/>
    <cellStyle name="40% - Accent5 29 2_Working Capital Current" xfId="15350" xr:uid="{3BC13DFC-28AC-4E22-9243-F5EE9850E7A2}"/>
    <cellStyle name="40% - Accent5 29 3" xfId="11101" xr:uid="{FB1C8F86-31D0-4372-AC1E-0E05EE144FD9}"/>
    <cellStyle name="40% - Accent5 29 4" xfId="11102" xr:uid="{1117D9EA-687B-4DB0-BDA8-EF2CAFE38F1E}"/>
    <cellStyle name="40% - Accent5 29_Not_for_upload_before_M4_correc" xfId="15351" xr:uid="{9073215A-A5B6-468B-BE23-6FA5FB512CCC}"/>
    <cellStyle name="40% - Accent5 3" xfId="108" xr:uid="{461D4EDB-6BDF-4CC0-B96B-F9C3315AD106}"/>
    <cellStyle name="40% - Accent5 3 10" xfId="16539" xr:uid="{4133C105-D227-4D8F-B413-5A17E38DC2B6}"/>
    <cellStyle name="40% - Accent5 3 2" xfId="1938" xr:uid="{B7941BB0-BCFA-4C9A-B01B-2E72AAC5AD22}"/>
    <cellStyle name="40% - Accent5 3 2 2" xfId="11105" xr:uid="{C434AED4-1BC2-4FC1-A9B8-959AC8236E35}"/>
    <cellStyle name="40% - Accent5 3 2 2 2" xfId="11106" xr:uid="{1DECF66C-05A5-4B95-AA00-2FB81952262E}"/>
    <cellStyle name="40% - Accent5 3 2 2 2 2" xfId="11107" xr:uid="{13ED378D-20D5-409C-8E44-42A7D99A03E2}"/>
    <cellStyle name="40% - Accent5 3 2 2 2_Working Capital Current" xfId="15352" xr:uid="{0EFF33AD-A9FE-4B8B-9029-1C80CF670219}"/>
    <cellStyle name="40% - Accent5 3 2 2 3" xfId="11108" xr:uid="{52278CDB-A5F3-457D-AA7B-3DAB1156F310}"/>
    <cellStyle name="40% - Accent5 3 2 2 4" xfId="11109" xr:uid="{0C453491-13ED-4B23-BFF9-AFD728489CE9}"/>
    <cellStyle name="40% - Accent5 3 2 2_Working Capital Current" xfId="15353" xr:uid="{A322D4D9-E985-4361-88B8-B55774BC1A1F}"/>
    <cellStyle name="40% - Accent5 3 2 3" xfId="11110" xr:uid="{80B3E912-AB43-449A-98C1-844E0ECC7E23}"/>
    <cellStyle name="40% - Accent5 3 2 3 2" xfId="11111" xr:uid="{BD602D80-53D2-4316-B2D0-80F183F5BAB0}"/>
    <cellStyle name="40% - Accent5 3 2 3_Working Capital Current" xfId="15354" xr:uid="{48D0F2BF-8A17-4456-A401-9765C50A0ED3}"/>
    <cellStyle name="40% - Accent5 3 2 4" xfId="11112" xr:uid="{D2D8D44E-77D6-494F-A32A-16273F8FC632}"/>
    <cellStyle name="40% - Accent5 3 2 5" xfId="11113" xr:uid="{B24EC3F7-4B25-40B2-B2DE-D6D2E9FC94A1}"/>
    <cellStyle name="40% - Accent5 3 2 6" xfId="17668" xr:uid="{30A63CBB-7D2A-4718-A8AC-FDA9F7F77F5E}"/>
    <cellStyle name="40% - Accent5 3 2 7" xfId="18217" xr:uid="{891E747A-EC4F-47DF-8940-9486930A6917}"/>
    <cellStyle name="40% - Accent5 3 2 8" xfId="11104" xr:uid="{8EBBB78C-B5B3-4B84-85F9-6AF0078EA6C5}"/>
    <cellStyle name="40% - Accent5 3 2_Not_for_upload_before_M4_correc" xfId="15355" xr:uid="{BE280C4F-8050-45BB-A640-D80872B37A51}"/>
    <cellStyle name="40% - Accent5 3 3" xfId="11114" xr:uid="{2DE82856-1EC3-495A-B0C5-B4A0ABAEFE1C}"/>
    <cellStyle name="40% - Accent5 3 3 2" xfId="11115" xr:uid="{5108BD02-44DB-46B5-9EA0-9BA16FE45FF8}"/>
    <cellStyle name="40% - Accent5 3 3 2 2" xfId="11116" xr:uid="{01FDA254-2ACA-4E96-AC6C-FD5004B513E5}"/>
    <cellStyle name="40% - Accent5 3 3 2 2 2" xfId="11117" xr:uid="{24BE4DDE-92B7-4FE6-8B49-851AE2DC0B87}"/>
    <cellStyle name="40% - Accent5 3 3 2 2_Working Capital Current" xfId="15356" xr:uid="{9F76E0A4-304D-4105-B512-B5BDADAA7C23}"/>
    <cellStyle name="40% - Accent5 3 3 2 3" xfId="11118" xr:uid="{EA619E17-60E0-46A3-80DB-D0E85C366703}"/>
    <cellStyle name="40% - Accent5 3 3 2 4" xfId="11119" xr:uid="{3AF61717-4C71-49C6-A666-F7CA8ABC3FDA}"/>
    <cellStyle name="40% - Accent5 3 3 2_Working Capital Current" xfId="15357" xr:uid="{D2B3AD06-C8B1-4974-99C2-5506860B4927}"/>
    <cellStyle name="40% - Accent5 3 3 3" xfId="11120" xr:uid="{883D5C8D-D6A9-4BDA-841F-3639D55E6D02}"/>
    <cellStyle name="40% - Accent5 3 3 3 2" xfId="11121" xr:uid="{A656F3F5-2A55-42CE-A8D5-9671792DE233}"/>
    <cellStyle name="40% - Accent5 3 3 3_Working Capital Current" xfId="15358" xr:uid="{DB59590C-0B06-4614-BF2C-66DCD683C65A}"/>
    <cellStyle name="40% - Accent5 3 3 4" xfId="11122" xr:uid="{F94D547A-D531-4BE3-89E8-EAECCCDC54E6}"/>
    <cellStyle name="40% - Accent5 3 3 5" xfId="11123" xr:uid="{D321FBBD-3F5E-4BD8-B262-05BF8FB8A3F9}"/>
    <cellStyle name="40% - Accent5 3 3_Not_for_upload_before_M4_correc" xfId="15359" xr:uid="{D4BAD0DF-37D8-401A-A9C6-1BD9D485DE74}"/>
    <cellStyle name="40% - Accent5 3 4" xfId="11124" xr:uid="{66E12955-8269-48EF-8E29-7A8675836789}"/>
    <cellStyle name="40% - Accent5 3 4 2" xfId="11125" xr:uid="{65BDAB7D-92B5-4A03-8DCD-121730693A1C}"/>
    <cellStyle name="40% - Accent5 3 4 2 2" xfId="11126" xr:uid="{67102CB7-806A-4F70-A06A-F9D8CE525606}"/>
    <cellStyle name="40% - Accent5 3 4 2 2 2" xfId="11127" xr:uid="{2971BED3-CD3D-40B3-8A5B-B4F6213C8873}"/>
    <cellStyle name="40% - Accent5 3 4 2 2_Working Capital Current" xfId="15360" xr:uid="{3E176B40-D463-4E13-8B0C-8E96FC556DEE}"/>
    <cellStyle name="40% - Accent5 3 4 2 3" xfId="11128" xr:uid="{FEE37675-9902-4363-969C-F83671BCEBA0}"/>
    <cellStyle name="40% - Accent5 3 4 2 4" xfId="11129" xr:uid="{B2EE0257-D9C5-4003-A64D-1BDB1A458C6E}"/>
    <cellStyle name="40% - Accent5 3 4 2_Working Capital Current" xfId="15361" xr:uid="{56627173-8401-4E6A-9AE1-50B16866EDE9}"/>
    <cellStyle name="40% - Accent5 3 4 3" xfId="11130" xr:uid="{D562B77A-A738-4B3F-9BC8-4553C6990F70}"/>
    <cellStyle name="40% - Accent5 3 4 3 2" xfId="11131" xr:uid="{CBEA89B0-DCCC-4946-9D5C-F4314816DF66}"/>
    <cellStyle name="40% - Accent5 3 4 3_Working Capital Current" xfId="15362" xr:uid="{F87A8B95-82BF-473C-A840-8AE0172E6860}"/>
    <cellStyle name="40% - Accent5 3 4 4" xfId="11132" xr:uid="{305FAA08-6D25-45F4-A41F-0AF019A2E34B}"/>
    <cellStyle name="40% - Accent5 3 4 5" xfId="11133" xr:uid="{A18CF888-0B26-48CD-9348-D30CC6A0272B}"/>
    <cellStyle name="40% - Accent5 3 4_Not_for_upload_before_M4_correc" xfId="15363" xr:uid="{74C49C2D-4C94-484C-8541-2C046558C625}"/>
    <cellStyle name="40% - Accent5 3 5" xfId="11134" xr:uid="{ECEFBF2D-4534-4D79-93B4-6F3A6CEF317A}"/>
    <cellStyle name="40% - Accent5 3 5 2" xfId="11135" xr:uid="{4164355E-6955-45F9-BDDC-A014BEC8DF0F}"/>
    <cellStyle name="40% - Accent5 3 5 2 2" xfId="11136" xr:uid="{B9D7873E-96C1-46CA-8F3A-F4E28E840D10}"/>
    <cellStyle name="40% - Accent5 3 5 2_Working Capital Current" xfId="15364" xr:uid="{8EE0255B-CA02-4E39-8526-744C00495E77}"/>
    <cellStyle name="40% - Accent5 3 5 3" xfId="11137" xr:uid="{7C720153-0A3D-4972-B106-AB14B794D1B2}"/>
    <cellStyle name="40% - Accent5 3 5 4" xfId="11138" xr:uid="{0B2B1D7B-1293-47EE-AA4C-CAA40E35C0AC}"/>
    <cellStyle name="40% - Accent5 3 5_Working Capital Current" xfId="15365" xr:uid="{42181F22-20A8-4F79-8976-C30A15DC74BF}"/>
    <cellStyle name="40% - Accent5 3 6" xfId="11139" xr:uid="{07140F11-16E3-418A-BF28-3907B409715A}"/>
    <cellStyle name="40% - Accent5 3 6 2" xfId="11140" xr:uid="{7D449731-ACA3-47A6-BE5C-AD3FF153F5FF}"/>
    <cellStyle name="40% - Accent5 3 6_Working Capital Current" xfId="15366" xr:uid="{E1F17A72-74CE-4E3D-A245-DB7BF351BF1F}"/>
    <cellStyle name="40% - Accent5 3 7" xfId="11141" xr:uid="{8B52174D-A373-43AA-BD96-127628F080C7}"/>
    <cellStyle name="40% - Accent5 3 8" xfId="11142" xr:uid="{ECAEABBF-BFC5-4FE9-8099-79851A02E373}"/>
    <cellStyle name="40% - Accent5 3 9" xfId="11103" xr:uid="{26DBC144-9EB2-4E88-9708-45305A23D402}"/>
    <cellStyle name="40% - Accent5 3_Not_for_upload_before_M4_correc" xfId="15367" xr:uid="{4F9C0327-D44C-434C-B140-9F1C90C310B0}"/>
    <cellStyle name="40% - Accent5 30" xfId="11143" xr:uid="{13CA3274-E600-4164-A4BF-7D6508AF420B}"/>
    <cellStyle name="40% - Accent5 30 2" xfId="11144" xr:uid="{2910F035-E4DC-4EA3-9D52-170AA773BDF0}"/>
    <cellStyle name="40% - Accent5 30 2 2" xfId="11145" xr:uid="{AEADB0FB-7AC6-459F-ACC0-34A2F611B26F}"/>
    <cellStyle name="40% - Accent5 30 2_Working Capital Current" xfId="15368" xr:uid="{272F5D80-1D1B-46CB-9389-EF15AEAA58D9}"/>
    <cellStyle name="40% - Accent5 30 3" xfId="11146" xr:uid="{3D2CA6E5-FF9E-4CF2-B738-F019CCC11440}"/>
    <cellStyle name="40% - Accent5 30 4" xfId="11147" xr:uid="{C3EAD588-B3FE-4C34-86D8-2E1FF141F948}"/>
    <cellStyle name="40% - Accent5 30_Working Capital Current" xfId="15369" xr:uid="{3633D17D-633F-4CC3-BCA6-D08585E3D874}"/>
    <cellStyle name="40% - Accent5 31" xfId="11148" xr:uid="{F4B33908-9C4A-48DF-B411-7631252FA6B8}"/>
    <cellStyle name="40% - Accent5 31 2" xfId="11149" xr:uid="{A1934A61-7CA2-4257-9FB7-2F34FDCCCF39}"/>
    <cellStyle name="40% - Accent5 31 2 2" xfId="11150" xr:uid="{3B2ECCA8-076D-45C2-80C7-718111063F05}"/>
    <cellStyle name="40% - Accent5 31 2_Working Capital Current" xfId="15370" xr:uid="{3B5E5BC0-1FD6-4FCF-92B7-553DC5139230}"/>
    <cellStyle name="40% - Accent5 31 3" xfId="11151" xr:uid="{220052A3-2D9F-4812-BC2D-9EFCEF9812A5}"/>
    <cellStyle name="40% - Accent5 31 4" xfId="11152" xr:uid="{FDB07E82-4AAF-4494-A8AB-A947BF203F46}"/>
    <cellStyle name="40% - Accent5 31_Working Capital Current" xfId="15371" xr:uid="{60B5B78B-752B-4595-BF05-877B1BB3D9C8}"/>
    <cellStyle name="40% - Accent5 32" xfId="11153" xr:uid="{ABB3F034-4B8D-48A7-A1DA-FEAEA22B582B}"/>
    <cellStyle name="40% - Accent5 32 2" xfId="11154" xr:uid="{416F98F5-53C7-4005-99D1-FFDD0037380D}"/>
    <cellStyle name="40% - Accent5 32 2 2" xfId="11155" xr:uid="{2ECD7A74-97A9-4C07-B927-36D28A686287}"/>
    <cellStyle name="40% - Accent5 32 2_Working Capital Current" xfId="15372" xr:uid="{614214E5-881B-4310-8B18-3A46BA314835}"/>
    <cellStyle name="40% - Accent5 32 3" xfId="11156" xr:uid="{A9D49082-0AFE-45C3-BB0D-59D68C8BDA70}"/>
    <cellStyle name="40% - Accent5 32 4" xfId="11157" xr:uid="{346A1008-D928-4CEC-A6C9-F93748B4E319}"/>
    <cellStyle name="40% - Accent5 32_Working Capital Current" xfId="15373" xr:uid="{222177EE-3198-4787-96FA-BC0918162EEC}"/>
    <cellStyle name="40% - Accent5 33" xfId="11158" xr:uid="{26ED1BD8-B966-4A5B-B7E4-0E43FE20EE28}"/>
    <cellStyle name="40% - Accent5 33 2" xfId="11159" xr:uid="{69CC64F6-D82E-4BA9-89EE-D1CEE3BC0533}"/>
    <cellStyle name="40% - Accent5 33 2 2" xfId="11160" xr:uid="{0C023CE1-DB84-4071-8329-2420956AEDF6}"/>
    <cellStyle name="40% - Accent5 33 2_Working Capital Current" xfId="15374" xr:uid="{D6510714-E64D-4824-AD46-FE27DAA284A2}"/>
    <cellStyle name="40% - Accent5 33 3" xfId="11161" xr:uid="{3B64CBE7-0B80-425D-9F88-41B5EF2EC599}"/>
    <cellStyle name="40% - Accent5 33 4" xfId="11162" xr:uid="{D9031A5B-C24F-488C-B140-4DAFF1B36741}"/>
    <cellStyle name="40% - Accent5 33_Working Capital Current" xfId="15375" xr:uid="{A0FA8F07-ACDA-454D-8118-AE18F19F443E}"/>
    <cellStyle name="40% - Accent5 34" xfId="11163" xr:uid="{6DB48778-BC47-4628-A00D-D5BC1656755A}"/>
    <cellStyle name="40% - Accent5 34 2" xfId="11164" xr:uid="{49DE8878-8A74-4B1E-B4C2-A9B5EF50A803}"/>
    <cellStyle name="40% - Accent5 34 2 2" xfId="11165" xr:uid="{0D32BF8D-5481-477E-85E9-EC8D71DF6EC5}"/>
    <cellStyle name="40% - Accent5 34 2_Working Capital Current" xfId="15376" xr:uid="{7CEA953D-3E9A-4E7E-9D6D-A34EDA7D9633}"/>
    <cellStyle name="40% - Accent5 34 3" xfId="11166" xr:uid="{67FA09FE-7651-429D-B614-8811DB6ADCF9}"/>
    <cellStyle name="40% - Accent5 34 4" xfId="11167" xr:uid="{CE694466-3F4C-44A3-A773-F4AEF616D1A2}"/>
    <cellStyle name="40% - Accent5 34_Working Capital Current" xfId="15377" xr:uid="{BDF29C8C-FBC0-4A3D-BE55-C3681EACFEB1}"/>
    <cellStyle name="40% - Accent5 35" xfId="11168" xr:uid="{CD82A3CB-5FE7-4329-8D62-B9AF2AC70E14}"/>
    <cellStyle name="40% - Accent5 35 2" xfId="11169" xr:uid="{98C27256-C779-44C4-B5BE-A8EA2CCF0A3B}"/>
    <cellStyle name="40% - Accent5 35 2 2" xfId="11170" xr:uid="{B17B7CE3-AA98-4333-B794-3A40509717E0}"/>
    <cellStyle name="40% - Accent5 35 2_Working Capital Current" xfId="15378" xr:uid="{5F5BAC02-1BD9-4DB4-8683-9241660F9AEC}"/>
    <cellStyle name="40% - Accent5 35 3" xfId="11171" xr:uid="{9AE8D702-98B8-4A26-B357-4979A9F3A662}"/>
    <cellStyle name="40% - Accent5 35 4" xfId="11172" xr:uid="{81FAF211-22EC-4296-83E7-F2460393A8F9}"/>
    <cellStyle name="40% - Accent5 35_Working Capital Current" xfId="15379" xr:uid="{D3BE0D03-431F-49FC-8090-F1D0D7123C20}"/>
    <cellStyle name="40% - Accent5 36" xfId="11173" xr:uid="{F4CD9370-C76C-4BEC-9B5B-990B2ECD6EF9}"/>
    <cellStyle name="40% - Accent5 36 2" xfId="11174" xr:uid="{2E0394DC-5A9A-4BD1-8D7A-EBB52A69E397}"/>
    <cellStyle name="40% - Accent5 36 2 2" xfId="11175" xr:uid="{72DF39C8-0DE5-4EA7-8EEE-A46AC7A26203}"/>
    <cellStyle name="40% - Accent5 36 2_Working Capital Current" xfId="15380" xr:uid="{D8C63C76-4130-41E1-B8A1-793D8115B739}"/>
    <cellStyle name="40% - Accent5 36 3" xfId="11176" xr:uid="{A961295B-947F-480D-998B-AB8CF3FA0EDF}"/>
    <cellStyle name="40% - Accent5 36 4" xfId="11177" xr:uid="{20F628B9-3FDA-457A-9EF9-E45D497E5D7B}"/>
    <cellStyle name="40% - Accent5 36_Working Capital Current" xfId="15381" xr:uid="{898728CB-B6BC-4324-851E-CB852E121D02}"/>
    <cellStyle name="40% - Accent5 37" xfId="11178" xr:uid="{105E4B1F-FFB3-435B-89D1-A2D18DCA44F0}"/>
    <cellStyle name="40% - Accent5 37 2" xfId="11179" xr:uid="{01CA5CD9-77F6-415D-A83B-8662DBBEF27F}"/>
    <cellStyle name="40% - Accent5 37 2 2" xfId="11180" xr:uid="{DFD288BB-7CA1-4842-AF44-39B52258D46B}"/>
    <cellStyle name="40% - Accent5 37 2_Working Capital Current" xfId="15382" xr:uid="{DAA54A37-678B-4468-AE53-D7739E01248B}"/>
    <cellStyle name="40% - Accent5 37 3" xfId="11181" xr:uid="{7A152644-330B-4AF2-8030-8AC10E3A7207}"/>
    <cellStyle name="40% - Accent5 37 4" xfId="11182" xr:uid="{0BA89D2C-7D98-4F3D-8EC5-306432393E2D}"/>
    <cellStyle name="40% - Accent5 37_Working Capital Current" xfId="15383" xr:uid="{AE1AA9A0-CBD7-4001-B711-08236D765D4B}"/>
    <cellStyle name="40% - Accent5 38" xfId="11183" xr:uid="{5CC56F8B-0611-4E67-BC60-9E5FC962A722}"/>
    <cellStyle name="40% - Accent5 38 2" xfId="11184" xr:uid="{CBD02C14-DCA2-4193-A80A-9CDF2CDEB731}"/>
    <cellStyle name="40% - Accent5 38 2 2" xfId="11185" xr:uid="{23ADE423-DEF1-408A-AAC4-272CE56F5830}"/>
    <cellStyle name="40% - Accent5 38 2_Working Capital Current" xfId="15384" xr:uid="{AB5D1023-E0FC-4D1F-9FFF-123BF60B693F}"/>
    <cellStyle name="40% - Accent5 38 3" xfId="11186" xr:uid="{22FCA092-E9CA-4373-BED3-28AC2191A2F1}"/>
    <cellStyle name="40% - Accent5 38 4" xfId="11187" xr:uid="{217AB53F-7CA0-4993-AE7C-B18BFC6179C0}"/>
    <cellStyle name="40% - Accent5 38_Working Capital Current" xfId="15385" xr:uid="{48C99468-3534-4136-A692-DB2BE1C88085}"/>
    <cellStyle name="40% - Accent5 39" xfId="11188" xr:uid="{FB994896-C546-40C6-89C6-41099C86820D}"/>
    <cellStyle name="40% - Accent5 39 2" xfId="11189" xr:uid="{14C5FF9B-5778-499E-8B1D-FB77D64DB8AC}"/>
    <cellStyle name="40% - Accent5 39 2 2" xfId="11190" xr:uid="{C094373E-4075-4711-9721-1934674FBFAD}"/>
    <cellStyle name="40% - Accent5 39 2_Working Capital Current" xfId="15386" xr:uid="{05E21B91-65F2-43BF-AB74-1E785C910155}"/>
    <cellStyle name="40% - Accent5 39 3" xfId="11191" xr:uid="{924EEAD5-FF47-40E8-AE7A-72355EBA40DC}"/>
    <cellStyle name="40% - Accent5 39 4" xfId="11192" xr:uid="{741A7569-0FED-4E20-A1A9-C4132B714D4A}"/>
    <cellStyle name="40% - Accent5 39_Working Capital Current" xfId="15387" xr:uid="{178D384A-1D93-4869-8DDC-C3E07B2CDB75}"/>
    <cellStyle name="40% - Accent5 4" xfId="1878" xr:uid="{1A1CB203-33FD-4D36-94DB-BA5996123A00}"/>
    <cellStyle name="40% - Accent5 4 2" xfId="11194" xr:uid="{F6431E3D-1110-473E-836B-6B20A393C018}"/>
    <cellStyle name="40% - Accent5 4 2 2" xfId="11195" xr:uid="{45B3AFC6-4CE5-4ED1-97CE-FFCA518E4534}"/>
    <cellStyle name="40% - Accent5 4 2 2 2" xfId="11196" xr:uid="{EACE2AC6-0BCA-414D-A183-434C37C4C301}"/>
    <cellStyle name="40% - Accent5 4 2 2_Working Capital Current" xfId="15388" xr:uid="{D8B9233C-5FEA-4387-9944-C18464778DD8}"/>
    <cellStyle name="40% - Accent5 4 2 3" xfId="11197" xr:uid="{7FF7AF8E-0485-498E-AF99-ED2C9F010E59}"/>
    <cellStyle name="40% - Accent5 4 2 4" xfId="11198" xr:uid="{B23445EC-31BD-4403-BBDD-AF0F34C2BB73}"/>
    <cellStyle name="40% - Accent5 4 2_Working Capital Current" xfId="15389" xr:uid="{4D42EB87-CC35-4885-96E2-C0B45F34E321}"/>
    <cellStyle name="40% - Accent5 4 3" xfId="11199" xr:uid="{9F8E9224-DDA4-493F-9CA1-DEA9997D8F06}"/>
    <cellStyle name="40% - Accent5 4 3 2" xfId="11200" xr:uid="{F15B7A77-A20B-4D1B-A764-8599AE869FE9}"/>
    <cellStyle name="40% - Accent5 4 3_Working Capital Current" xfId="15390" xr:uid="{9C14896C-D288-4BC1-BCEA-9B6D208F70E3}"/>
    <cellStyle name="40% - Accent5 4 4" xfId="11201" xr:uid="{230577DD-BE06-446B-B088-6F5451BCEC4B}"/>
    <cellStyle name="40% - Accent5 4 5" xfId="11202" xr:uid="{E462B85F-30D6-400F-B96C-167AA71D697C}"/>
    <cellStyle name="40% - Accent5 4 6" xfId="17613" xr:uid="{0DED43EB-1B94-4388-9D3F-44A964D1E86B}"/>
    <cellStyle name="40% - Accent5 4 7" xfId="18182" xr:uid="{A41897FC-9F58-469A-9CF4-B5FC4884E2EC}"/>
    <cellStyle name="40% - Accent5 4 8" xfId="11193" xr:uid="{0AF21015-6185-4ED4-8CD5-D323BCDA339D}"/>
    <cellStyle name="40% - Accent5 4_Not_for_upload_before_M4_correc" xfId="15391" xr:uid="{0162E2E0-1DB9-4277-BCE4-0221BAECD947}"/>
    <cellStyle name="40% - Accent5 40" xfId="11203" xr:uid="{8B9F5765-798A-42C1-9AEC-C23366E1F3FF}"/>
    <cellStyle name="40% - Accent5 40 2" xfId="11204" xr:uid="{B43CC8D6-51AC-4E02-BE80-F983301CA372}"/>
    <cellStyle name="40% - Accent5 40 2 2" xfId="11205" xr:uid="{FBF34EA0-D497-48DA-A4CF-7068B7BD0384}"/>
    <cellStyle name="40% - Accent5 40 2_Working Capital Current" xfId="15392" xr:uid="{125EADAD-81C6-4E0B-8CF0-2B970C44D891}"/>
    <cellStyle name="40% - Accent5 40 3" xfId="11206" xr:uid="{16C92A70-E453-4C11-A2B3-D2033B4C8933}"/>
    <cellStyle name="40% - Accent5 40 4" xfId="11207" xr:uid="{0289222E-E142-45FE-A5EC-A6AED8C4222D}"/>
    <cellStyle name="40% - Accent5 40_Working Capital Current" xfId="15393" xr:uid="{518C628F-78FB-46AA-AEDE-A8A82039621F}"/>
    <cellStyle name="40% - Accent5 41" xfId="11208" xr:uid="{13347B70-8D12-433F-AC3A-4858809A12ED}"/>
    <cellStyle name="40% - Accent5 41 2" xfId="11209" xr:uid="{1E0944F4-53DE-439E-9405-A89D775C579D}"/>
    <cellStyle name="40% - Accent5 41 2 2" xfId="11210" xr:uid="{2E214A38-2B6F-414C-896A-6A4867D5D0BC}"/>
    <cellStyle name="40% - Accent5 41 2_Working Capital Current" xfId="15394" xr:uid="{71798E3E-E5B6-4F18-BBBD-B2E56AFEB50E}"/>
    <cellStyle name="40% - Accent5 41 3" xfId="11211" xr:uid="{9427846F-4067-4057-857C-4ED4069FC929}"/>
    <cellStyle name="40% - Accent5 41 4" xfId="11212" xr:uid="{AB48D64F-650D-4C96-BF46-321C0D32524B}"/>
    <cellStyle name="40% - Accent5 41_Working Capital Current" xfId="15395" xr:uid="{F98B2AF3-D99F-4BCE-8E34-21241A17E8A0}"/>
    <cellStyle name="40% - Accent5 42" xfId="11213" xr:uid="{B20DDFFB-852E-40E4-9952-70400EB4B973}"/>
    <cellStyle name="40% - Accent5 42 2" xfId="11214" xr:uid="{4CF0AE91-D78F-45D1-9742-C9F4BF872068}"/>
    <cellStyle name="40% - Accent5 42 2 2" xfId="11215" xr:uid="{41AF2100-53F1-4A06-84F7-CFA9D475F7E9}"/>
    <cellStyle name="40% - Accent5 42 2_Working Capital Current" xfId="15396" xr:uid="{E95CCA46-C756-49D9-8950-48F6175A4164}"/>
    <cellStyle name="40% - Accent5 42 3" xfId="11216" xr:uid="{A2259508-6BEF-4B2B-BD69-4670DB7707DB}"/>
    <cellStyle name="40% - Accent5 42 4" xfId="11217" xr:uid="{C0EE3039-904A-4D27-8881-6C2BB690DB78}"/>
    <cellStyle name="40% - Accent5 42_Working Capital Current" xfId="15397" xr:uid="{83158802-EBC6-4607-A4E3-66A8E5A90BEB}"/>
    <cellStyle name="40% - Accent5 43" xfId="11218" xr:uid="{08612D90-50E3-4C20-AB59-B0F9E99C7EE0}"/>
    <cellStyle name="40% - Accent5 43 2" xfId="11219" xr:uid="{8AC2BF71-BD16-4EF4-9CA0-29B37059C371}"/>
    <cellStyle name="40% - Accent5 43 2 2" xfId="11220" xr:uid="{A6D29AA3-5EC1-4D81-9835-02944B2BBE36}"/>
    <cellStyle name="40% - Accent5 43 2_Working Capital Current" xfId="15398" xr:uid="{452F0B76-AC61-46C4-AC00-11C24099D6CD}"/>
    <cellStyle name="40% - Accent5 43 3" xfId="11221" xr:uid="{CD43881B-9090-4D5E-A557-3587DD695BE0}"/>
    <cellStyle name="40% - Accent5 43 4" xfId="11222" xr:uid="{795F187C-1320-4BEA-AABD-1F29059B34E3}"/>
    <cellStyle name="40% - Accent5 43_Working Capital Current" xfId="15399" xr:uid="{1AB592B2-6F68-471C-BC87-03F914299D7A}"/>
    <cellStyle name="40% - Accent5 44" xfId="11223" xr:uid="{5814F2D7-76FC-4ABB-BD1F-0AA9F123DDDD}"/>
    <cellStyle name="40% - Accent5 44 2" xfId="11224" xr:uid="{D4675C80-7FCE-4B81-AD67-59BE00E4B75A}"/>
    <cellStyle name="40% - Accent5 44 2 2" xfId="11225" xr:uid="{1F090855-6FEA-44BF-84DA-BF3EE0498031}"/>
    <cellStyle name="40% - Accent5 44 2_Working Capital Current" xfId="15400" xr:uid="{7CC415E0-EC45-4B22-BF8D-360C41FEC329}"/>
    <cellStyle name="40% - Accent5 44 3" xfId="11226" xr:uid="{CD77F77B-7EC3-4298-9F98-4749FDBC9B11}"/>
    <cellStyle name="40% - Accent5 44 4" xfId="11227" xr:uid="{65B6BDC7-8BD4-4FA2-8D63-30CC98DB86E4}"/>
    <cellStyle name="40% - Accent5 44_Working Capital Current" xfId="15401" xr:uid="{C5E5A995-6AF9-46E3-B353-CC64AF4DA2AC}"/>
    <cellStyle name="40% - Accent5 45" xfId="11228" xr:uid="{68CEDA6F-7B0E-46CE-B5F7-E642D1361B0F}"/>
    <cellStyle name="40% - Accent5 45 2" xfId="11229" xr:uid="{F9CB0C3F-130F-4919-8A54-AF394D5656F9}"/>
    <cellStyle name="40% - Accent5 45 2 2" xfId="11230" xr:uid="{4E1AC9B9-93F6-437D-9B8B-8BAFA7441A7D}"/>
    <cellStyle name="40% - Accent5 45 2_Working Capital Current" xfId="15402" xr:uid="{C2B8FE60-2006-488C-887A-6B12E402B53B}"/>
    <cellStyle name="40% - Accent5 45 3" xfId="11231" xr:uid="{03E9CAB1-9F97-453B-8733-099C5CDD899B}"/>
    <cellStyle name="40% - Accent5 45 4" xfId="11232" xr:uid="{41532ABD-879A-4099-AA94-2BA10E097AEE}"/>
    <cellStyle name="40% - Accent5 45_Working Capital Current" xfId="15403" xr:uid="{5E62F5D6-B45D-444E-BFBF-C19CC4AB25EB}"/>
    <cellStyle name="40% - Accent5 46" xfId="11233" xr:uid="{FFFF17D4-5079-4E0F-A2CC-E4CF383FDA24}"/>
    <cellStyle name="40% - Accent5 46 2" xfId="11234" xr:uid="{D8DD7C1E-0216-4600-9510-7E182B7873E4}"/>
    <cellStyle name="40% - Accent5 46 2 2" xfId="11235" xr:uid="{3B55DDD3-D3B6-490C-A64B-065E38023AD8}"/>
    <cellStyle name="40% - Accent5 46 2_Working Capital Current" xfId="15404" xr:uid="{0308351B-6274-4FC4-A0FB-5D7631CD5999}"/>
    <cellStyle name="40% - Accent5 46 3" xfId="11236" xr:uid="{67226CB6-5CFB-434B-97B7-014CDC3396CC}"/>
    <cellStyle name="40% - Accent5 46 4" xfId="11237" xr:uid="{88A5E52B-8F6C-4D3A-AF43-058178811FFA}"/>
    <cellStyle name="40% - Accent5 46_Working Capital Current" xfId="15405" xr:uid="{102474CB-4722-43CC-842D-D4C94DB5043E}"/>
    <cellStyle name="40% - Accent5 47" xfId="11238" xr:uid="{36D6017E-1D02-4823-8B65-534E5BDF8050}"/>
    <cellStyle name="40% - Accent5 47 2" xfId="11239" xr:uid="{63BC240F-7DA9-4C00-925E-2D89EE716978}"/>
    <cellStyle name="40% - Accent5 47 2 2" xfId="11240" xr:uid="{EC685CEF-7D35-47A4-89C6-BB904063A1A7}"/>
    <cellStyle name="40% - Accent5 47 2_Working Capital Current" xfId="15406" xr:uid="{4176B394-9384-47A2-9E06-00E61561EE93}"/>
    <cellStyle name="40% - Accent5 47 3" xfId="11241" xr:uid="{ECAA4746-8D71-452A-8B30-EB10F4D67800}"/>
    <cellStyle name="40% - Accent5 47 4" xfId="11242" xr:uid="{D58F4C86-598A-42A4-89CB-AF9CC23A5371}"/>
    <cellStyle name="40% - Accent5 47_Working Capital Current" xfId="15407" xr:uid="{743023D1-90CA-4527-A963-43F42153D20B}"/>
    <cellStyle name="40% - Accent5 48" xfId="11243" xr:uid="{B031E6E1-45C0-4F9C-B2A3-6FB0B047F46F}"/>
    <cellStyle name="40% - Accent5 48 2" xfId="11244" xr:uid="{1AEF602D-7A5C-48C3-B89C-C45877760C9F}"/>
    <cellStyle name="40% - Accent5 48 2 2" xfId="11245" xr:uid="{2854A730-E272-4D5C-AA32-FD516D1B7296}"/>
    <cellStyle name="40% - Accent5 48 2_Working Capital Current" xfId="15408" xr:uid="{5C931067-E7B1-470F-BB29-7810F7AC5940}"/>
    <cellStyle name="40% - Accent5 48 3" xfId="11246" xr:uid="{080C9C3B-D7C0-442E-952A-38F4909330BE}"/>
    <cellStyle name="40% - Accent5 48 4" xfId="11247" xr:uid="{CF4762A1-6944-4EE9-90A7-679B9DBDD34A}"/>
    <cellStyle name="40% - Accent5 48_Working Capital Current" xfId="15409" xr:uid="{55B840EE-9D16-479B-8B20-E58B38E243E4}"/>
    <cellStyle name="40% - Accent5 49" xfId="11248" xr:uid="{F572950A-26C5-4663-B43C-FAB591F17C6C}"/>
    <cellStyle name="40% - Accent5 49 2" xfId="11249" xr:uid="{36BFB6E6-219C-4BD1-B3FB-79A5990B1319}"/>
    <cellStyle name="40% - Accent5 49 2 2" xfId="11250" xr:uid="{F471B13D-B055-43C2-B0F8-E6B6EBC1E750}"/>
    <cellStyle name="40% - Accent5 49 2_Working Capital Current" xfId="15410" xr:uid="{5AFE23CE-22CA-4942-99D1-955EEDC67277}"/>
    <cellStyle name="40% - Accent5 49 3" xfId="11251" xr:uid="{C3FDD8FA-74E4-4299-9438-085308B4682A}"/>
    <cellStyle name="40% - Accent5 49 4" xfId="11252" xr:uid="{2AE20D4F-E9D1-4E9E-A5FC-EA03358C77E2}"/>
    <cellStyle name="40% - Accent5 49_Working Capital Current" xfId="15411" xr:uid="{E4416633-4E1E-4C26-87E4-5C53CE211683}"/>
    <cellStyle name="40% - Accent5 5" xfId="11253" xr:uid="{EDFD4213-1CBF-4EF3-9C9D-F8858219C644}"/>
    <cellStyle name="40% - Accent5 5 2" xfId="11254" xr:uid="{87A579E2-6352-4520-83C8-4FA95B1D4ECB}"/>
    <cellStyle name="40% - Accent5 5 2 2" xfId="11255" xr:uid="{CC26DD16-6024-45B0-9D98-8B8022F3171A}"/>
    <cellStyle name="40% - Accent5 5 2 2 2" xfId="11256" xr:uid="{EC4E024C-5F60-4A5D-A2A6-A1272CBDABB5}"/>
    <cellStyle name="40% - Accent5 5 2 2_Working Capital Current" xfId="15412" xr:uid="{7A74ABF4-0705-485D-8EA1-EE1901F955D9}"/>
    <cellStyle name="40% - Accent5 5 2 3" xfId="11257" xr:uid="{DF6E39DB-A339-4FA8-8BA5-7F03578E8FBF}"/>
    <cellStyle name="40% - Accent5 5 2 4" xfId="11258" xr:uid="{617F040F-1018-4E53-AC11-DBE574541D2B}"/>
    <cellStyle name="40% - Accent5 5 2_Working Capital Current" xfId="15413" xr:uid="{64F39E8D-53E4-4DA6-A0D8-01E204617C1C}"/>
    <cellStyle name="40% - Accent5 5 3" xfId="11259" xr:uid="{1E84BA2B-0F45-4856-A6DA-B10F46606714}"/>
    <cellStyle name="40% - Accent5 5 3 2" xfId="11260" xr:uid="{F0CF5793-DB05-4C13-BC2B-54199009DADD}"/>
    <cellStyle name="40% - Accent5 5 3_Working Capital Current" xfId="15414" xr:uid="{DAF81B80-6C85-45BE-ADB3-465DE2D8F7DD}"/>
    <cellStyle name="40% - Accent5 5 4" xfId="11261" xr:uid="{C6333AE0-9236-41AC-96FF-05BD1D80C367}"/>
    <cellStyle name="40% - Accent5 5 5" xfId="11262" xr:uid="{64961959-B9E5-4C26-9A6F-14A5686571B3}"/>
    <cellStyle name="40% - Accent5 5_Not_for_upload_before_M4_correc" xfId="15415" xr:uid="{CABCFEF7-BC0E-42F8-BD16-B7D2C1789DE1}"/>
    <cellStyle name="40% - Accent5 50" xfId="11263" xr:uid="{AA8AF117-1928-46A2-99AA-AA5D45AC89B4}"/>
    <cellStyle name="40% - Accent5 50 2" xfId="11264" xr:uid="{4F735FE9-DA8F-45E5-92F8-163D659DF166}"/>
    <cellStyle name="40% - Accent5 50 2 2" xfId="11265" xr:uid="{86F4C837-0DCF-40B2-B54F-E58935FF26F2}"/>
    <cellStyle name="40% - Accent5 50 2_Working Capital Current" xfId="15416" xr:uid="{BB15722F-BE4A-421A-8CFD-39D2263B2E85}"/>
    <cellStyle name="40% - Accent5 50 3" xfId="11266" xr:uid="{6A786209-C848-484C-AC67-B6AF55AFC2E6}"/>
    <cellStyle name="40% - Accent5 50 4" xfId="11267" xr:uid="{F36B2C75-33A9-4C19-B255-EAD77B1062B5}"/>
    <cellStyle name="40% - Accent5 50_Working Capital Current" xfId="15417" xr:uid="{37874D41-4757-45A4-9357-58861F911D54}"/>
    <cellStyle name="40% - Accent5 51" xfId="11268" xr:uid="{864CE2B8-3736-47B5-926B-ABCEB8F5D7B5}"/>
    <cellStyle name="40% - Accent5 51 2" xfId="11269" xr:uid="{6673C0DE-484D-440D-8545-C9716DEBBFC9}"/>
    <cellStyle name="40% - Accent5 51 2 2" xfId="11270" xr:uid="{9B539F0A-049B-4867-BBE6-FFD3CE2C4803}"/>
    <cellStyle name="40% - Accent5 51 2_Working Capital Current" xfId="15418" xr:uid="{49788AE0-7B2E-4BB6-900D-8EECAAEC4E21}"/>
    <cellStyle name="40% - Accent5 51 3" xfId="11271" xr:uid="{81CEB309-9056-4464-BC79-0F0C994C0CF9}"/>
    <cellStyle name="40% - Accent5 51 4" xfId="11272" xr:uid="{1E84E115-F742-43CF-AD61-E67B53980594}"/>
    <cellStyle name="40% - Accent5 51_Working Capital Current" xfId="15419" xr:uid="{E284B01C-A389-4411-AA24-B8177E01F498}"/>
    <cellStyle name="40% - Accent5 52" xfId="11273" xr:uid="{5091188F-5508-4E55-AC35-1878F3EFF342}"/>
    <cellStyle name="40% - Accent5 52 2" xfId="11274" xr:uid="{6C473DD6-7528-4087-B6C5-DF2FDF59C332}"/>
    <cellStyle name="40% - Accent5 52 2 2" xfId="11275" xr:uid="{A165CE89-B764-44D0-9908-A5256338DFE3}"/>
    <cellStyle name="40% - Accent5 52 2_Working Capital Current" xfId="15420" xr:uid="{634BE412-A60B-41B2-BF05-0966B88E89B4}"/>
    <cellStyle name="40% - Accent5 52 3" xfId="11276" xr:uid="{F60F6AD0-48E9-4B56-B4F4-B254027523B6}"/>
    <cellStyle name="40% - Accent5 52 4" xfId="11277" xr:uid="{C14BAB34-4678-41AA-AA1E-4372710233D6}"/>
    <cellStyle name="40% - Accent5 52_Working Capital Current" xfId="15421" xr:uid="{760847F3-1109-4A74-85BA-0F3320A69D4E}"/>
    <cellStyle name="40% - Accent5 53" xfId="11278" xr:uid="{1EC1EA0F-E950-43CA-9041-1459E4AC9DA9}"/>
    <cellStyle name="40% - Accent5 53 2" xfId="11279" xr:uid="{F24EE9BA-12DB-49BD-A32B-29213A676F0B}"/>
    <cellStyle name="40% - Accent5 53 2 2" xfId="11280" xr:uid="{61D4F309-B82D-4DE6-916C-143CFA105340}"/>
    <cellStyle name="40% - Accent5 53 2_Working Capital Current" xfId="15422" xr:uid="{45AF2447-88C6-43DC-A16B-03859EB9C5BA}"/>
    <cellStyle name="40% - Accent5 53 3" xfId="11281" xr:uid="{B526036A-B959-4E71-9524-2EBB29E6E1C5}"/>
    <cellStyle name="40% - Accent5 53 4" xfId="11282" xr:uid="{A9321945-4A42-4EEF-B8CA-13F639CCE3C4}"/>
    <cellStyle name="40% - Accent5 53_Working Capital Current" xfId="15423" xr:uid="{B8FC6AE8-D0A7-470E-B5EB-98FAAF2E3553}"/>
    <cellStyle name="40% - Accent5 54" xfId="11283" xr:uid="{60DBDF80-45E1-4A1A-9D05-1C9A81985DAB}"/>
    <cellStyle name="40% - Accent5 54 2" xfId="11284" xr:uid="{06002977-89C2-4A1A-9FFC-50169AEF31AF}"/>
    <cellStyle name="40% - Accent5 54 2 2" xfId="11285" xr:uid="{FA088D1A-7928-4D77-A929-A6E70C622AAA}"/>
    <cellStyle name="40% - Accent5 54 2_Working Capital Current" xfId="15424" xr:uid="{EF680DB2-B803-49BA-991A-8D13CE0E2ED3}"/>
    <cellStyle name="40% - Accent5 54 3" xfId="11286" xr:uid="{965019C2-2D81-44C8-B822-5E2FF7488060}"/>
    <cellStyle name="40% - Accent5 54 4" xfId="11287" xr:uid="{61121BC3-A2AC-42E6-A87F-A98F75B7917F}"/>
    <cellStyle name="40% - Accent5 54_Working Capital Current" xfId="15425" xr:uid="{0A00544D-C410-4017-A66A-6DE45D563C62}"/>
    <cellStyle name="40% - Accent5 55" xfId="11288" xr:uid="{29154E16-5CCD-4A62-A01F-9C9394EBE237}"/>
    <cellStyle name="40% - Accent5 55 2" xfId="11289" xr:uid="{A7E73928-8545-4059-AE9E-03B6204F5B26}"/>
    <cellStyle name="40% - Accent5 55 2 2" xfId="11290" xr:uid="{E7A1DAC9-4061-44A7-B436-47D65A74C2F4}"/>
    <cellStyle name="40% - Accent5 55 2_Working Capital Current" xfId="15426" xr:uid="{2C9713D8-E4E4-4F8F-88A9-32813608504B}"/>
    <cellStyle name="40% - Accent5 55 3" xfId="11291" xr:uid="{9A251936-18C0-4A1D-A8EF-81BA60627A73}"/>
    <cellStyle name="40% - Accent5 55 4" xfId="11292" xr:uid="{8B57F024-372C-47D4-9F20-8D28B285A50A}"/>
    <cellStyle name="40% - Accent5 55_Working Capital Current" xfId="15427" xr:uid="{79A0F14A-4A95-449E-A7C3-ECDE0911368A}"/>
    <cellStyle name="40% - Accent5 56" xfId="11293" xr:uid="{A41325A9-FBED-4CA9-A1AE-80B60CA21E10}"/>
    <cellStyle name="40% - Accent5 56 2" xfId="11294" xr:uid="{EFCDB0A8-447F-40C9-BF39-47ECED4EC3AC}"/>
    <cellStyle name="40% - Accent5 56 2 2" xfId="11295" xr:uid="{4F489F18-4D93-45E8-8625-DC8173B7A5FD}"/>
    <cellStyle name="40% - Accent5 56 2_Working Capital Current" xfId="15428" xr:uid="{4212DD55-15AB-409A-ABA9-AFCDCB0B4833}"/>
    <cellStyle name="40% - Accent5 56 3" xfId="11296" xr:uid="{768E1FA7-E118-4A60-9778-9382C46D9B24}"/>
    <cellStyle name="40% - Accent5 56 4" xfId="11297" xr:uid="{4D6C26B5-3558-4942-8EBE-5ED79FB0F7A7}"/>
    <cellStyle name="40% - Accent5 56_Working Capital Current" xfId="15429" xr:uid="{DA3439B0-C30D-46F1-BB5A-51F25CE343C6}"/>
    <cellStyle name="40% - Accent5 57" xfId="11298" xr:uid="{8F8BBDDA-A004-484D-AEDB-1CA1AE6723E9}"/>
    <cellStyle name="40% - Accent5 57 2" xfId="11299" xr:uid="{CCF3E4AD-B6B3-45CA-BC18-8B23C02446E9}"/>
    <cellStyle name="40% - Accent5 57 2 2" xfId="11300" xr:uid="{1B08A725-42DA-4F23-B63B-F2F35E7934B2}"/>
    <cellStyle name="40% - Accent5 57 2_Working Capital Current" xfId="15430" xr:uid="{E4660119-B500-4D69-AA4E-329BBA549B33}"/>
    <cellStyle name="40% - Accent5 57 3" xfId="11301" xr:uid="{9A0FC1EC-D059-4C90-9663-0FE42DB71779}"/>
    <cellStyle name="40% - Accent5 57 4" xfId="11302" xr:uid="{5952487D-0DCC-443D-A6E0-F3CD2FAE30C3}"/>
    <cellStyle name="40% - Accent5 57_Working Capital Current" xfId="15431" xr:uid="{0AED9A97-5EE8-4D95-9E03-9D43B2B59A9F}"/>
    <cellStyle name="40% - Accent5 58" xfId="11303" xr:uid="{7AD56367-A967-4103-B457-036D96EC606F}"/>
    <cellStyle name="40% - Accent5 58 2" xfId="11304" xr:uid="{9B01F0B5-E24C-4D1B-8D76-2B124FE720EC}"/>
    <cellStyle name="40% - Accent5 58 2 2" xfId="11305" xr:uid="{73B556A6-6456-4FA0-B322-2BA8A32019B0}"/>
    <cellStyle name="40% - Accent5 58 2_Working Capital Current" xfId="15432" xr:uid="{80FB8733-696D-4BFA-9CB7-8B6707A55E19}"/>
    <cellStyle name="40% - Accent5 58 3" xfId="11306" xr:uid="{A550113D-8F38-4003-880D-37AED1DB5D29}"/>
    <cellStyle name="40% - Accent5 58 4" xfId="11307" xr:uid="{9FB9D037-A1C9-4841-8AD3-4775B37EFC8F}"/>
    <cellStyle name="40% - Accent5 58_Working Capital Current" xfId="15433" xr:uid="{4E72B78F-5202-4059-A1F8-A84A4ACB24A2}"/>
    <cellStyle name="40% - Accent5 59" xfId="11308" xr:uid="{D9035C2B-2A46-4C5C-95E0-3C8489D01A29}"/>
    <cellStyle name="40% - Accent5 59 2" xfId="11309" xr:uid="{8D4BC3D4-317F-477D-899C-5993DD75CAB6}"/>
    <cellStyle name="40% - Accent5 59 2 2" xfId="11310" xr:uid="{46742BA2-4AF5-4AA6-933E-8B462018A398}"/>
    <cellStyle name="40% - Accent5 59 2_Working Capital Current" xfId="15434" xr:uid="{665A36D0-4F49-4D66-9211-4A87759A95F0}"/>
    <cellStyle name="40% - Accent5 59 3" xfId="11311" xr:uid="{84009D76-009B-410B-8E2F-07B232CAD665}"/>
    <cellStyle name="40% - Accent5 59 4" xfId="11312" xr:uid="{6A28F3A3-5C74-48AF-BEF5-E1C281E19504}"/>
    <cellStyle name="40% - Accent5 59_Working Capital Current" xfId="15435" xr:uid="{592D1FD8-165B-4223-90F0-2E3CC5D69365}"/>
    <cellStyle name="40% - Accent5 6" xfId="11313" xr:uid="{880F8028-8092-4FAD-8F87-103800E530D6}"/>
    <cellStyle name="40% - Accent5 6 2" xfId="11314" xr:uid="{4C7567F1-E659-4740-9769-D31F12B5AE89}"/>
    <cellStyle name="40% - Accent5 6 2 2" xfId="11315" xr:uid="{49C02CED-53BE-483D-82C4-DC2A33B535BD}"/>
    <cellStyle name="40% - Accent5 6 2 2 2" xfId="11316" xr:uid="{54DAE226-9276-4FCD-9CAE-62D05D663A47}"/>
    <cellStyle name="40% - Accent5 6 2 2_Working Capital Current" xfId="15436" xr:uid="{A7D77E24-00BD-4BEC-A0A4-B2552370F258}"/>
    <cellStyle name="40% - Accent5 6 2 3" xfId="11317" xr:uid="{0D63793A-5905-4B98-9B18-E13E25A8037F}"/>
    <cellStyle name="40% - Accent5 6 2 4" xfId="11318" xr:uid="{CBA5234A-9337-44D2-B333-08909790EF7A}"/>
    <cellStyle name="40% - Accent5 6 2_Working Capital Current" xfId="15437" xr:uid="{A9F47A20-CDE3-462A-8A47-6FAAE71308F6}"/>
    <cellStyle name="40% - Accent5 6 3" xfId="11319" xr:uid="{C0322784-6B64-4413-AE14-70F613648ADF}"/>
    <cellStyle name="40% - Accent5 6 3 2" xfId="11320" xr:uid="{64914290-1AAD-4774-B13C-81967215E449}"/>
    <cellStyle name="40% - Accent5 6 3_Working Capital Current" xfId="15438" xr:uid="{91275933-86BC-4E4F-9D65-122F07B9AC85}"/>
    <cellStyle name="40% - Accent5 6 4" xfId="11321" xr:uid="{E0A9536D-26D9-4A72-AA22-556C07DA0F9A}"/>
    <cellStyle name="40% - Accent5 6 5" xfId="11322" xr:uid="{799A822D-A70A-4BD2-8EF1-846186101EAB}"/>
    <cellStyle name="40% - Accent5 6_Not_for_upload_before_M4_correc" xfId="15439" xr:uid="{D1424855-706D-4E6D-9D44-B7A4AB2D838A}"/>
    <cellStyle name="40% - Accent5 60" xfId="11323" xr:uid="{896A068C-C018-4EC4-9C48-361336A184C0}"/>
    <cellStyle name="40% - Accent5 60 2" xfId="11324" xr:uid="{7A8FB3BF-0975-4BA7-A30F-014964213F67}"/>
    <cellStyle name="40% - Accent5 60 2 2" xfId="11325" xr:uid="{3D922573-7646-4561-890A-695C231B3009}"/>
    <cellStyle name="40% - Accent5 60 2_Working Capital Current" xfId="15440" xr:uid="{52EBC938-6B53-4504-B0B1-00CC7CE0B262}"/>
    <cellStyle name="40% - Accent5 60 3" xfId="11326" xr:uid="{4EFCA70B-866A-448A-B189-551AE38BFD1B}"/>
    <cellStyle name="40% - Accent5 60 4" xfId="11327" xr:uid="{BDA427EC-C45A-4225-AB7E-C64D159562C2}"/>
    <cellStyle name="40% - Accent5 60_Working Capital Current" xfId="15441" xr:uid="{28600945-68A4-4084-BD00-4F71504033D8}"/>
    <cellStyle name="40% - Accent5 61" xfId="11328" xr:uid="{60CB7618-4B6F-48E0-9275-20489E0BE1DD}"/>
    <cellStyle name="40% - Accent5 61 2" xfId="11329" xr:uid="{A4841ED5-B4B7-4704-A1D0-FC1C527018ED}"/>
    <cellStyle name="40% - Accent5 61 2 2" xfId="11330" xr:uid="{664DD32A-B6AA-4F55-A053-3369C5592B4B}"/>
    <cellStyle name="40% - Accent5 61 2_Working Capital Current" xfId="15442" xr:uid="{77D2F4FA-F896-4443-A2C4-F12F35372C42}"/>
    <cellStyle name="40% - Accent5 61 3" xfId="11331" xr:uid="{8368B525-95EE-4AFA-A1F4-F38F8E3785C9}"/>
    <cellStyle name="40% - Accent5 61 4" xfId="11332" xr:uid="{4533A861-6A02-46BE-B421-9FA539EC2DE9}"/>
    <cellStyle name="40% - Accent5 61_Working Capital Current" xfId="15443" xr:uid="{BF37D717-3F9D-47BA-9864-836A17928650}"/>
    <cellStyle name="40% - Accent5 62" xfId="11333" xr:uid="{47E1C703-CD15-4EB6-B336-AA31A7D666F2}"/>
    <cellStyle name="40% - Accent5 62 2" xfId="11334" xr:uid="{323FDF07-0F48-4A05-9CD1-9880393A6239}"/>
    <cellStyle name="40% - Accent5 62 2 2" xfId="11335" xr:uid="{A47CD832-2530-44F5-9C33-BFF1C23B2B2D}"/>
    <cellStyle name="40% - Accent5 62 2_Working Capital Current" xfId="15444" xr:uid="{4536B7BA-278E-4694-A4D9-9A22599AD5B5}"/>
    <cellStyle name="40% - Accent5 62 3" xfId="11336" xr:uid="{B6067E1F-6C7E-4F40-BCB8-AE6684E0441B}"/>
    <cellStyle name="40% - Accent5 62 4" xfId="11337" xr:uid="{8825749E-6687-4B54-885B-FC75B5775365}"/>
    <cellStyle name="40% - Accent5 62_Working Capital Current" xfId="15445" xr:uid="{5C58C5BE-3F7B-4C5B-9E8E-F72FBEAB2846}"/>
    <cellStyle name="40% - Accent5 63" xfId="11338" xr:uid="{23803043-691A-458B-B557-7AA268895DC1}"/>
    <cellStyle name="40% - Accent5 63 2" xfId="11339" xr:uid="{04FC6EE6-6EB1-414F-8A5F-8D22DE988066}"/>
    <cellStyle name="40% - Accent5 63 2 2" xfId="11340" xr:uid="{63255F9F-8349-41A9-BAC6-64AD58D70E59}"/>
    <cellStyle name="40% - Accent5 63 2_Working Capital Current" xfId="15446" xr:uid="{EA587DC1-4CEF-41B3-9AF1-D7C1710E718F}"/>
    <cellStyle name="40% - Accent5 63 3" xfId="11341" xr:uid="{37A18BEA-9D94-4B07-A499-CDB5E539424C}"/>
    <cellStyle name="40% - Accent5 63 4" xfId="11342" xr:uid="{E5939587-C857-4B4C-8BDF-2985CCD4ADBE}"/>
    <cellStyle name="40% - Accent5 63_Working Capital Current" xfId="15447" xr:uid="{5281F1B5-7008-4D28-B0CD-F689D7B299E2}"/>
    <cellStyle name="40% - Accent5 64" xfId="11343" xr:uid="{29FE4075-CA41-49BD-8177-F77FA6CC5320}"/>
    <cellStyle name="40% - Accent5 64 2" xfId="11344" xr:uid="{6D87C37C-1A9A-4ABC-952F-B851A27056BD}"/>
    <cellStyle name="40% - Accent5 64 2 2" xfId="11345" xr:uid="{27692C74-D583-45D0-87EE-7C801B640E48}"/>
    <cellStyle name="40% - Accent5 64 2_Working Capital Current" xfId="15448" xr:uid="{F09EE014-DF2F-4AD6-B6AD-52AFB274C4BD}"/>
    <cellStyle name="40% - Accent5 64 3" xfId="11346" xr:uid="{3D9F0D25-717F-40D0-9828-46CA77BCB62F}"/>
    <cellStyle name="40% - Accent5 64 4" xfId="11347" xr:uid="{6D5C3B4A-6EB9-4535-B370-EE202A6022E2}"/>
    <cellStyle name="40% - Accent5 64_Working Capital Current" xfId="15449" xr:uid="{B6308677-F62C-479D-800D-50DCC7A30FFA}"/>
    <cellStyle name="40% - Accent5 65" xfId="11348" xr:uid="{130A6718-AD26-4BF8-91E7-840B4212E7CD}"/>
    <cellStyle name="40% - Accent5 65 2" xfId="11349" xr:uid="{4E23C002-4E3A-442F-AC77-69D67F80C367}"/>
    <cellStyle name="40% - Accent5 65 2 2" xfId="11350" xr:uid="{F7B58DDD-7A37-49D6-B97C-D4811F0BA0F5}"/>
    <cellStyle name="40% - Accent5 65 2_Working Capital Current" xfId="15450" xr:uid="{5CE38672-CC1A-43EB-ABF0-7F10C744CCCE}"/>
    <cellStyle name="40% - Accent5 65 3" xfId="11351" xr:uid="{EC2CE14F-14A1-4C82-B6CB-BBB9737B847D}"/>
    <cellStyle name="40% - Accent5 65 4" xfId="11352" xr:uid="{25F93213-BD8D-48E2-AA5E-C20FBC46C466}"/>
    <cellStyle name="40% - Accent5 65_Working Capital Current" xfId="15451" xr:uid="{F3408137-1EA3-462B-B9AC-4EBE3224D8C7}"/>
    <cellStyle name="40% - Accent5 66" xfId="11353" xr:uid="{1E835AAB-DA25-4477-8341-5B0C28E1FE84}"/>
    <cellStyle name="40% - Accent5 66 2" xfId="11354" xr:uid="{CFD40A36-0610-4BAE-9932-991406947EA8}"/>
    <cellStyle name="40% - Accent5 66 2 2" xfId="11355" xr:uid="{839ADE37-572D-4F53-857E-25AA007543BA}"/>
    <cellStyle name="40% - Accent5 66 2_Working Capital Current" xfId="15452" xr:uid="{98433933-7E2C-4DD9-BD39-F9A60CFE0936}"/>
    <cellStyle name="40% - Accent5 66 3" xfId="11356" xr:uid="{3248D066-5C3D-42C4-B0B3-C806B9BE727E}"/>
    <cellStyle name="40% - Accent5 66 4" xfId="11357" xr:uid="{E2C74EF9-26F0-46B0-84C0-91CD8A6F32B3}"/>
    <cellStyle name="40% - Accent5 66_Working Capital Current" xfId="15453" xr:uid="{E385CD01-229A-4634-907E-C7BC968EEF67}"/>
    <cellStyle name="40% - Accent5 67" xfId="11358" xr:uid="{8E621BF8-7965-4D2A-9E1A-09FC699B7E7B}"/>
    <cellStyle name="40% - Accent5 67 2" xfId="11359" xr:uid="{4C445DBD-EF30-4E7F-9989-A8F6C1D0BA7C}"/>
    <cellStyle name="40% - Accent5 67 2 2" xfId="11360" xr:uid="{BA84BBE6-3C76-4E7F-B20B-974C5175F4EF}"/>
    <cellStyle name="40% - Accent5 67 2_Working Capital Current" xfId="15454" xr:uid="{AE2FEAF4-9CB0-4AF5-9624-B749022386EB}"/>
    <cellStyle name="40% - Accent5 67 3" xfId="11361" xr:uid="{28D09593-755F-4926-B915-601E3021C848}"/>
    <cellStyle name="40% - Accent5 67 4" xfId="11362" xr:uid="{C9C6FAB7-0002-408B-8BA2-3E13FBFD2AF0}"/>
    <cellStyle name="40% - Accent5 67_Working Capital Current" xfId="15455" xr:uid="{675685F2-C9A0-4825-83E7-F75A31C1BEF5}"/>
    <cellStyle name="40% - Accent5 68" xfId="11363" xr:uid="{ACD2E0FB-2F81-4ADC-B3C3-E7E909915883}"/>
    <cellStyle name="40% - Accent5 68 2" xfId="11364" xr:uid="{1E22FEAD-302F-4FF4-9BCF-AC53FCDAA5D5}"/>
    <cellStyle name="40% - Accent5 68 2 2" xfId="11365" xr:uid="{F5C88530-DDFA-42AB-A9EB-BD15925342B1}"/>
    <cellStyle name="40% - Accent5 68 2_Working Capital Current" xfId="15456" xr:uid="{54C263CF-59BC-47F2-8C41-5615C0A808EA}"/>
    <cellStyle name="40% - Accent5 68 3" xfId="11366" xr:uid="{852D0B6C-58E2-40B5-BA90-ECF9A9B9EF18}"/>
    <cellStyle name="40% - Accent5 68 4" xfId="11367" xr:uid="{3815D5E4-36F9-4D32-8950-133742BFDB97}"/>
    <cellStyle name="40% - Accent5 68_Working Capital Current" xfId="15457" xr:uid="{7B3512B1-B8BE-4122-A054-055E5990DC90}"/>
    <cellStyle name="40% - Accent5 69" xfId="11368" xr:uid="{2C27DAD9-2156-401D-8480-EFF5AF54ABC2}"/>
    <cellStyle name="40% - Accent5 69 2" xfId="11369" xr:uid="{35F39F3B-757D-4AA0-A6C3-D0BC9DB84997}"/>
    <cellStyle name="40% - Accent5 69 2 2" xfId="11370" xr:uid="{8759A86F-E977-4E74-93C3-DBD3A229647F}"/>
    <cellStyle name="40% - Accent5 69 2_Working Capital Current" xfId="15458" xr:uid="{4C676C65-08ED-42D5-AB96-56079C388E84}"/>
    <cellStyle name="40% - Accent5 69 3" xfId="11371" xr:uid="{BF7539A5-406C-4AE4-9263-CDA0FEC94AEE}"/>
    <cellStyle name="40% - Accent5 69 4" xfId="11372" xr:uid="{9BD49513-EADE-47FF-8036-DB7D0ADA0BFA}"/>
    <cellStyle name="40% - Accent5 69_Working Capital Current" xfId="15459" xr:uid="{3F096ECE-ED20-4543-BFBB-285D8CA54F08}"/>
    <cellStyle name="40% - Accent5 7" xfId="11373" xr:uid="{DE0764D1-5F4E-4009-BB90-2749724C2050}"/>
    <cellStyle name="40% - Accent5 7 2" xfId="11374" xr:uid="{C132AE1D-8991-4579-8363-369A64711070}"/>
    <cellStyle name="40% - Accent5 7 2 2" xfId="11375" xr:uid="{C127B9E3-0F37-4A85-BF03-928A07F2483E}"/>
    <cellStyle name="40% - Accent5 7 2 2 2" xfId="11376" xr:uid="{5AB48550-0D2D-474E-9BF5-04C1584C5E96}"/>
    <cellStyle name="40% - Accent5 7 2 2_Working Capital Current" xfId="15460" xr:uid="{1825FE98-4387-4B37-BF6F-65F0C14649A9}"/>
    <cellStyle name="40% - Accent5 7 2 3" xfId="11377" xr:uid="{608338A7-8DE1-43EC-BCD5-4EBA869CD9CB}"/>
    <cellStyle name="40% - Accent5 7 2 4" xfId="11378" xr:uid="{5716910A-6A1E-47A5-87F0-A081D14105A7}"/>
    <cellStyle name="40% - Accent5 7 2_Working Capital Current" xfId="15461" xr:uid="{F2177AD2-9DA9-4E2B-8815-B0D65A44FFF2}"/>
    <cellStyle name="40% - Accent5 7 3" xfId="11379" xr:uid="{513E7812-29F8-4FB6-B5EF-90AFAC59D0D1}"/>
    <cellStyle name="40% - Accent5 7 3 2" xfId="11380" xr:uid="{42216A14-F6BD-4E91-9DD1-BE4F7847759E}"/>
    <cellStyle name="40% - Accent5 7 3_Working Capital Current" xfId="15462" xr:uid="{E0A77B85-ECC2-481C-A74F-EE5F3C00B3CE}"/>
    <cellStyle name="40% - Accent5 7 4" xfId="11381" xr:uid="{28121434-1FD6-4C1A-8F74-34AE371807DC}"/>
    <cellStyle name="40% - Accent5 7 5" xfId="11382" xr:uid="{A3F4B91D-9BA5-4955-9CF6-027B2B6C1DEE}"/>
    <cellStyle name="40% - Accent5 7_Not_for_upload_before_M4_correc" xfId="15463" xr:uid="{918B55B2-C60F-457C-B860-1F97C465CA90}"/>
    <cellStyle name="40% - Accent5 70" xfId="11383" xr:uid="{DC12FA51-A8D1-4C79-AD15-7C72362EF5FA}"/>
    <cellStyle name="40% - Accent5 70 2" xfId="11384" xr:uid="{2BBA28AA-EED8-4C0A-91B4-A867B8763619}"/>
    <cellStyle name="40% - Accent5 70 2 2" xfId="11385" xr:uid="{3C4F44E3-777E-4179-80FC-7B4C396818A9}"/>
    <cellStyle name="40% - Accent5 70 2_Working Capital Current" xfId="15464" xr:uid="{1456EF78-1283-4FFE-8D93-D4DEACB77837}"/>
    <cellStyle name="40% - Accent5 70 3" xfId="11386" xr:uid="{4E1C6FEA-AB58-483A-B2F4-B2CF2156573F}"/>
    <cellStyle name="40% - Accent5 70 4" xfId="11387" xr:uid="{1BEC5D54-B896-4292-B062-FCD14BB20A0C}"/>
    <cellStyle name="40% - Accent5 70_Working Capital Current" xfId="15465" xr:uid="{B08CCC31-6D37-45BE-B4C8-0BFB98A348D9}"/>
    <cellStyle name="40% - Accent5 71" xfId="11388" xr:uid="{6CFC5628-F379-4649-8F61-11162423DD97}"/>
    <cellStyle name="40% - Accent5 71 2" xfId="11389" xr:uid="{72C9E6C3-AA19-4685-8615-153B6F664714}"/>
    <cellStyle name="40% - Accent5 71 2 2" xfId="11390" xr:uid="{67B8CBA8-0F72-4E6A-8A45-376A45ABCF8F}"/>
    <cellStyle name="40% - Accent5 71 2_Working Capital Current" xfId="15466" xr:uid="{38C7C066-DC35-4270-A4CD-ABE61B9EED7D}"/>
    <cellStyle name="40% - Accent5 71 3" xfId="11391" xr:uid="{60F49E39-2636-4165-A1DA-6FDCD01A2D0F}"/>
    <cellStyle name="40% - Accent5 71 4" xfId="11392" xr:uid="{67A5E7E9-4DF7-4C72-92C9-F78A62144228}"/>
    <cellStyle name="40% - Accent5 71_Working Capital Current" xfId="15467" xr:uid="{B9F9EC3C-659F-4809-9B73-2AC92541F9D7}"/>
    <cellStyle name="40% - Accent5 72" xfId="11393" xr:uid="{73937788-E03E-4A72-88DF-FAA44BDC18C6}"/>
    <cellStyle name="40% - Accent5 72 2" xfId="11394" xr:uid="{47A051FC-4051-49CB-80D1-EF19658D7B8A}"/>
    <cellStyle name="40% - Accent5 72 2 2" xfId="11395" xr:uid="{940C5067-ACC1-4E15-95C3-E00E59CCE610}"/>
    <cellStyle name="40% - Accent5 72 2_Working Capital Current" xfId="15468" xr:uid="{B3075170-1952-47AA-AB8B-861B693F5400}"/>
    <cellStyle name="40% - Accent5 72 3" xfId="11396" xr:uid="{7A334965-6C15-4462-B78A-49E977371E4A}"/>
    <cellStyle name="40% - Accent5 72 4" xfId="11397" xr:uid="{DC92A96B-03B6-4CBF-ABDB-0BC39CA36C74}"/>
    <cellStyle name="40% - Accent5 72_Working Capital Current" xfId="15469" xr:uid="{7AE38A07-D020-4E8E-AC7D-C223094E8EBA}"/>
    <cellStyle name="40% - Accent5 73" xfId="11398" xr:uid="{4CAB1029-A650-4F64-A04E-30ED15A8088D}"/>
    <cellStyle name="40% - Accent5 73 2" xfId="11399" xr:uid="{7BA1B3C1-D9F3-4F27-8405-9A676F9E13D2}"/>
    <cellStyle name="40% - Accent5 73 2 2" xfId="11400" xr:uid="{3B6AC10E-4696-4CDB-A25A-1BD432D7759F}"/>
    <cellStyle name="40% - Accent5 73 2_Working Capital Current" xfId="15470" xr:uid="{64EC8346-A8FF-4B41-868D-ED4661513C7F}"/>
    <cellStyle name="40% - Accent5 73 3" xfId="11401" xr:uid="{8AD2219B-4331-4E87-BD53-E15F079AAA60}"/>
    <cellStyle name="40% - Accent5 73 4" xfId="11402" xr:uid="{B28BCDF6-1FA7-4AAE-9A21-4500E8E32F94}"/>
    <cellStyle name="40% - Accent5 73_Working Capital Current" xfId="15471" xr:uid="{9336B884-B037-4CD7-B151-A0E86CC59810}"/>
    <cellStyle name="40% - Accent5 74" xfId="11403" xr:uid="{7DF3E594-4E1B-4D2A-8D25-F8040E840942}"/>
    <cellStyle name="40% - Accent5 74 2" xfId="11404" xr:uid="{0ADD6646-22D6-480F-B4E9-40083816235E}"/>
    <cellStyle name="40% - Accent5 74 2 2" xfId="11405" xr:uid="{E2F57698-D728-4C9D-8DE7-1D8E7CD6BADD}"/>
    <cellStyle name="40% - Accent5 74 2_Working Capital Current" xfId="15472" xr:uid="{EF9EB5BD-3B64-45D1-9DA6-7E996C4EB8A0}"/>
    <cellStyle name="40% - Accent5 74 3" xfId="11406" xr:uid="{EAC65171-2AE9-4D52-B1DC-CC7B2D46485A}"/>
    <cellStyle name="40% - Accent5 74 4" xfId="11407" xr:uid="{6E3F3A04-8FDD-447E-80DD-CB548054C35D}"/>
    <cellStyle name="40% - Accent5 74_Working Capital Current" xfId="15473" xr:uid="{E59BC79C-14E0-49E4-9D70-C09424991991}"/>
    <cellStyle name="40% - Accent5 75" xfId="11408" xr:uid="{562128BA-C4BD-445E-9139-E511FE95A550}"/>
    <cellStyle name="40% - Accent5 75 2" xfId="11409" xr:uid="{3B26A435-A2AB-4B50-9CAB-9D9B9ACFEC1F}"/>
    <cellStyle name="40% - Accent5 75 2 2" xfId="11410" xr:uid="{5C0E5480-C54B-4AB0-B30E-01213656BBD4}"/>
    <cellStyle name="40% - Accent5 75 2_Working Capital Current" xfId="15474" xr:uid="{03F9A347-0FE7-47E0-ACE3-9093436DC6DE}"/>
    <cellStyle name="40% - Accent5 75 3" xfId="11411" xr:uid="{D22D062D-10F1-41F3-AB97-FF085E487E1C}"/>
    <cellStyle name="40% - Accent5 75 4" xfId="11412" xr:uid="{8BF53B76-89B0-436E-8D33-A0C47C78656D}"/>
    <cellStyle name="40% - Accent5 75_Working Capital Current" xfId="15475" xr:uid="{69D2A220-6546-4B76-82AA-E2AED33C5F77}"/>
    <cellStyle name="40% - Accent5 76" xfId="11413" xr:uid="{C6862D33-4259-44E6-840E-F6AF36A8622C}"/>
    <cellStyle name="40% - Accent5 76 2" xfId="11414" xr:uid="{71821241-769C-4E55-A88A-066B0F860120}"/>
    <cellStyle name="40% - Accent5 76 2 2" xfId="11415" xr:uid="{6029551B-1490-4E34-85E6-EB03009FAB19}"/>
    <cellStyle name="40% - Accent5 76 2_Working Capital Current" xfId="15476" xr:uid="{559A4510-8DB9-4EFA-8FF3-EDFBD42D07A7}"/>
    <cellStyle name="40% - Accent5 76 3" xfId="11416" xr:uid="{E88BE284-9816-4A6E-883A-BECC757D81EE}"/>
    <cellStyle name="40% - Accent5 76 4" xfId="11417" xr:uid="{BAD31363-DC17-44EB-8458-733990C5029A}"/>
    <cellStyle name="40% - Accent5 76_Working Capital Current" xfId="15477" xr:uid="{2FA92C65-7B86-4CB8-871F-0E7EDF867CF4}"/>
    <cellStyle name="40% - Accent5 77" xfId="11418" xr:uid="{72F553A9-252B-47ED-BBD4-775F71731289}"/>
    <cellStyle name="40% - Accent5 77 2" xfId="11419" xr:uid="{AE576C70-33E1-4FBD-BF8A-FF34965DABAB}"/>
    <cellStyle name="40% - Accent5 77 2 2" xfId="11420" xr:uid="{E32FE0E4-DC0C-4302-94CE-CECC6CFD59AD}"/>
    <cellStyle name="40% - Accent5 77 2_Working Capital Current" xfId="15478" xr:uid="{A06427BD-3A33-46EF-A668-48386425D7F5}"/>
    <cellStyle name="40% - Accent5 77 3" xfId="11421" xr:uid="{25740E53-AD3A-47AC-8E1E-41A1E81DDEB2}"/>
    <cellStyle name="40% - Accent5 77 4" xfId="11422" xr:uid="{C21D613C-C8ED-40FC-93D7-FD9CA807A7B4}"/>
    <cellStyle name="40% - Accent5 77_Working Capital Current" xfId="15479" xr:uid="{494DA144-F1A7-4F4F-AAF2-36AD16FC13B7}"/>
    <cellStyle name="40% - Accent5 78" xfId="11423" xr:uid="{65026A52-BA2D-46F4-8392-4E8D26C8B32C}"/>
    <cellStyle name="40% - Accent5 78 2" xfId="11424" xr:uid="{28CF4027-249B-447B-A011-B0064144CFD3}"/>
    <cellStyle name="40% - Accent5 78 2 2" xfId="11425" xr:uid="{65456AEF-0FBA-4341-B3BA-64670247FD06}"/>
    <cellStyle name="40% - Accent5 78 2_Working Capital Current" xfId="15480" xr:uid="{1A10BF60-64B9-422A-8FD6-A47978236129}"/>
    <cellStyle name="40% - Accent5 78 3" xfId="11426" xr:uid="{EC1CD9FD-BBE0-437D-9590-9B027148F2B4}"/>
    <cellStyle name="40% - Accent5 78 4" xfId="11427" xr:uid="{36BA61D5-0337-43D0-AA7E-A79F1CFCC437}"/>
    <cellStyle name="40% - Accent5 78_Working Capital Current" xfId="15481" xr:uid="{6C6442B9-0C17-4D43-B4E6-731189054BE3}"/>
    <cellStyle name="40% - Accent5 79" xfId="11428" xr:uid="{0C44ED7D-5161-43EC-B8F9-0084D4EB2A2D}"/>
    <cellStyle name="40% - Accent5 79 2" xfId="11429" xr:uid="{6B156AB9-DABE-496D-9B43-01566713060F}"/>
    <cellStyle name="40% - Accent5 79 2 2" xfId="11430" xr:uid="{A49F4825-3973-4F75-97AD-C4608D1ACC02}"/>
    <cellStyle name="40% - Accent5 79 2_Working Capital Current" xfId="15482" xr:uid="{86A6B192-694B-4540-8CB2-7632C5B48EB8}"/>
    <cellStyle name="40% - Accent5 79 3" xfId="11431" xr:uid="{256B5F3E-D2C4-4FD4-93EA-52FBA114171E}"/>
    <cellStyle name="40% - Accent5 79 4" xfId="11432" xr:uid="{08B45EE1-B9CD-480E-971D-DFBD15CAD410}"/>
    <cellStyle name="40% - Accent5 79_Working Capital Current" xfId="15483" xr:uid="{1399928B-E48B-4E4B-AFD4-7AB6E5E75B22}"/>
    <cellStyle name="40% - Accent5 8" xfId="11433" xr:uid="{4926CC3A-77BF-4481-87D6-9EC38B29357C}"/>
    <cellStyle name="40% - Accent5 8 2" xfId="11434" xr:uid="{40C71DB1-BDA7-47F3-8163-3746243AE451}"/>
    <cellStyle name="40% - Accent5 8 2 2" xfId="11435" xr:uid="{4B960294-4E38-4738-8016-AE915B91496F}"/>
    <cellStyle name="40% - Accent5 8 2 2 2" xfId="11436" xr:uid="{A2CAE2D5-75E7-4795-86BA-4FA2D300988A}"/>
    <cellStyle name="40% - Accent5 8 2 2_Working Capital Current" xfId="15484" xr:uid="{3EDAB478-8846-4580-976B-A694B1226205}"/>
    <cellStyle name="40% - Accent5 8 2 3" xfId="11437" xr:uid="{542253A6-C5D2-4AD3-A031-08E09791F3AD}"/>
    <cellStyle name="40% - Accent5 8 2 4" xfId="11438" xr:uid="{B7946960-DD06-4ECC-86E0-CEC01CFD3E8C}"/>
    <cellStyle name="40% - Accent5 8 2_Working Capital Current" xfId="15485" xr:uid="{79CB2AA2-6A05-41F2-80C1-6A543F548335}"/>
    <cellStyle name="40% - Accent5 8 3" xfId="11439" xr:uid="{C5E3E840-D09E-4E13-9129-186558E1F08C}"/>
    <cellStyle name="40% - Accent5 8 3 2" xfId="11440" xr:uid="{100E4BDB-F7C0-4830-95EA-124BB99FCBD2}"/>
    <cellStyle name="40% - Accent5 8 3_Working Capital Current" xfId="15486" xr:uid="{0E784608-F44C-47E8-B88E-243FA92F06E6}"/>
    <cellStyle name="40% - Accent5 8 4" xfId="11441" xr:uid="{5321414B-0FB1-4FC7-91F9-C611B31A1C1B}"/>
    <cellStyle name="40% - Accent5 8 5" xfId="11442" xr:uid="{E74625D0-A788-444B-AAAD-1292BF33ABE3}"/>
    <cellStyle name="40% - Accent5 8_Not_for_upload_before_M4_correc" xfId="15487" xr:uid="{F81EAE29-3E73-4586-AE44-1C25BA503451}"/>
    <cellStyle name="40% - Accent5 80" xfId="11443" xr:uid="{C2CF1798-30EB-400E-88C1-8092193CB82D}"/>
    <cellStyle name="40% - Accent5 80 2" xfId="11444" xr:uid="{FF135C96-7C91-4F3E-896B-71F886B575CB}"/>
    <cellStyle name="40% - Accent5 80 2 2" xfId="11445" xr:uid="{25DDDF10-E27C-44A7-B9FC-5FAB0A5840B8}"/>
    <cellStyle name="40% - Accent5 80 2_Working Capital Current" xfId="15488" xr:uid="{CA8D0539-39C2-430C-9FC7-95C5B57288C5}"/>
    <cellStyle name="40% - Accent5 80 3" xfId="11446" xr:uid="{7B89A93F-228E-4D63-8A87-A97D93426562}"/>
    <cellStyle name="40% - Accent5 80 4" xfId="11447" xr:uid="{B8282C75-CD4B-45B5-B7E9-69B37030FE65}"/>
    <cellStyle name="40% - Accent5 80_Working Capital Current" xfId="15489" xr:uid="{9EB10E52-D90D-419B-94B8-C21F90B83F35}"/>
    <cellStyle name="40% - Accent5 81" xfId="11448" xr:uid="{E4D6B797-5BB4-4707-A3A1-4B4FCE614D6F}"/>
    <cellStyle name="40% - Accent5 81 2" xfId="11449" xr:uid="{2E68D3BE-9C9E-4E05-93B3-205C3226E0AD}"/>
    <cellStyle name="40% - Accent5 81 2 2" xfId="11450" xr:uid="{6C97D106-85ED-4616-849C-90F185C47D26}"/>
    <cellStyle name="40% - Accent5 81 2_Working Capital Current" xfId="15490" xr:uid="{2C8766E2-A9A2-49E1-BD8F-D0745ACFC35F}"/>
    <cellStyle name="40% - Accent5 81 3" xfId="11451" xr:uid="{BB6CB23A-3C91-47EA-B06D-30E59AC2B029}"/>
    <cellStyle name="40% - Accent5 81 4" xfId="11452" xr:uid="{BE4BE048-D0DB-4915-AFF2-5944DC98F573}"/>
    <cellStyle name="40% - Accent5 81_Working Capital Current" xfId="15491" xr:uid="{7813798A-5C1E-4562-9008-78B268CCD66F}"/>
    <cellStyle name="40% - Accent5 82" xfId="11453" xr:uid="{DB5B9397-7469-4319-86CC-963C40E9C31F}"/>
    <cellStyle name="40% - Accent5 82 2" xfId="11454" xr:uid="{D83B8303-0371-48C9-8669-9459BB612005}"/>
    <cellStyle name="40% - Accent5 82 2 2" xfId="11455" xr:uid="{81727403-1216-4C3F-8F33-E5E71A1989F2}"/>
    <cellStyle name="40% - Accent5 82 2_Working Capital Current" xfId="15492" xr:uid="{7B4800C7-B60C-4CBB-982C-8538C7A143EB}"/>
    <cellStyle name="40% - Accent5 82 3" xfId="11456" xr:uid="{FA1C5E30-9169-4308-8716-B0F9A1C2C59B}"/>
    <cellStyle name="40% - Accent5 82 4" xfId="11457" xr:uid="{380285DB-3ABE-4299-8045-BAFFFB39EB48}"/>
    <cellStyle name="40% - Accent5 82_Working Capital Current" xfId="15493" xr:uid="{93CE1A22-447D-4FD2-83F1-BAB4CDDC5199}"/>
    <cellStyle name="40% - Accent5 83" xfId="11458" xr:uid="{F8C28B58-F3DE-4A19-8232-69325A35E31A}"/>
    <cellStyle name="40% - Accent5 83 2" xfId="11459" xr:uid="{C1AA46E3-E52F-4807-ABA3-E622875D6953}"/>
    <cellStyle name="40% - Accent5 83 2 2" xfId="11460" xr:uid="{DDBB06FE-9520-46F1-8F83-6C8F37BADD86}"/>
    <cellStyle name="40% - Accent5 83 2_Working Capital Current" xfId="15494" xr:uid="{2025347D-9695-407A-9CF0-B3867EFC4BCD}"/>
    <cellStyle name="40% - Accent5 83 3" xfId="11461" xr:uid="{BA64D1CC-CEB0-4D7E-95DB-3711C1C33369}"/>
    <cellStyle name="40% - Accent5 83 4" xfId="11462" xr:uid="{40AC9F41-90BD-4A95-B2C8-D8567E2506D5}"/>
    <cellStyle name="40% - Accent5 83_Working Capital Current" xfId="15495" xr:uid="{1B035A6F-7454-42D3-8DFF-7BDD441576A1}"/>
    <cellStyle name="40% - Accent5 84" xfId="11463" xr:uid="{F68EBFB9-46D3-4FAF-8721-5C2B31FEA12D}"/>
    <cellStyle name="40% - Accent5 84 2" xfId="11464" xr:uid="{59ED1E10-0A4F-49E0-92C3-E1672FBDA8B9}"/>
    <cellStyle name="40% - Accent5 84 2 2" xfId="11465" xr:uid="{25841AD1-6627-411D-ADCE-5886E7C2E3D7}"/>
    <cellStyle name="40% - Accent5 84 2_Working Capital Current" xfId="15496" xr:uid="{68830A5F-26DB-4EDB-8485-1237B3134757}"/>
    <cellStyle name="40% - Accent5 84 3" xfId="11466" xr:uid="{7A2C87DB-4280-4142-AD79-AAA29A9746CA}"/>
    <cellStyle name="40% - Accent5 84 4" xfId="11467" xr:uid="{E4C20971-966B-497A-A442-4F6DD3F9C84B}"/>
    <cellStyle name="40% - Accent5 84_Working Capital Current" xfId="15497" xr:uid="{0A28087D-1AC4-4879-9CD9-637994BB3C6E}"/>
    <cellStyle name="40% - Accent5 85" xfId="11468" xr:uid="{B1F6872B-E9A0-495F-A095-2E7255D3E84C}"/>
    <cellStyle name="40% - Accent5 85 2" xfId="11469" xr:uid="{FFF24ABE-98B4-4102-9210-3D260F876933}"/>
    <cellStyle name="40% - Accent5 85 2 2" xfId="11470" xr:uid="{188BFF0D-D9EF-471A-BE36-D00E0F7D70E9}"/>
    <cellStyle name="40% - Accent5 85 2_Working Capital Current" xfId="15498" xr:uid="{40A2ED7A-A313-4229-A4AB-ED48902530CC}"/>
    <cellStyle name="40% - Accent5 85 3" xfId="11471" xr:uid="{B3F7E6A8-417D-4C03-9634-A48AFB0B1A5A}"/>
    <cellStyle name="40% - Accent5 85 4" xfId="11472" xr:uid="{D9FEF3D8-9775-48E6-8F92-F1D8F305EBDA}"/>
    <cellStyle name="40% - Accent5 85_Working Capital Current" xfId="15499" xr:uid="{713CD063-241D-44D2-8179-F1D77D91E04F}"/>
    <cellStyle name="40% - Accent5 86" xfId="11473" xr:uid="{793E5748-9433-422B-92E7-DB9B03CCB1AE}"/>
    <cellStyle name="40% - Accent5 86 2" xfId="11474" xr:uid="{1BB4D38F-792F-4AB6-B781-67BA4FB91C31}"/>
    <cellStyle name="40% - Accent5 86 2 2" xfId="11475" xr:uid="{BBA99530-F572-4001-895D-53E20C742D43}"/>
    <cellStyle name="40% - Accent5 86 2_Working Capital Current" xfId="15500" xr:uid="{2F3AFD77-132E-4D6C-BAB7-2447C34DA929}"/>
    <cellStyle name="40% - Accent5 86 3" xfId="11476" xr:uid="{52E25B9A-3C79-47FD-AE84-AD5BB7FB06D7}"/>
    <cellStyle name="40% - Accent5 86 4" xfId="11477" xr:uid="{646A120F-601B-48B7-AD22-B9AED299CED6}"/>
    <cellStyle name="40% - Accent5 86_Working Capital Current" xfId="15501" xr:uid="{A57832EE-5A3A-43EB-9292-606AA06EF05B}"/>
    <cellStyle name="40% - Accent5 87" xfId="11478" xr:uid="{C211D10B-1818-4C71-A44C-27EEB4ECB80B}"/>
    <cellStyle name="40% - Accent5 87 2" xfId="11479" xr:uid="{2BC5615C-0EDB-41E0-9D47-B3AF0A55DC36}"/>
    <cellStyle name="40% - Accent5 87 2 2" xfId="11480" xr:uid="{9D99CDAC-DCA0-4711-94E7-28AB2047709F}"/>
    <cellStyle name="40% - Accent5 87 2_Working Capital Current" xfId="15502" xr:uid="{EADF6976-4F3B-4CC6-983D-D2D017333578}"/>
    <cellStyle name="40% - Accent5 87 3" xfId="11481" xr:uid="{A52AFD97-C7FE-4B65-A7C5-98056E276413}"/>
    <cellStyle name="40% - Accent5 87 4" xfId="11482" xr:uid="{2E2F2AC3-9D4D-493C-A7BD-E02D3EF3C40E}"/>
    <cellStyle name="40% - Accent5 87_Working Capital Current" xfId="15503" xr:uid="{B3C209FB-9DFF-40F1-A154-48AD5A01925B}"/>
    <cellStyle name="40% - Accent5 88" xfId="11483" xr:uid="{85C59D47-4FC8-4FCD-BFF2-017AC91ED6A6}"/>
    <cellStyle name="40% - Accent5 88 2" xfId="11484" xr:uid="{D0587268-C0DF-4A2F-A1AF-4701BFE8F172}"/>
    <cellStyle name="40% - Accent5 88 2 2" xfId="11485" xr:uid="{0C5B6CC8-D832-443F-9CCF-4EA3450D6E5D}"/>
    <cellStyle name="40% - Accent5 88 2_Working Capital Current" xfId="15504" xr:uid="{EED8DD0F-6861-49F3-A832-96F9A320B8BA}"/>
    <cellStyle name="40% - Accent5 88 3" xfId="11486" xr:uid="{1289D336-990C-44B1-8680-B77F16F4D467}"/>
    <cellStyle name="40% - Accent5 88 4" xfId="11487" xr:uid="{F3919A9C-5278-4331-A0C9-AF4D26DE54ED}"/>
    <cellStyle name="40% - Accent5 88_Working Capital Current" xfId="15505" xr:uid="{0027623F-CC65-4065-B697-D3416812DAC8}"/>
    <cellStyle name="40% - Accent5 89" xfId="11488" xr:uid="{33B11512-712C-42A7-9E0D-40A99B5037E9}"/>
    <cellStyle name="40% - Accent5 89 2" xfId="11489" xr:uid="{5A8019D0-DE8B-42C2-B8E4-ECA4131A6156}"/>
    <cellStyle name="40% - Accent5 89 2 2" xfId="11490" xr:uid="{75960791-8EAD-4C1F-B0B5-640D7F0C301B}"/>
    <cellStyle name="40% - Accent5 89 2_Working Capital Current" xfId="15506" xr:uid="{0B470F46-97B2-4ECA-807F-93D8663D61AC}"/>
    <cellStyle name="40% - Accent5 89 3" xfId="11491" xr:uid="{A65D1720-6F06-4400-9DC9-19BEEEDD9C06}"/>
    <cellStyle name="40% - Accent5 89 4" xfId="11492" xr:uid="{5E7EEEFE-6DEB-4964-8254-BF30BF2C0B7D}"/>
    <cellStyle name="40% - Accent5 89_Working Capital Current" xfId="15507" xr:uid="{A6BE3E5F-1A30-41F0-9EFC-09C3EC17D8A4}"/>
    <cellStyle name="40% - Accent5 9" xfId="11493" xr:uid="{71B4F8A5-414A-4E7C-AC3F-035759707543}"/>
    <cellStyle name="40% - Accent5 9 2" xfId="11494" xr:uid="{4A8C0D09-DCD3-4946-B7F6-A72E00130A5B}"/>
    <cellStyle name="40% - Accent5 9 2 2" xfId="11495" xr:uid="{DE780FA0-AA8E-483F-9B60-A0B584169F8B}"/>
    <cellStyle name="40% - Accent5 9 2 2 2" xfId="11496" xr:uid="{B2C642F9-7E2D-427A-9DAD-8E39F529A0E2}"/>
    <cellStyle name="40% - Accent5 9 2 2_Working Capital Current" xfId="15508" xr:uid="{594BA7A6-5973-4677-BC9E-B9558F12166A}"/>
    <cellStyle name="40% - Accent5 9 2 3" xfId="11497" xr:uid="{D2F76507-F23A-4AA1-9250-82BA40780F3F}"/>
    <cellStyle name="40% - Accent5 9 2 4" xfId="11498" xr:uid="{51EFA410-32DB-4C23-8EA8-998E01BB8588}"/>
    <cellStyle name="40% - Accent5 9 2_Working Capital Current" xfId="15509" xr:uid="{74AB4794-D0A0-48D2-B7E9-C9D6A994E10D}"/>
    <cellStyle name="40% - Accent5 9 3" xfId="11499" xr:uid="{A10BAE0B-B60F-4F06-A1A3-E04A10BFB27E}"/>
    <cellStyle name="40% - Accent5 9 3 2" xfId="11500" xr:uid="{7E3459FA-0A45-424A-991A-5AC6D8BE4086}"/>
    <cellStyle name="40% - Accent5 9 3_Working Capital Current" xfId="15510" xr:uid="{0EFFF890-F8D9-49C8-A0E9-97D1F506185B}"/>
    <cellStyle name="40% - Accent5 9 4" xfId="11501" xr:uid="{BFF2D971-64B7-4114-A18A-B6BCEB75587A}"/>
    <cellStyle name="40% - Accent5 9 5" xfId="11502" xr:uid="{78E2F771-305E-4B53-8639-5C30540DEF2E}"/>
    <cellStyle name="40% - Accent5 9_Not_for_upload_before_M4_correc" xfId="15511" xr:uid="{ED089DE7-1EE2-4561-8E7E-90A749880D9C}"/>
    <cellStyle name="40% - Accent5 90" xfId="11503" xr:uid="{2B84039A-A77E-4099-8651-069328EE5C3F}"/>
    <cellStyle name="40% - Accent5 90 2" xfId="11504" xr:uid="{992D1668-0AD6-4732-810F-86B3BC1157FC}"/>
    <cellStyle name="40% - Accent5 90 2 2" xfId="11505" xr:uid="{8EC43791-312E-41CA-86FE-7D81A2DCFED5}"/>
    <cellStyle name="40% - Accent5 90 2_Working Capital Current" xfId="15512" xr:uid="{D69BF4B6-952C-46F8-8D1E-15E344AA904E}"/>
    <cellStyle name="40% - Accent5 90 3" xfId="11506" xr:uid="{E6DE11C1-0B39-4072-977A-8F60A4294067}"/>
    <cellStyle name="40% - Accent5 90 4" xfId="11507" xr:uid="{7944AD05-1939-487B-A86B-533C667FE577}"/>
    <cellStyle name="40% - Accent5 90_Working Capital Current" xfId="15513" xr:uid="{6E4679BA-6F62-461F-80BC-A3E06C720C5A}"/>
    <cellStyle name="40% - Accent5 91" xfId="11508" xr:uid="{3862C229-846B-432B-A761-3BA0CE193895}"/>
    <cellStyle name="40% - Accent5 91 2" xfId="11509" xr:uid="{7D72CCD4-A522-44D1-8E71-67332E17A5A2}"/>
    <cellStyle name="40% - Accent5 91 2 2" xfId="11510" xr:uid="{C757CE13-C0A3-4CEF-91BC-7D14DF2A4370}"/>
    <cellStyle name="40% - Accent5 91 2_Working Capital Current" xfId="15514" xr:uid="{F23B5BF1-DF87-406D-80B6-44B5D1699173}"/>
    <cellStyle name="40% - Accent5 91 3" xfId="11511" xr:uid="{76F3F687-8F80-40CB-93F0-EC6D4266858D}"/>
    <cellStyle name="40% - Accent5 91 4" xfId="11512" xr:uid="{878EC28C-1887-4DED-81E5-C537C5CE0967}"/>
    <cellStyle name="40% - Accent5 91_Working Capital Current" xfId="15515" xr:uid="{025A09B0-257A-4028-929B-8B36216234EA}"/>
    <cellStyle name="40% - Accent5 92" xfId="11513" xr:uid="{373F5800-3E10-430C-93AE-5D5EE889BA46}"/>
    <cellStyle name="40% - Accent5 92 2" xfId="11514" xr:uid="{E7DBA8C6-B317-4AAE-B7A1-FEF0534FF843}"/>
    <cellStyle name="40% - Accent5 92 2 2" xfId="11515" xr:uid="{5081BF12-ABFF-471C-A805-E5DED9F3A914}"/>
    <cellStyle name="40% - Accent5 92 2_Working Capital Current" xfId="15516" xr:uid="{67D98FA6-3123-4E59-A9D9-A61879759B85}"/>
    <cellStyle name="40% - Accent5 92 3" xfId="11516" xr:uid="{5C18E714-0301-4F7A-85FE-05DA469B84D4}"/>
    <cellStyle name="40% - Accent5 92 4" xfId="11517" xr:uid="{E56AD0AA-45F4-4CB1-A26B-261BFA4F5403}"/>
    <cellStyle name="40% - Accent5 92_Working Capital Current" xfId="15517" xr:uid="{AA9BECEC-3EDF-4661-BEA1-02B484A81798}"/>
    <cellStyle name="40% - Accent5 93" xfId="11518" xr:uid="{DD9652C9-FD18-4E94-9C79-DFB4596F1D70}"/>
    <cellStyle name="40% - Accent5 93 2" xfId="11519" xr:uid="{60D5F78A-39F8-4686-8243-B73361833B22}"/>
    <cellStyle name="40% - Accent5 93 2 2" xfId="11520" xr:uid="{B29F0F23-33F6-42A2-992F-C677245368E8}"/>
    <cellStyle name="40% - Accent5 93 2_Working Capital Current" xfId="15518" xr:uid="{2A191D9B-3E0D-4DFB-8BB5-602441C8E17F}"/>
    <cellStyle name="40% - Accent5 93 3" xfId="11521" xr:uid="{379976BA-590B-4156-850E-BE5D864C9F69}"/>
    <cellStyle name="40% - Accent5 93 4" xfId="11522" xr:uid="{EF4A39EA-47E4-4B04-AA9F-CCF07A74F07A}"/>
    <cellStyle name="40% - Accent5 93_Working Capital Current" xfId="15519" xr:uid="{FFBA85E8-9F89-4B0D-8EA7-AAA566785341}"/>
    <cellStyle name="40% - Accent5 94" xfId="11523" xr:uid="{53FD66DF-FB4C-406C-9D2A-3B2156F052C9}"/>
    <cellStyle name="40% - Accent5 94 2" xfId="11524" xr:uid="{2C65B6B3-D360-4C53-B80C-A5A0586AE0C5}"/>
    <cellStyle name="40% - Accent5 94 2 2" xfId="11525" xr:uid="{DBBC7424-32FC-440A-A1D4-98779067BE17}"/>
    <cellStyle name="40% - Accent5 94 2_Working Capital Current" xfId="15520" xr:uid="{209BF8B8-3761-4906-9967-1E9ED0F322EB}"/>
    <cellStyle name="40% - Accent5 94 3" xfId="11526" xr:uid="{C3CD11E0-C572-40FB-8565-072859C927B3}"/>
    <cellStyle name="40% - Accent5 94 4" xfId="11527" xr:uid="{E2133F58-76A5-4A14-8489-DDEE9292D650}"/>
    <cellStyle name="40% - Accent5 94_Working Capital Current" xfId="15521" xr:uid="{5E187DC8-1F55-4ED8-85FB-9FD25CD3176E}"/>
    <cellStyle name="40% - Accent5 95" xfId="11528" xr:uid="{B63239DA-4D61-4196-9A5D-28C7288916FF}"/>
    <cellStyle name="40% - Accent5 95 2" xfId="11529" xr:uid="{8AE97841-D70A-4F43-8C61-1022BFADEFCC}"/>
    <cellStyle name="40% - Accent5 95 2 2" xfId="11530" xr:uid="{62321452-D7AF-4EE4-84E4-D37281C9397F}"/>
    <cellStyle name="40% - Accent5 95 2_Working Capital Current" xfId="15522" xr:uid="{441748E4-10BB-489B-9209-1575D3891206}"/>
    <cellStyle name="40% - Accent5 95 3" xfId="11531" xr:uid="{9FE0EC5C-F425-41A4-B49A-600862A166E8}"/>
    <cellStyle name="40% - Accent5 95 4" xfId="11532" xr:uid="{D2000FFE-9495-4F24-9E3E-6A34A6BC819E}"/>
    <cellStyle name="40% - Accent5 95_Working Capital Current" xfId="15523" xr:uid="{050B4057-DF3A-4372-B941-0D6FC0EFC0A9}"/>
    <cellStyle name="40% - Accent5 96" xfId="11533" xr:uid="{4F2EEB60-D126-49EE-8BD2-3FBA207357CF}"/>
    <cellStyle name="40% - Accent5 96 2" xfId="11534" xr:uid="{D8DB49BD-2FB2-4835-90E9-22553E022501}"/>
    <cellStyle name="40% - Accent5 96 2 2" xfId="11535" xr:uid="{12CF9A13-DFEC-4F0D-B5EA-EC7C3C145E06}"/>
    <cellStyle name="40% - Accent5 96 2_Working Capital Current" xfId="15524" xr:uid="{74ECFB54-FA83-469A-A04E-3CC102393E38}"/>
    <cellStyle name="40% - Accent5 96 3" xfId="11536" xr:uid="{815360D9-F90C-4FE2-BD3C-FBEB4F8ADE40}"/>
    <cellStyle name="40% - Accent5 96 4" xfId="11537" xr:uid="{171B82E6-DBA5-4AF6-A370-33459A03289A}"/>
    <cellStyle name="40% - Accent5 96_Working Capital Current" xfId="15525" xr:uid="{86DF73BC-BCDB-4ECB-A410-2EADF8A37B91}"/>
    <cellStyle name="40% - Accent5 97" xfId="11538" xr:uid="{D24C6F5E-AE64-4C8D-B832-DE58325DB5C9}"/>
    <cellStyle name="40% - Accent5 97 2" xfId="11539" xr:uid="{67513970-B2C4-4875-B4E4-333634B713EC}"/>
    <cellStyle name="40% - Accent5 97 2 2" xfId="11540" xr:uid="{D5970461-8245-480B-A36D-D862E181F6E8}"/>
    <cellStyle name="40% - Accent5 97 2_Working Capital Current" xfId="15526" xr:uid="{8EA7366D-4A00-4015-A9E1-3FABAF433DCB}"/>
    <cellStyle name="40% - Accent5 97 3" xfId="11541" xr:uid="{EA4B7DB7-E2B4-469D-9893-A57CAE5235A6}"/>
    <cellStyle name="40% - Accent5 97 4" xfId="11542" xr:uid="{2D96056C-2E5B-4987-8B45-0CC7B3E1B232}"/>
    <cellStyle name="40% - Accent5 97_Working Capital Current" xfId="15527" xr:uid="{45928E88-B3D9-4E53-A05C-A105BFFC5C64}"/>
    <cellStyle name="40% - Accent5 98" xfId="11543" xr:uid="{096CF047-4618-4286-93EA-10D8F0A99C68}"/>
    <cellStyle name="40% - Accent5 98 2" xfId="11544" xr:uid="{07FBE305-ED18-4F75-AE6C-52A3DC708360}"/>
    <cellStyle name="40% - Accent5 98 2 2" xfId="11545" xr:uid="{8ED78B94-8021-4BCD-B458-FE4EC6C57AC0}"/>
    <cellStyle name="40% - Accent5 98 2_Working Capital Current" xfId="15528" xr:uid="{A68ECF45-A405-46EE-BDC9-AB7839AB21DF}"/>
    <cellStyle name="40% - Accent5 98 3" xfId="11546" xr:uid="{A5EC2BC5-18C1-429F-9DBC-C5F591675B08}"/>
    <cellStyle name="40% - Accent5 98 4" xfId="11547" xr:uid="{85EACC5D-4926-473B-BEBA-AF05EAF00A36}"/>
    <cellStyle name="40% - Accent5 98_Working Capital Current" xfId="15529" xr:uid="{C3E5CC9C-6AEF-478E-B397-7570488B5985}"/>
    <cellStyle name="40% - Accent5 99" xfId="11548" xr:uid="{2A86BAE6-FA6B-481A-AFE4-32EE62780479}"/>
    <cellStyle name="40% - Accent5 99 2" xfId="11549" xr:uid="{41112C24-84DA-470D-90AF-C52F00A477A5}"/>
    <cellStyle name="40% - Accent5 99 2 2" xfId="11550" xr:uid="{8012C64C-D3D8-4F67-9EE7-E6B750481643}"/>
    <cellStyle name="40% - Accent5 99 2_Working Capital Current" xfId="15530" xr:uid="{8C89C11C-0887-4410-8E66-10C88E7A4781}"/>
    <cellStyle name="40% - Accent5 99 3" xfId="11551" xr:uid="{04C64A89-DE45-46F7-B51F-0CC4793572F4}"/>
    <cellStyle name="40% - Accent5 99 4" xfId="11552" xr:uid="{F20FD367-D4BD-4706-9298-6BEDD28265A8}"/>
    <cellStyle name="40% - Accent5 99_Working Capital Current" xfId="15531" xr:uid="{0D8564C5-1046-4FC8-8609-9FA5F77471DB}"/>
    <cellStyle name="40% - Accent6" xfId="44" builtinId="51" customBuiltin="1"/>
    <cellStyle name="40% - Accent6 10" xfId="11553" xr:uid="{8C6F7C79-F9DD-4217-957E-411291F24F96}"/>
    <cellStyle name="40% - Accent6 10 2" xfId="11554" xr:uid="{D48ED105-1BCE-4FC6-B5B9-9D8C4E34C7A9}"/>
    <cellStyle name="40% - Accent6 10 2 2" xfId="11555" xr:uid="{A299ED53-FF64-4481-BBBA-B8B1D3A45900}"/>
    <cellStyle name="40% - Accent6 10 2 2 2" xfId="11556" xr:uid="{90FB32B9-3C9A-4474-B4CB-B67DA4BFC138}"/>
    <cellStyle name="40% - Accent6 10 2 2_Working Capital Current" xfId="15532" xr:uid="{E1FAB7F4-997E-4B5A-9297-56000CD0E565}"/>
    <cellStyle name="40% - Accent6 10 2 3" xfId="11557" xr:uid="{B72D2223-9BA2-4491-9AD9-4FF992B0C414}"/>
    <cellStyle name="40% - Accent6 10 2 4" xfId="11558" xr:uid="{02FFE5D2-D1A7-49C0-955C-24F9CCAD2BF7}"/>
    <cellStyle name="40% - Accent6 10 2_Working Capital Current" xfId="15533" xr:uid="{2A225B58-E34A-4081-B8A6-F7BED8CFA9A1}"/>
    <cellStyle name="40% - Accent6 10 3" xfId="11559" xr:uid="{B4AB63B8-374F-4ADF-A7F5-81C2666C430F}"/>
    <cellStyle name="40% - Accent6 10 3 2" xfId="11560" xr:uid="{39CDE431-B223-4B7C-A2DC-6B6B5A579BCB}"/>
    <cellStyle name="40% - Accent6 10 3_Working Capital Current" xfId="15534" xr:uid="{B25C3138-060F-4145-8BEA-506C01AB0074}"/>
    <cellStyle name="40% - Accent6 10 4" xfId="11561" xr:uid="{25E35D2A-30B3-42EB-953D-48F5870876BA}"/>
    <cellStyle name="40% - Accent6 10 5" xfId="11562" xr:uid="{DC3B2F65-89B8-4301-9ABA-347D2C245BD9}"/>
    <cellStyle name="40% - Accent6 10_Not_for_upload_before_M4_correc" xfId="15535" xr:uid="{3FEFA769-3DAC-44A4-B9FC-91D87FCD6379}"/>
    <cellStyle name="40% - Accent6 100" xfId="11563" xr:uid="{0FB40362-8E04-4E9F-9CFB-67B640034497}"/>
    <cellStyle name="40% - Accent6 100 2" xfId="11564" xr:uid="{F50B9311-3B9F-47D7-BD52-A44CEA840D60}"/>
    <cellStyle name="40% - Accent6 100 2 2" xfId="11565" xr:uid="{97A400EC-D24A-4C56-8B06-91A7DAF4A8D7}"/>
    <cellStyle name="40% - Accent6 100 2_Working Capital Current" xfId="15536" xr:uid="{34D0B5AC-6ACB-4F0B-9B24-4C64FC3BB4BA}"/>
    <cellStyle name="40% - Accent6 100 3" xfId="11566" xr:uid="{EAA83F1D-1625-48A9-ABCA-7D168474F0C2}"/>
    <cellStyle name="40% - Accent6 100 4" xfId="11567" xr:uid="{F56082FD-533F-4F58-AD2E-7D86F300DC6F}"/>
    <cellStyle name="40% - Accent6 100_Working Capital Current" xfId="15537" xr:uid="{96023AA0-4FF6-4DC8-9E66-DF40085A4355}"/>
    <cellStyle name="40% - Accent6 101" xfId="11568" xr:uid="{C3E6C8C0-EE76-4EC1-B667-025F147EE60A}"/>
    <cellStyle name="40% - Accent6 101 2" xfId="11569" xr:uid="{76556D9C-C344-4606-A015-A172FE1FAD72}"/>
    <cellStyle name="40% - Accent6 101 3" xfId="11570" xr:uid="{3A012BBE-BE89-4F3C-8266-759FBE2A5B3E}"/>
    <cellStyle name="40% - Accent6 101_Working Capital Current" xfId="15538" xr:uid="{73D0FB59-FB03-46A0-94A4-B475CFB65E5C}"/>
    <cellStyle name="40% - Accent6 102" xfId="11571" xr:uid="{4B02E01A-B843-4A3C-96E7-31B28BBD6865}"/>
    <cellStyle name="40% - Accent6 102 2" xfId="11572" xr:uid="{38FE6F08-7F28-449C-8BC9-229C4B760115}"/>
    <cellStyle name="40% - Accent6 102 3" xfId="11573" xr:uid="{A51B1A87-97D0-4777-97B8-63EDED2FE3B4}"/>
    <cellStyle name="40% - Accent6 102_Working Capital Current" xfId="15539" xr:uid="{74503318-2737-4867-83E4-31636FF5E065}"/>
    <cellStyle name="40% - Accent6 103" xfId="11574" xr:uid="{4D4AF55A-2D7A-4D02-BB48-12F44D7CC04E}"/>
    <cellStyle name="40% - Accent6 104" xfId="11575" xr:uid="{C5D5BE2D-AC45-46AD-9FA1-DE35BCFC9089}"/>
    <cellStyle name="40% - Accent6 105" xfId="15540" xr:uid="{5DEDFAED-12AC-41E7-8A54-5498697BDB53}"/>
    <cellStyle name="40% - Accent6 106" xfId="16502" xr:uid="{48D02970-4B5B-4C57-B060-7FC3B464EDB2}"/>
    <cellStyle name="40% - Accent6 107" xfId="16981" xr:uid="{847E4014-B20E-4781-8ADD-FEACFDE9E0CC}"/>
    <cellStyle name="40% - Accent6 108" xfId="3895" xr:uid="{C417E865-2136-4681-8660-D773983E07FF}"/>
    <cellStyle name="40% - Accent6 109" xfId="18340" xr:uid="{FEDFB64D-CF81-4453-94FE-9E2512213178}"/>
    <cellStyle name="40% - Accent6 11" xfId="11576" xr:uid="{7A27EDA3-884B-4934-B907-4B7E67543839}"/>
    <cellStyle name="40% - Accent6 11 2" xfId="11577" xr:uid="{D680FA5A-7A7C-4C3B-B4B3-9D5FF5FF3D4C}"/>
    <cellStyle name="40% - Accent6 11 2 2" xfId="11578" xr:uid="{2B07DB43-07C7-4055-99A0-78B4E5FD07FF}"/>
    <cellStyle name="40% - Accent6 11 2 2 2" xfId="11579" xr:uid="{929825E3-30D7-43FC-B3DE-A46CFB8BAC1E}"/>
    <cellStyle name="40% - Accent6 11 2 2_Working Capital Current" xfId="15541" xr:uid="{42644B7B-C33F-429D-8481-903C2B443236}"/>
    <cellStyle name="40% - Accent6 11 2 3" xfId="11580" xr:uid="{2D0DA873-90C1-4A33-95CD-CA5246546D5A}"/>
    <cellStyle name="40% - Accent6 11 2 4" xfId="11581" xr:uid="{EBE8A5BD-C7B6-49F0-8A91-F80D02C36E7C}"/>
    <cellStyle name="40% - Accent6 11 2_Working Capital Current" xfId="15542" xr:uid="{291C7471-C08A-419D-89F9-3B3E65FCA829}"/>
    <cellStyle name="40% - Accent6 11 3" xfId="11582" xr:uid="{32D74F5E-B503-4F1D-B8B2-2222FBE980A8}"/>
    <cellStyle name="40% - Accent6 11 3 2" xfId="11583" xr:uid="{454768CC-9B70-471E-B465-E93D9DFD7017}"/>
    <cellStyle name="40% - Accent6 11 3_Working Capital Current" xfId="15543" xr:uid="{B3806ADC-E665-4105-AF48-F593973910CC}"/>
    <cellStyle name="40% - Accent6 11 4" xfId="11584" xr:uid="{E0460AB6-5A0B-48CE-B4EB-F0AD83B0B796}"/>
    <cellStyle name="40% - Accent6 11 5" xfId="11585" xr:uid="{1D12F296-BC9B-4F35-8DB8-6DCE0AA96F0A}"/>
    <cellStyle name="40% - Accent6 11_Not_for_upload_before_M4_correc" xfId="15544" xr:uid="{544F1C71-8FBE-4D09-B975-B14C4FB60131}"/>
    <cellStyle name="40% - Accent6 12" xfId="11586" xr:uid="{AC5EF7E4-23A8-4A3D-92B1-320ACA15793E}"/>
    <cellStyle name="40% - Accent6 12 2" xfId="11587" xr:uid="{570B67F4-DAAC-42A5-909F-8030F2EF0A3E}"/>
    <cellStyle name="40% - Accent6 12 2 2" xfId="11588" xr:uid="{2C548211-0DA6-4F57-8022-E1E05070D108}"/>
    <cellStyle name="40% - Accent6 12 2 2 2" xfId="11589" xr:uid="{3C628139-66DB-4F1E-8A6C-3AF9F4708427}"/>
    <cellStyle name="40% - Accent6 12 2 2_Working Capital Current" xfId="15545" xr:uid="{BAF62649-C74F-4C25-87DD-9D97131AF8D7}"/>
    <cellStyle name="40% - Accent6 12 2 3" xfId="11590" xr:uid="{028E7CEA-EE63-40F3-B6D9-446EE0786B2D}"/>
    <cellStyle name="40% - Accent6 12 2 4" xfId="11591" xr:uid="{DC8F4F54-7A2A-47CD-8541-AB4B4C974BDC}"/>
    <cellStyle name="40% - Accent6 12 2_Working Capital Current" xfId="15546" xr:uid="{3B3ACC6E-B7B4-4464-A0D2-F493C9E58F95}"/>
    <cellStyle name="40% - Accent6 12 3" xfId="11592" xr:uid="{62F95AE6-02F8-402F-A7FE-449E9220A703}"/>
    <cellStyle name="40% - Accent6 12 3 2" xfId="11593" xr:uid="{127127D1-9082-40BA-986B-A554876C8D68}"/>
    <cellStyle name="40% - Accent6 12 3_Working Capital Current" xfId="15547" xr:uid="{B2922058-8B41-4F53-AC6D-05650393BBFB}"/>
    <cellStyle name="40% - Accent6 12 4" xfId="11594" xr:uid="{1DB187D6-F65A-4F1A-8F19-2BCCCCB83173}"/>
    <cellStyle name="40% - Accent6 12 5" xfId="11595" xr:uid="{54BF99B4-1276-4219-B9A0-0B0C011835E2}"/>
    <cellStyle name="40% - Accent6 12_Not_for_upload_before_M4_correc" xfId="15548" xr:uid="{4692EFF7-02D2-4F0D-9837-B712503F07FB}"/>
    <cellStyle name="40% - Accent6 13" xfId="11596" xr:uid="{8F3A7C09-478B-4AAE-BCB1-9F69877F8E8E}"/>
    <cellStyle name="40% - Accent6 13 2" xfId="11597" xr:uid="{8F42D329-9BF9-41B4-B675-A22EE57F6363}"/>
    <cellStyle name="40% - Accent6 13 2 2" xfId="11598" xr:uid="{EF48ADE7-650E-46EC-84A1-5E3621106F3D}"/>
    <cellStyle name="40% - Accent6 13 2 2 2" xfId="11599" xr:uid="{D44EAE74-37A0-4AD7-B274-824E69D61E79}"/>
    <cellStyle name="40% - Accent6 13 2 2_Working Capital Current" xfId="15549" xr:uid="{178E56AC-9071-4E4F-B39E-DA8CE60F941D}"/>
    <cellStyle name="40% - Accent6 13 2 3" xfId="11600" xr:uid="{9B93CE23-ABB7-407B-A879-C52B9FDB9666}"/>
    <cellStyle name="40% - Accent6 13 2 4" xfId="11601" xr:uid="{04F8A477-AE9B-4D26-8B3B-48CF25F941E4}"/>
    <cellStyle name="40% - Accent6 13 2_Working Capital Current" xfId="15550" xr:uid="{59CE5972-6512-4620-92B3-EB43B820A7D1}"/>
    <cellStyle name="40% - Accent6 13 3" xfId="11602" xr:uid="{657893F8-E14F-49D6-AE83-0464BC4EB6B2}"/>
    <cellStyle name="40% - Accent6 13 3 2" xfId="11603" xr:uid="{43106066-5BBA-4260-8DAA-AFF163AEA4B9}"/>
    <cellStyle name="40% - Accent6 13 3_Working Capital Current" xfId="15551" xr:uid="{A123007E-3F30-457A-96AD-41F63AC93FBE}"/>
    <cellStyle name="40% - Accent6 13 4" xfId="11604" xr:uid="{9460895D-892C-41CC-B1D8-4D76BF3B215F}"/>
    <cellStyle name="40% - Accent6 13 5" xfId="11605" xr:uid="{39763EB5-784D-400C-8A82-A946163CF3F4}"/>
    <cellStyle name="40% - Accent6 13_Not_for_upload_before_M4_correc" xfId="15552" xr:uid="{FDA8D811-4A8E-44DE-8C68-E1D420A55181}"/>
    <cellStyle name="40% - Accent6 14" xfId="11606" xr:uid="{4CF9C753-3A3B-476C-A059-3CED977C1E7F}"/>
    <cellStyle name="40% - Accent6 14 2" xfId="11607" xr:uid="{85A5669B-87DD-440B-8ADD-22A2F649C890}"/>
    <cellStyle name="40% - Accent6 14 2 2" xfId="11608" xr:uid="{BC802E68-2922-4C59-B6A7-8480D1F1003C}"/>
    <cellStyle name="40% - Accent6 14 2 2 2" xfId="11609" xr:uid="{163FC9C0-301A-4BD6-B7F2-8CF6877A5E6F}"/>
    <cellStyle name="40% - Accent6 14 2 2_Working Capital Current" xfId="15553" xr:uid="{A17A3749-F441-4A3C-A92F-B0ADA9B255C5}"/>
    <cellStyle name="40% - Accent6 14 2 3" xfId="11610" xr:uid="{4E23EE28-BA02-4865-A77D-F3CE5D013E2E}"/>
    <cellStyle name="40% - Accent6 14 2 4" xfId="11611" xr:uid="{6C57712C-D4C8-4998-9B5E-1979BD1DFBC8}"/>
    <cellStyle name="40% - Accent6 14 2_Working Capital Current" xfId="15554" xr:uid="{00FEAFB2-E7E4-4A2E-BE65-2B5E71C07CC8}"/>
    <cellStyle name="40% - Accent6 14 3" xfId="11612" xr:uid="{72886771-9E58-422D-B0D6-5DF8FE685851}"/>
    <cellStyle name="40% - Accent6 14 3 2" xfId="11613" xr:uid="{A6F135BF-509F-4738-AFFC-0AE3530C53BB}"/>
    <cellStyle name="40% - Accent6 14 3_Working Capital Current" xfId="15555" xr:uid="{9BED235E-DA45-4B1F-BC57-60E31D9B98EC}"/>
    <cellStyle name="40% - Accent6 14 4" xfId="11614" xr:uid="{E13D31A3-97DD-4021-A6EE-5923AAE04481}"/>
    <cellStyle name="40% - Accent6 14 5" xfId="11615" xr:uid="{40B72615-E649-41C1-AFE6-42D39F29BAC4}"/>
    <cellStyle name="40% - Accent6 14_Not_for_upload_before_M4_correc" xfId="15556" xr:uid="{8BD805E4-7F2D-4F93-9071-BD6E9F07C7BC}"/>
    <cellStyle name="40% - Accent6 15" xfId="11616" xr:uid="{02179774-AA4B-417D-86E4-73ACADBD6E25}"/>
    <cellStyle name="40% - Accent6 15 2" xfId="11617" xr:uid="{9194A22C-90FD-4058-9847-8D009360FCA4}"/>
    <cellStyle name="40% - Accent6 15 2 2" xfId="11618" xr:uid="{7F633351-A446-4D7A-819C-D373EE4B55E1}"/>
    <cellStyle name="40% - Accent6 15 2 2 2" xfId="11619" xr:uid="{5709CABF-73EF-4391-B238-870D1DD41569}"/>
    <cellStyle name="40% - Accent6 15 2 2_Working Capital Current" xfId="15557" xr:uid="{1F01B2BE-7426-475B-BA45-29092103B819}"/>
    <cellStyle name="40% - Accent6 15 2 3" xfId="11620" xr:uid="{2F4C2623-A295-4E21-A905-CFEADD7B25F1}"/>
    <cellStyle name="40% - Accent6 15 2 4" xfId="11621" xr:uid="{52D88A24-F53A-4739-B987-820E8F1A21E8}"/>
    <cellStyle name="40% - Accent6 15 2_Working Capital Current" xfId="15558" xr:uid="{F5DD907D-B416-4860-9C31-E40F8B55A58C}"/>
    <cellStyle name="40% - Accent6 15 3" xfId="11622" xr:uid="{F8E4E3A6-937C-473C-888E-D9A771460BE3}"/>
    <cellStyle name="40% - Accent6 15 3 2" xfId="11623" xr:uid="{AA927386-5E5C-4887-B90E-65A09BA611AD}"/>
    <cellStyle name="40% - Accent6 15 3_Working Capital Current" xfId="15559" xr:uid="{04A50785-BFC1-4582-9D72-E3DD95B82682}"/>
    <cellStyle name="40% - Accent6 15 4" xfId="11624" xr:uid="{2DCA4517-D691-4208-951E-6A7FDAC0CC97}"/>
    <cellStyle name="40% - Accent6 15 5" xfId="11625" xr:uid="{77068E89-FE64-4298-9333-51196A974B70}"/>
    <cellStyle name="40% - Accent6 15_Not_for_upload_before_M4_correc" xfId="15560" xr:uid="{5368E387-0136-43E0-BE11-9F6BD781302B}"/>
    <cellStyle name="40% - Accent6 16" xfId="11626" xr:uid="{1527A967-F8BF-47AA-9A14-C327C5C8C56D}"/>
    <cellStyle name="40% - Accent6 16 2" xfId="11627" xr:uid="{AC59156D-F1CB-42FC-A52D-DD433410AD39}"/>
    <cellStyle name="40% - Accent6 16 2 2" xfId="11628" xr:uid="{FD89386D-03C2-4B17-905E-5E1CDB4C98F5}"/>
    <cellStyle name="40% - Accent6 16 2 2 2" xfId="11629" xr:uid="{B09A2B1D-1887-4C6D-9972-69B0B62D5F08}"/>
    <cellStyle name="40% - Accent6 16 2 2_Working Capital Current" xfId="15561" xr:uid="{0D200A43-4BE3-4127-A6C9-C63049589DC2}"/>
    <cellStyle name="40% - Accent6 16 2 3" xfId="11630" xr:uid="{99344774-1796-41A1-A42A-B63415DEFD54}"/>
    <cellStyle name="40% - Accent6 16 2 4" xfId="11631" xr:uid="{876B1746-23E3-4C1E-B5ED-386F9F3E47AC}"/>
    <cellStyle name="40% - Accent6 16 2_Working Capital Current" xfId="15562" xr:uid="{BF507930-D15C-4CFC-9A1A-7535FBE8663D}"/>
    <cellStyle name="40% - Accent6 16 3" xfId="11632" xr:uid="{ACE138A5-E0F4-4C8B-BE62-9D70A8C5CB59}"/>
    <cellStyle name="40% - Accent6 16 3 2" xfId="11633" xr:uid="{218F436B-0253-44BA-B5AA-C3D9EF962E67}"/>
    <cellStyle name="40% - Accent6 16 3_Working Capital Current" xfId="15563" xr:uid="{B072EE74-995E-4356-8BC6-ECEBF0F9F6B5}"/>
    <cellStyle name="40% - Accent6 16 4" xfId="11634" xr:uid="{5F4F0152-3842-4206-AB3C-3EB914F4AB3B}"/>
    <cellStyle name="40% - Accent6 16 5" xfId="11635" xr:uid="{1AFF0ACC-F794-4E55-A592-73934867FC90}"/>
    <cellStyle name="40% - Accent6 16_Not_for_upload_before_M4_correc" xfId="15564" xr:uid="{155FA275-0FC7-489D-A368-5FA51DEEAF72}"/>
    <cellStyle name="40% - Accent6 17" xfId="11636" xr:uid="{D0F0D7B4-A096-4D19-9C98-A6E1E6653F60}"/>
    <cellStyle name="40% - Accent6 17 2" xfId="11637" xr:uid="{AF662410-6430-42A8-ACC5-3AC233548AAF}"/>
    <cellStyle name="40% - Accent6 17 2 2" xfId="11638" xr:uid="{BAE43A0D-7F82-46FD-BDD3-F5A32707E1FD}"/>
    <cellStyle name="40% - Accent6 17 2 2 2" xfId="11639" xr:uid="{FD792273-8CC8-4EE2-8FA8-4A46CC3A6BC8}"/>
    <cellStyle name="40% - Accent6 17 2 2_Working Capital Current" xfId="15565" xr:uid="{B288AD3D-F6C7-4D03-8B44-24D03A9C7423}"/>
    <cellStyle name="40% - Accent6 17 2 3" xfId="11640" xr:uid="{1B9DE3F2-9B2B-45DC-9EBE-1035E5BC6F9B}"/>
    <cellStyle name="40% - Accent6 17 2 4" xfId="11641" xr:uid="{A2B0BD42-E976-4310-A408-674E125E59FF}"/>
    <cellStyle name="40% - Accent6 17 2_Working Capital Current" xfId="15566" xr:uid="{A57F8A65-9D14-4098-ACB2-685A09D36C20}"/>
    <cellStyle name="40% - Accent6 17 3" xfId="11642" xr:uid="{AF0AED81-5494-411B-9E0C-16084288493F}"/>
    <cellStyle name="40% - Accent6 17 3 2" xfId="11643" xr:uid="{236D1E46-72B2-41BF-9F77-AE27C548EDA7}"/>
    <cellStyle name="40% - Accent6 17 3_Working Capital Current" xfId="15567" xr:uid="{C1BE084B-E679-42A5-96E2-C185DDF90E09}"/>
    <cellStyle name="40% - Accent6 17 4" xfId="11644" xr:uid="{009E6891-FE73-4552-9396-10C57933AF97}"/>
    <cellStyle name="40% - Accent6 17 5" xfId="11645" xr:uid="{60F4DD94-20DA-4ADD-B00C-FB38440EEC6A}"/>
    <cellStyle name="40% - Accent6 17_Not_for_upload_before_M4_correc" xfId="15568" xr:uid="{31225AEC-C7A4-4EFF-9E4D-59A8BD96D2B7}"/>
    <cellStyle name="40% - Accent6 18" xfId="11646" xr:uid="{8732C7BA-D944-473C-A167-C2A0E4B44254}"/>
    <cellStyle name="40% - Accent6 18 2" xfId="11647" xr:uid="{EB008ED7-3CDA-4E50-9EAE-751C14FC7005}"/>
    <cellStyle name="40% - Accent6 18 2 2" xfId="11648" xr:uid="{272578A8-4272-471E-B57E-B0396B657FE5}"/>
    <cellStyle name="40% - Accent6 18 2 2 2" xfId="11649" xr:uid="{A081FF03-31AD-4C3C-954F-FEE69A889583}"/>
    <cellStyle name="40% - Accent6 18 2 2_Working Capital Current" xfId="15569" xr:uid="{9C8B4098-46B6-476A-8FD3-AFA9BBEA58F8}"/>
    <cellStyle name="40% - Accent6 18 2 3" xfId="11650" xr:uid="{8ABF822D-44A9-41CE-835D-159AEED31BFE}"/>
    <cellStyle name="40% - Accent6 18 2 4" xfId="11651" xr:uid="{B0E00210-323F-42D6-9FC9-C61823E8098B}"/>
    <cellStyle name="40% - Accent6 18 2_Working Capital Current" xfId="15570" xr:uid="{DAB0EDF8-D985-4CE0-B825-25843B792885}"/>
    <cellStyle name="40% - Accent6 18 3" xfId="11652" xr:uid="{85040AE8-8EAB-47C7-9AED-09BC68A314ED}"/>
    <cellStyle name="40% - Accent6 18 3 2" xfId="11653" xr:uid="{A06E7BE1-8147-456F-8EAF-836BE5D1D8B0}"/>
    <cellStyle name="40% - Accent6 18 3_Working Capital Current" xfId="15571" xr:uid="{9BFBB87B-DF68-4D0F-89FF-E8C4DECCA639}"/>
    <cellStyle name="40% - Accent6 18 4" xfId="11654" xr:uid="{6E83470C-EED8-4D1C-BE03-6614A38330AB}"/>
    <cellStyle name="40% - Accent6 18 5" xfId="11655" xr:uid="{E8E60C22-E77F-44BF-8E7B-92054545FB53}"/>
    <cellStyle name="40% - Accent6 18_Not_for_upload_before_M4_correc" xfId="15572" xr:uid="{E851987A-2945-4245-BF28-8C1A6189016B}"/>
    <cellStyle name="40% - Accent6 19" xfId="11656" xr:uid="{3D5BE026-CCE9-4CAA-A1C8-684B14407E4D}"/>
    <cellStyle name="40% - Accent6 19 2" xfId="11657" xr:uid="{C4950F9F-B6B7-4126-8B6D-8722CE8DD33E}"/>
    <cellStyle name="40% - Accent6 19 2 2" xfId="11658" xr:uid="{9CD96D03-14D2-4EA4-81C5-F63A7D03396B}"/>
    <cellStyle name="40% - Accent6 19 2 2 2" xfId="11659" xr:uid="{580901AA-99B4-4C56-8517-CE4133C35E92}"/>
    <cellStyle name="40% - Accent6 19 2 2_Working Capital Current" xfId="15573" xr:uid="{4F44D891-D741-4B7D-AEDF-09D4B5AA02F5}"/>
    <cellStyle name="40% - Accent6 19 2 3" xfId="11660" xr:uid="{7F4E4353-6E6D-4B48-91A2-8B776A4DFA54}"/>
    <cellStyle name="40% - Accent6 19 2 4" xfId="11661" xr:uid="{2CB73733-1A8D-41D7-96A2-4835FA946284}"/>
    <cellStyle name="40% - Accent6 19 2_Working Capital Current" xfId="15574" xr:uid="{7A543B9D-1E28-4D39-8B7B-A7A65C2869B7}"/>
    <cellStyle name="40% - Accent6 19 3" xfId="11662" xr:uid="{58E5940D-2599-4F8E-9ED4-B70E16D5869F}"/>
    <cellStyle name="40% - Accent6 19 3 2" xfId="11663" xr:uid="{75808EA8-8637-4516-A952-C44571E04F68}"/>
    <cellStyle name="40% - Accent6 19 3_Working Capital Current" xfId="15575" xr:uid="{360016F0-B236-4888-A649-26538C64437E}"/>
    <cellStyle name="40% - Accent6 19 4" xfId="11664" xr:uid="{A75F5253-60B4-4A45-8AA8-5A804C6D1A4E}"/>
    <cellStyle name="40% - Accent6 19 5" xfId="11665" xr:uid="{3A6F1CCD-E3E3-44AB-A3E3-76EC7ED7939F}"/>
    <cellStyle name="40% - Accent6 19_Not_for_upload_before_M4_correc" xfId="15576" xr:uid="{2B495166-5845-451D-9AB1-68C8BCE6D357}"/>
    <cellStyle name="40% - Accent6 2" xfId="109" xr:uid="{575CE421-3911-4CC9-858F-280925C92D81}"/>
    <cellStyle name="40% - Accent6 2 10" xfId="11666" xr:uid="{E096F2E8-9A81-4B05-8D32-A2BB6973B8CE}"/>
    <cellStyle name="40% - Accent6 2 11" xfId="16540" xr:uid="{858B7469-3D02-409E-843A-85C5298D79A0}"/>
    <cellStyle name="40% - Accent6 2 12" xfId="17169" xr:uid="{000620A8-91E9-4D8D-83F0-24E019361594}"/>
    <cellStyle name="40% - Accent6 2 2" xfId="110" xr:uid="{C96D7713-254A-4425-9921-DCC171D68324}"/>
    <cellStyle name="40% - Accent6 2 2 2" xfId="1940" xr:uid="{E9E02E31-C965-4674-8ECC-C66033456C6C}"/>
    <cellStyle name="40% - Accent6 2 2 2 2" xfId="11669" xr:uid="{D264E846-EE86-4BCB-ADA7-24B13A4ED837}"/>
    <cellStyle name="40% - Accent6 2 2 2 2 2" xfId="11670" xr:uid="{DAEEC161-36F9-46DD-B590-3A441F0A81B8}"/>
    <cellStyle name="40% - Accent6 2 2 2 2_Working Capital Current" xfId="15577" xr:uid="{E5DDE174-A073-4DE3-8BB5-C5BD3BB8C8D5}"/>
    <cellStyle name="40% - Accent6 2 2 2 3" xfId="11671" xr:uid="{3E730119-6CF8-45E9-A27D-7F993D748402}"/>
    <cellStyle name="40% - Accent6 2 2 2 4" xfId="11672" xr:uid="{028F2AE0-67C7-43CC-9DA6-73B19C0EC626}"/>
    <cellStyle name="40% - Accent6 2 2 2 5" xfId="17670" xr:uid="{194A1B29-7F33-490F-BE1D-92F236343373}"/>
    <cellStyle name="40% - Accent6 2 2 2 6" xfId="18219" xr:uid="{C31C476D-C60C-4CEF-BD63-7C8991296769}"/>
    <cellStyle name="40% - Accent6 2 2 2 7" xfId="11668" xr:uid="{E4538512-0119-49A5-AAC7-A6061E5EFC3D}"/>
    <cellStyle name="40% - Accent6 2 2 2_Working Capital Current" xfId="15578" xr:uid="{8C693D63-7F86-47A5-A49D-255F5C4AF89D}"/>
    <cellStyle name="40% - Accent6 2 2 3" xfId="11673" xr:uid="{568B57AB-D0FF-48C9-84BB-17AC4277D078}"/>
    <cellStyle name="40% - Accent6 2 2 3 2" xfId="11674" xr:uid="{9BC0A59C-1127-4AE3-9795-B8A045B2749C}"/>
    <cellStyle name="40% - Accent6 2 2 3_Working Capital Current" xfId="15579" xr:uid="{E1243BC4-D6CD-419E-AB04-F4059F221A27}"/>
    <cellStyle name="40% - Accent6 2 2 4" xfId="11675" xr:uid="{3AC75E70-DE4B-41E8-9FD0-83092FE05E99}"/>
    <cellStyle name="40% - Accent6 2 2 5" xfId="11676" xr:uid="{E3F73C3F-8FFD-4CB7-9865-5E76D508ECEB}"/>
    <cellStyle name="40% - Accent6 2 2 6" xfId="11667" xr:uid="{C217097D-1CC7-4D8F-8C27-2641709F0228}"/>
    <cellStyle name="40% - Accent6 2 2 7" xfId="16541" xr:uid="{83C8E882-D201-4021-A610-693C47F562B7}"/>
    <cellStyle name="40% - Accent6 2 2 8" xfId="16968" xr:uid="{05DE2F56-7F6E-4227-8103-AE9300D65ACC}"/>
    <cellStyle name="40% - Accent6 2 2_Not_for_upload_before_M4_correc" xfId="15580" xr:uid="{3C633688-FF44-4AB4-AA71-2DA10FD60155}"/>
    <cellStyle name="40% - Accent6 2 3" xfId="1939" xr:uid="{38DC5EBD-18D9-487B-A2FD-46B11EA25537}"/>
    <cellStyle name="40% - Accent6 2 3 2" xfId="11678" xr:uid="{583929AE-B6BD-4F93-92CC-186202F68481}"/>
    <cellStyle name="40% - Accent6 2 3 2 2" xfId="11679" xr:uid="{9BDB1E34-2231-41BB-BB03-5781143FC842}"/>
    <cellStyle name="40% - Accent6 2 3 2 2 2" xfId="11680" xr:uid="{E6A68123-EDED-4D30-887D-DDE7AAF2DFFB}"/>
    <cellStyle name="40% - Accent6 2 3 2 2_Working Capital Current" xfId="15581" xr:uid="{F49F82B1-B79A-4F2E-9EEE-AE6E2C278B23}"/>
    <cellStyle name="40% - Accent6 2 3 2 3" xfId="11681" xr:uid="{4BBA80D2-CFD2-4DC4-BFDC-7370CDA127D4}"/>
    <cellStyle name="40% - Accent6 2 3 2 4" xfId="11682" xr:uid="{75AA281D-705A-419F-A1CB-14AAAB9C54E7}"/>
    <cellStyle name="40% - Accent6 2 3 2_Working Capital Current" xfId="15582" xr:uid="{7A3D2444-6F3B-4A7B-B326-F4D9773B3397}"/>
    <cellStyle name="40% - Accent6 2 3 3" xfId="11683" xr:uid="{F9AC2AF2-FEB3-485E-B323-C5462B6892DC}"/>
    <cellStyle name="40% - Accent6 2 3 3 2" xfId="11684" xr:uid="{4B72D5ED-F79B-48D9-BC80-037F122B2FA0}"/>
    <cellStyle name="40% - Accent6 2 3 3_Working Capital Current" xfId="15583" xr:uid="{43A37E97-8D0B-47B3-892D-E8FA59D328F2}"/>
    <cellStyle name="40% - Accent6 2 3 4" xfId="11685" xr:uid="{0929FA34-DA54-43B7-B5CC-0D586D0BE68F}"/>
    <cellStyle name="40% - Accent6 2 3 5" xfId="11686" xr:uid="{04EBFD7E-E546-4B4F-B28D-9B1D369903A0}"/>
    <cellStyle name="40% - Accent6 2 3 6" xfId="17669" xr:uid="{4A76A627-F435-49E6-BD98-CD14974DB4D9}"/>
    <cellStyle name="40% - Accent6 2 3 7" xfId="18218" xr:uid="{96025604-3B15-4DBE-94E8-8B0F41F88F66}"/>
    <cellStyle name="40% - Accent6 2 3 8" xfId="11677" xr:uid="{D7059406-3472-4A18-B6C4-125FA3C51021}"/>
    <cellStyle name="40% - Accent6 2 3_Not_for_upload_before_M4_correc" xfId="15584" xr:uid="{8EDFDD89-600F-40F6-8906-40F944CDDDFB}"/>
    <cellStyle name="40% - Accent6 2 4" xfId="11687" xr:uid="{11DBCACB-E6AF-4363-85D7-5D5640764652}"/>
    <cellStyle name="40% - Accent6 2 4 2" xfId="11688" xr:uid="{805E1CF4-CD51-476D-B3D6-B2754B9A785C}"/>
    <cellStyle name="40% - Accent6 2 4 2 2" xfId="11689" xr:uid="{943E865A-7CB5-494D-A54E-BD4AAE89252F}"/>
    <cellStyle name="40% - Accent6 2 4 2 2 2" xfId="11690" xr:uid="{C69CA1C8-8E56-40E5-9B52-14BAD8700C41}"/>
    <cellStyle name="40% - Accent6 2 4 2 2_Working Capital Current" xfId="15585" xr:uid="{1AB0BB9E-FA9A-43B4-9C76-621B2B724175}"/>
    <cellStyle name="40% - Accent6 2 4 2 3" xfId="11691" xr:uid="{F576AAEB-9860-44A0-B708-2DE47F77BCFD}"/>
    <cellStyle name="40% - Accent6 2 4 2 4" xfId="11692" xr:uid="{7E97B043-B320-40D5-8AD7-ACF21EC1072C}"/>
    <cellStyle name="40% - Accent6 2 4 2_Working Capital Current" xfId="15586" xr:uid="{D0B82AFB-4640-4F57-890A-13D607A62BB6}"/>
    <cellStyle name="40% - Accent6 2 4 3" xfId="11693" xr:uid="{3F13F8CF-576D-40FD-BD17-A5584A92A875}"/>
    <cellStyle name="40% - Accent6 2 4 3 2" xfId="11694" xr:uid="{60C186A8-3168-4616-8CC3-40D9D40E3AE3}"/>
    <cellStyle name="40% - Accent6 2 4 3_Working Capital Current" xfId="15587" xr:uid="{2246185B-CB00-410A-A33C-447BB3D22715}"/>
    <cellStyle name="40% - Accent6 2 4 4" xfId="11695" xr:uid="{1F2DD7E4-8E9B-4A61-B0E7-01CAAABE9187}"/>
    <cellStyle name="40% - Accent6 2 4 5" xfId="11696" xr:uid="{195A42C4-1A27-4629-9466-5C29D795E58C}"/>
    <cellStyle name="40% - Accent6 2 4_Not_for_upload_before_M4_correc" xfId="15588" xr:uid="{9169E522-26B7-4331-8D48-537361246C0C}"/>
    <cellStyle name="40% - Accent6 2 5" xfId="11697" xr:uid="{44D126B7-2289-4393-BF3D-085AE48066C3}"/>
    <cellStyle name="40% - Accent6 2 5 2" xfId="11698" xr:uid="{A0F787BD-C2FA-4F9D-BAD6-4B789DDB197C}"/>
    <cellStyle name="40% - Accent6 2 5 2 2" xfId="11699" xr:uid="{D4B0DA28-FF58-43DB-921D-052DC1EEB760}"/>
    <cellStyle name="40% - Accent6 2 5 2_Working Capital Current" xfId="15589" xr:uid="{75222B2F-A324-481E-A1F0-77FB3CFBAC5E}"/>
    <cellStyle name="40% - Accent6 2 5 3" xfId="11700" xr:uid="{B9682033-60FF-4F8C-ACB8-4195DF81EF92}"/>
    <cellStyle name="40% - Accent6 2 5_Working Capital Current" xfId="15590" xr:uid="{28201109-8D5F-48D1-ADFF-62CBA0FF27FC}"/>
    <cellStyle name="40% - Accent6 2 6" xfId="11701" xr:uid="{E5618126-F4E8-416C-8177-B6284D3FD91F}"/>
    <cellStyle name="40% - Accent6 2 6 2" xfId="11702" xr:uid="{3B870E55-C6D1-4A94-8414-47CF62DFE723}"/>
    <cellStyle name="40% - Accent6 2 6_Working Capital Current" xfId="15591" xr:uid="{782F36C3-2F63-4012-AF46-B5899E62A5A9}"/>
    <cellStyle name="40% - Accent6 2 7" xfId="11703" xr:uid="{3AB7D196-1426-493C-86B4-26EC30242DC8}"/>
    <cellStyle name="40% - Accent6 2 7 2" xfId="11704" xr:uid="{9AE7A2CD-BB05-4266-93AA-8A599DBC1BFA}"/>
    <cellStyle name="40% - Accent6 2 7_Working Capital Current" xfId="15592" xr:uid="{EE6BD2F3-6C42-4AA9-83E6-EA08AEE55AD6}"/>
    <cellStyle name="40% - Accent6 2 8" xfId="11705" xr:uid="{C6C78767-E123-4E71-A56E-7817D3EEF5FA}"/>
    <cellStyle name="40% - Accent6 2 9" xfId="11706" xr:uid="{835A809A-537B-4C24-84A4-904365FED591}"/>
    <cellStyle name="40% - Accent6 2_Not_for_upload_before_M4_correc" xfId="15593" xr:uid="{9F4061B9-9BB9-4304-BD65-E1C35509857C}"/>
    <cellStyle name="40% - Accent6 20" xfId="11707" xr:uid="{277B38FF-7B4F-4395-92FD-BDBFE4E06D77}"/>
    <cellStyle name="40% - Accent6 20 2" xfId="11708" xr:uid="{7CAE8AF0-98E5-44F9-ADAC-B83AB6D9A1AB}"/>
    <cellStyle name="40% - Accent6 20 2 2" xfId="11709" xr:uid="{278BBACF-CE03-4B23-9654-17F51DA68FF4}"/>
    <cellStyle name="40% - Accent6 20 2 2 2" xfId="11710" xr:uid="{7D8E271D-64FC-4A50-BF01-F3D0B1001D03}"/>
    <cellStyle name="40% - Accent6 20 2 2_Working Capital Current" xfId="15594" xr:uid="{4B9F1FA6-A3F1-42F4-9306-4624CD51D9F9}"/>
    <cellStyle name="40% - Accent6 20 2 3" xfId="11711" xr:uid="{265A3A54-B04E-4A08-8039-BBCEBB4AAEAA}"/>
    <cellStyle name="40% - Accent6 20 2 4" xfId="11712" xr:uid="{72E4DEB0-837B-4874-8901-CE00FDA4972E}"/>
    <cellStyle name="40% - Accent6 20 2_Working Capital Current" xfId="15595" xr:uid="{66DFE71E-08CB-4DC2-894A-2F3262E175E1}"/>
    <cellStyle name="40% - Accent6 20 3" xfId="11713" xr:uid="{E8A91CD3-4A58-4403-B28A-D0785E18834A}"/>
    <cellStyle name="40% - Accent6 20 3 2" xfId="11714" xr:uid="{DB8C7568-12AA-4EAB-81C8-BD319028654A}"/>
    <cellStyle name="40% - Accent6 20 3_Working Capital Current" xfId="15596" xr:uid="{5ED66739-D593-4EA9-AA16-1CFADE094D4E}"/>
    <cellStyle name="40% - Accent6 20 4" xfId="11715" xr:uid="{B5E00427-3D3F-405C-B27F-B330E2B164E2}"/>
    <cellStyle name="40% - Accent6 20 5" xfId="11716" xr:uid="{186757A2-970E-4292-9F52-6EAD5FF2B179}"/>
    <cellStyle name="40% - Accent6 20_Not_for_upload_before_M4_correc" xfId="15597" xr:uid="{211598AA-D2DD-4A46-A644-6B412E99B430}"/>
    <cellStyle name="40% - Accent6 21" xfId="11717" xr:uid="{24BBC7BA-F816-4C87-9514-BC2FE0C51C43}"/>
    <cellStyle name="40% - Accent6 21 2" xfId="11718" xr:uid="{AA161EC6-DBA9-492C-9942-CCA8A65E27E2}"/>
    <cellStyle name="40% - Accent6 21 2 2" xfId="11719" xr:uid="{A54342C3-9814-478D-995B-DECCED446D14}"/>
    <cellStyle name="40% - Accent6 21 2 2 2" xfId="11720" xr:uid="{521AC80D-C539-4915-9014-D641E3447580}"/>
    <cellStyle name="40% - Accent6 21 2 2_Working Capital Current" xfId="15598" xr:uid="{BCD0CA04-2D0A-459A-B08D-4EBBC3800974}"/>
    <cellStyle name="40% - Accent6 21 2 3" xfId="11721" xr:uid="{7A10D9AC-A9E6-40EE-A3E4-858E85441FF1}"/>
    <cellStyle name="40% - Accent6 21 2 4" xfId="11722" xr:uid="{B8DD3D2B-6F2F-44B7-9A54-27E29553D8EC}"/>
    <cellStyle name="40% - Accent6 21 2_Working Capital Current" xfId="15599" xr:uid="{DB7C994E-2ECF-4284-9AA0-8E2E4C62832B}"/>
    <cellStyle name="40% - Accent6 21 3" xfId="11723" xr:uid="{8A0EF5D8-00E2-4AAB-A1E7-805E4B9FE9CC}"/>
    <cellStyle name="40% - Accent6 21 3 2" xfId="11724" xr:uid="{3FE21C38-58D9-4B8D-BDC5-5E514E0AB336}"/>
    <cellStyle name="40% - Accent6 21 3_Working Capital Current" xfId="15600" xr:uid="{A6F05ADD-5706-4EF1-8BDB-592385545A63}"/>
    <cellStyle name="40% - Accent6 21 4" xfId="11725" xr:uid="{DDF6A14D-D5E0-4F6C-986A-94D2DA70D37F}"/>
    <cellStyle name="40% - Accent6 21 5" xfId="11726" xr:uid="{564948CC-C815-4920-9580-17690E1CB60B}"/>
    <cellStyle name="40% - Accent6 21_Not_for_upload_before_M4_correc" xfId="15601" xr:uid="{13F4471A-6C65-4DE5-B05D-8AD1E0457925}"/>
    <cellStyle name="40% - Accent6 22" xfId="11727" xr:uid="{EA645E06-D0CB-41FF-AD00-D7DC922CAF0B}"/>
    <cellStyle name="40% - Accent6 22 2" xfId="11728" xr:uid="{DF918561-D193-4C69-B169-8C42A5A8CBE2}"/>
    <cellStyle name="40% - Accent6 22 2 2" xfId="11729" xr:uid="{13811663-4497-443C-8716-45AFB0EB6FF8}"/>
    <cellStyle name="40% - Accent6 22 2 2 2" xfId="11730" xr:uid="{FD68FDFC-1818-4D9E-866B-D71C9B366945}"/>
    <cellStyle name="40% - Accent6 22 2 2_Working Capital Current" xfId="15602" xr:uid="{402FA086-0D4B-4AED-9DAF-E7F51406D733}"/>
    <cellStyle name="40% - Accent6 22 2 3" xfId="11731" xr:uid="{1420F3E7-8C4A-47E1-AD7D-E339D6442CF0}"/>
    <cellStyle name="40% - Accent6 22 2 4" xfId="11732" xr:uid="{8CF801A4-9BAA-4AF2-BBAE-37BA103A66BE}"/>
    <cellStyle name="40% - Accent6 22 2_Working Capital Current" xfId="15603" xr:uid="{67E991D5-3D4E-405C-8606-8CA488613042}"/>
    <cellStyle name="40% - Accent6 22 3" xfId="11733" xr:uid="{709C8AAD-1259-4FAF-9032-2495DBE12885}"/>
    <cellStyle name="40% - Accent6 22 3 2" xfId="11734" xr:uid="{1CC445A1-4CBE-4A04-8ADD-6FA63EF60BE8}"/>
    <cellStyle name="40% - Accent6 22 3_Working Capital Current" xfId="15604" xr:uid="{DCE90AE8-1643-4234-9294-92FBBF2A83BF}"/>
    <cellStyle name="40% - Accent6 22 4" xfId="11735" xr:uid="{E06A90BC-6B0A-444A-9314-A14C9D97239E}"/>
    <cellStyle name="40% - Accent6 22 5" xfId="11736" xr:uid="{D9A3F5D3-C6B5-44EA-B3E2-07A709BD1C8C}"/>
    <cellStyle name="40% - Accent6 22_Not_for_upload_before_M4_correc" xfId="15605" xr:uid="{4C5072E6-8C5B-4F64-A49A-DCA7695B82C3}"/>
    <cellStyle name="40% - Accent6 23" xfId="11737" xr:uid="{8A0C2766-781C-450D-8BB9-BA9AB205A812}"/>
    <cellStyle name="40% - Accent6 23 2" xfId="11738" xr:uid="{7DB5242B-61D4-403C-831E-9B149ADC445F}"/>
    <cellStyle name="40% - Accent6 23 2 2" xfId="11739" xr:uid="{46EB9469-85C1-43CC-8082-9B409A135E60}"/>
    <cellStyle name="40% - Accent6 23 2 2 2" xfId="11740" xr:uid="{028117B3-F3DF-49EF-BE95-9905A2A27504}"/>
    <cellStyle name="40% - Accent6 23 2 2_Working Capital Current" xfId="15606" xr:uid="{785F662E-615F-4B51-96DA-2F0B9F23E458}"/>
    <cellStyle name="40% - Accent6 23 2 3" xfId="11741" xr:uid="{1B352E75-67CE-4DC8-870C-3F9DEF883177}"/>
    <cellStyle name="40% - Accent6 23 2 4" xfId="11742" xr:uid="{1F3E0464-457D-432A-998B-A29CD95CFB27}"/>
    <cellStyle name="40% - Accent6 23 2_Working Capital Current" xfId="15607" xr:uid="{29EB2CF6-B48D-4557-B41B-9EA3CB4202C3}"/>
    <cellStyle name="40% - Accent6 23 3" xfId="11743" xr:uid="{E8CF6D2F-6152-4FF0-9CE0-9E52C27F2E31}"/>
    <cellStyle name="40% - Accent6 23 3 2" xfId="11744" xr:uid="{B33C3DA7-CD8C-4531-843F-EE68F384C75B}"/>
    <cellStyle name="40% - Accent6 23 3_Working Capital Current" xfId="15608" xr:uid="{AD9FCBF7-3C09-45B9-A28F-5CDCE60CA86F}"/>
    <cellStyle name="40% - Accent6 23 4" xfId="11745" xr:uid="{7BBE4BEE-8053-409E-984E-A63E71F1EBB9}"/>
    <cellStyle name="40% - Accent6 23 5" xfId="11746" xr:uid="{0226EDE2-FDCE-42AC-B23F-2727098493DB}"/>
    <cellStyle name="40% - Accent6 23_Not_for_upload_before_M4_correc" xfId="15609" xr:uid="{C4CB7521-4FC3-458A-802B-BD24305F0631}"/>
    <cellStyle name="40% - Accent6 24" xfId="11747" xr:uid="{2A7B43E5-9DB9-4C87-AD34-1293841076F5}"/>
    <cellStyle name="40% - Accent6 24 2" xfId="11748" xr:uid="{DE04040C-C9D2-4E25-AC31-AAF44EDC1A0D}"/>
    <cellStyle name="40% - Accent6 24 2 2" xfId="11749" xr:uid="{42C0CB48-2078-446D-A5D5-63661327B862}"/>
    <cellStyle name="40% - Accent6 24 2 2 2" xfId="11750" xr:uid="{D6D7A2BE-C9FF-403A-A9BB-CEF7F90DF655}"/>
    <cellStyle name="40% - Accent6 24 2 2_Working Capital Current" xfId="15610" xr:uid="{34B62B6E-45C0-41F9-B481-961A13CDFC4E}"/>
    <cellStyle name="40% - Accent6 24 2 3" xfId="11751" xr:uid="{414B374C-AA63-44D2-985A-741D0E6A705D}"/>
    <cellStyle name="40% - Accent6 24 2 4" xfId="11752" xr:uid="{E6FDFC1D-0E28-4BDF-BFDA-DD7FD6DD1CE6}"/>
    <cellStyle name="40% - Accent6 24 2_Working Capital Current" xfId="15611" xr:uid="{3F2D158D-C499-4FC3-B47C-A9853A7C1BCC}"/>
    <cellStyle name="40% - Accent6 24 3" xfId="11753" xr:uid="{10E3932F-C7BE-4747-AAF3-F6AA81647FF0}"/>
    <cellStyle name="40% - Accent6 24 3 2" xfId="11754" xr:uid="{1D5246B1-BB66-4908-A6F9-B10A954EEDB2}"/>
    <cellStyle name="40% - Accent6 24 3_Working Capital Current" xfId="15612" xr:uid="{47A4E1C0-9E96-46FB-AABB-EA787691BBB7}"/>
    <cellStyle name="40% - Accent6 24 4" xfId="11755" xr:uid="{561A5CD0-3CC9-4E08-9E8C-F00E3A793051}"/>
    <cellStyle name="40% - Accent6 24 5" xfId="11756" xr:uid="{CA7C2C95-6DC1-4853-BDE4-A079C0D11AF0}"/>
    <cellStyle name="40% - Accent6 24_Not_for_upload_before_M4_correc" xfId="15613" xr:uid="{A0804DA1-5023-41CF-82C3-0DF8F3ACCA0E}"/>
    <cellStyle name="40% - Accent6 25" xfId="11757" xr:uid="{3BEB8C93-C09F-4B09-B2EB-ACAF9F281B6D}"/>
    <cellStyle name="40% - Accent6 25 2" xfId="11758" xr:uid="{79757BA4-A7C5-4D41-9560-474CC5C4602E}"/>
    <cellStyle name="40% - Accent6 25 2 2" xfId="11759" xr:uid="{F305211B-6EA9-4A50-BC8D-22CCF3F99615}"/>
    <cellStyle name="40% - Accent6 25 2 2 2" xfId="11760" xr:uid="{C776E8C1-01A2-421D-BE66-7C9F57161F2A}"/>
    <cellStyle name="40% - Accent6 25 2 2_Working Capital Current" xfId="15614" xr:uid="{25738F87-7D5B-4223-B3FC-837F81CAD8F3}"/>
    <cellStyle name="40% - Accent6 25 2 3" xfId="11761" xr:uid="{98D7DFC8-6A17-410C-B8DA-5D9601E4F9D2}"/>
    <cellStyle name="40% - Accent6 25 2 4" xfId="11762" xr:uid="{709C4FCE-B84E-45BA-B019-4CC020B3BB9B}"/>
    <cellStyle name="40% - Accent6 25 2_Working Capital Current" xfId="15615" xr:uid="{A1EDDA73-AF06-4842-8637-973D603513E7}"/>
    <cellStyle name="40% - Accent6 25 3" xfId="11763" xr:uid="{E2E0FBCA-9808-4D35-95AC-251410B2DA1C}"/>
    <cellStyle name="40% - Accent6 25 3 2" xfId="11764" xr:uid="{ED86CDBB-0428-4F7B-8DE8-F336B2B9F526}"/>
    <cellStyle name="40% - Accent6 25 3_Working Capital Current" xfId="15616" xr:uid="{54BFD62A-709D-4B7E-B741-7E7571C1DE6F}"/>
    <cellStyle name="40% - Accent6 25 4" xfId="11765" xr:uid="{C21F3E51-CD01-4CE3-91E8-792A152081CB}"/>
    <cellStyle name="40% - Accent6 25 5" xfId="11766" xr:uid="{FE3416C6-9F6A-4AAE-B1AD-AEF50C725697}"/>
    <cellStyle name="40% - Accent6 25_Not_for_upload_before_M4_correc" xfId="15617" xr:uid="{5300CDF3-AEC5-4F29-B688-84CAFFA244EB}"/>
    <cellStyle name="40% - Accent6 26" xfId="11767" xr:uid="{7E93FE62-11EB-4DAF-859A-D19940C836A2}"/>
    <cellStyle name="40% - Accent6 26 2" xfId="11768" xr:uid="{6DD6F69C-6934-4E16-8334-D04427D7DECB}"/>
    <cellStyle name="40% - Accent6 26 2 2" xfId="11769" xr:uid="{6E3883D5-41AA-4304-BEF1-4E20C7CA85D4}"/>
    <cellStyle name="40% - Accent6 26 2 3" xfId="11770" xr:uid="{0DDC2FDE-0A2A-4FFF-9BA9-B7C7EB8EB1EE}"/>
    <cellStyle name="40% - Accent6 26 2_Working Capital Current" xfId="15618" xr:uid="{4A53C5F7-2DB9-4FC2-B1B9-039CEBCF3583}"/>
    <cellStyle name="40% - Accent6 26 3" xfId="11771" xr:uid="{E58E11B4-D8E1-4B66-A2F1-BBE6F3F79AA6}"/>
    <cellStyle name="40% - Accent6 26 3 2" xfId="11772" xr:uid="{21B439F8-54E5-4B7C-B29F-866C111A43AC}"/>
    <cellStyle name="40% - Accent6 26 3_Working Capital Current" xfId="15619" xr:uid="{A00B5790-A57F-43C8-8AF9-0A47C811D96A}"/>
    <cellStyle name="40% - Accent6 26 4" xfId="11773" xr:uid="{EFCE94BD-9E7E-42BE-8622-5BEF8A88BF46}"/>
    <cellStyle name="40% - Accent6 26 5" xfId="11774" xr:uid="{DFD324CE-DD52-4C31-85CA-A4C8353B0E73}"/>
    <cellStyle name="40% - Accent6 26_Not_for_upload_before_M4_correc" xfId="15620" xr:uid="{D75DDDFE-032F-4C7F-8CDA-10D1FFFBA106}"/>
    <cellStyle name="40% - Accent6 27" xfId="11775" xr:uid="{47C3B316-2CB2-4828-8F99-7ECAF7EB0920}"/>
    <cellStyle name="40% - Accent6 27 2" xfId="11776" xr:uid="{A4F3CD0F-B63F-4B82-9CA3-8CF49525233A}"/>
    <cellStyle name="40% - Accent6 27 2 2" xfId="11777" xr:uid="{32BE62CA-3DBB-4745-AE43-1A21304A06BA}"/>
    <cellStyle name="40% - Accent6 27 2 3" xfId="11778" xr:uid="{0F73304C-4E44-483C-85CE-88C239213D6B}"/>
    <cellStyle name="40% - Accent6 27 2_Working Capital Current" xfId="15621" xr:uid="{517B9CA5-19D2-4778-BA7F-2DBBF2AB3DB4}"/>
    <cellStyle name="40% - Accent6 27 3" xfId="11779" xr:uid="{5FB19D7A-49FD-49C9-B403-24ECD443B077}"/>
    <cellStyle name="40% - Accent6 27 3 2" xfId="11780" xr:uid="{36809839-39E0-4839-A684-4E958748C545}"/>
    <cellStyle name="40% - Accent6 27 3_Working Capital Current" xfId="15622" xr:uid="{07F54385-C734-453B-AA5D-6896C4F2D18A}"/>
    <cellStyle name="40% - Accent6 27 4" xfId="11781" xr:uid="{6435A392-25DE-4896-AF82-D799C89F9EC4}"/>
    <cellStyle name="40% - Accent6 27 5" xfId="11782" xr:uid="{0050897B-48EA-4CF3-8A9C-DB6D1404A1CA}"/>
    <cellStyle name="40% - Accent6 27_Not_for_upload_before_M4_correc" xfId="15623" xr:uid="{F91055FB-1E51-4921-B421-FE71E702A6BA}"/>
    <cellStyle name="40% - Accent6 28" xfId="11783" xr:uid="{AC16E708-C2AE-49B5-AB12-F82323333D39}"/>
    <cellStyle name="40% - Accent6 28 2" xfId="11784" xr:uid="{38C157E8-2B51-40B5-B063-4D4277A3B243}"/>
    <cellStyle name="40% - Accent6 28 2 2" xfId="11785" xr:uid="{FB829546-952C-4892-8617-2F85D1F1BFCD}"/>
    <cellStyle name="40% - Accent6 28 2 3" xfId="11786" xr:uid="{1526DAAE-2015-4491-A468-39E816A6C38E}"/>
    <cellStyle name="40% - Accent6 28 2_Working Capital Current" xfId="15624" xr:uid="{C48F89E7-70A7-4288-8CE5-BDADAEFE624D}"/>
    <cellStyle name="40% - Accent6 28 3" xfId="11787" xr:uid="{ED4FBB15-7A17-4EDB-AB40-3DA089B893A4}"/>
    <cellStyle name="40% - Accent6 28 3 2" xfId="11788" xr:uid="{AD7B07C3-4710-42C6-8016-B7015B44AF7E}"/>
    <cellStyle name="40% - Accent6 28 3_Working Capital Current" xfId="15625" xr:uid="{1BD2560C-4C6F-4E02-A8BE-45694E1A4441}"/>
    <cellStyle name="40% - Accent6 28 4" xfId="11789" xr:uid="{39EA9B14-03BF-4E36-918A-4C1899DE114A}"/>
    <cellStyle name="40% - Accent6 28 5" xfId="11790" xr:uid="{A538E0BC-ACC5-4041-BEC9-C9A86577EAD5}"/>
    <cellStyle name="40% - Accent6 28_Not_for_upload_before_M4_correc" xfId="15626" xr:uid="{962C5727-095D-41B1-BBAD-B83DA69B7FFD}"/>
    <cellStyle name="40% - Accent6 29" xfId="11791" xr:uid="{E17D639F-2608-4AFF-AA89-A346D8F97A5A}"/>
    <cellStyle name="40% - Accent6 29 2" xfId="11792" xr:uid="{C02645E6-362C-401A-8FD5-35CF517FEF88}"/>
    <cellStyle name="40% - Accent6 29 2 2" xfId="11793" xr:uid="{EC55BC69-1A78-4FAF-80B1-CF25805F3985}"/>
    <cellStyle name="40% - Accent6 29 2_Working Capital Current" xfId="15627" xr:uid="{CF51A3D3-2209-4D2E-AD7F-844435FA2DE9}"/>
    <cellStyle name="40% - Accent6 29 3" xfId="11794" xr:uid="{D13B6D39-1FD7-4195-975C-29F08E64AA40}"/>
    <cellStyle name="40% - Accent6 29 4" xfId="11795" xr:uid="{904C0F62-BD42-4225-A510-480D4E1CDB4A}"/>
    <cellStyle name="40% - Accent6 29_Not_for_upload_before_M4_correc" xfId="15628" xr:uid="{1766F0C8-60C4-43D8-B19D-69AB6141896B}"/>
    <cellStyle name="40% - Accent6 3" xfId="111" xr:uid="{284EF3AA-CA73-4704-A79A-2AE822052E0F}"/>
    <cellStyle name="40% - Accent6 3 10" xfId="16542" xr:uid="{03A1AB25-3D3A-40A0-8F24-D0F96B21F941}"/>
    <cellStyle name="40% - Accent6 3 2" xfId="1941" xr:uid="{902562E9-F2C9-4AFF-AA37-85036276F435}"/>
    <cellStyle name="40% - Accent6 3 2 2" xfId="11798" xr:uid="{384A5290-1DFA-4E9E-AA2B-295388450690}"/>
    <cellStyle name="40% - Accent6 3 2 2 2" xfId="11799" xr:uid="{3E9D860F-1851-4042-8B51-FE49CD4BEB1F}"/>
    <cellStyle name="40% - Accent6 3 2 2 2 2" xfId="11800" xr:uid="{AE524934-25A7-415A-810F-6E7D6CB2EFDB}"/>
    <cellStyle name="40% - Accent6 3 2 2 2_Working Capital Current" xfId="15629" xr:uid="{B86F4A62-A3C3-45BE-B5C6-B2AC56E989AB}"/>
    <cellStyle name="40% - Accent6 3 2 2 3" xfId="11801" xr:uid="{248D1474-9587-4ABC-93F8-39F956331B5D}"/>
    <cellStyle name="40% - Accent6 3 2 2 4" xfId="11802" xr:uid="{68A84367-8B93-4568-87C5-436089D194C5}"/>
    <cellStyle name="40% - Accent6 3 2 2_Working Capital Current" xfId="15630" xr:uid="{6719D042-382F-4FD2-B558-762A4F9A7F94}"/>
    <cellStyle name="40% - Accent6 3 2 3" xfId="11803" xr:uid="{B71CA047-D68E-4E70-A222-92BFD6DB4407}"/>
    <cellStyle name="40% - Accent6 3 2 3 2" xfId="11804" xr:uid="{51F5907C-A52A-4F39-9AFA-B733FCA06CD6}"/>
    <cellStyle name="40% - Accent6 3 2 3_Working Capital Current" xfId="15631" xr:uid="{F970EBC0-2037-48C1-B77F-CB932294352E}"/>
    <cellStyle name="40% - Accent6 3 2 4" xfId="11805" xr:uid="{D54EB2D7-51BF-44C8-A5CA-D3FA6CB86C24}"/>
    <cellStyle name="40% - Accent6 3 2 5" xfId="11806" xr:uid="{EB52F007-A661-41D7-8022-201616EC45B6}"/>
    <cellStyle name="40% - Accent6 3 2 6" xfId="17671" xr:uid="{0CE9F597-8819-41F6-8031-D9C1F9A6CB66}"/>
    <cellStyle name="40% - Accent6 3 2 7" xfId="18220" xr:uid="{805D85ED-9536-4981-A833-2E3B98EF9D2D}"/>
    <cellStyle name="40% - Accent6 3 2 8" xfId="11797" xr:uid="{E9CDE472-DA96-410C-A11E-5CDB8ED67E2B}"/>
    <cellStyle name="40% - Accent6 3 2_Not_for_upload_before_M4_correc" xfId="15632" xr:uid="{6BFEAF43-A9BA-43E5-8202-876D81009C60}"/>
    <cellStyle name="40% - Accent6 3 3" xfId="11807" xr:uid="{4BB9A36C-1A69-4397-A26C-CA53C6725952}"/>
    <cellStyle name="40% - Accent6 3 3 2" xfId="11808" xr:uid="{E5DA2596-59A4-4989-83F0-F684C0B62F0B}"/>
    <cellStyle name="40% - Accent6 3 3 2 2" xfId="11809" xr:uid="{C23F5604-0C1C-4A11-A2AD-9C4D7D999328}"/>
    <cellStyle name="40% - Accent6 3 3 2 2 2" xfId="11810" xr:uid="{0D9968B2-0348-415E-BD7D-96908EA4C8E3}"/>
    <cellStyle name="40% - Accent6 3 3 2 2_Working Capital Current" xfId="15633" xr:uid="{9E4DDA95-BDA9-428B-9857-013D12CC9395}"/>
    <cellStyle name="40% - Accent6 3 3 2 3" xfId="11811" xr:uid="{95440F7B-3079-49A9-9048-9DC2C9F5AF86}"/>
    <cellStyle name="40% - Accent6 3 3 2 4" xfId="11812" xr:uid="{5545D90F-FF29-4B85-A261-257962D08192}"/>
    <cellStyle name="40% - Accent6 3 3 2_Working Capital Current" xfId="15634" xr:uid="{60576684-3FF8-42EC-980A-36859DC24E34}"/>
    <cellStyle name="40% - Accent6 3 3 3" xfId="11813" xr:uid="{7B42B9FE-0233-4385-ADB1-D2B26D1B1866}"/>
    <cellStyle name="40% - Accent6 3 3 3 2" xfId="11814" xr:uid="{F000CFE3-68BB-4DD5-9BA3-3AD251D6480F}"/>
    <cellStyle name="40% - Accent6 3 3 3_Working Capital Current" xfId="15635" xr:uid="{7B10BCF6-D747-4D75-9E39-A207491EAA58}"/>
    <cellStyle name="40% - Accent6 3 3 4" xfId="11815" xr:uid="{750E83E2-B90B-42B5-A0CD-182F2F0CC550}"/>
    <cellStyle name="40% - Accent6 3 3 5" xfId="11816" xr:uid="{E7DE017D-D7B2-43A3-9E55-7C9DBCAF1450}"/>
    <cellStyle name="40% - Accent6 3 3_Not_for_upload_before_M4_correc" xfId="15636" xr:uid="{E1093187-E1E8-4CE1-8478-49D2A62170A8}"/>
    <cellStyle name="40% - Accent6 3 4" xfId="11817" xr:uid="{9EF99C38-C9A9-4781-A7C1-54D649BEC221}"/>
    <cellStyle name="40% - Accent6 3 4 2" xfId="11818" xr:uid="{BC9FA7AE-7935-4B7A-976A-D690D9F224F5}"/>
    <cellStyle name="40% - Accent6 3 4 2 2" xfId="11819" xr:uid="{DB38CF85-1862-42A6-8DA0-F353D0146826}"/>
    <cellStyle name="40% - Accent6 3 4 2 2 2" xfId="11820" xr:uid="{BEFD7B62-72D8-475A-9AF8-61D9682CEEDA}"/>
    <cellStyle name="40% - Accent6 3 4 2 2_Working Capital Current" xfId="15637" xr:uid="{8E7E3E7B-0046-4581-A2E7-17901412C249}"/>
    <cellStyle name="40% - Accent6 3 4 2 3" xfId="11821" xr:uid="{096CBE59-1EC0-48F1-B173-4E99DA39C61A}"/>
    <cellStyle name="40% - Accent6 3 4 2 4" xfId="11822" xr:uid="{ABDE89BA-A04D-413E-9CEF-B04C392BBCC7}"/>
    <cellStyle name="40% - Accent6 3 4 2_Working Capital Current" xfId="15638" xr:uid="{132B0BC6-C848-4B5F-ACC2-A73E39D4B07F}"/>
    <cellStyle name="40% - Accent6 3 4 3" xfId="11823" xr:uid="{C5939BAC-B1C4-4FEA-9B73-C06ABD9D056E}"/>
    <cellStyle name="40% - Accent6 3 4 3 2" xfId="11824" xr:uid="{A32F07D9-19C7-424F-A111-5B2A92D0D04B}"/>
    <cellStyle name="40% - Accent6 3 4 3_Working Capital Current" xfId="15639" xr:uid="{E857F1B2-592B-49F7-844F-0F4658A10E22}"/>
    <cellStyle name="40% - Accent6 3 4 4" xfId="11825" xr:uid="{EF8DB2F0-8CC3-4F82-AD57-0E8F63368148}"/>
    <cellStyle name="40% - Accent6 3 4 5" xfId="11826" xr:uid="{08B0B931-A5B8-485C-A6B6-EF46A0B7C59F}"/>
    <cellStyle name="40% - Accent6 3 4_Not_for_upload_before_M4_correc" xfId="15640" xr:uid="{219293CA-303D-428A-B01B-E0ED55CD0240}"/>
    <cellStyle name="40% - Accent6 3 5" xfId="11827" xr:uid="{B50DB0D0-FD32-405B-8DC4-D9BA6E3872F2}"/>
    <cellStyle name="40% - Accent6 3 5 2" xfId="11828" xr:uid="{D29E74CA-0DD5-48D8-8C37-D4D103E1F62A}"/>
    <cellStyle name="40% - Accent6 3 5 2 2" xfId="11829" xr:uid="{6889F15F-1E61-45E6-8B46-7052FB364398}"/>
    <cellStyle name="40% - Accent6 3 5 2_Working Capital Current" xfId="15641" xr:uid="{5F1F601B-5FFB-4AA7-9948-F53B69A11051}"/>
    <cellStyle name="40% - Accent6 3 5 3" xfId="11830" xr:uid="{5FB43F90-6697-4583-8D02-C8546CD13B85}"/>
    <cellStyle name="40% - Accent6 3 5 4" xfId="11831" xr:uid="{D1BB0639-24D7-40EE-B6FF-B7F2D523AECC}"/>
    <cellStyle name="40% - Accent6 3 5_Working Capital Current" xfId="15642" xr:uid="{EBA4A81B-2DBE-4F36-B996-D5C66A04840F}"/>
    <cellStyle name="40% - Accent6 3 6" xfId="11832" xr:uid="{54E2D6B0-12F4-476D-A91D-06A80EE0ED22}"/>
    <cellStyle name="40% - Accent6 3 6 2" xfId="11833" xr:uid="{8A9A5919-674C-495F-BADF-35EFF06FD207}"/>
    <cellStyle name="40% - Accent6 3 6_Working Capital Current" xfId="15643" xr:uid="{95CD4939-7CF9-42A7-BB77-F4F7E11AC85D}"/>
    <cellStyle name="40% - Accent6 3 7" xfId="11834" xr:uid="{437B3497-08F1-4332-AD39-471040207291}"/>
    <cellStyle name="40% - Accent6 3 8" xfId="11835" xr:uid="{8F06563D-F7C9-4E14-8142-029A5EA013ED}"/>
    <cellStyle name="40% - Accent6 3 9" xfId="11796" xr:uid="{FB4F0DF5-BCA7-4EE2-9E70-41E0CC4DA8FE}"/>
    <cellStyle name="40% - Accent6 3_Not_for_upload_before_M4_correc" xfId="15644" xr:uid="{83179BDA-D7C8-4D8F-87DB-26F0A72AA47D}"/>
    <cellStyle name="40% - Accent6 30" xfId="11836" xr:uid="{B9862749-0C0D-4BBF-9AB2-3A88BF1D6658}"/>
    <cellStyle name="40% - Accent6 30 2" xfId="11837" xr:uid="{460CE21C-5B00-45D3-B416-F5C1C0AC9A28}"/>
    <cellStyle name="40% - Accent6 30 2 2" xfId="11838" xr:uid="{65332E4A-E789-44CD-9278-8B56015CCE9E}"/>
    <cellStyle name="40% - Accent6 30 2_Working Capital Current" xfId="15645" xr:uid="{B825E6D3-5DA3-4824-BF61-8B73EABEF4E0}"/>
    <cellStyle name="40% - Accent6 30 3" xfId="11839" xr:uid="{F2D1D54B-4B35-413C-B301-D8087BCF3AEE}"/>
    <cellStyle name="40% - Accent6 30 4" xfId="11840" xr:uid="{3C60C204-E053-43BF-9274-B0E504C9D35A}"/>
    <cellStyle name="40% - Accent6 30_Working Capital Current" xfId="15646" xr:uid="{BF5864AE-014B-4269-B282-9F87F5CB4B17}"/>
    <cellStyle name="40% - Accent6 31" xfId="11841" xr:uid="{0CC6AB9B-22C9-4292-BC17-5AD859502F18}"/>
    <cellStyle name="40% - Accent6 31 2" xfId="11842" xr:uid="{887C6116-C43A-4D34-9BC7-5514D7B946D4}"/>
    <cellStyle name="40% - Accent6 31 2 2" xfId="11843" xr:uid="{6695049D-3276-4A1A-81B3-8311687B341B}"/>
    <cellStyle name="40% - Accent6 31 2_Working Capital Current" xfId="15647" xr:uid="{4DCA8481-545C-4186-BE95-84F45D6AC042}"/>
    <cellStyle name="40% - Accent6 31 3" xfId="11844" xr:uid="{E20651EA-C7DD-4C98-A03F-32A4E4BD34C5}"/>
    <cellStyle name="40% - Accent6 31 4" xfId="11845" xr:uid="{675BB058-A4DE-4E1D-9533-6ACF7A558A51}"/>
    <cellStyle name="40% - Accent6 31_Working Capital Current" xfId="15648" xr:uid="{E514EDAD-44EE-4B85-8D5D-E02B464C1191}"/>
    <cellStyle name="40% - Accent6 32" xfId="11846" xr:uid="{F96A55FA-9067-44F8-AC65-9354085F6D32}"/>
    <cellStyle name="40% - Accent6 32 2" xfId="11847" xr:uid="{DE1D6A2C-3563-4467-ABB3-31027986DA68}"/>
    <cellStyle name="40% - Accent6 32 2 2" xfId="11848" xr:uid="{54355094-79B5-4FA7-8E7C-3361E1378727}"/>
    <cellStyle name="40% - Accent6 32 2_Working Capital Current" xfId="15649" xr:uid="{D5A02945-3828-47DD-AB36-310D2590E35B}"/>
    <cellStyle name="40% - Accent6 32 3" xfId="11849" xr:uid="{9DC3B7BC-F9D9-4689-99E8-86D312B4F4E1}"/>
    <cellStyle name="40% - Accent6 32 4" xfId="11850" xr:uid="{79EB0D7B-DE15-4CD8-92CA-A0F4169F3467}"/>
    <cellStyle name="40% - Accent6 32_Working Capital Current" xfId="15650" xr:uid="{394F63DF-A747-4799-9DA9-5091AE1DB090}"/>
    <cellStyle name="40% - Accent6 33" xfId="11851" xr:uid="{032CA3F5-D24E-4F43-B279-6AECE0B49180}"/>
    <cellStyle name="40% - Accent6 33 2" xfId="11852" xr:uid="{34F96859-CB7F-49A5-8E68-97EE15FD00D1}"/>
    <cellStyle name="40% - Accent6 33 2 2" xfId="11853" xr:uid="{A6E12042-DCA2-45F7-AC31-C0A11E8DE8EB}"/>
    <cellStyle name="40% - Accent6 33 2_Working Capital Current" xfId="15651" xr:uid="{33290C1D-A037-408E-A2C0-8FDA6542C517}"/>
    <cellStyle name="40% - Accent6 33 3" xfId="11854" xr:uid="{1E9B45B6-9D32-4EB9-9664-22C23089E454}"/>
    <cellStyle name="40% - Accent6 33 4" xfId="11855" xr:uid="{5B17819A-353D-409B-BFE6-8CA6774B59CD}"/>
    <cellStyle name="40% - Accent6 33_Working Capital Current" xfId="15652" xr:uid="{E5DC8F54-ACA6-4B8D-B374-9E9B1910EE51}"/>
    <cellStyle name="40% - Accent6 34" xfId="11856" xr:uid="{3A59AE25-6278-4E31-8E92-D39C3737D901}"/>
    <cellStyle name="40% - Accent6 34 2" xfId="11857" xr:uid="{AAB7B7E3-6F63-496E-AB18-8A7662D6759A}"/>
    <cellStyle name="40% - Accent6 34 2 2" xfId="11858" xr:uid="{27F38504-4E1B-4B74-9DE1-1CD78A9850A6}"/>
    <cellStyle name="40% - Accent6 34 2_Working Capital Current" xfId="15653" xr:uid="{2BC49CB9-EE08-40FA-AA1E-55031C811955}"/>
    <cellStyle name="40% - Accent6 34 3" xfId="11859" xr:uid="{A7A809F2-8B50-45FD-AB4F-0974E33610F4}"/>
    <cellStyle name="40% - Accent6 34 4" xfId="11860" xr:uid="{DE68A779-E428-462C-A012-07835EB552F9}"/>
    <cellStyle name="40% - Accent6 34_Working Capital Current" xfId="15654" xr:uid="{4DA1DD3D-A3CB-4DFA-B00F-90B8E37E006F}"/>
    <cellStyle name="40% - Accent6 35" xfId="11861" xr:uid="{DA53AF53-E166-4B30-B2F6-E486A7C987A7}"/>
    <cellStyle name="40% - Accent6 35 2" xfId="11862" xr:uid="{FE027336-7E39-4C16-9A76-2F7941480E56}"/>
    <cellStyle name="40% - Accent6 35 2 2" xfId="11863" xr:uid="{3BB22BB9-1D16-4292-9D6D-930ACDC8D69A}"/>
    <cellStyle name="40% - Accent6 35 2_Working Capital Current" xfId="15655" xr:uid="{6C6DED9D-7E23-486A-B984-DA54223986A3}"/>
    <cellStyle name="40% - Accent6 35 3" xfId="11864" xr:uid="{59327C0E-29D7-47F4-B58A-D6DAE767064C}"/>
    <cellStyle name="40% - Accent6 35 4" xfId="11865" xr:uid="{83740BD8-C84D-4CE4-972D-FE05069212A7}"/>
    <cellStyle name="40% - Accent6 35_Working Capital Current" xfId="15656" xr:uid="{227B5A6A-4E8C-4D0D-94CB-E107D5DE3F90}"/>
    <cellStyle name="40% - Accent6 36" xfId="11866" xr:uid="{03A57DC3-497D-4453-8115-6EBF1316FD78}"/>
    <cellStyle name="40% - Accent6 36 2" xfId="11867" xr:uid="{279B3657-0F81-49EA-8EB3-C3FDD39F8952}"/>
    <cellStyle name="40% - Accent6 36 2 2" xfId="11868" xr:uid="{99DA46B2-8942-443C-80F7-F5ACEC84919B}"/>
    <cellStyle name="40% - Accent6 36 2_Working Capital Current" xfId="15657" xr:uid="{9D0CACFD-58BA-4D04-986D-7CAEE5A1CAA7}"/>
    <cellStyle name="40% - Accent6 36 3" xfId="11869" xr:uid="{5F98070B-00F7-40C1-B012-19834377B8B7}"/>
    <cellStyle name="40% - Accent6 36 4" xfId="11870" xr:uid="{45F93F46-1F22-4FAA-B8D6-E0D212063DCD}"/>
    <cellStyle name="40% - Accent6 36_Working Capital Current" xfId="15658" xr:uid="{38CFD963-F33F-417B-B621-C03A3EC1D55D}"/>
    <cellStyle name="40% - Accent6 37" xfId="11871" xr:uid="{908CF658-B3E8-4117-BDCF-166B0BDFE655}"/>
    <cellStyle name="40% - Accent6 37 2" xfId="11872" xr:uid="{8E58FAAF-C2EF-42E3-9BB4-027C3C427632}"/>
    <cellStyle name="40% - Accent6 37 2 2" xfId="11873" xr:uid="{0DAC2D52-65A3-4E4C-B0B9-3002B8B0BBB1}"/>
    <cellStyle name="40% - Accent6 37 2_Working Capital Current" xfId="15659" xr:uid="{63D8E359-2BA2-499E-905D-940510584CCA}"/>
    <cellStyle name="40% - Accent6 37 3" xfId="11874" xr:uid="{C5B05BAA-26FA-4C11-A964-873773DB8DD5}"/>
    <cellStyle name="40% - Accent6 37 4" xfId="11875" xr:uid="{661B1906-C20E-4A61-AA9D-D7D6F26EE5B2}"/>
    <cellStyle name="40% - Accent6 37_Working Capital Current" xfId="15660" xr:uid="{CA6D3B24-4FD5-417F-BD9E-42967203BEBD}"/>
    <cellStyle name="40% - Accent6 38" xfId="11876" xr:uid="{1ADE9080-DE94-4505-86AB-3AA111E32C16}"/>
    <cellStyle name="40% - Accent6 38 2" xfId="11877" xr:uid="{2E75A103-B5E3-44AB-805E-C2BFF65489F4}"/>
    <cellStyle name="40% - Accent6 38 2 2" xfId="11878" xr:uid="{437219A6-A75C-4587-8A30-98AE65A8A94D}"/>
    <cellStyle name="40% - Accent6 38 2_Working Capital Current" xfId="15661" xr:uid="{49CD4C91-897A-47FB-BB60-BFD517609A87}"/>
    <cellStyle name="40% - Accent6 38 3" xfId="11879" xr:uid="{F5ED0F9E-B88E-4C51-816C-0A8D53DA4556}"/>
    <cellStyle name="40% - Accent6 38 4" xfId="11880" xr:uid="{B0EC5CBB-88A7-49BA-A598-945371328D84}"/>
    <cellStyle name="40% - Accent6 38_Working Capital Current" xfId="15662" xr:uid="{8F9264FC-279C-40E5-9741-D3C0DFA7B42A}"/>
    <cellStyle name="40% - Accent6 39" xfId="11881" xr:uid="{759550CB-D1EC-4519-BF50-EC9C9BCFD242}"/>
    <cellStyle name="40% - Accent6 39 2" xfId="11882" xr:uid="{78F903D7-3250-451A-99AA-6D78CA06E2D2}"/>
    <cellStyle name="40% - Accent6 39 2 2" xfId="11883" xr:uid="{5D95A3C0-7DAA-4FEF-899E-506327525054}"/>
    <cellStyle name="40% - Accent6 39 2_Working Capital Current" xfId="15663" xr:uid="{2A316C9A-FA8E-4034-A656-65629B369CAB}"/>
    <cellStyle name="40% - Accent6 39 3" xfId="11884" xr:uid="{BBF13EEC-B8D7-4D0B-9212-FD7C630F13FA}"/>
    <cellStyle name="40% - Accent6 39 4" xfId="11885" xr:uid="{48085509-67C9-4CB9-B0B9-91B341CB4283}"/>
    <cellStyle name="40% - Accent6 39_Working Capital Current" xfId="15664" xr:uid="{910F2810-1A5B-4EB9-A1DD-323884DB4C97}"/>
    <cellStyle name="40% - Accent6 4" xfId="1881" xr:uid="{18841649-6655-465C-A2C7-AA0B9DA733B3}"/>
    <cellStyle name="40% - Accent6 4 2" xfId="11887" xr:uid="{411ADA25-AA8A-40CD-9AE1-4EE975EC8E08}"/>
    <cellStyle name="40% - Accent6 4 2 2" xfId="11888" xr:uid="{904AC308-643A-4063-9C44-4A79B57B3E56}"/>
    <cellStyle name="40% - Accent6 4 2 2 2" xfId="11889" xr:uid="{5E429521-4C4E-4E7A-A0F2-FEC89C74C525}"/>
    <cellStyle name="40% - Accent6 4 2 2_Working Capital Current" xfId="15665" xr:uid="{8AD22A16-6D4D-4D3F-B753-E91824A600B9}"/>
    <cellStyle name="40% - Accent6 4 2 3" xfId="11890" xr:uid="{E4359507-4C8A-43B3-9613-2B6E4E4489BB}"/>
    <cellStyle name="40% - Accent6 4 2 4" xfId="11891" xr:uid="{FC6199BC-313A-4F41-8BD9-B04766042DDC}"/>
    <cellStyle name="40% - Accent6 4 2_Working Capital Current" xfId="15666" xr:uid="{EDDF7965-8554-4A85-800F-11FDEF363479}"/>
    <cellStyle name="40% - Accent6 4 3" xfId="11892" xr:uid="{E8C4A1ED-2CEB-464E-AEBF-E0A1847D9995}"/>
    <cellStyle name="40% - Accent6 4 3 2" xfId="11893" xr:uid="{0D221122-36AB-4F1E-90A3-0BC20A594221}"/>
    <cellStyle name="40% - Accent6 4 3_Working Capital Current" xfId="15667" xr:uid="{5DCEDF43-4216-4180-A987-1ED682CC7D2C}"/>
    <cellStyle name="40% - Accent6 4 4" xfId="11894" xr:uid="{0AE8A849-2479-41B3-B6E6-9E529FF216D5}"/>
    <cellStyle name="40% - Accent6 4 5" xfId="11895" xr:uid="{35673ACF-9AD4-481F-A07B-AA34AA644FAC}"/>
    <cellStyle name="40% - Accent6 4 6" xfId="17615" xr:uid="{27C427AF-833F-4402-9D51-CD748BBEA6A7}"/>
    <cellStyle name="40% - Accent6 4 7" xfId="18184" xr:uid="{2941FF01-49A3-4EEF-85EE-C8B2B900D93C}"/>
    <cellStyle name="40% - Accent6 4 8" xfId="11886" xr:uid="{72D3F4F7-1C07-47D1-9148-3FE72EFCA073}"/>
    <cellStyle name="40% - Accent6 4_Not_for_upload_before_M4_correc" xfId="15668" xr:uid="{FE735DF6-909D-4498-9BD5-160B47412989}"/>
    <cellStyle name="40% - Accent6 40" xfId="11896" xr:uid="{F8829BE9-11E4-4F58-B9DC-37338D8FC879}"/>
    <cellStyle name="40% - Accent6 40 2" xfId="11897" xr:uid="{F5F23F16-5C27-4401-B1EB-7D300BD28DAD}"/>
    <cellStyle name="40% - Accent6 40 2 2" xfId="11898" xr:uid="{172ACEDF-8AC0-4AFC-AA1A-3ADE73FDE07B}"/>
    <cellStyle name="40% - Accent6 40 2_Working Capital Current" xfId="15669" xr:uid="{19313C99-62A6-4A44-A183-F21784157953}"/>
    <cellStyle name="40% - Accent6 40 3" xfId="11899" xr:uid="{3B516AC4-FF72-434F-90B6-ADC4E85F1DAF}"/>
    <cellStyle name="40% - Accent6 40 4" xfId="11900" xr:uid="{BB1BF8BE-8B05-4757-98AF-E5640C26EB7F}"/>
    <cellStyle name="40% - Accent6 40_Working Capital Current" xfId="15670" xr:uid="{62385518-4C28-4894-9FD0-B7177C0AC50A}"/>
    <cellStyle name="40% - Accent6 41" xfId="11901" xr:uid="{E59A5CE2-A382-4699-B7ED-9DDD2B31344B}"/>
    <cellStyle name="40% - Accent6 41 2" xfId="11902" xr:uid="{161A09AD-0A01-43C8-8C03-8A58962FA21E}"/>
    <cellStyle name="40% - Accent6 41 2 2" xfId="11903" xr:uid="{3C595D72-7D04-45F1-A4D5-89389CE4DDBF}"/>
    <cellStyle name="40% - Accent6 41 2_Working Capital Current" xfId="15671" xr:uid="{7AD7D38D-499D-4809-B8B3-695E9F6E838D}"/>
    <cellStyle name="40% - Accent6 41 3" xfId="11904" xr:uid="{9954076F-B4C9-48A2-9444-91606379B5E4}"/>
    <cellStyle name="40% - Accent6 41 4" xfId="11905" xr:uid="{A6200002-DF97-440B-BD38-F1721C546D09}"/>
    <cellStyle name="40% - Accent6 41_Working Capital Current" xfId="15672" xr:uid="{D3CBD8B4-8C1F-4990-9E9D-F48F5BF8B38B}"/>
    <cellStyle name="40% - Accent6 42" xfId="11906" xr:uid="{C237155D-6FF7-480B-8723-FADB776B884C}"/>
    <cellStyle name="40% - Accent6 42 2" xfId="11907" xr:uid="{C3F80DED-A6EF-4BA7-A77B-C3ED29335D19}"/>
    <cellStyle name="40% - Accent6 42 2 2" xfId="11908" xr:uid="{A6076C91-90C3-4EB2-8E47-0E3309ECA9B2}"/>
    <cellStyle name="40% - Accent6 42 2_Working Capital Current" xfId="15673" xr:uid="{779FE912-0696-4BE9-B85B-5D61B7E9FC65}"/>
    <cellStyle name="40% - Accent6 42 3" xfId="11909" xr:uid="{FAC78E0B-7719-4ADA-881D-87088DF4252F}"/>
    <cellStyle name="40% - Accent6 42 4" xfId="11910" xr:uid="{06E73D4D-B053-4AAC-813F-7333BCCF1F31}"/>
    <cellStyle name="40% - Accent6 42_Working Capital Current" xfId="15674" xr:uid="{C0FDC7D6-7D78-425E-8861-1FC9B1ABE529}"/>
    <cellStyle name="40% - Accent6 43" xfId="11911" xr:uid="{71F051DD-C8F8-40FC-A8BD-7343EB650657}"/>
    <cellStyle name="40% - Accent6 43 2" xfId="11912" xr:uid="{754AB823-A603-4692-8B9D-1EDC5127507B}"/>
    <cellStyle name="40% - Accent6 43 2 2" xfId="11913" xr:uid="{93240F9D-4222-41BC-9154-68BB5BD1E209}"/>
    <cellStyle name="40% - Accent6 43 2_Working Capital Current" xfId="15675" xr:uid="{DC9B5920-469C-492B-B319-E81967F0D522}"/>
    <cellStyle name="40% - Accent6 43 3" xfId="11914" xr:uid="{AFE6E939-33B6-48DD-A0E7-152C48F4DAD2}"/>
    <cellStyle name="40% - Accent6 43 4" xfId="11915" xr:uid="{3465395E-3224-4C4B-A68B-1D440FAF09A5}"/>
    <cellStyle name="40% - Accent6 43_Working Capital Current" xfId="15676" xr:uid="{77AB6A8D-7A42-4225-B763-C703F5696B4D}"/>
    <cellStyle name="40% - Accent6 44" xfId="11916" xr:uid="{5753844F-FD28-4C12-9D62-9A735C7938E5}"/>
    <cellStyle name="40% - Accent6 44 2" xfId="11917" xr:uid="{8524FC5E-0CA9-48C1-B636-F44586F28BF6}"/>
    <cellStyle name="40% - Accent6 44 2 2" xfId="11918" xr:uid="{A310E686-1471-45B0-8BE6-C1C70C6C04BF}"/>
    <cellStyle name="40% - Accent6 44 2_Working Capital Current" xfId="15677" xr:uid="{ED53A8FA-D459-4EA5-9464-DCF4CB52EE02}"/>
    <cellStyle name="40% - Accent6 44 3" xfId="11919" xr:uid="{CEBFA171-18A2-4B2C-9C2A-316135292C59}"/>
    <cellStyle name="40% - Accent6 44 4" xfId="11920" xr:uid="{3866AFFC-FB0C-4C06-A728-BD87D5DAFC69}"/>
    <cellStyle name="40% - Accent6 44_Working Capital Current" xfId="15678" xr:uid="{4E779938-BF85-44DD-9366-1E73B6516C5F}"/>
    <cellStyle name="40% - Accent6 45" xfId="11921" xr:uid="{4FB8C36F-CD92-49DF-A856-8195AE52A00D}"/>
    <cellStyle name="40% - Accent6 45 2" xfId="11922" xr:uid="{093A0589-D6D3-4196-8476-B56118E24118}"/>
    <cellStyle name="40% - Accent6 45 2 2" xfId="11923" xr:uid="{0348F1A1-EECA-4C76-84EC-9A57050864D0}"/>
    <cellStyle name="40% - Accent6 45 2_Working Capital Current" xfId="15679" xr:uid="{1C43C27A-5FA5-4A11-B618-F7BF78AB2C30}"/>
    <cellStyle name="40% - Accent6 45 3" xfId="11924" xr:uid="{49ACB0E8-52D9-4E52-89DF-DBC13F62DFA3}"/>
    <cellStyle name="40% - Accent6 45 4" xfId="11925" xr:uid="{BCDF1B78-925C-409C-B49D-C9583077A205}"/>
    <cellStyle name="40% - Accent6 45_Working Capital Current" xfId="15680" xr:uid="{7F727F10-4F83-4D6E-A1BB-66A0CF5CE1EA}"/>
    <cellStyle name="40% - Accent6 46" xfId="11926" xr:uid="{000ACC7A-A5D8-4F2B-BE55-608327BF116B}"/>
    <cellStyle name="40% - Accent6 46 2" xfId="11927" xr:uid="{EF6D1947-1A8D-415A-A8E9-6A5814D4E680}"/>
    <cellStyle name="40% - Accent6 46 2 2" xfId="11928" xr:uid="{DD6A7EAA-AA60-449E-AD0B-E11DCB231B52}"/>
    <cellStyle name="40% - Accent6 46 2_Working Capital Current" xfId="15681" xr:uid="{C570182A-6BE8-425D-ACAA-CCF379DBD70B}"/>
    <cellStyle name="40% - Accent6 46 3" xfId="11929" xr:uid="{768E04B6-A18F-4965-8B19-9F4BF2D9612E}"/>
    <cellStyle name="40% - Accent6 46 4" xfId="11930" xr:uid="{4228343A-2922-4C83-A22D-74E34B9A4E86}"/>
    <cellStyle name="40% - Accent6 46_Working Capital Current" xfId="15682" xr:uid="{E36BBC3F-56CB-4EB9-BB32-7BF87E07AED8}"/>
    <cellStyle name="40% - Accent6 47" xfId="11931" xr:uid="{23283998-6256-4ADB-A2CD-E5278A0DF64C}"/>
    <cellStyle name="40% - Accent6 47 2" xfId="11932" xr:uid="{CE5B30F9-E6C7-4CB5-8483-70360BF813C3}"/>
    <cellStyle name="40% - Accent6 47 2 2" xfId="11933" xr:uid="{523E4AE4-1095-4335-B6FE-7BF749983272}"/>
    <cellStyle name="40% - Accent6 47 2_Working Capital Current" xfId="15683" xr:uid="{D440AF58-3CAE-4F60-A7C0-E57DCCF69BD9}"/>
    <cellStyle name="40% - Accent6 47 3" xfId="11934" xr:uid="{E7BAB6E6-FF87-4374-9DD0-28CC535AE4B9}"/>
    <cellStyle name="40% - Accent6 47 4" xfId="11935" xr:uid="{9D6CC2A5-210A-481D-9430-E850BF039D80}"/>
    <cellStyle name="40% - Accent6 47_Working Capital Current" xfId="15684" xr:uid="{F9BDF7E8-2244-4D7A-908D-AB60C953B0AE}"/>
    <cellStyle name="40% - Accent6 48" xfId="11936" xr:uid="{D7C11EB9-F77E-4702-889A-ED01ECAAB829}"/>
    <cellStyle name="40% - Accent6 48 2" xfId="11937" xr:uid="{B9773026-11C3-43EB-99E8-6B1DA2F5E254}"/>
    <cellStyle name="40% - Accent6 48 2 2" xfId="11938" xr:uid="{BBC47EAB-2B6C-4383-AA59-D8BFADB8363A}"/>
    <cellStyle name="40% - Accent6 48 2_Working Capital Current" xfId="15685" xr:uid="{267A082D-2BD2-4D92-BC44-2B515E926133}"/>
    <cellStyle name="40% - Accent6 48 3" xfId="11939" xr:uid="{68889FE0-A05C-49B1-B9DF-880DBC07C1CA}"/>
    <cellStyle name="40% - Accent6 48 4" xfId="11940" xr:uid="{801E9DAF-3D49-425C-9967-41BF672190D8}"/>
    <cellStyle name="40% - Accent6 48_Working Capital Current" xfId="15686" xr:uid="{336A1AA8-BBBE-4243-83D7-63B8866AE2BA}"/>
    <cellStyle name="40% - Accent6 49" xfId="11941" xr:uid="{1558C960-F051-4C23-9971-DC01CCCE39F4}"/>
    <cellStyle name="40% - Accent6 49 2" xfId="11942" xr:uid="{D016DC9A-7006-4912-89A5-BA775C272CB2}"/>
    <cellStyle name="40% - Accent6 49 2 2" xfId="11943" xr:uid="{C63CD3E0-2D97-4C9F-BC14-2F7A5FB814CE}"/>
    <cellStyle name="40% - Accent6 49 2_Working Capital Current" xfId="15687" xr:uid="{643A2EE2-1081-4137-86E5-C991E2A42E4B}"/>
    <cellStyle name="40% - Accent6 49 3" xfId="11944" xr:uid="{059BF149-896E-4303-9A46-87D1868F7967}"/>
    <cellStyle name="40% - Accent6 49 4" xfId="11945" xr:uid="{095EE63B-6C61-4DA1-B5B5-AEC5DCA38DF5}"/>
    <cellStyle name="40% - Accent6 49_Working Capital Current" xfId="15688" xr:uid="{9C19DCAA-2E78-4351-BACA-FAE03FC8C23B}"/>
    <cellStyle name="40% - Accent6 5" xfId="11946" xr:uid="{1A8A2136-207C-4723-AABF-4C1C2E002E0C}"/>
    <cellStyle name="40% - Accent6 5 2" xfId="11947" xr:uid="{97CC8E6F-2867-48EF-8737-B34268BD409A}"/>
    <cellStyle name="40% - Accent6 5 2 2" xfId="11948" xr:uid="{AA5CE791-2074-4EB9-9606-C3BAED21A792}"/>
    <cellStyle name="40% - Accent6 5 2 2 2" xfId="11949" xr:uid="{EFBE9B7C-7294-48E4-8FF4-018B1B1A171E}"/>
    <cellStyle name="40% - Accent6 5 2 2_Working Capital Current" xfId="15689" xr:uid="{B13E4297-1A66-475E-899F-A162C735869A}"/>
    <cellStyle name="40% - Accent6 5 2 3" xfId="11950" xr:uid="{A7B19C29-659B-4388-8232-F368C321F8CD}"/>
    <cellStyle name="40% - Accent6 5 2 4" xfId="11951" xr:uid="{2CA422BB-CE59-4793-9357-47A23EC06196}"/>
    <cellStyle name="40% - Accent6 5 2_Working Capital Current" xfId="15690" xr:uid="{5E9C88DF-C6BB-4863-8802-4677332367BE}"/>
    <cellStyle name="40% - Accent6 5 3" xfId="11952" xr:uid="{A7590D87-0FF1-4B76-B02A-FBD804DB1FF2}"/>
    <cellStyle name="40% - Accent6 5 3 2" xfId="11953" xr:uid="{4F4248EC-621F-4489-9E4C-BEC88780BCB5}"/>
    <cellStyle name="40% - Accent6 5 3_Working Capital Current" xfId="15691" xr:uid="{5CCF8856-C2FA-4D13-A29B-652BF1861F2A}"/>
    <cellStyle name="40% - Accent6 5 4" xfId="11954" xr:uid="{0B6732C1-3FCC-493F-9E1F-D4FDE190E9F0}"/>
    <cellStyle name="40% - Accent6 5 5" xfId="11955" xr:uid="{2550D859-ACFD-4BC6-8E99-A418B28E8746}"/>
    <cellStyle name="40% - Accent6 5_Not_for_upload_before_M4_correc" xfId="15692" xr:uid="{5BE8CC24-FAE8-4D75-AE72-C070EEDC9857}"/>
    <cellStyle name="40% - Accent6 50" xfId="11956" xr:uid="{B5E0D972-7212-4A9D-8D70-653AF819B95D}"/>
    <cellStyle name="40% - Accent6 50 2" xfId="11957" xr:uid="{5D0853DD-5430-49A1-9408-3DB03164ED2C}"/>
    <cellStyle name="40% - Accent6 50 2 2" xfId="11958" xr:uid="{843E9063-7C36-43EE-A89B-ACF5114E754D}"/>
    <cellStyle name="40% - Accent6 50 2_Working Capital Current" xfId="15693" xr:uid="{CB4F467B-A152-4E90-B99C-D0EF9490FFFB}"/>
    <cellStyle name="40% - Accent6 50 3" xfId="11959" xr:uid="{15879614-1CA1-46D0-8335-33DC482F3271}"/>
    <cellStyle name="40% - Accent6 50 4" xfId="11960" xr:uid="{BF0031C0-A404-4927-8443-4E8493404FC0}"/>
    <cellStyle name="40% - Accent6 50_Working Capital Current" xfId="15694" xr:uid="{2DDCACE1-5B08-4148-947D-AC17DBF5FAFF}"/>
    <cellStyle name="40% - Accent6 51" xfId="11961" xr:uid="{34B04BFB-139F-4783-AC07-A45B3545CFB8}"/>
    <cellStyle name="40% - Accent6 51 2" xfId="11962" xr:uid="{9597FE83-E7E8-40EC-B3B7-1701F677ACB1}"/>
    <cellStyle name="40% - Accent6 51 2 2" xfId="11963" xr:uid="{5D53A7AC-0557-40DF-9057-4944A7EE67BF}"/>
    <cellStyle name="40% - Accent6 51 2_Working Capital Current" xfId="15695" xr:uid="{6B6287C0-9F75-4495-833A-A74A11D537E0}"/>
    <cellStyle name="40% - Accent6 51 3" xfId="11964" xr:uid="{239E4936-F858-4B86-BE8C-E69267CC8DC5}"/>
    <cellStyle name="40% - Accent6 51 4" xfId="11965" xr:uid="{191685B7-1752-4D59-A055-C5524259377D}"/>
    <cellStyle name="40% - Accent6 51_Working Capital Current" xfId="15696" xr:uid="{E50E7796-2FDD-4DFE-8839-C056EAF7A24A}"/>
    <cellStyle name="40% - Accent6 52" xfId="11966" xr:uid="{BFC17B52-01C6-4816-9CB6-2A350A19B48D}"/>
    <cellStyle name="40% - Accent6 52 2" xfId="11967" xr:uid="{15FD72EF-AF2C-4F4F-B3B5-AC92CF1862FD}"/>
    <cellStyle name="40% - Accent6 52 2 2" xfId="11968" xr:uid="{61F75F1E-53A1-496A-BC6E-38562B2845AF}"/>
    <cellStyle name="40% - Accent6 52 2_Working Capital Current" xfId="15697" xr:uid="{30C147D6-63C8-487A-BAF3-A554140966CD}"/>
    <cellStyle name="40% - Accent6 52 3" xfId="11969" xr:uid="{FF14312D-B4B5-4BFB-A8D4-827E4F095C68}"/>
    <cellStyle name="40% - Accent6 52 4" xfId="11970" xr:uid="{CE419FED-2771-42EE-A008-D65DADBE88F7}"/>
    <cellStyle name="40% - Accent6 52_Working Capital Current" xfId="15698" xr:uid="{2C4BE6D3-1432-46C3-836A-85D692DE0712}"/>
    <cellStyle name="40% - Accent6 53" xfId="11971" xr:uid="{8C33174C-7F1F-4356-9EE9-CFE7F5E17A6D}"/>
    <cellStyle name="40% - Accent6 53 2" xfId="11972" xr:uid="{09C72753-9C50-4F4F-9B85-0414B6854625}"/>
    <cellStyle name="40% - Accent6 53 2 2" xfId="11973" xr:uid="{D94FFDC8-0936-4EE5-9EE4-280D4D414001}"/>
    <cellStyle name="40% - Accent6 53 2_Working Capital Current" xfId="15699" xr:uid="{30707C73-20EB-43FC-AEF8-7C3D9CEAE2F3}"/>
    <cellStyle name="40% - Accent6 53 3" xfId="11974" xr:uid="{EAD12474-396C-4A2C-A7CF-9F08B2611D10}"/>
    <cellStyle name="40% - Accent6 53 4" xfId="11975" xr:uid="{C759E90C-0178-48BA-B864-3E98CF6F4A47}"/>
    <cellStyle name="40% - Accent6 53_Working Capital Current" xfId="15700" xr:uid="{D6C485A0-C21F-4813-8A1C-C5E7F4A926F2}"/>
    <cellStyle name="40% - Accent6 54" xfId="11976" xr:uid="{E37BBEAD-42E6-4212-BA10-0FDEC61828D9}"/>
    <cellStyle name="40% - Accent6 54 2" xfId="11977" xr:uid="{E1ECBE61-8C76-4465-BD94-A1A84D6929EF}"/>
    <cellStyle name="40% - Accent6 54 2 2" xfId="11978" xr:uid="{75361347-683E-4C7E-B98C-78E8A2ECA244}"/>
    <cellStyle name="40% - Accent6 54 2_Working Capital Current" xfId="15701" xr:uid="{76CBE544-5721-4DEA-945E-C4C7CABAE6B1}"/>
    <cellStyle name="40% - Accent6 54 3" xfId="11979" xr:uid="{C7DEC6A9-DABC-480A-BE25-72F5F4E80CCF}"/>
    <cellStyle name="40% - Accent6 54 4" xfId="11980" xr:uid="{E3014390-6814-40C9-9860-DE109CE75E5C}"/>
    <cellStyle name="40% - Accent6 54_Working Capital Current" xfId="15702" xr:uid="{6FFA3D50-8F9D-4795-BA00-5C831D71724A}"/>
    <cellStyle name="40% - Accent6 55" xfId="11981" xr:uid="{CC0A84ED-FBA8-4A7C-BAD8-496814D3934E}"/>
    <cellStyle name="40% - Accent6 55 2" xfId="11982" xr:uid="{8B8C0B8F-706C-4140-AB1B-E5BF1C179339}"/>
    <cellStyle name="40% - Accent6 55 2 2" xfId="11983" xr:uid="{C25A005C-C036-4FE0-99F3-C0E677333A3A}"/>
    <cellStyle name="40% - Accent6 55 2_Working Capital Current" xfId="15703" xr:uid="{E9F47E93-9112-4594-A745-A2FB2AA2DB8A}"/>
    <cellStyle name="40% - Accent6 55 3" xfId="11984" xr:uid="{92ECC4BD-8DD0-4F08-B938-9EE40AAB92E5}"/>
    <cellStyle name="40% - Accent6 55 4" xfId="11985" xr:uid="{400C6BE4-7195-4323-B9E1-BD419BEB7B44}"/>
    <cellStyle name="40% - Accent6 55_Working Capital Current" xfId="15704" xr:uid="{B8ABDAB9-8D6A-4A96-9FCE-8A4151C7F7C4}"/>
    <cellStyle name="40% - Accent6 56" xfId="11986" xr:uid="{48306C45-AFB3-4B75-B197-19F01A88B663}"/>
    <cellStyle name="40% - Accent6 56 2" xfId="11987" xr:uid="{E43E832B-8746-4920-B80D-E0F9281421BA}"/>
    <cellStyle name="40% - Accent6 56 2 2" xfId="11988" xr:uid="{04F60FCE-3EA6-4833-90F8-6A53065A35B0}"/>
    <cellStyle name="40% - Accent6 56 2_Working Capital Current" xfId="15705" xr:uid="{F5421BC4-5CF7-4127-A2AB-78F2D6A6D562}"/>
    <cellStyle name="40% - Accent6 56 3" xfId="11989" xr:uid="{8BDC0735-2539-4696-B521-94AD4C2466E6}"/>
    <cellStyle name="40% - Accent6 56 4" xfId="11990" xr:uid="{A3D6F78C-0CDD-4F10-ABE7-535EA0201B69}"/>
    <cellStyle name="40% - Accent6 56_Working Capital Current" xfId="15706" xr:uid="{47BD14F9-7EC4-40D8-9D3A-4E39C7B2537F}"/>
    <cellStyle name="40% - Accent6 57" xfId="11991" xr:uid="{C3985EDE-5709-4931-8C67-272F06C9705C}"/>
    <cellStyle name="40% - Accent6 57 2" xfId="11992" xr:uid="{36D265A9-B743-4CCB-88A3-E197D50DC013}"/>
    <cellStyle name="40% - Accent6 57 2 2" xfId="11993" xr:uid="{98132F07-466E-424C-8074-0F210EE47A2A}"/>
    <cellStyle name="40% - Accent6 57 2_Working Capital Current" xfId="15707" xr:uid="{B8FD84B0-3759-4A62-9482-8A0C7A2C3C51}"/>
    <cellStyle name="40% - Accent6 57 3" xfId="11994" xr:uid="{3DFC200F-DC1B-4756-BCAD-9EEAAE4D4CFE}"/>
    <cellStyle name="40% - Accent6 57 4" xfId="11995" xr:uid="{F2EED58B-3697-4F55-A10B-2D5C92B9DE09}"/>
    <cellStyle name="40% - Accent6 57_Working Capital Current" xfId="15708" xr:uid="{1468D701-57C7-44DA-852C-3A4E9BB6FD72}"/>
    <cellStyle name="40% - Accent6 58" xfId="11996" xr:uid="{F79F7DF7-A8E7-4532-B553-68E5A7DB0A81}"/>
    <cellStyle name="40% - Accent6 58 2" xfId="11997" xr:uid="{6F36AFBF-3814-4DDC-ADA6-AB1336D30346}"/>
    <cellStyle name="40% - Accent6 58 2 2" xfId="11998" xr:uid="{96A205C0-DE48-4E61-AAEB-446556D37FD3}"/>
    <cellStyle name="40% - Accent6 58 2_Working Capital Current" xfId="15709" xr:uid="{FA16DA7E-C267-40A0-8EDA-FD461E4999CF}"/>
    <cellStyle name="40% - Accent6 58 3" xfId="11999" xr:uid="{9372947D-EB4E-42FD-B1AC-A935A47809C0}"/>
    <cellStyle name="40% - Accent6 58 4" xfId="12000" xr:uid="{9260A9D9-C79B-437A-9711-476473482D31}"/>
    <cellStyle name="40% - Accent6 58_Working Capital Current" xfId="15710" xr:uid="{1A966041-9F4C-420C-9069-58AD84310CDC}"/>
    <cellStyle name="40% - Accent6 59" xfId="12001" xr:uid="{BB5071B9-04E1-443D-8152-703BBDC4018B}"/>
    <cellStyle name="40% - Accent6 59 2" xfId="12002" xr:uid="{70208435-00AE-42DA-BD39-75A5392304C8}"/>
    <cellStyle name="40% - Accent6 59 2 2" xfId="12003" xr:uid="{D64DFD2D-DEE1-49A2-B502-DD9A2B6B5EAB}"/>
    <cellStyle name="40% - Accent6 59 2_Working Capital Current" xfId="15711" xr:uid="{290C45C6-CC22-4BC3-8B87-091575589E6F}"/>
    <cellStyle name="40% - Accent6 59 3" xfId="12004" xr:uid="{49A1E54C-E4CF-4D10-9A14-8EEBA20D4297}"/>
    <cellStyle name="40% - Accent6 59 4" xfId="12005" xr:uid="{A26BE133-21F0-4476-94F5-F636FBD7823C}"/>
    <cellStyle name="40% - Accent6 59_Working Capital Current" xfId="15712" xr:uid="{34F6C6AA-110D-4A3E-B419-FD537B799C8E}"/>
    <cellStyle name="40% - Accent6 6" xfId="12006" xr:uid="{45CD7D4F-564D-44E0-86BB-092631BBB146}"/>
    <cellStyle name="40% - Accent6 6 2" xfId="12007" xr:uid="{26E82575-C9BF-4636-B1DA-CC3861B45355}"/>
    <cellStyle name="40% - Accent6 6 2 2" xfId="12008" xr:uid="{1754D05A-0F64-447F-8BEB-A3255528BA1F}"/>
    <cellStyle name="40% - Accent6 6 2 2 2" xfId="12009" xr:uid="{46D7ACA2-3FDC-41FE-98B5-5B081D4B9257}"/>
    <cellStyle name="40% - Accent6 6 2 2_Working Capital Current" xfId="15713" xr:uid="{C84DB3CA-F3DE-4DF2-B48E-8804D2485394}"/>
    <cellStyle name="40% - Accent6 6 2 3" xfId="12010" xr:uid="{BD8157C7-4870-4C08-AEF1-32B1907D1B0D}"/>
    <cellStyle name="40% - Accent6 6 2 4" xfId="12011" xr:uid="{5D248654-661D-4045-98AD-F85E8071053E}"/>
    <cellStyle name="40% - Accent6 6 2_Working Capital Current" xfId="15714" xr:uid="{705FFF69-DFBF-44C4-B470-73D5A6115AE0}"/>
    <cellStyle name="40% - Accent6 6 3" xfId="12012" xr:uid="{506C2860-79F3-4D34-9BE2-17C40A29B399}"/>
    <cellStyle name="40% - Accent6 6 3 2" xfId="12013" xr:uid="{250FDE2F-E57D-4B7C-9C65-5B0903560665}"/>
    <cellStyle name="40% - Accent6 6 3_Working Capital Current" xfId="15715" xr:uid="{49FBE68A-EAD6-4789-8BB0-B3E8611540DA}"/>
    <cellStyle name="40% - Accent6 6 4" xfId="12014" xr:uid="{D2970B79-D44D-4F8A-A985-38DC65FF6D17}"/>
    <cellStyle name="40% - Accent6 6 5" xfId="12015" xr:uid="{149051CB-8498-42F9-BD7E-8DBD22BAE917}"/>
    <cellStyle name="40% - Accent6 6_Not_for_upload_before_M4_correc" xfId="15716" xr:uid="{011DD3E6-212F-4215-9477-F0096148367D}"/>
    <cellStyle name="40% - Accent6 60" xfId="12016" xr:uid="{D99B5A2C-3D23-4070-AD67-5531B86EFFF0}"/>
    <cellStyle name="40% - Accent6 60 2" xfId="12017" xr:uid="{A722C1C6-5F1C-4017-9F31-7E37F6881C89}"/>
    <cellStyle name="40% - Accent6 60 2 2" xfId="12018" xr:uid="{D03E02FC-8708-4BE0-B705-34B34A8E9AD5}"/>
    <cellStyle name="40% - Accent6 60 2_Working Capital Current" xfId="15717" xr:uid="{766919AA-532E-4846-9F9F-FCB5E6981A3C}"/>
    <cellStyle name="40% - Accent6 60 3" xfId="12019" xr:uid="{45F9B313-F806-4EFB-8A48-238CDC369A01}"/>
    <cellStyle name="40% - Accent6 60 4" xfId="12020" xr:uid="{C09CC0EA-949F-4CF6-96F4-E0666A8C8B4F}"/>
    <cellStyle name="40% - Accent6 60_Working Capital Current" xfId="15718" xr:uid="{DC8C93CC-CCD0-46BB-8A97-C6691F4F8BA2}"/>
    <cellStyle name="40% - Accent6 61" xfId="12021" xr:uid="{052F6436-B1F6-4895-B943-4E8C8C094389}"/>
    <cellStyle name="40% - Accent6 61 2" xfId="12022" xr:uid="{267D03E1-DE7B-440B-99EE-A55B166EE213}"/>
    <cellStyle name="40% - Accent6 61 2 2" xfId="12023" xr:uid="{49A31AB7-4B92-4E32-B407-FF66D19F38A2}"/>
    <cellStyle name="40% - Accent6 61 2_Working Capital Current" xfId="15719" xr:uid="{7A907F49-468F-4CFF-A7A1-02DE79FAD3AA}"/>
    <cellStyle name="40% - Accent6 61 3" xfId="12024" xr:uid="{3FA00BF6-E7AC-4451-B702-4A87D44A722B}"/>
    <cellStyle name="40% - Accent6 61 4" xfId="12025" xr:uid="{6C4C310C-AEE1-4D1C-AB8E-76491A2BE3E0}"/>
    <cellStyle name="40% - Accent6 61_Working Capital Current" xfId="15720" xr:uid="{5D770FFB-8FD4-43A1-BC72-4CCFED127D6C}"/>
    <cellStyle name="40% - Accent6 62" xfId="12026" xr:uid="{5DF7E53A-59DD-4E39-8F4D-D135E1B338D9}"/>
    <cellStyle name="40% - Accent6 62 2" xfId="12027" xr:uid="{982B1B36-F128-41E4-885C-9096C5682DF0}"/>
    <cellStyle name="40% - Accent6 62 2 2" xfId="12028" xr:uid="{ADDF9617-4533-418C-8458-8E78B19D4BFC}"/>
    <cellStyle name="40% - Accent6 62 2_Working Capital Current" xfId="15721" xr:uid="{E5697ED6-73B9-4237-82DF-BF4644356F53}"/>
    <cellStyle name="40% - Accent6 62 3" xfId="12029" xr:uid="{C06D604F-6157-4381-8404-79D10E0D3A73}"/>
    <cellStyle name="40% - Accent6 62 4" xfId="12030" xr:uid="{090686EB-0349-44AD-9B2A-182441B1623B}"/>
    <cellStyle name="40% - Accent6 62_Working Capital Current" xfId="15722" xr:uid="{087CE1FA-81F6-4C85-8C3A-06109260E4E2}"/>
    <cellStyle name="40% - Accent6 63" xfId="12031" xr:uid="{98A8810B-8CB9-4C33-8BCE-10D23F7C517B}"/>
    <cellStyle name="40% - Accent6 63 2" xfId="12032" xr:uid="{7B6002AF-A22F-4335-B2AC-D369B477091D}"/>
    <cellStyle name="40% - Accent6 63 2 2" xfId="12033" xr:uid="{45CAAA65-E63F-448D-B124-0F9812EDD9E7}"/>
    <cellStyle name="40% - Accent6 63 2_Working Capital Current" xfId="15723" xr:uid="{614E4AA5-200F-4C27-9303-B1D6343B4BC8}"/>
    <cellStyle name="40% - Accent6 63 3" xfId="12034" xr:uid="{A7E9AA9E-0F5E-42B0-A81B-183934648F5C}"/>
    <cellStyle name="40% - Accent6 63 4" xfId="12035" xr:uid="{616C60D0-C340-4AD7-A45A-D12ED9100215}"/>
    <cellStyle name="40% - Accent6 63_Working Capital Current" xfId="15724" xr:uid="{E2440AC3-AAED-4822-8BBE-8BD3E603A0ED}"/>
    <cellStyle name="40% - Accent6 64" xfId="12036" xr:uid="{C1CB4C79-BAE5-48CD-B824-3E3067A522E6}"/>
    <cellStyle name="40% - Accent6 64 2" xfId="12037" xr:uid="{DF259A15-EADC-4628-AA4D-2BED6A6F5321}"/>
    <cellStyle name="40% - Accent6 64 2 2" xfId="12038" xr:uid="{B65A143F-0CF3-4CA4-B226-D83A47B6FDFA}"/>
    <cellStyle name="40% - Accent6 64 2_Working Capital Current" xfId="15725" xr:uid="{BCE51709-0EB4-4E94-AAAA-D9D71FF2A4F4}"/>
    <cellStyle name="40% - Accent6 64 3" xfId="12039" xr:uid="{EFECD355-31A6-45F6-AAA4-336732FFD65A}"/>
    <cellStyle name="40% - Accent6 64 4" xfId="12040" xr:uid="{47C34F27-89FB-4448-9D16-0EB494464584}"/>
    <cellStyle name="40% - Accent6 64_Working Capital Current" xfId="15726" xr:uid="{43F5F16F-F479-4F6C-92DB-58D17E67618D}"/>
    <cellStyle name="40% - Accent6 65" xfId="12041" xr:uid="{E57AC1D8-340B-40B9-9195-88A289439245}"/>
    <cellStyle name="40% - Accent6 65 2" xfId="12042" xr:uid="{DF7653B0-6CE5-4DD9-A084-3C289ECE9CC1}"/>
    <cellStyle name="40% - Accent6 65 2 2" xfId="12043" xr:uid="{DE396CB0-B607-41C0-B6D4-4088326BD875}"/>
    <cellStyle name="40% - Accent6 65 2_Working Capital Current" xfId="15727" xr:uid="{13AC877F-D9F8-4726-BF4F-12C9583763E0}"/>
    <cellStyle name="40% - Accent6 65 3" xfId="12044" xr:uid="{151C0200-B0D1-4482-8E40-4A9D416F70A5}"/>
    <cellStyle name="40% - Accent6 65 4" xfId="12045" xr:uid="{5ED6F10C-5E62-459A-9133-D42C902A0515}"/>
    <cellStyle name="40% - Accent6 65_Working Capital Current" xfId="15728" xr:uid="{F813EE02-6C1D-4B03-8436-8291B1E43FF7}"/>
    <cellStyle name="40% - Accent6 66" xfId="12046" xr:uid="{AC119C74-A925-4021-9CD9-9E2AC811E76D}"/>
    <cellStyle name="40% - Accent6 66 2" xfId="12047" xr:uid="{1F673D25-8B54-40BF-A042-12732CD80440}"/>
    <cellStyle name="40% - Accent6 66 2 2" xfId="12048" xr:uid="{8939CC33-6F2D-429B-81C2-4A2E3DA2F3D7}"/>
    <cellStyle name="40% - Accent6 66 2_Working Capital Current" xfId="15729" xr:uid="{FD1AAA04-085E-4B4E-AEA1-AC195AC3F9FF}"/>
    <cellStyle name="40% - Accent6 66 3" xfId="12049" xr:uid="{ED4A4B39-60BC-4AFE-82A5-F5D3779C96AA}"/>
    <cellStyle name="40% - Accent6 66 4" xfId="12050" xr:uid="{FD3CED69-6272-4D29-B9F8-DEDCD0A25313}"/>
    <cellStyle name="40% - Accent6 66_Working Capital Current" xfId="15730" xr:uid="{69B50BC9-D658-4502-8618-E1CD4D261E5A}"/>
    <cellStyle name="40% - Accent6 67" xfId="12051" xr:uid="{C983E2C1-CB90-4812-AC05-BD3AD97D24C0}"/>
    <cellStyle name="40% - Accent6 67 2" xfId="12052" xr:uid="{09632710-1565-44CA-8202-567AFE604D1D}"/>
    <cellStyle name="40% - Accent6 67 2 2" xfId="12053" xr:uid="{1BBF3441-6054-4E96-8AA5-AC081180A2BA}"/>
    <cellStyle name="40% - Accent6 67 2_Working Capital Current" xfId="15731" xr:uid="{2C92D9E5-14CB-4293-A03E-B0BC123B3EBB}"/>
    <cellStyle name="40% - Accent6 67 3" xfId="12054" xr:uid="{00D95819-A30D-425D-B6AF-FB25C6D8FB7F}"/>
    <cellStyle name="40% - Accent6 67 4" xfId="12055" xr:uid="{48DC9D7D-B3C9-47A0-A6A5-06494496F1B5}"/>
    <cellStyle name="40% - Accent6 67_Working Capital Current" xfId="15732" xr:uid="{CDDC9152-306A-46C3-B971-D752DA90EF37}"/>
    <cellStyle name="40% - Accent6 68" xfId="12056" xr:uid="{B2178FE8-F9C5-4E6B-BD05-130752F8CB01}"/>
    <cellStyle name="40% - Accent6 68 2" xfId="12057" xr:uid="{3E083B20-5988-45E5-93B5-F040B0E15568}"/>
    <cellStyle name="40% - Accent6 68 2 2" xfId="12058" xr:uid="{A5BFD385-2A0A-4F92-8E95-6329CA506C05}"/>
    <cellStyle name="40% - Accent6 68 2_Working Capital Current" xfId="15733" xr:uid="{101FF0E7-5106-43CA-8A91-FF4C09487A0D}"/>
    <cellStyle name="40% - Accent6 68 3" xfId="12059" xr:uid="{9E6162F2-6965-468C-B9D4-FBCA54AE460D}"/>
    <cellStyle name="40% - Accent6 68 4" xfId="12060" xr:uid="{3CAF1821-A5BE-486F-B039-F214F9D0B012}"/>
    <cellStyle name="40% - Accent6 68_Working Capital Current" xfId="15734" xr:uid="{915A743B-444E-4953-8995-2A869C5E4E7A}"/>
    <cellStyle name="40% - Accent6 69" xfId="12061" xr:uid="{8FAD54D4-4154-4154-9EE8-63271C91E15F}"/>
    <cellStyle name="40% - Accent6 69 2" xfId="12062" xr:uid="{746446B5-DC00-41E5-9526-10E8030FA4C9}"/>
    <cellStyle name="40% - Accent6 69 2 2" xfId="12063" xr:uid="{A20F0C3C-1222-4BED-BC4B-2E904A66F465}"/>
    <cellStyle name="40% - Accent6 69 2_Working Capital Current" xfId="15735" xr:uid="{83E4B9E7-77DE-435A-8D61-7D8F06292806}"/>
    <cellStyle name="40% - Accent6 69 3" xfId="12064" xr:uid="{CEC032A5-A6C1-414E-B09A-728BF010E0FE}"/>
    <cellStyle name="40% - Accent6 69 4" xfId="12065" xr:uid="{DA7BCF98-CA83-48CB-8B62-0653BF31EAD6}"/>
    <cellStyle name="40% - Accent6 69_Working Capital Current" xfId="15736" xr:uid="{4FBE40D2-AE76-4D64-8890-D93BF43F2A01}"/>
    <cellStyle name="40% - Accent6 7" xfId="12066" xr:uid="{5CE2CDA2-88F0-49A2-AE57-6B3F7FBA6354}"/>
    <cellStyle name="40% - Accent6 7 2" xfId="12067" xr:uid="{5FB1627B-C958-4C0B-9053-59FBBE86ECF0}"/>
    <cellStyle name="40% - Accent6 7 2 2" xfId="12068" xr:uid="{A89295AD-901B-4B03-9E33-A0A4A0FA4338}"/>
    <cellStyle name="40% - Accent6 7 2 2 2" xfId="12069" xr:uid="{CF1DE557-9074-4DC5-A4FD-8BA36237376A}"/>
    <cellStyle name="40% - Accent6 7 2 2_Working Capital Current" xfId="15737" xr:uid="{D4A4E4CC-934F-49B1-AD9E-90322CC43C47}"/>
    <cellStyle name="40% - Accent6 7 2 3" xfId="12070" xr:uid="{7C766CA7-45A7-417E-86F1-871450EB91DF}"/>
    <cellStyle name="40% - Accent6 7 2 4" xfId="12071" xr:uid="{777AD053-B66D-4C9C-BFA2-82173F82217F}"/>
    <cellStyle name="40% - Accent6 7 2_Working Capital Current" xfId="15738" xr:uid="{6EF3AB43-AD41-461D-95AF-AD32BD356A5E}"/>
    <cellStyle name="40% - Accent6 7 3" xfId="12072" xr:uid="{C3700CDD-C3EC-4E72-8D52-E812E0D67038}"/>
    <cellStyle name="40% - Accent6 7 3 2" xfId="12073" xr:uid="{7EA268D1-AE6B-47C2-BF32-868C7572FF8E}"/>
    <cellStyle name="40% - Accent6 7 3_Working Capital Current" xfId="15739" xr:uid="{EE2AFB00-5822-4196-BABB-D09F06B6139D}"/>
    <cellStyle name="40% - Accent6 7 4" xfId="12074" xr:uid="{2FD057FF-B6CD-4542-BECE-7959FBD3C2E0}"/>
    <cellStyle name="40% - Accent6 7 5" xfId="12075" xr:uid="{39F909E6-CFEC-4E72-9F75-BF7DED299258}"/>
    <cellStyle name="40% - Accent6 7_Not_for_upload_before_M4_correc" xfId="15740" xr:uid="{6C4D03B3-F1EE-40B7-8A43-6D311A926FE8}"/>
    <cellStyle name="40% - Accent6 70" xfId="12076" xr:uid="{18669F1C-53C4-4336-8D1D-2E6620C6FDC0}"/>
    <cellStyle name="40% - Accent6 70 2" xfId="12077" xr:uid="{C195DBC0-B97A-42A7-ACC1-0D8454499DD7}"/>
    <cellStyle name="40% - Accent6 70 2 2" xfId="12078" xr:uid="{3AA46346-4D60-4115-9B29-B3AEBF31005B}"/>
    <cellStyle name="40% - Accent6 70 2_Working Capital Current" xfId="15741" xr:uid="{C74A3403-3D0F-4457-8EC9-488138CC0F0E}"/>
    <cellStyle name="40% - Accent6 70 3" xfId="12079" xr:uid="{EFBE8E6E-40EA-4CDF-A348-2FD6447AECDE}"/>
    <cellStyle name="40% - Accent6 70 4" xfId="12080" xr:uid="{DA052B87-1887-4CF8-AB0F-0AF7BADEC5B4}"/>
    <cellStyle name="40% - Accent6 70_Working Capital Current" xfId="15742" xr:uid="{33D55F50-C988-4160-B37C-40B052B4CDAB}"/>
    <cellStyle name="40% - Accent6 71" xfId="12081" xr:uid="{A312F383-93A9-4207-8B4D-16C54BFD8B68}"/>
    <cellStyle name="40% - Accent6 71 2" xfId="12082" xr:uid="{1E8D665C-81E6-4160-9B7A-A593F612AEFB}"/>
    <cellStyle name="40% - Accent6 71 2 2" xfId="12083" xr:uid="{7920E966-41E1-430A-A835-44EB2791A2D9}"/>
    <cellStyle name="40% - Accent6 71 2_Working Capital Current" xfId="15743" xr:uid="{FB3ACAAF-03E4-4E86-8CEC-9E44208985B5}"/>
    <cellStyle name="40% - Accent6 71 3" xfId="12084" xr:uid="{AA65C472-58CF-4A7E-989C-D98468B74FA6}"/>
    <cellStyle name="40% - Accent6 71 4" xfId="12085" xr:uid="{DF683146-A2C1-4DE3-A17A-AF88F9B3DC92}"/>
    <cellStyle name="40% - Accent6 71_Working Capital Current" xfId="15744" xr:uid="{3010137E-CE31-4CD8-A30F-C433140294B7}"/>
    <cellStyle name="40% - Accent6 72" xfId="12086" xr:uid="{482CF286-0C85-4E68-8469-D109B9CB2679}"/>
    <cellStyle name="40% - Accent6 72 2" xfId="12087" xr:uid="{7ABC22A5-5745-4192-8654-77F0ECC85AD5}"/>
    <cellStyle name="40% - Accent6 72 2 2" xfId="12088" xr:uid="{F602F2D3-40E6-41DA-BD3B-CF7D1CBCB9A3}"/>
    <cellStyle name="40% - Accent6 72 2_Working Capital Current" xfId="15745" xr:uid="{EAD99EBF-4C0E-4F7D-8384-E8D833B700A6}"/>
    <cellStyle name="40% - Accent6 72 3" xfId="12089" xr:uid="{8E044474-1DBF-4328-90F8-4F5A4FD66DC8}"/>
    <cellStyle name="40% - Accent6 72 4" xfId="12090" xr:uid="{1D53ED0D-0FA0-48FA-A606-93B3C9F005DB}"/>
    <cellStyle name="40% - Accent6 72_Working Capital Current" xfId="15746" xr:uid="{482D40F9-26E3-457D-8AF1-F1A800F49059}"/>
    <cellStyle name="40% - Accent6 73" xfId="12091" xr:uid="{D3D6D6E4-70DE-4040-85CD-9EA18CD3F2FB}"/>
    <cellStyle name="40% - Accent6 73 2" xfId="12092" xr:uid="{9032C4BF-EFC1-421C-B1D8-A03F998D7EC1}"/>
    <cellStyle name="40% - Accent6 73 2 2" xfId="12093" xr:uid="{CCD72E29-67C4-4BE7-B875-B3CA48FB9BB6}"/>
    <cellStyle name="40% - Accent6 73 2_Working Capital Current" xfId="15747" xr:uid="{6DB5B2CD-8CA1-40C6-9203-315A00DF5E56}"/>
    <cellStyle name="40% - Accent6 73 3" xfId="12094" xr:uid="{EDC22758-9E10-47D9-A8EF-51036A373DA5}"/>
    <cellStyle name="40% - Accent6 73 4" xfId="12095" xr:uid="{513CBA3C-188D-4770-B7BA-2F15B50E283D}"/>
    <cellStyle name="40% - Accent6 73_Working Capital Current" xfId="15748" xr:uid="{D1819317-4F3D-4136-8E07-0F64B9241251}"/>
    <cellStyle name="40% - Accent6 74" xfId="12096" xr:uid="{26C4C9F3-003B-4F4F-B7C0-C2E85B3C8703}"/>
    <cellStyle name="40% - Accent6 74 2" xfId="12097" xr:uid="{6C1AB2EE-69D3-4EDC-B707-FCE0EF0BE9F1}"/>
    <cellStyle name="40% - Accent6 74 2 2" xfId="12098" xr:uid="{455D0DB1-F3CE-4D0D-A1C8-FA67D7F39F7C}"/>
    <cellStyle name="40% - Accent6 74 2_Working Capital Current" xfId="15749" xr:uid="{4ED2A64C-6631-4796-AA9E-D40EBA4AC2E6}"/>
    <cellStyle name="40% - Accent6 74 3" xfId="12099" xr:uid="{A5C8D202-6FBF-463A-92C0-C811FF927215}"/>
    <cellStyle name="40% - Accent6 74 4" xfId="12100" xr:uid="{6F81F5B4-5F90-4920-B86F-787AA70107D3}"/>
    <cellStyle name="40% - Accent6 74_Working Capital Current" xfId="15750" xr:uid="{26062017-AFFD-4053-B2E4-21AF759F5F01}"/>
    <cellStyle name="40% - Accent6 75" xfId="12101" xr:uid="{C9DF8F57-8D2B-4635-9AB3-B86A93977533}"/>
    <cellStyle name="40% - Accent6 75 2" xfId="12102" xr:uid="{5CFB0414-396A-4656-9567-C643D7B87C96}"/>
    <cellStyle name="40% - Accent6 75 2 2" xfId="12103" xr:uid="{AFEC38E9-48A0-4988-A623-124F679921CF}"/>
    <cellStyle name="40% - Accent6 75 2_Working Capital Current" xfId="15751" xr:uid="{2181A06A-BF6F-423D-86E3-61B943A77D03}"/>
    <cellStyle name="40% - Accent6 75 3" xfId="12104" xr:uid="{F19E0EB5-4F02-428A-BF9C-572C37DCC90B}"/>
    <cellStyle name="40% - Accent6 75 4" xfId="12105" xr:uid="{CC7F9F0C-BD61-44A7-92D9-CCE3E67A0D0D}"/>
    <cellStyle name="40% - Accent6 75_Working Capital Current" xfId="15752" xr:uid="{08711BFC-BC54-4514-BE21-45AA5E7A11FB}"/>
    <cellStyle name="40% - Accent6 76" xfId="12106" xr:uid="{83CB2BEB-90A7-4798-9377-CE92001E987E}"/>
    <cellStyle name="40% - Accent6 76 2" xfId="12107" xr:uid="{D3259CCE-62DA-40E3-90E9-DEE4B74DFB44}"/>
    <cellStyle name="40% - Accent6 76 2 2" xfId="12108" xr:uid="{451E0C54-144A-4050-A798-CB1BBDAA2A51}"/>
    <cellStyle name="40% - Accent6 76 2_Working Capital Current" xfId="15753" xr:uid="{D501F34D-CFA9-4302-8E87-0B62814EE82B}"/>
    <cellStyle name="40% - Accent6 76 3" xfId="12109" xr:uid="{921F5B9B-4985-4970-B7E6-E310618DE170}"/>
    <cellStyle name="40% - Accent6 76 4" xfId="12110" xr:uid="{4D015D4C-082D-4750-91CB-70E6493857D8}"/>
    <cellStyle name="40% - Accent6 76_Working Capital Current" xfId="15754" xr:uid="{BBBBF099-9130-45E0-96DE-01472A69D887}"/>
    <cellStyle name="40% - Accent6 77" xfId="12111" xr:uid="{4D48C827-8B0A-4EBB-AB9C-30C230D54463}"/>
    <cellStyle name="40% - Accent6 77 2" xfId="12112" xr:uid="{4B17CE8A-837A-4915-8B2F-AF294A8CD3D5}"/>
    <cellStyle name="40% - Accent6 77 2 2" xfId="12113" xr:uid="{6E133DA7-F1A1-4695-BBDC-2B1FE7594C58}"/>
    <cellStyle name="40% - Accent6 77 2_Working Capital Current" xfId="15755" xr:uid="{0F947A81-F197-4CA1-8416-284AE7BB3174}"/>
    <cellStyle name="40% - Accent6 77 3" xfId="12114" xr:uid="{2321A4B5-92E2-4DDF-9EC2-2A4A22F94D04}"/>
    <cellStyle name="40% - Accent6 77 4" xfId="12115" xr:uid="{F7EDFCC0-A10A-4CAF-8512-3FD035378E57}"/>
    <cellStyle name="40% - Accent6 77_Working Capital Current" xfId="15756" xr:uid="{FA0570C2-C8C6-436B-B9CF-587E8DFE5344}"/>
    <cellStyle name="40% - Accent6 78" xfId="12116" xr:uid="{A1D558B8-3DD3-4BC5-9BC0-D8A5F727B795}"/>
    <cellStyle name="40% - Accent6 78 2" xfId="12117" xr:uid="{CEBA9A88-4F92-406C-ABBE-D97BA6D19309}"/>
    <cellStyle name="40% - Accent6 78 2 2" xfId="12118" xr:uid="{6F948E29-3055-42B8-8035-53E114B2D9B8}"/>
    <cellStyle name="40% - Accent6 78 2_Working Capital Current" xfId="15757" xr:uid="{DB18FA05-342A-47F8-A95E-3A9576634CF2}"/>
    <cellStyle name="40% - Accent6 78 3" xfId="12119" xr:uid="{2AF16E3A-0CB6-4F2F-AA45-E5C36BEB0C60}"/>
    <cellStyle name="40% - Accent6 78 4" xfId="12120" xr:uid="{3D71BD60-2A65-451F-AEDC-963F0CF0B459}"/>
    <cellStyle name="40% - Accent6 78_Working Capital Current" xfId="15758" xr:uid="{03E4A996-C555-447E-BF78-4584C01D8DE9}"/>
    <cellStyle name="40% - Accent6 79" xfId="12121" xr:uid="{6D32EDB9-A288-43E2-A722-6247F7F5ABD5}"/>
    <cellStyle name="40% - Accent6 79 2" xfId="12122" xr:uid="{1C4C5251-7EDB-4FEB-9939-9AEF56F34CE9}"/>
    <cellStyle name="40% - Accent6 79 2 2" xfId="12123" xr:uid="{0D742911-E3C2-4A41-8DDC-B679E85C92E3}"/>
    <cellStyle name="40% - Accent6 79 2_Working Capital Current" xfId="15759" xr:uid="{0273037B-67DC-496E-9DF6-B7C62D8DCAE8}"/>
    <cellStyle name="40% - Accent6 79 3" xfId="12124" xr:uid="{579988BD-3A4C-41BE-8188-D6E5B71DB2B7}"/>
    <cellStyle name="40% - Accent6 79 4" xfId="12125" xr:uid="{901A8D47-76C6-4850-A550-C7EA7999FC62}"/>
    <cellStyle name="40% - Accent6 79_Working Capital Current" xfId="15760" xr:uid="{BE6BEB53-9809-4006-9DA8-D15B0193CC1E}"/>
    <cellStyle name="40% - Accent6 8" xfId="12126" xr:uid="{DCFB20D7-D2A1-4897-BCF5-20A0C7FFB2CB}"/>
    <cellStyle name="40% - Accent6 8 2" xfId="12127" xr:uid="{A770591E-D6E7-40B2-B1D7-3B52E71671AA}"/>
    <cellStyle name="40% - Accent6 8 2 2" xfId="12128" xr:uid="{39403B6C-72D2-423D-A862-2ED383BA981F}"/>
    <cellStyle name="40% - Accent6 8 2 2 2" xfId="12129" xr:uid="{B917A8F4-E453-48BF-AA6A-E598921B82C1}"/>
    <cellStyle name="40% - Accent6 8 2 2_Working Capital Current" xfId="15761" xr:uid="{90AC8142-E119-45F2-B575-A1B28E00077A}"/>
    <cellStyle name="40% - Accent6 8 2 3" xfId="12130" xr:uid="{6251417B-EA58-4CEA-942F-71F37BB0531A}"/>
    <cellStyle name="40% - Accent6 8 2 4" xfId="12131" xr:uid="{BBEB1205-AFA0-4492-9FBD-AA570F6E35D7}"/>
    <cellStyle name="40% - Accent6 8 2_Working Capital Current" xfId="15762" xr:uid="{9ACC1780-F0A9-41B3-BB3E-F28FFE5FE354}"/>
    <cellStyle name="40% - Accent6 8 3" xfId="12132" xr:uid="{64C25D83-2AE5-47B1-B623-2F32C1324DF8}"/>
    <cellStyle name="40% - Accent6 8 3 2" xfId="12133" xr:uid="{981CE790-5E33-4B54-85C3-09131140CDA5}"/>
    <cellStyle name="40% - Accent6 8 3_Working Capital Current" xfId="15763" xr:uid="{43C08907-B553-48D7-9514-3078041C7589}"/>
    <cellStyle name="40% - Accent6 8 4" xfId="12134" xr:uid="{3F54DBDE-67AE-4F32-9A0E-1468C5ED2793}"/>
    <cellStyle name="40% - Accent6 8 5" xfId="12135" xr:uid="{AAB54043-35BD-44F4-98A1-CE26F47BE65C}"/>
    <cellStyle name="40% - Accent6 8_Not_for_upload_before_M4_correc" xfId="15764" xr:uid="{0DE84509-3AC0-4D24-9096-682B832A8889}"/>
    <cellStyle name="40% - Accent6 80" xfId="12136" xr:uid="{03BE244D-3719-4BDD-A0F4-FA113507CE12}"/>
    <cellStyle name="40% - Accent6 80 2" xfId="12137" xr:uid="{1079E0BA-E036-4840-BBC9-BCC8FB79C8EB}"/>
    <cellStyle name="40% - Accent6 80 2 2" xfId="12138" xr:uid="{C881378F-C6E0-4D03-B7B4-F37FC604B6A5}"/>
    <cellStyle name="40% - Accent6 80 2_Working Capital Current" xfId="15765" xr:uid="{AEFDECA3-2D50-43C4-8BEF-9CC0EB6CA54A}"/>
    <cellStyle name="40% - Accent6 80 3" xfId="12139" xr:uid="{5CD86A73-7DA3-458A-BE87-6CF5E7E6A7F4}"/>
    <cellStyle name="40% - Accent6 80 4" xfId="12140" xr:uid="{7409E19D-5B68-4E67-9EC7-4CB2C4F1AADE}"/>
    <cellStyle name="40% - Accent6 80_Working Capital Current" xfId="15766" xr:uid="{D666178F-FF66-4742-8BB4-6DE21953B39E}"/>
    <cellStyle name="40% - Accent6 81" xfId="12141" xr:uid="{009241C3-4565-49EE-B52B-7F8C563F72A3}"/>
    <cellStyle name="40% - Accent6 81 2" xfId="12142" xr:uid="{A7307EE0-7875-4722-BD07-EC2823CA4544}"/>
    <cellStyle name="40% - Accent6 81 2 2" xfId="12143" xr:uid="{4BD52B2E-7DDC-4D26-A772-0681BF26247A}"/>
    <cellStyle name="40% - Accent6 81 2_Working Capital Current" xfId="15767" xr:uid="{03721261-02DC-470E-94D7-B25AB5124344}"/>
    <cellStyle name="40% - Accent6 81 3" xfId="12144" xr:uid="{58D5891B-7982-4E13-87D4-2621640C61AA}"/>
    <cellStyle name="40% - Accent6 81 4" xfId="12145" xr:uid="{DCDCA7DE-D9BE-40AD-981F-6DF0AA753FA2}"/>
    <cellStyle name="40% - Accent6 81_Working Capital Current" xfId="15768" xr:uid="{63E16987-5C49-4809-9D42-0073F9F5DD3B}"/>
    <cellStyle name="40% - Accent6 82" xfId="12146" xr:uid="{D267C638-0073-47B1-8324-94F5A36832AD}"/>
    <cellStyle name="40% - Accent6 82 2" xfId="12147" xr:uid="{89088A4A-C4D3-4E56-9446-816CED2FEA4A}"/>
    <cellStyle name="40% - Accent6 82 2 2" xfId="12148" xr:uid="{7AA9701A-7F20-49EB-9252-CF54FC273CA3}"/>
    <cellStyle name="40% - Accent6 82 2_Working Capital Current" xfId="15769" xr:uid="{B574CED0-97D5-42C1-B984-C168FA398283}"/>
    <cellStyle name="40% - Accent6 82 3" xfId="12149" xr:uid="{30A930E2-3A8E-452E-A917-31B72828B1C4}"/>
    <cellStyle name="40% - Accent6 82 4" xfId="12150" xr:uid="{BAB699B9-8810-43DC-AA4C-97D7582DA44F}"/>
    <cellStyle name="40% - Accent6 82_Working Capital Current" xfId="15770" xr:uid="{8645BAD3-5B14-4071-BECB-8C230E942571}"/>
    <cellStyle name="40% - Accent6 83" xfId="12151" xr:uid="{DBA0953C-2AFC-4A87-ABB7-E6725048A246}"/>
    <cellStyle name="40% - Accent6 83 2" xfId="12152" xr:uid="{06AE8C13-DCF5-4C96-A589-522877849EA1}"/>
    <cellStyle name="40% - Accent6 83 2 2" xfId="12153" xr:uid="{ED31ACAB-1704-470C-BDB8-12DD2CC4D4BB}"/>
    <cellStyle name="40% - Accent6 83 2_Working Capital Current" xfId="15771" xr:uid="{D9983CEA-2886-45EC-A805-0864ECA05F39}"/>
    <cellStyle name="40% - Accent6 83 3" xfId="12154" xr:uid="{D58C7D89-84A3-4D18-B95B-567C5A6E61DB}"/>
    <cellStyle name="40% - Accent6 83 4" xfId="12155" xr:uid="{9611D76F-FDB1-4F02-875B-93302ACD5294}"/>
    <cellStyle name="40% - Accent6 83_Working Capital Current" xfId="15772" xr:uid="{1AF720E3-C19D-4DA3-A8B3-1078FDB77872}"/>
    <cellStyle name="40% - Accent6 84" xfId="12156" xr:uid="{08FF2385-BB91-4FA9-B94E-9ABE74A30C6C}"/>
    <cellStyle name="40% - Accent6 84 2" xfId="12157" xr:uid="{395C3C33-9C08-4A22-896F-D73296011048}"/>
    <cellStyle name="40% - Accent6 84 2 2" xfId="12158" xr:uid="{94F05834-5F42-4A9F-8634-874408CBA485}"/>
    <cellStyle name="40% - Accent6 84 2_Working Capital Current" xfId="15773" xr:uid="{2483246D-B50E-49CB-A7D4-61A8FE840851}"/>
    <cellStyle name="40% - Accent6 84 3" xfId="12159" xr:uid="{64F18F96-908F-409F-8891-C41322370766}"/>
    <cellStyle name="40% - Accent6 84 4" xfId="12160" xr:uid="{9B0FE15F-95B9-4351-A979-10698770D42C}"/>
    <cellStyle name="40% - Accent6 84_Working Capital Current" xfId="15774" xr:uid="{3C1B6847-DCE1-4D92-899A-C36BF6BA54FD}"/>
    <cellStyle name="40% - Accent6 85" xfId="12161" xr:uid="{55EB6EB1-3A77-414A-AC97-C58B81670DE1}"/>
    <cellStyle name="40% - Accent6 85 2" xfId="12162" xr:uid="{1F02FAE6-97DE-4F71-A212-BF8C19B139C4}"/>
    <cellStyle name="40% - Accent6 85 2 2" xfId="12163" xr:uid="{D53D3F9C-196B-4AA3-B8D9-79D5992B4692}"/>
    <cellStyle name="40% - Accent6 85 2_Working Capital Current" xfId="15775" xr:uid="{4C607803-4654-4F7B-9100-74B65FA54170}"/>
    <cellStyle name="40% - Accent6 85 3" xfId="12164" xr:uid="{A2A784D5-7730-44D1-988F-817B00E17ED9}"/>
    <cellStyle name="40% - Accent6 85 4" xfId="12165" xr:uid="{30C1DA16-5821-4F46-B813-D0AB1BB51B36}"/>
    <cellStyle name="40% - Accent6 85_Working Capital Current" xfId="15776" xr:uid="{DBD969F2-E7C0-4BB3-9E35-52B5B441FE52}"/>
    <cellStyle name="40% - Accent6 86" xfId="12166" xr:uid="{37737338-155F-4238-919C-8845F9BAFFA5}"/>
    <cellStyle name="40% - Accent6 86 2" xfId="12167" xr:uid="{598A8639-05BD-428E-8D13-261756BB7D49}"/>
    <cellStyle name="40% - Accent6 86 2 2" xfId="12168" xr:uid="{3019965A-C843-4186-BB44-F6C4B52316CE}"/>
    <cellStyle name="40% - Accent6 86 2_Working Capital Current" xfId="15777" xr:uid="{7C73A3FF-8FF0-4805-94DB-3EF5E9441C0A}"/>
    <cellStyle name="40% - Accent6 86 3" xfId="12169" xr:uid="{7932DA42-E7A4-44E3-A71A-254C79626D4A}"/>
    <cellStyle name="40% - Accent6 86 4" xfId="12170" xr:uid="{BBC05F52-4F93-4894-A633-826119FFB337}"/>
    <cellStyle name="40% - Accent6 86_Working Capital Current" xfId="15778" xr:uid="{15D1E74E-D3E9-40EC-9783-C29F86A3D24F}"/>
    <cellStyle name="40% - Accent6 87" xfId="12171" xr:uid="{0A59FD85-2C5C-4C60-AEA4-9D513CA88B8A}"/>
    <cellStyle name="40% - Accent6 87 2" xfId="12172" xr:uid="{DE2335B5-8BBD-4791-A4F0-64959F567D23}"/>
    <cellStyle name="40% - Accent6 87 2 2" xfId="12173" xr:uid="{2834AD89-1209-40AE-BACA-C7D81BB63728}"/>
    <cellStyle name="40% - Accent6 87 2_Working Capital Current" xfId="15779" xr:uid="{6116129A-1D89-4883-91D7-3CA06FFD2524}"/>
    <cellStyle name="40% - Accent6 87 3" xfId="12174" xr:uid="{5A2FF811-375D-474A-8D1C-348CE3B79C17}"/>
    <cellStyle name="40% - Accent6 87 4" xfId="12175" xr:uid="{1921ED6D-5963-411C-8B23-E7FD909CB5E6}"/>
    <cellStyle name="40% - Accent6 87_Working Capital Current" xfId="15780" xr:uid="{631AA71A-50FD-48D6-83F6-6D333DCB02CC}"/>
    <cellStyle name="40% - Accent6 88" xfId="12176" xr:uid="{9E61D761-BFFB-454F-8240-23AE8D8FA015}"/>
    <cellStyle name="40% - Accent6 88 2" xfId="12177" xr:uid="{4D07D469-221A-4448-8DE6-D35D3F39A3DB}"/>
    <cellStyle name="40% - Accent6 88 2 2" xfId="12178" xr:uid="{6546798D-8BD1-4B90-B288-C82B3E190DD6}"/>
    <cellStyle name="40% - Accent6 88 2_Working Capital Current" xfId="15781" xr:uid="{91504D0D-58BA-403D-AFF3-9612E38363D7}"/>
    <cellStyle name="40% - Accent6 88 3" xfId="12179" xr:uid="{54434868-4A51-4CF0-9171-508FE87B9B9E}"/>
    <cellStyle name="40% - Accent6 88 4" xfId="12180" xr:uid="{E997E2A0-1C4A-49EA-8E4E-FF7BE6D36B79}"/>
    <cellStyle name="40% - Accent6 88_Working Capital Current" xfId="15782" xr:uid="{74C17B27-2289-4BD3-A59E-4BD9B593FC40}"/>
    <cellStyle name="40% - Accent6 89" xfId="12181" xr:uid="{106B4960-97CE-4160-BB6A-3AC9ADBF8AA5}"/>
    <cellStyle name="40% - Accent6 89 2" xfId="12182" xr:uid="{FD09DDAB-50DB-4B28-A69C-BCF29FD4AE74}"/>
    <cellStyle name="40% - Accent6 89 2 2" xfId="12183" xr:uid="{C8B14546-A73E-47CC-A91B-04C05B7B79E4}"/>
    <cellStyle name="40% - Accent6 89 2_Working Capital Current" xfId="15783" xr:uid="{3998E243-5235-410F-ADBE-DEDBC4017E3F}"/>
    <cellStyle name="40% - Accent6 89 3" xfId="12184" xr:uid="{C085E48A-63AE-4EE8-9248-7CCAB1D1DFB8}"/>
    <cellStyle name="40% - Accent6 89 4" xfId="12185" xr:uid="{A6F29C2F-916E-4D33-B4E3-156E78075B77}"/>
    <cellStyle name="40% - Accent6 89_Working Capital Current" xfId="15784" xr:uid="{75CB4D50-F37F-4532-83C9-8BD37FF98F13}"/>
    <cellStyle name="40% - Accent6 9" xfId="12186" xr:uid="{4A3F95B0-ED60-4DC1-B351-F162C09451F1}"/>
    <cellStyle name="40% - Accent6 9 2" xfId="12187" xr:uid="{797B4CC8-0E7B-4221-BB03-91E92603206A}"/>
    <cellStyle name="40% - Accent6 9 2 2" xfId="12188" xr:uid="{C6881885-FAF4-4C0B-80AE-5CAE9F629A15}"/>
    <cellStyle name="40% - Accent6 9 2 2 2" xfId="12189" xr:uid="{0097841D-7966-4BEE-8690-AFBC8E30F1FE}"/>
    <cellStyle name="40% - Accent6 9 2 2_Working Capital Current" xfId="15785" xr:uid="{C36E1668-B426-481B-ACE7-1009545EDB09}"/>
    <cellStyle name="40% - Accent6 9 2 3" xfId="12190" xr:uid="{5549DF51-9FF4-44F0-9931-867FA8D7CE07}"/>
    <cellStyle name="40% - Accent6 9 2 4" xfId="12191" xr:uid="{FCC710D6-F0BD-4DDE-A2F2-0FA586A2E528}"/>
    <cellStyle name="40% - Accent6 9 2_Working Capital Current" xfId="15786" xr:uid="{C42CC343-4829-4647-BFBE-2A9BD575A7E7}"/>
    <cellStyle name="40% - Accent6 9 3" xfId="12192" xr:uid="{D7C8C310-B093-40AD-901E-D2A47833E862}"/>
    <cellStyle name="40% - Accent6 9 3 2" xfId="12193" xr:uid="{BCEEBC39-5840-4EB3-8F07-B7E6E09F7F6C}"/>
    <cellStyle name="40% - Accent6 9 3_Working Capital Current" xfId="15787" xr:uid="{7612A3B8-8F7B-402C-A44C-D2B49678175E}"/>
    <cellStyle name="40% - Accent6 9 4" xfId="12194" xr:uid="{CCD3BEC3-C436-4CF9-8274-0BD923227D6D}"/>
    <cellStyle name="40% - Accent6 9 5" xfId="12195" xr:uid="{135EA0CA-F1F1-46AE-B209-9A30817C739B}"/>
    <cellStyle name="40% - Accent6 9_Not_for_upload_before_M4_correc" xfId="15788" xr:uid="{6F97244A-317D-4DB5-A2DD-8DE57BC5B4F6}"/>
    <cellStyle name="40% - Accent6 90" xfId="12196" xr:uid="{0D2BE531-E525-4A64-BA4A-85D883A8A865}"/>
    <cellStyle name="40% - Accent6 90 2" xfId="12197" xr:uid="{7D5B95EF-A4D6-472F-8439-6A5BD5412083}"/>
    <cellStyle name="40% - Accent6 90 2 2" xfId="12198" xr:uid="{BE85C8A8-1B92-4572-A33E-56E75C14815B}"/>
    <cellStyle name="40% - Accent6 90 2_Working Capital Current" xfId="15789" xr:uid="{56AE952A-AB75-4115-B6D8-B50E8A70C0CC}"/>
    <cellStyle name="40% - Accent6 90 3" xfId="12199" xr:uid="{C5C028E9-1FB6-41C8-B36E-3CDC55DECA78}"/>
    <cellStyle name="40% - Accent6 90 4" xfId="12200" xr:uid="{A6D101BF-C82F-46A6-88A9-39B68CA40825}"/>
    <cellStyle name="40% - Accent6 90_Working Capital Current" xfId="15790" xr:uid="{852CCC31-31F9-44D6-B77A-F950AE8BD1B6}"/>
    <cellStyle name="40% - Accent6 91" xfId="12201" xr:uid="{98862A0E-3035-4F3E-9E32-A09062FA7AFE}"/>
    <cellStyle name="40% - Accent6 91 2" xfId="12202" xr:uid="{80E8A6DA-42D4-412B-945F-8CD65903E634}"/>
    <cellStyle name="40% - Accent6 91 2 2" xfId="12203" xr:uid="{C8F4DA10-175A-4AF1-AE64-C0C8CFCD8DEC}"/>
    <cellStyle name="40% - Accent6 91 2_Working Capital Current" xfId="15791" xr:uid="{15D59A64-BB88-4EB4-9157-2BFB760B7CA7}"/>
    <cellStyle name="40% - Accent6 91 3" xfId="12204" xr:uid="{7AFF245B-53F1-4CBF-A527-98280503D53A}"/>
    <cellStyle name="40% - Accent6 91 4" xfId="12205" xr:uid="{E7037310-5C91-4B01-86B0-B540084F1B57}"/>
    <cellStyle name="40% - Accent6 91_Working Capital Current" xfId="15792" xr:uid="{65139DDF-C66E-492E-AAA0-F4973E0292C3}"/>
    <cellStyle name="40% - Accent6 92" xfId="12206" xr:uid="{AEDADB8A-4FA3-4F45-949E-9EDA9CCFC76D}"/>
    <cellStyle name="40% - Accent6 92 2" xfId="12207" xr:uid="{4AAB22F1-CDDD-4841-8D4E-7E42F8560AB9}"/>
    <cellStyle name="40% - Accent6 92 2 2" xfId="12208" xr:uid="{AD86D413-5273-4140-A424-A4CBC381A9FB}"/>
    <cellStyle name="40% - Accent6 92 2_Working Capital Current" xfId="15793" xr:uid="{673E3B88-6874-4E12-A5B1-C9419FD5A03D}"/>
    <cellStyle name="40% - Accent6 92 3" xfId="12209" xr:uid="{AF915488-415F-4515-B306-BA7D204209D0}"/>
    <cellStyle name="40% - Accent6 92 4" xfId="12210" xr:uid="{9039979F-3E94-4FDA-9E7B-2F76D841B575}"/>
    <cellStyle name="40% - Accent6 92_Working Capital Current" xfId="15794" xr:uid="{25789634-7D5C-47D5-96F4-35F5C81F16AB}"/>
    <cellStyle name="40% - Accent6 93" xfId="12211" xr:uid="{90C5C001-DCF4-47E9-A515-EA53BF0E8E98}"/>
    <cellStyle name="40% - Accent6 93 2" xfId="12212" xr:uid="{E81F40B8-6C5A-4F06-B01D-417B7AC8E6BE}"/>
    <cellStyle name="40% - Accent6 93 2 2" xfId="12213" xr:uid="{EC3A0B78-3981-4383-9C02-5106F563BD00}"/>
    <cellStyle name="40% - Accent6 93 2_Working Capital Current" xfId="15795" xr:uid="{D5FDB9A4-BE39-4A0F-98D6-29456FDDC62F}"/>
    <cellStyle name="40% - Accent6 93 3" xfId="12214" xr:uid="{0F0B27FA-E812-47DC-98AF-7210F48A03CE}"/>
    <cellStyle name="40% - Accent6 93 4" xfId="12215" xr:uid="{A88A9B7D-60A0-4C61-A8AA-B4421F5E71D9}"/>
    <cellStyle name="40% - Accent6 93_Working Capital Current" xfId="15796" xr:uid="{197A58C2-F684-4E9B-BFF0-589177D34846}"/>
    <cellStyle name="40% - Accent6 94" xfId="12216" xr:uid="{DA6A9D00-A92A-4180-9CFA-F0841E14DD08}"/>
    <cellStyle name="40% - Accent6 94 2" xfId="12217" xr:uid="{B9D0734B-1DB0-43B1-9974-9BBF42AC36D9}"/>
    <cellStyle name="40% - Accent6 94 2 2" xfId="12218" xr:uid="{9243C4A2-8448-4239-A211-930E5AD4CD12}"/>
    <cellStyle name="40% - Accent6 94 2_Working Capital Current" xfId="15797" xr:uid="{03B2F90D-8D5C-4001-82D0-35708755F9F0}"/>
    <cellStyle name="40% - Accent6 94 3" xfId="12219" xr:uid="{BDDE6274-CCBA-4B8F-9B19-88127D949F8F}"/>
    <cellStyle name="40% - Accent6 94 4" xfId="12220" xr:uid="{F0A1053B-5912-41B5-9FCC-6B8AAE781FA7}"/>
    <cellStyle name="40% - Accent6 94_Working Capital Current" xfId="15798" xr:uid="{63BC9BFE-C4E9-48AE-AB0D-F3DE4F39D62B}"/>
    <cellStyle name="40% - Accent6 95" xfId="12221" xr:uid="{1DC75354-CF54-4EF1-A3C4-5A31286D2EE4}"/>
    <cellStyle name="40% - Accent6 95 2" xfId="12222" xr:uid="{5220FE7F-EEFA-42BB-8F59-1BBF8D1088B3}"/>
    <cellStyle name="40% - Accent6 95 2 2" xfId="12223" xr:uid="{B5638F4B-6B3B-4CE5-9E06-CB7074154086}"/>
    <cellStyle name="40% - Accent6 95 2_Working Capital Current" xfId="15799" xr:uid="{E2095A6C-7983-46F0-B3DC-6178C942778B}"/>
    <cellStyle name="40% - Accent6 95 3" xfId="12224" xr:uid="{36960260-04D6-4F6B-914E-C8B443825DB2}"/>
    <cellStyle name="40% - Accent6 95 4" xfId="12225" xr:uid="{005CFD65-E75A-4AD7-AADE-50E35978FB05}"/>
    <cellStyle name="40% - Accent6 95_Working Capital Current" xfId="15800" xr:uid="{FF297505-01BF-41F7-ADA6-4B6EFFDFF8CB}"/>
    <cellStyle name="40% - Accent6 96" xfId="12226" xr:uid="{7610A36B-E362-45EE-AF35-E795987CDC52}"/>
    <cellStyle name="40% - Accent6 96 2" xfId="12227" xr:uid="{E8492BC9-C3C6-428D-97C5-7B4610659405}"/>
    <cellStyle name="40% - Accent6 96 2 2" xfId="12228" xr:uid="{27DD34C6-D1DE-4EC5-9382-FC7A5F21D8F7}"/>
    <cellStyle name="40% - Accent6 96 2_Working Capital Current" xfId="15801" xr:uid="{F56D72F0-44D6-40DC-9BED-3753BD3E4821}"/>
    <cellStyle name="40% - Accent6 96 3" xfId="12229" xr:uid="{F5722B53-79DF-44AF-B1C3-9E22EAED8112}"/>
    <cellStyle name="40% - Accent6 96 4" xfId="12230" xr:uid="{8EF3664C-4A81-4AB9-88EF-7ED9E2ABF037}"/>
    <cellStyle name="40% - Accent6 96_Working Capital Current" xfId="15802" xr:uid="{6B73323D-3307-42B8-BA83-85EEC37497F6}"/>
    <cellStyle name="40% - Accent6 97" xfId="12231" xr:uid="{CE68A83C-E1FA-4AEB-AA92-D8EC09DF30CE}"/>
    <cellStyle name="40% - Accent6 97 2" xfId="12232" xr:uid="{443D67F2-DADE-4BE6-9379-7152CD20D519}"/>
    <cellStyle name="40% - Accent6 97 2 2" xfId="12233" xr:uid="{FFDA31BA-3E7F-41BC-BED8-90AF620D8C41}"/>
    <cellStyle name="40% - Accent6 97 2_Working Capital Current" xfId="15803" xr:uid="{57B53A3B-F853-4F74-9A93-931D0DD13149}"/>
    <cellStyle name="40% - Accent6 97 3" xfId="12234" xr:uid="{463DB313-603C-4A74-BD67-A921D477E4E4}"/>
    <cellStyle name="40% - Accent6 97 4" xfId="12235" xr:uid="{76D96CFF-C9B1-48B3-9696-287AB56F714F}"/>
    <cellStyle name="40% - Accent6 97_Working Capital Current" xfId="15804" xr:uid="{E85A9FDC-EC0E-4233-850C-D31B5DCA7AAD}"/>
    <cellStyle name="40% - Accent6 98" xfId="12236" xr:uid="{843CD743-5474-4929-88F6-AB4D5A0D2E11}"/>
    <cellStyle name="40% - Accent6 98 2" xfId="12237" xr:uid="{AF3AEB41-52C1-4C01-AC6D-61B48267364D}"/>
    <cellStyle name="40% - Accent6 98 2 2" xfId="12238" xr:uid="{B8741AC9-9694-4545-B500-07E66E3CC1C4}"/>
    <cellStyle name="40% - Accent6 98 2_Working Capital Current" xfId="15805" xr:uid="{26B2F2B1-56A0-46DC-80EF-849A9C4EAB14}"/>
    <cellStyle name="40% - Accent6 98 3" xfId="12239" xr:uid="{3A929A44-A087-41FB-9C2C-59CD10F919D6}"/>
    <cellStyle name="40% - Accent6 98 4" xfId="12240" xr:uid="{8CCDBB1F-BC11-41F9-BE17-810643B30276}"/>
    <cellStyle name="40% - Accent6 98_Working Capital Current" xfId="15806" xr:uid="{9205F3E3-83F4-4062-BC10-76A05A92A9CC}"/>
    <cellStyle name="40% - Accent6 99" xfId="12241" xr:uid="{F49CD3A7-4A66-466F-90C3-D5B35159AA56}"/>
    <cellStyle name="40% - Accent6 99 2" xfId="12242" xr:uid="{34D1333C-1D9D-4761-BD33-C9085649A161}"/>
    <cellStyle name="40% - Accent6 99 2 2" xfId="12243" xr:uid="{1770410A-86B9-4B3B-8F9A-83E260227B88}"/>
    <cellStyle name="40% - Accent6 99 2_Working Capital Current" xfId="15807" xr:uid="{C2BAFB35-5155-4C5D-B384-E3709BED4BC8}"/>
    <cellStyle name="40% - Accent6 99 3" xfId="12244" xr:uid="{5C489ABD-33B2-41D4-BC20-E5F1C6BB8C6F}"/>
    <cellStyle name="40% - Accent6 99 4" xfId="12245" xr:uid="{DAC9CBDA-80DF-49FC-B174-0F14EF919576}"/>
    <cellStyle name="40% - Accent6 99_Working Capital Current" xfId="15808" xr:uid="{7E9AB7CF-551E-4E38-BE8D-917F12D92F64}"/>
    <cellStyle name="60% - Accent1" xfId="25" builtinId="32" customBuiltin="1"/>
    <cellStyle name="60% - Accent1 2" xfId="113" xr:uid="{ADDAED34-3D7C-48FF-9D92-43FACAC4581C}"/>
    <cellStyle name="60% - Accent1 2 2" xfId="114" xr:uid="{06B8EF22-4E03-4DFE-9539-C25CA90914AF}"/>
    <cellStyle name="60% - Accent1 2 2 2" xfId="1944" xr:uid="{DBACFEF2-6145-4F58-B444-D4F4721538BC}"/>
    <cellStyle name="60% - Accent1 2 2 2 2" xfId="17673" xr:uid="{17F29E51-A34E-4A2B-A1C4-E38A3528C7F4}"/>
    <cellStyle name="60% - Accent1 2 2 2 3" xfId="12247" xr:uid="{066B77ED-B0E0-4B77-BEFD-E230664CDEAF}"/>
    <cellStyle name="60% - Accent1 2 2 3" xfId="16545" xr:uid="{D166FDFD-1EE1-42C8-A6E7-85261D70340F}"/>
    <cellStyle name="60% - Accent1 2 3" xfId="1943" xr:uid="{0881248F-1682-4122-BC8E-AE7692762042}"/>
    <cellStyle name="60% - Accent1 2 3 2" xfId="17672" xr:uid="{62593734-E49A-497A-A844-D1D7420C155B}"/>
    <cellStyle name="60% - Accent1 2 3 3" xfId="12246" xr:uid="{D40FC261-0337-4D17-91A7-8D5FF9A06EC3}"/>
    <cellStyle name="60% - Accent1 2 4" xfId="16544" xr:uid="{D2C47728-62F8-4A2C-B592-58E464426236}"/>
    <cellStyle name="60% - Accent1 2_Working Capital Current" xfId="15809" xr:uid="{C553E01C-51C3-4FEE-B20E-D6502CAE4D96}"/>
    <cellStyle name="60% - Accent1 3" xfId="115" xr:uid="{62485E9D-46CA-4A56-93CB-3CEC7F25C19B}"/>
    <cellStyle name="60% - Accent1 3 2" xfId="1945" xr:uid="{ADF5DEAA-EB95-4537-9F10-D19069CF97B9}"/>
    <cellStyle name="60% - Accent1 3 2 2" xfId="17674" xr:uid="{94D22EC3-B46D-4EBF-86AB-033B286C2BC3}"/>
    <cellStyle name="60% - Accent1 3 2 3" xfId="12248" xr:uid="{2596A349-B984-4062-94BF-D726B2D8E217}"/>
    <cellStyle name="60% - Accent1 3 3" xfId="16546" xr:uid="{6052C43B-FE0F-4C80-8350-46E79F7EC309}"/>
    <cellStyle name="60% - Accent1 4" xfId="112" xr:uid="{BCC6A488-F5F2-42E9-BB2B-0211EC9EB8C9}"/>
    <cellStyle name="60% - Accent1 4 2" xfId="1942" xr:uid="{43C10D5F-AF6A-4C80-91E2-018907F5BB3E}"/>
    <cellStyle name="60% - Accent1 4 3" xfId="16543" xr:uid="{B82B5C15-9AE9-4B3E-8296-2F576BE6129B}"/>
    <cellStyle name="60% - Accent1 5" xfId="1466" xr:uid="{7B31C0F9-F2DE-4BC3-819B-2A2ED55264C5}"/>
    <cellStyle name="60% - Accent2" xfId="29" builtinId="36" customBuiltin="1"/>
    <cellStyle name="60% - Accent2 2" xfId="117" xr:uid="{CF539CDA-3E4B-4ED2-AAFE-2FF150066302}"/>
    <cellStyle name="60% - Accent2 2 2" xfId="118" xr:uid="{6628887D-3B53-4989-9335-9270821F51CC}"/>
    <cellStyle name="60% - Accent2 2 2 2" xfId="1948" xr:uid="{1D623506-F583-47C4-AA7C-87F54DA90F87}"/>
    <cellStyle name="60% - Accent2 2 2 2 2" xfId="17676" xr:uid="{FAB0345D-485C-44B5-BFC7-64789B732146}"/>
    <cellStyle name="60% - Accent2 2 2 2 3" xfId="12250" xr:uid="{23D45D8E-3CFD-4839-AF24-EEE7E39A91B2}"/>
    <cellStyle name="60% - Accent2 2 2 3" xfId="16549" xr:uid="{A21DA6C9-803D-437A-89AD-B91F0FA19122}"/>
    <cellStyle name="60% - Accent2 2 3" xfId="1947" xr:uid="{DE6A6462-AA12-47B2-9D73-308833C18D57}"/>
    <cellStyle name="60% - Accent2 2 3 2" xfId="17675" xr:uid="{CE2D1182-862E-4A07-8763-E21517C29F34}"/>
    <cellStyle name="60% - Accent2 2 3 3" xfId="12249" xr:uid="{7BF19473-D48F-47C3-9AE6-16A73D6C01F4}"/>
    <cellStyle name="60% - Accent2 2 4" xfId="16548" xr:uid="{ABC344CE-1CD7-48B5-B62C-53B0A7F47FA8}"/>
    <cellStyle name="60% - Accent2 2_Working Capital Current" xfId="15810" xr:uid="{F44A23A1-D2D6-4C18-B96D-C21CF1ADFE59}"/>
    <cellStyle name="60% - Accent2 3" xfId="119" xr:uid="{214A46B1-C14D-4C35-9EF2-11D0310DEC6F}"/>
    <cellStyle name="60% - Accent2 3 2" xfId="1949" xr:uid="{896E4CF0-5056-476C-B794-9E0D76F0A0E9}"/>
    <cellStyle name="60% - Accent2 3 2 2" xfId="17677" xr:uid="{FF61DB2D-8FCC-44C1-A00C-D9FA1F651571}"/>
    <cellStyle name="60% - Accent2 3 2 3" xfId="12251" xr:uid="{2EABE773-4C54-4E09-9C1E-05CD164F659F}"/>
    <cellStyle name="60% - Accent2 3 3" xfId="16550" xr:uid="{3BCE5439-0981-4621-8FBA-4BC1517205D7}"/>
    <cellStyle name="60% - Accent2 4" xfId="116" xr:uid="{B5E11E43-0D62-4876-A0CE-B931FB8EEB17}"/>
    <cellStyle name="60% - Accent2 4 2" xfId="1946" xr:uid="{138FB3D7-1F16-4843-A0C4-75F8671A1A94}"/>
    <cellStyle name="60% - Accent2 4 3" xfId="16547" xr:uid="{1EB8A40B-8FB0-489A-9494-A6DFED6445F5}"/>
    <cellStyle name="60% - Accent2 5" xfId="1467" xr:uid="{FE66F440-7604-4940-95AD-E7AE576651C9}"/>
    <cellStyle name="60% - Accent3" xfId="33" builtinId="40" customBuiltin="1"/>
    <cellStyle name="60% - Accent3 2" xfId="121" xr:uid="{22FF0EBA-4D7B-465B-A303-7C2343FDDD93}"/>
    <cellStyle name="60% - Accent3 2 2" xfId="122" xr:uid="{6D220ABA-0F9F-4571-9A77-EAAF869BFDA8}"/>
    <cellStyle name="60% - Accent3 2 2 2" xfId="1952" xr:uid="{8C5E2E8B-3DA0-4FDF-8488-7D2B961E1416}"/>
    <cellStyle name="60% - Accent3 2 2 2 2" xfId="17679" xr:uid="{6ECED0B7-3BF9-4BD8-9A62-4931C4FAB4DA}"/>
    <cellStyle name="60% - Accent3 2 2 2 3" xfId="12253" xr:uid="{502E8327-17C5-4E08-A3CC-DE7AF2121913}"/>
    <cellStyle name="60% - Accent3 2 2 3" xfId="16553" xr:uid="{AD494D3F-6497-4AA3-9A9C-3AD84457BA84}"/>
    <cellStyle name="60% - Accent3 2 3" xfId="123" xr:uid="{626BD4C3-443C-4BB0-A166-E33221010137}"/>
    <cellStyle name="60% - Accent3 2 3 2" xfId="124" xr:uid="{CF0B2D7C-5E06-499E-9EDC-7667A3DC6DA8}"/>
    <cellStyle name="60% - Accent3 2 3 2 2" xfId="1954" xr:uid="{DDC58B5B-5E72-448B-9F72-90E76144C547}"/>
    <cellStyle name="60% - Accent3 2 3 2 3" xfId="16555" xr:uid="{3E987DFC-F0A9-4DF5-BD9C-6273D6B5834F}"/>
    <cellStyle name="60% - Accent3 2 3 3" xfId="125" xr:uid="{8FEF11C7-DA5A-48BB-8062-3B3D97C65213}"/>
    <cellStyle name="60% - Accent3 2 3 3 2" xfId="1955" xr:uid="{91B28876-4413-43C9-B854-257B01743F65}"/>
    <cellStyle name="60% - Accent3 2 3 3 3" xfId="16556" xr:uid="{AD8A7A6F-043A-411D-9CCF-71D5F7C6EA43}"/>
    <cellStyle name="60% - Accent3 2 3 4" xfId="126" xr:uid="{C397AFDF-F15A-4E3B-B3AA-82C3CEA22421}"/>
    <cellStyle name="60% - Accent3 2 3 4 2" xfId="1956" xr:uid="{327CACE6-8683-44EA-A69B-3E30F8984EB6}"/>
    <cellStyle name="60% - Accent3 2 3 4 3" xfId="16557" xr:uid="{A87B8786-5517-4A2D-B8E1-AD00B7FBB57A}"/>
    <cellStyle name="60% - Accent3 2 3 5" xfId="1953" xr:uid="{9AE5E06E-4E32-44C6-BD82-5AF1925298D8}"/>
    <cellStyle name="60% - Accent3 2 3 6" xfId="16554" xr:uid="{E1B3BC19-4D82-42DC-BDE6-0895E23416B7}"/>
    <cellStyle name="60% - Accent3 2 4" xfId="1951" xr:uid="{D297FFCC-91ED-4A63-87F3-F442D71A93EF}"/>
    <cellStyle name="60% - Accent3 2 4 2" xfId="17678" xr:uid="{9CA86C1F-20B7-4BE0-A6B0-FD63645AC776}"/>
    <cellStyle name="60% - Accent3 2 4 3" xfId="12252" xr:uid="{EFB61AE2-F6BB-4410-B8DD-FBEA1FB46DE3}"/>
    <cellStyle name="60% - Accent3 2 5" xfId="16552" xr:uid="{BC53256F-CCFC-41A1-8183-7E243E17CF38}"/>
    <cellStyle name="60% - Accent3 2_Working Capital Current" xfId="15811" xr:uid="{92DE3DE7-9DB1-4B3B-9E7D-178CCC40A0ED}"/>
    <cellStyle name="60% - Accent3 3" xfId="127" xr:uid="{17B55156-FF63-4D78-975D-5FE959CD8F6F}"/>
    <cellStyle name="60% - Accent3 3 2" xfId="1957" xr:uid="{7F69647B-6D56-4AE1-962A-D936B8DF6065}"/>
    <cellStyle name="60% - Accent3 3 2 2" xfId="17680" xr:uid="{70E0BB64-6343-4132-9221-670BF972F5C2}"/>
    <cellStyle name="60% - Accent3 3 2 3" xfId="12254" xr:uid="{2F6976C3-A8C4-42A1-BE17-14FA5B8A4D4B}"/>
    <cellStyle name="60% - Accent3 3 3" xfId="16558" xr:uid="{34EA20D0-377B-4C43-BADC-0385C35B3668}"/>
    <cellStyle name="60% - Accent3 4" xfId="120" xr:uid="{BAEB5EB5-7F23-4501-BCB8-AC371B936A0B}"/>
    <cellStyle name="60% - Accent3 4 2" xfId="1950" xr:uid="{B5C69BCF-CD59-4415-8FAD-565EBCD5412A}"/>
    <cellStyle name="60% - Accent3 4 3" xfId="16551" xr:uid="{6A334CAF-F670-4436-9C34-2DC2874EBEB3}"/>
    <cellStyle name="60% - Accent3 5" xfId="1468" xr:uid="{3EED698F-930F-4B2C-B42E-B71937014723}"/>
    <cellStyle name="60% - Accent4" xfId="37" builtinId="44" customBuiltin="1"/>
    <cellStyle name="60% - Accent4 2" xfId="129" xr:uid="{AE106F80-2AA5-4F46-8E55-C4AFB95E45DD}"/>
    <cellStyle name="60% - Accent4 2 2" xfId="130" xr:uid="{E24F96F5-85FF-479F-9E97-0A7D72FE39E6}"/>
    <cellStyle name="60% - Accent4 2 2 2" xfId="1960" xr:uid="{481C7420-FE9E-4389-8D56-968A93C3BA93}"/>
    <cellStyle name="60% - Accent4 2 2 2 2" xfId="17682" xr:uid="{74A39583-D9F3-4D25-903D-6A0B9522480F}"/>
    <cellStyle name="60% - Accent4 2 2 2 3" xfId="12256" xr:uid="{59FC769F-D4F5-4506-9FE7-FE42BF31A7F0}"/>
    <cellStyle name="60% - Accent4 2 2 3" xfId="16561" xr:uid="{4A27285B-0329-4518-BB0F-117712C05143}"/>
    <cellStyle name="60% - Accent4 2 3" xfId="131" xr:uid="{3DA7913E-4182-4895-87D6-B248EA954E4A}"/>
    <cellStyle name="60% - Accent4 2 3 2" xfId="132" xr:uid="{A7C7409A-E17F-4091-AC4A-74C57C52DA0A}"/>
    <cellStyle name="60% - Accent4 2 3 2 2" xfId="1962" xr:uid="{41139BA9-0893-4C9E-86C0-B081F7320CC6}"/>
    <cellStyle name="60% - Accent4 2 3 2 3" xfId="16563" xr:uid="{F8A8D321-7F13-4C46-A4A2-9EF7CBA2236D}"/>
    <cellStyle name="60% - Accent4 2 3 3" xfId="133" xr:uid="{4B1857E6-8B12-4A17-A96D-84EDADA510FD}"/>
    <cellStyle name="60% - Accent4 2 3 3 2" xfId="1963" xr:uid="{6FBE40D4-B5AD-4EB2-92F1-10EF0CC6E7F7}"/>
    <cellStyle name="60% - Accent4 2 3 3 3" xfId="16564" xr:uid="{AE7F3F9E-84D5-4867-8CED-99E22DDE7EB5}"/>
    <cellStyle name="60% - Accent4 2 3 4" xfId="134" xr:uid="{24523C68-1CD7-44C5-A388-0C2537EF281B}"/>
    <cellStyle name="60% - Accent4 2 3 4 2" xfId="1964" xr:uid="{77606A7C-9384-4A10-85B9-C57A5781F45B}"/>
    <cellStyle name="60% - Accent4 2 3 4 3" xfId="16565" xr:uid="{0121595A-7701-4004-B8E6-AF00E83E2BA0}"/>
    <cellStyle name="60% - Accent4 2 3 5" xfId="1961" xr:uid="{7C268C73-043D-4C78-A75F-A3E12B9C80DC}"/>
    <cellStyle name="60% - Accent4 2 3 6" xfId="16562" xr:uid="{9AE8A2D2-4D18-4C97-A5A2-2E1766B7C047}"/>
    <cellStyle name="60% - Accent4 2 4" xfId="1959" xr:uid="{243D4EC2-15D5-41D7-A3D5-8F486DB66E4E}"/>
    <cellStyle name="60% - Accent4 2 4 2" xfId="17681" xr:uid="{B2F6DD26-85E8-4A9B-A3F5-60F5709A3E16}"/>
    <cellStyle name="60% - Accent4 2 4 3" xfId="12255" xr:uid="{95D22178-AE3D-4C70-819F-D49AC2294CFC}"/>
    <cellStyle name="60% - Accent4 2 5" xfId="16560" xr:uid="{55CF7A3E-8274-4ED9-A731-8D33EBBCDC27}"/>
    <cellStyle name="60% - Accent4 2_Working Capital Current" xfId="15812" xr:uid="{5EFB065B-DC92-4AF8-9A7C-85BE574C0CE1}"/>
    <cellStyle name="60% - Accent4 3" xfId="135" xr:uid="{8A1936B6-257C-404B-9AD2-D0C797011512}"/>
    <cellStyle name="60% - Accent4 3 2" xfId="1965" xr:uid="{67121FBE-7999-47BA-BF2A-D1574F290A6C}"/>
    <cellStyle name="60% - Accent4 3 2 2" xfId="17683" xr:uid="{B639946E-8705-4BE4-A35B-3D88B486F094}"/>
    <cellStyle name="60% - Accent4 3 2 3" xfId="12257" xr:uid="{47DA42DE-7C98-49BE-A300-65E94F668BC3}"/>
    <cellStyle name="60% - Accent4 3 3" xfId="16566" xr:uid="{A867B3D0-E41B-43C9-ABCC-A7320D84C905}"/>
    <cellStyle name="60% - Accent4 4" xfId="128" xr:uid="{30CEDB4B-849C-4808-9F2A-C832D552347F}"/>
    <cellStyle name="60% - Accent4 4 2" xfId="1958" xr:uid="{7ABCDFA3-AD2D-4784-AA25-574D1E65E9A8}"/>
    <cellStyle name="60% - Accent4 4 3" xfId="16559" xr:uid="{683C5FF2-1DAB-46D0-86D7-54AC8FA2C9F5}"/>
    <cellStyle name="60% - Accent4 5" xfId="1469" xr:uid="{2C04133C-1D18-45A7-9052-417AF8E96746}"/>
    <cellStyle name="60% - Accent5" xfId="41" builtinId="48" customBuiltin="1"/>
    <cellStyle name="60% - Accent5 2" xfId="137" xr:uid="{45285767-5CFA-492E-AF8A-F5F12DE183B4}"/>
    <cellStyle name="60% - Accent5 2 2" xfId="138" xr:uid="{17475296-1580-4E2C-981F-8AA11F7C7760}"/>
    <cellStyle name="60% - Accent5 2 2 2" xfId="1968" xr:uid="{9D24AD28-0F5F-472E-9EBF-721C0726F3D7}"/>
    <cellStyle name="60% - Accent5 2 2 2 2" xfId="17685" xr:uid="{24018516-0682-4ED5-BDCB-92FD772931E2}"/>
    <cellStyle name="60% - Accent5 2 2 2 3" xfId="12259" xr:uid="{CCA95ACD-6ACD-4197-87ED-BF9AC4F9919E}"/>
    <cellStyle name="60% - Accent5 2 2 3" xfId="16569" xr:uid="{9EB9261C-1BB4-4423-9F7F-93EB71410AE2}"/>
    <cellStyle name="60% - Accent5 2 3" xfId="1967" xr:uid="{575A8FBE-47C8-44B0-AE8B-E6967BF9FA5D}"/>
    <cellStyle name="60% - Accent5 2 3 2" xfId="17684" xr:uid="{5CE0A48C-F619-4171-8DB9-F218F803D616}"/>
    <cellStyle name="60% - Accent5 2 3 3" xfId="12258" xr:uid="{76CA49DF-C263-465F-A383-4FD5410CA312}"/>
    <cellStyle name="60% - Accent5 2 4" xfId="16568" xr:uid="{02F2AC58-64E0-438B-8ED6-2E1745053D3E}"/>
    <cellStyle name="60% - Accent5 2_Working Capital Current" xfId="15813" xr:uid="{A8CD7A0A-E7E2-40C5-B664-5728A1B2DDF1}"/>
    <cellStyle name="60% - Accent5 3" xfId="139" xr:uid="{883B2910-9349-4A19-A1D8-2E722B2F9A61}"/>
    <cellStyle name="60% - Accent5 3 2" xfId="1969" xr:uid="{14FBC2DD-D95C-446E-8A27-EB09C2C2B56D}"/>
    <cellStyle name="60% - Accent5 3 2 2" xfId="17686" xr:uid="{F6002CE6-0FD2-4B76-BFEE-6ECA50D4B4F4}"/>
    <cellStyle name="60% - Accent5 3 2 3" xfId="12260" xr:uid="{B4CFD6FF-9BEF-4219-9098-7F460EDF72EB}"/>
    <cellStyle name="60% - Accent5 3 3" xfId="16570" xr:uid="{38401022-A906-46AF-9607-1090B3DC5FFA}"/>
    <cellStyle name="60% - Accent5 4" xfId="136" xr:uid="{32E3EE52-2DBC-49F0-B751-8458F3528578}"/>
    <cellStyle name="60% - Accent5 4 2" xfId="1966" xr:uid="{8CA9C5BA-B23C-4489-B1A2-E6653BBD6640}"/>
    <cellStyle name="60% - Accent5 4 3" xfId="16567" xr:uid="{B8E6598E-FDD0-4B6A-86FE-22593A604C3D}"/>
    <cellStyle name="60% - Accent5 5" xfId="1470" xr:uid="{B5D4D76B-1070-4C43-B8F0-DFCFBE54BF44}"/>
    <cellStyle name="60% - Accent6" xfId="45" builtinId="52" customBuiltin="1"/>
    <cellStyle name="60% - Accent6 2" xfId="141" xr:uid="{56F1C088-7612-4A60-ABB6-B7944FA7F3BC}"/>
    <cellStyle name="60% - Accent6 2 2" xfId="142" xr:uid="{44FB64BA-C63B-466D-9E21-569E521FAE4D}"/>
    <cellStyle name="60% - Accent6 2 2 2" xfId="1972" xr:uid="{6090E708-A8F0-48D1-9338-01963B6BFF29}"/>
    <cellStyle name="60% - Accent6 2 2 2 2" xfId="17688" xr:uid="{8DB132A9-C49E-4AC4-84F5-AFDC077257AF}"/>
    <cellStyle name="60% - Accent6 2 2 2 3" xfId="12262" xr:uid="{C8FA8FCD-76D6-4EA4-836A-36299C839942}"/>
    <cellStyle name="60% - Accent6 2 2 3" xfId="16573" xr:uid="{E89369E4-CB51-4F9A-BF25-477509821956}"/>
    <cellStyle name="60% - Accent6 2 3" xfId="143" xr:uid="{B6BFD713-AD73-418A-92F1-63102B8CCC20}"/>
    <cellStyle name="60% - Accent6 2 3 2" xfId="144" xr:uid="{ADE97BC5-BB92-4BBE-B049-676F167539DA}"/>
    <cellStyle name="60% - Accent6 2 3 2 2" xfId="1974" xr:uid="{3D8354C8-7B7C-4476-A0BF-5D2883CE7469}"/>
    <cellStyle name="60% - Accent6 2 3 2 3" xfId="16575" xr:uid="{D707AEC2-5D4A-4390-AFA1-5BA8215C08B4}"/>
    <cellStyle name="60% - Accent6 2 3 3" xfId="145" xr:uid="{56B3F389-5793-4658-B6F7-3C6C0D928974}"/>
    <cellStyle name="60% - Accent6 2 3 3 2" xfId="1975" xr:uid="{972A0120-0B00-4614-8C65-BEDB41D84E7D}"/>
    <cellStyle name="60% - Accent6 2 3 3 3" xfId="16576" xr:uid="{94B1C1F2-7974-4C65-98B2-48D0FE7A92C8}"/>
    <cellStyle name="60% - Accent6 2 3 4" xfId="146" xr:uid="{BF17BF02-419F-4B07-B392-FF720E899D1D}"/>
    <cellStyle name="60% - Accent6 2 3 4 2" xfId="1976" xr:uid="{BB61A9DF-B240-4E11-97EC-C248BE87FD59}"/>
    <cellStyle name="60% - Accent6 2 3 4 3" xfId="16577" xr:uid="{F38A46AC-81FF-4F60-A56F-81027C4BB0D9}"/>
    <cellStyle name="60% - Accent6 2 3 5" xfId="1973" xr:uid="{48F6BE6F-0BB2-47C0-9ACD-C7F34DFAC365}"/>
    <cellStyle name="60% - Accent6 2 3 6" xfId="16574" xr:uid="{E6B17A6C-363A-4E36-8E0C-5BCABC86F3B8}"/>
    <cellStyle name="60% - Accent6 2 4" xfId="1971" xr:uid="{E54156D1-3DA4-4E08-A820-40E963C2F92B}"/>
    <cellStyle name="60% - Accent6 2 4 2" xfId="17687" xr:uid="{F66A39BD-4E10-4A44-8A03-84F7722B26BC}"/>
    <cellStyle name="60% - Accent6 2 4 3" xfId="12261" xr:uid="{636FF173-5359-4A18-9C57-01074308BB92}"/>
    <cellStyle name="60% - Accent6 2 5" xfId="16572" xr:uid="{4C964025-BC20-48BC-A608-60F3B2D07D0A}"/>
    <cellStyle name="60% - Accent6 2_Working Capital Current" xfId="15814" xr:uid="{AA3D5455-452E-4A15-9944-322A1EE83608}"/>
    <cellStyle name="60% - Accent6 3" xfId="147" xr:uid="{930CBB99-E5F2-4CA8-B914-58DC09A150D2}"/>
    <cellStyle name="60% - Accent6 3 2" xfId="1977" xr:uid="{126E2BD0-9FCC-4C10-B9C1-129FE66C2A96}"/>
    <cellStyle name="60% - Accent6 3 2 2" xfId="17689" xr:uid="{DF44F5CE-78B6-4477-92EE-531AB835FEB9}"/>
    <cellStyle name="60% - Accent6 3 2 3" xfId="12263" xr:uid="{51E0FBF5-93A0-4113-BFA3-8FC14B0C95EB}"/>
    <cellStyle name="60% - Accent6 3 3" xfId="16578" xr:uid="{F099E9C2-DD77-4C06-8E6F-304BDE9B93E0}"/>
    <cellStyle name="60% - Accent6 4" xfId="140" xr:uid="{532C2EAE-3E78-4B7E-B7D7-3BB517419DC3}"/>
    <cellStyle name="60% - Accent6 4 2" xfId="1970" xr:uid="{C4E3790A-31D3-4251-89CC-96EF10086C7A}"/>
    <cellStyle name="60% - Accent6 4 3" xfId="16571" xr:uid="{A38D151D-72FE-4AC9-90FD-68B9960DDEB7}"/>
    <cellStyle name="60% - Accent6 5" xfId="1471" xr:uid="{F714657F-803B-4737-8F13-09F19C43E033}"/>
    <cellStyle name="Accent1" xfId="22" builtinId="29" customBuiltin="1"/>
    <cellStyle name="Accent1 2" xfId="148" xr:uid="{B49A2826-1BAD-44B6-A471-DF2BEAD2401D}"/>
    <cellStyle name="Accent1 2 2" xfId="149" xr:uid="{8770EB86-290D-4F18-8E7E-A50971902780}"/>
    <cellStyle name="Accent1 2 2 2" xfId="1979" xr:uid="{CBFCD768-2501-407F-94D1-1055A645278D}"/>
    <cellStyle name="Accent1 2 2 2 2" xfId="17691" xr:uid="{D4ADC20F-79AA-4E34-BC4A-5C4EE4AE9556}"/>
    <cellStyle name="Accent1 2 2 2 3" xfId="12265" xr:uid="{92EF2FFC-0A02-4875-8BAC-AF8185F34815}"/>
    <cellStyle name="Accent1 2 2 3" xfId="16580" xr:uid="{72DC00B5-4921-40C2-BBEF-B33236DA982B}"/>
    <cellStyle name="Accent1 2 3" xfId="1978" xr:uid="{A98111B1-9637-4A79-9138-4BC81217314B}"/>
    <cellStyle name="Accent1 2 3 2" xfId="17690" xr:uid="{A25B286E-8F9A-40A8-9BB2-4F9ACCA9C5A1}"/>
    <cellStyle name="Accent1 2 3 3" xfId="12264" xr:uid="{3F24482A-8DB2-454D-96E5-EB6317DB277C}"/>
    <cellStyle name="Accent1 2 4" xfId="16579" xr:uid="{8DF85770-7A57-4B0E-9805-9F84C3A6FCF0}"/>
    <cellStyle name="Accent1 2_Working Capital Current" xfId="15815" xr:uid="{28636018-5E69-4528-91E3-7B3BE4D9A163}"/>
    <cellStyle name="Accent1 3" xfId="150" xr:uid="{37602F6B-4AF7-48D2-8ED7-AEE2EE04D3D2}"/>
    <cellStyle name="Accent1 3 2" xfId="1980" xr:uid="{5C7D3740-F674-45EA-8558-D64DCE6D40ED}"/>
    <cellStyle name="Accent1 3 2 2" xfId="17692" xr:uid="{E5003924-546B-4A03-82AF-F8A1A02A87B2}"/>
    <cellStyle name="Accent1 3 2 3" xfId="12266" xr:uid="{01B4062E-E45F-4676-9DF5-23AFEB5DB81F}"/>
    <cellStyle name="Accent1 3 3" xfId="16581" xr:uid="{88FF2A71-C036-466E-9E5F-4D2C5EC29B5A}"/>
    <cellStyle name="Accent1 4" xfId="1864" xr:uid="{C1EBCBDC-5F0E-4414-A7E2-CA3291E3702E}"/>
    <cellStyle name="Accent1 5" xfId="16485" xr:uid="{7B2ADB9D-345A-4853-9245-108A10AF82E3}"/>
    <cellStyle name="Accent1 6" xfId="16998" xr:uid="{FE65051B-F52E-4D4E-9199-12303D2E0DBB}"/>
    <cellStyle name="Accent1 7" xfId="3911" xr:uid="{6C0DD45E-7B77-4E64-8547-371C5D8938E4}"/>
    <cellStyle name="Accent1 8" xfId="18344" xr:uid="{6169C8EA-F7FB-4D76-88A9-1410DB8407AF}"/>
    <cellStyle name="Accent2" xfId="26" builtinId="33" customBuiltin="1"/>
    <cellStyle name="Accent2 2" xfId="151" xr:uid="{0E0B9CB0-861A-40FD-BC9A-A1FF65E03187}"/>
    <cellStyle name="Accent2 2 2" xfId="152" xr:uid="{AC492431-56A5-4423-A368-0059C38D3238}"/>
    <cellStyle name="Accent2 2 2 2" xfId="1982" xr:uid="{0F879BFF-7416-4AF7-B249-DE0DB5E0E52B}"/>
    <cellStyle name="Accent2 2 2 2 2" xfId="17694" xr:uid="{DACC3F46-02E0-4C19-B04A-79A82ADFFFA7}"/>
    <cellStyle name="Accent2 2 2 2 3" xfId="12268" xr:uid="{D4C88BDA-0478-4770-92A6-624ED0D5B69F}"/>
    <cellStyle name="Accent2 2 2 3" xfId="16583" xr:uid="{897106E4-249A-402F-9917-0E00F04AC1B0}"/>
    <cellStyle name="Accent2 2 3" xfId="1981" xr:uid="{3BA20C02-40D5-48E3-B479-154347540212}"/>
    <cellStyle name="Accent2 2 3 2" xfId="17693" xr:uid="{6E4747A6-4E3D-4C1B-96BF-F017C7E0156B}"/>
    <cellStyle name="Accent2 2 3 3" xfId="12267" xr:uid="{E97A4CD6-9F4C-4D4E-9DC4-54F40D6AFF36}"/>
    <cellStyle name="Accent2 2 4" xfId="16582" xr:uid="{C1B803CF-6950-4584-A847-886B182EB485}"/>
    <cellStyle name="Accent2 2_Working Capital Current" xfId="15816" xr:uid="{0B4BDDEC-F0C5-4FB7-9CD7-C377A4DD2DCA}"/>
    <cellStyle name="Accent2 3" xfId="153" xr:uid="{A04FB12E-AB4D-4CF7-939F-A7059CE2DDB1}"/>
    <cellStyle name="Accent2 3 2" xfId="1983" xr:uid="{511BAC36-CCC0-4CB0-A724-5D0A1D2842B8}"/>
    <cellStyle name="Accent2 3 2 2" xfId="17695" xr:uid="{76F62647-33D5-4950-91E1-5CD108EFEC41}"/>
    <cellStyle name="Accent2 3 2 3" xfId="12269" xr:uid="{321CE499-CC6B-4A4F-AC9D-8F2DFBD2098B}"/>
    <cellStyle name="Accent2 3 3" xfId="16584" xr:uid="{3045AD38-B68F-46A1-87E9-4E6890980598}"/>
    <cellStyle name="Accent2 4" xfId="1867" xr:uid="{2422108A-3612-4584-948F-7780A03DE3F5}"/>
    <cellStyle name="Accent2 5" xfId="16488" xr:uid="{E60E6AF5-CCEA-4C2D-89A6-68AF2B13ADD5}"/>
    <cellStyle name="Accent2 6" xfId="16995" xr:uid="{6BDC7192-84C8-4FFD-A45F-314196DAC7AE}"/>
    <cellStyle name="Accent2 7" xfId="3909" xr:uid="{1AFC3691-4082-4FB6-B90D-556B132EF0BF}"/>
    <cellStyle name="Accent2 8" xfId="18256" xr:uid="{7FCA49AD-5293-4E48-93B1-429CDAE6895B}"/>
    <cellStyle name="Accent3" xfId="30" builtinId="37" customBuiltin="1"/>
    <cellStyle name="Accent3 2" xfId="154" xr:uid="{586627FC-9015-4124-ABC6-F46CD8B7C14F}"/>
    <cellStyle name="Accent3 2 2" xfId="155" xr:uid="{B9FE78A7-15B6-40C5-9899-AF8A5CBA849B}"/>
    <cellStyle name="Accent3 2 2 2" xfId="1985" xr:uid="{E23E60AE-B584-4A10-A35A-0BA37D1FD909}"/>
    <cellStyle name="Accent3 2 2 2 2" xfId="17697" xr:uid="{6C58D6AB-C68A-497F-9F0E-F5B6B81B9109}"/>
    <cellStyle name="Accent3 2 2 2 3" xfId="12271" xr:uid="{020608BA-5E8F-4D08-A6E5-BCACAE76DD32}"/>
    <cellStyle name="Accent3 2 2 3" xfId="16586" xr:uid="{6802EFC0-4EC7-4FFB-A470-168E08A2134F}"/>
    <cellStyle name="Accent3 2 3" xfId="1984" xr:uid="{6116764C-42DA-4555-8407-19549BAE5A84}"/>
    <cellStyle name="Accent3 2 3 2" xfId="17696" xr:uid="{BADE0A30-AB31-4AE0-9BA8-EC7530CA4ACC}"/>
    <cellStyle name="Accent3 2 3 3" xfId="12270" xr:uid="{64568714-9038-4E77-AE8A-12CEAAC42996}"/>
    <cellStyle name="Accent3 2 4" xfId="16585" xr:uid="{6FBE2D21-5CB7-4BCE-A1C1-3F4701D9177E}"/>
    <cellStyle name="Accent3 2_Working Capital Current" xfId="15817" xr:uid="{747E93C7-944C-4DBC-9DF6-73ED03895171}"/>
    <cellStyle name="Accent3 3" xfId="156" xr:uid="{1F9280BE-24F3-4444-B88B-0CCE299C8675}"/>
    <cellStyle name="Accent3 3 2" xfId="1986" xr:uid="{5DF63BD0-2A15-44EA-B61F-0D93857AB0AA}"/>
    <cellStyle name="Accent3 3 2 2" xfId="17698" xr:uid="{4CE1B513-B0CA-4964-BBBB-61BC8829CA90}"/>
    <cellStyle name="Accent3 3 2 3" xfId="12272" xr:uid="{70DC30BE-B1CA-4E24-B78B-7E98EC027D8B}"/>
    <cellStyle name="Accent3 3 3" xfId="16587" xr:uid="{18A4C938-78C9-44D1-BE03-4EDE031524DA}"/>
    <cellStyle name="Accent3 4" xfId="1870" xr:uid="{C33984A3-3ABA-40E8-BE3B-9130E1DAD5E3}"/>
    <cellStyle name="Accent3 5" xfId="16491" xr:uid="{E0088A80-AEDE-4F63-A4F3-890D702C8C91}"/>
    <cellStyle name="Accent3 6" xfId="16992" xr:uid="{30A34440-E860-463F-86DD-37171E735387}"/>
    <cellStyle name="Accent3 7" xfId="3906" xr:uid="{A7BC2AF5-B6C6-48FF-A287-3425F17D09EA}"/>
    <cellStyle name="Accent3 8" xfId="18310" xr:uid="{BB837272-86F8-4444-B12B-608C41134345}"/>
    <cellStyle name="Accent4" xfId="34" builtinId="41" customBuiltin="1"/>
    <cellStyle name="Accent4 2" xfId="157" xr:uid="{D97D10E9-4C06-41F1-A2A8-91EFC3570A2E}"/>
    <cellStyle name="Accent4 2 2" xfId="158" xr:uid="{3B389940-9EB6-4912-AEF6-8AE03ACBCFFE}"/>
    <cellStyle name="Accent4 2 2 2" xfId="1988" xr:uid="{41EA7847-2C48-49BA-B9D4-05B33682EB69}"/>
    <cellStyle name="Accent4 2 2 2 2" xfId="17700" xr:uid="{2DDB5539-EAB8-4FC7-A7B1-7387FD76BFE9}"/>
    <cellStyle name="Accent4 2 2 2 3" xfId="12274" xr:uid="{25B1189F-7816-4BBA-AEC8-9E9E117517AD}"/>
    <cellStyle name="Accent4 2 2 3" xfId="16589" xr:uid="{9E5FB88A-01F1-4DD8-98DE-27A5C4B11DDD}"/>
    <cellStyle name="Accent4 2 3" xfId="1987" xr:uid="{26ED7B3D-5567-4C57-9DCD-C94E24A0B23E}"/>
    <cellStyle name="Accent4 2 3 2" xfId="17699" xr:uid="{19EF6B1F-7680-4FE0-BB90-217D54ACC295}"/>
    <cellStyle name="Accent4 2 3 3" xfId="12273" xr:uid="{B10B8A45-CF4E-4D85-B70C-C4261FFFEED6}"/>
    <cellStyle name="Accent4 2 4" xfId="16588" xr:uid="{3F907D3E-CAD1-43B0-8A2D-677E5C005F41}"/>
    <cellStyle name="Accent4 2_Working Capital Current" xfId="15818" xr:uid="{ABBB4173-9860-4ACC-94BA-3B809B0F7813}"/>
    <cellStyle name="Accent4 3" xfId="159" xr:uid="{9D07A798-D035-4631-B5EE-225C34C3D0C2}"/>
    <cellStyle name="Accent4 3 2" xfId="1989" xr:uid="{415EE573-636D-4081-94F6-10F9BB41D233}"/>
    <cellStyle name="Accent4 3 2 2" xfId="17701" xr:uid="{44E1A0D4-E2E8-44CD-BA0E-099280317C46}"/>
    <cellStyle name="Accent4 3 2 3" xfId="12275" xr:uid="{9CABDFDB-A106-4D05-8671-88386BCEF796}"/>
    <cellStyle name="Accent4 3 3" xfId="16590" xr:uid="{AE9B21F2-5070-471E-BD7D-AAF535BC40D3}"/>
    <cellStyle name="Accent4 4" xfId="1873" xr:uid="{06C7EB82-8199-47A2-BF33-B96A1CB1E4D1}"/>
    <cellStyle name="Accent4 5" xfId="16494" xr:uid="{535EE635-C85A-4846-8C35-1C4A521783CF}"/>
    <cellStyle name="Accent4 6" xfId="16989" xr:uid="{1494FAC9-490A-4C9C-BC3F-4A46CBA4C92B}"/>
    <cellStyle name="Accent4 7" xfId="3903" xr:uid="{AC675919-04D3-4E6D-B2AF-6BA27E7E5A87}"/>
    <cellStyle name="Accent4 8" xfId="17770" xr:uid="{C139216F-325A-432B-B3CB-BE56FE44A91C}"/>
    <cellStyle name="Accent5" xfId="38" builtinId="45" customBuiltin="1"/>
    <cellStyle name="Accent5 2" xfId="160" xr:uid="{B36587CC-57B1-4A4F-AD42-0DF2CEDBCF62}"/>
    <cellStyle name="Accent5 2 2" xfId="161" xr:uid="{1471EFBB-CD56-4E74-9B6F-1A933932B1AC}"/>
    <cellStyle name="Accent5 2 2 2" xfId="1991" xr:uid="{723990D5-A08A-4F64-9D97-503A6D5C3944}"/>
    <cellStyle name="Accent5 2 2 2 2" xfId="17703" xr:uid="{59045CC3-634D-467E-8B6E-C8D582BD16FB}"/>
    <cellStyle name="Accent5 2 2 2 3" xfId="12277" xr:uid="{54CFF4BD-6278-4E63-AA41-2814701A7F01}"/>
    <cellStyle name="Accent5 2 2 3" xfId="16592" xr:uid="{C9DD6C10-013A-4792-8552-7C6DD2C4C3F3}"/>
    <cellStyle name="Accent5 2 3" xfId="1990" xr:uid="{8B99BECD-4351-4F77-8CEE-085A0781D916}"/>
    <cellStyle name="Accent5 2 3 2" xfId="17702" xr:uid="{29F0F54F-A25A-492F-9D27-37129657DA84}"/>
    <cellStyle name="Accent5 2 3 3" xfId="12276" xr:uid="{1C0DD6DF-A2CA-49A3-9410-581CECD5F4E7}"/>
    <cellStyle name="Accent5 2 4" xfId="16591" xr:uid="{FAAE0AD8-B4E7-4200-881D-2BC50CA4B5B3}"/>
    <cellStyle name="Accent5 2_Working Capital Current" xfId="15819" xr:uid="{805AA680-E786-44BD-B1C7-D5B80E540C3E}"/>
    <cellStyle name="Accent5 3" xfId="162" xr:uid="{8CD3CD4A-66FF-43D0-A38C-40C01016AFB1}"/>
    <cellStyle name="Accent5 3 2" xfId="1992" xr:uid="{4AF19B1A-4E29-4B10-BFDD-95FED3BC5544}"/>
    <cellStyle name="Accent5 3 2 2" xfId="17704" xr:uid="{277F4F60-A1B3-4831-80D1-3CFBA5E7F5EC}"/>
    <cellStyle name="Accent5 3 2 3" xfId="12278" xr:uid="{32A16054-6EE2-4BEB-9AD4-9DB6AFE2AD3D}"/>
    <cellStyle name="Accent5 3 3" xfId="16593" xr:uid="{F90ECB77-FC66-43DA-8C62-19C6AD62C05C}"/>
    <cellStyle name="Accent5 4" xfId="1876" xr:uid="{5886DCC1-D2AC-48CD-B762-8456081F10D7}"/>
    <cellStyle name="Accent5 5" xfId="16497" xr:uid="{5E3257C0-8C15-4E8D-A73A-50C4B3403B3F}"/>
    <cellStyle name="Accent5 6" xfId="16986" xr:uid="{CAF75652-940C-40DF-A4DB-016D52CC0D05}"/>
    <cellStyle name="Accent5 7" xfId="3900" xr:uid="{15A25706-A8DC-4EF7-8E46-FBD0FDD6536F}"/>
    <cellStyle name="Accent5 8" xfId="18244" xr:uid="{E45F8127-BAC2-4681-A943-0743B4B67769}"/>
    <cellStyle name="Accent6" xfId="42" builtinId="49" customBuiltin="1"/>
    <cellStyle name="Accent6 2" xfId="163" xr:uid="{2ADA9E04-19B5-4C33-9F10-ECA54C06FD05}"/>
    <cellStyle name="Accent6 2 2" xfId="164" xr:uid="{F964B012-9671-464F-B0FB-6DC3FA63CBC5}"/>
    <cellStyle name="Accent6 2 2 2" xfId="1994" xr:uid="{6EC5327A-D1BF-46FB-B756-03E98D431011}"/>
    <cellStyle name="Accent6 2 2 2 2" xfId="17706" xr:uid="{C9705350-992E-4447-9BA4-2990E25B63C5}"/>
    <cellStyle name="Accent6 2 2 2 3" xfId="12280" xr:uid="{3913009C-94D2-47D2-982E-86EBAE07B1BA}"/>
    <cellStyle name="Accent6 2 2 3" xfId="16595" xr:uid="{5EA6CF34-FF37-48B2-9013-18C1E9A241A3}"/>
    <cellStyle name="Accent6 2 3" xfId="1993" xr:uid="{17646EFB-9203-4F28-9BA4-0B9AE039C731}"/>
    <cellStyle name="Accent6 2 3 2" xfId="17705" xr:uid="{0C7D6B7F-2968-451F-982D-87ECFEA07DDC}"/>
    <cellStyle name="Accent6 2 3 3" xfId="12279" xr:uid="{522B6959-1F2F-474B-AF64-1C0D4A977A2F}"/>
    <cellStyle name="Accent6 2 4" xfId="16594" xr:uid="{E8C8F20B-AE85-43BC-9BA1-CF9AA95BC484}"/>
    <cellStyle name="Accent6 2_Working Capital Current" xfId="15820" xr:uid="{91CED1DB-8B9B-40BB-92CE-5AF6AC2E3215}"/>
    <cellStyle name="Accent6 3" xfId="165" xr:uid="{EA8D8CFC-DD29-4D8C-BB80-800274FA2F48}"/>
    <cellStyle name="Accent6 3 2" xfId="1995" xr:uid="{D47DC099-2192-4600-909B-2B72379FEFF8}"/>
    <cellStyle name="Accent6 3 2 2" xfId="17707" xr:uid="{967AAD7E-5FA5-4EB8-AEEE-4846F4C26DF3}"/>
    <cellStyle name="Accent6 3 2 3" xfId="12281" xr:uid="{D87E098F-A720-443D-A226-683C5D29E8E3}"/>
    <cellStyle name="Accent6 3 3" xfId="16596" xr:uid="{5735463A-FF80-4EEF-B3F0-AB0FB8BA7C06}"/>
    <cellStyle name="Accent6 4" xfId="1879" xr:uid="{7F72D924-880E-49C8-8A68-CC5A1BA5D630}"/>
    <cellStyle name="Accent6 5" xfId="16500" xr:uid="{9E6E8317-8996-4620-B120-60F1AD67D39C}"/>
    <cellStyle name="Accent6 6" xfId="16983" xr:uid="{6AD302FD-2166-4620-A272-5CBF8645A190}"/>
    <cellStyle name="Accent6 7" xfId="3897" xr:uid="{4FA982ED-0C7D-4FC7-B2E1-94E1CC314D4D}"/>
    <cellStyle name="Accent6 8" xfId="18290" xr:uid="{E8D8B9D8-95D3-46CE-AFC3-92A33D7FEF81}"/>
    <cellStyle name="args.style" xfId="166" xr:uid="{5B34D755-6406-4685-9930-34FAB6259C86}"/>
    <cellStyle name="args.style 2" xfId="1996" xr:uid="{68EC7406-EB06-4E59-877B-AAA4ACFC5823}"/>
    <cellStyle name="args.style 3" xfId="16597" xr:uid="{B5E29FE9-8077-468A-9D8B-8EBC395CD783}"/>
    <cellStyle name="back" xfId="167" xr:uid="{D699958D-E79D-40BD-9816-3AC47F1C3B4E}"/>
    <cellStyle name="back 2" xfId="1997" xr:uid="{082EDD27-0C6D-4240-BD70-F2ADC97FC5FC}"/>
    <cellStyle name="back 3" xfId="16598" xr:uid="{46BFBCD0-2F14-4079-8224-55F188BFDD17}"/>
    <cellStyle name="Bad" xfId="11" builtinId="27" customBuiltin="1"/>
    <cellStyle name="Bad 2" xfId="168" xr:uid="{7FC6907E-82ED-4D20-AF66-B0E0CAADCC0D}"/>
    <cellStyle name="Bad 2 2" xfId="169" xr:uid="{669A4EAF-E8F5-4383-BD3A-E4EA311B1F1C}"/>
    <cellStyle name="Bad 2 2 2" xfId="1999" xr:uid="{0D1CBBEA-CA23-4F70-9F53-B9BBF5B98824}"/>
    <cellStyle name="Bad 2 2 2 2" xfId="17709" xr:uid="{977560D6-1C6E-495B-8F3E-546410A7C2DC}"/>
    <cellStyle name="Bad 2 2 2 3" xfId="12283" xr:uid="{DF69FD10-0328-4429-802A-7C0D5CED16C0}"/>
    <cellStyle name="Bad 2 2 3" xfId="16600" xr:uid="{FD7BD020-5A61-48F0-8C03-FE35E5A3974A}"/>
    <cellStyle name="Bad 2 3" xfId="1998" xr:uid="{E64FBE07-AC75-49BE-91ED-9E1DF6E6CA00}"/>
    <cellStyle name="Bad 2 3 2" xfId="17708" xr:uid="{75F8E96D-1DD6-4644-B4AA-B5935E82D93B}"/>
    <cellStyle name="Bad 2 3 3" xfId="12282" xr:uid="{BD4092A1-BCE3-44BE-B0E3-17AB2D376612}"/>
    <cellStyle name="Bad 2 4" xfId="16599" xr:uid="{A722E8F4-5E4F-4D6D-9A12-E2003ED0DD25}"/>
    <cellStyle name="Bad 2_Working Capital Current" xfId="15821" xr:uid="{DDBA43E8-E123-4933-890B-EF70DC757BF3}"/>
    <cellStyle name="Bad 3" xfId="170" xr:uid="{075E59E7-9683-4AB2-8642-C450449BBB6E}"/>
    <cellStyle name="Bad 3 2" xfId="2000" xr:uid="{EC0D0A7C-BE41-4203-BCC3-6513B7BF449B}"/>
    <cellStyle name="Bad 3 2 2" xfId="17710" xr:uid="{BE187C57-2265-42D3-9832-488E868BCB63}"/>
    <cellStyle name="Bad 3 2 3" xfId="12284" xr:uid="{4410D177-24B6-447D-BF12-1BA17C7BC549}"/>
    <cellStyle name="Bad 3 3" xfId="16601" xr:uid="{901E9FDD-7308-46C0-B945-53BCDF54F9D1}"/>
    <cellStyle name="Bad 4" xfId="1856" xr:uid="{B8EA72DE-28A2-43B6-957E-6C2A836EE841}"/>
    <cellStyle name="Bad 5" xfId="16477" xr:uid="{9A7569EC-E983-457F-967F-55E875BD774E}"/>
    <cellStyle name="Bad 6" xfId="17009" xr:uid="{2849A3AA-D763-4A18-BF6A-A00FF7170287}"/>
    <cellStyle name="Bad 7" xfId="17247" xr:uid="{1EC1DF4A-3273-4781-8629-7C2416FE1119}"/>
    <cellStyle name="Bad 8" xfId="18347" xr:uid="{A3EF6273-CDDC-4631-A284-CE8A58267A7B}"/>
    <cellStyle name="blp_column_header" xfId="171" xr:uid="{8969501A-AA1A-4529-8515-9FB6DFE92712}"/>
    <cellStyle name="Box" xfId="172" xr:uid="{5812098C-D93A-4339-A012-6219AC52D4A6}"/>
    <cellStyle name="Box 2" xfId="2001" xr:uid="{0AC1F3D4-CA61-436A-8D08-6FD9E30E91E5}"/>
    <cellStyle name="Box 2 2" xfId="18313" xr:uid="{E1B56EF1-DEB7-4490-AB50-468125A85153}"/>
    <cellStyle name="Box 3" xfId="16602" xr:uid="{BD4497D6-E714-43B2-8BC7-3C0161B1FF90}"/>
    <cellStyle name="Box 3 2" xfId="18260" xr:uid="{6D3EBD4B-787E-42CD-BE9F-A0C66273B6DB}"/>
    <cellStyle name="Box 4" xfId="3885" xr:uid="{AAB7BF90-0BE2-4369-98D5-672981BAE4FB}"/>
    <cellStyle name="Calculation" xfId="15" builtinId="22" customBuiltin="1"/>
    <cellStyle name="Calculation 2" xfId="173" xr:uid="{D7CFB896-C715-4BAC-9A04-DB7043575D1E}"/>
    <cellStyle name="Calculation 2 2" xfId="174" xr:uid="{62DBA56A-0D9B-4525-9DEE-B804EA616F5B}"/>
    <cellStyle name="Calculation 2 2 2" xfId="2003" xr:uid="{18761DEC-D39F-4644-A2DC-D6A2EF5759B6}"/>
    <cellStyle name="Calculation 2 2 2 2" xfId="17712" xr:uid="{60C331FE-242C-41AC-9F71-12E4349986DA}"/>
    <cellStyle name="Calculation 2 2 2 2 2" xfId="18315" xr:uid="{730139F2-B738-4CBC-A252-9991B9B4D2C9}"/>
    <cellStyle name="Calculation 2 2 2 3" xfId="12286" xr:uid="{D04468AB-B568-40A5-A90F-9C73F80095B6}"/>
    <cellStyle name="Calculation 2 2 3" xfId="16604" xr:uid="{A6F5E0EB-1E28-4F74-9BDD-9C62FC73D307}"/>
    <cellStyle name="Calculation 2 2 3 2" xfId="18262" xr:uid="{E26D2661-C349-4F19-8C0E-E46FC6C53BAF}"/>
    <cellStyle name="Calculation 2 2 4" xfId="3883" xr:uid="{31ECBCBD-3414-49E3-A777-798E2728768C}"/>
    <cellStyle name="Calculation 2 3" xfId="2002" xr:uid="{9519912E-D3ED-4DFC-B35D-3640593810D1}"/>
    <cellStyle name="Calculation 2 3 2" xfId="17711" xr:uid="{59EA3EF1-B85B-4BF0-933E-34DA351649F9}"/>
    <cellStyle name="Calculation 2 3 2 2" xfId="18314" xr:uid="{045ACC32-2581-43B4-9D15-B4F76518B837}"/>
    <cellStyle name="Calculation 2 3 3" xfId="12285" xr:uid="{D437482E-D9CA-49F9-88CE-B984F8E9E00C}"/>
    <cellStyle name="Calculation 2 4" xfId="16603" xr:uid="{4B25AA74-49AF-4EA2-8441-01456D7A3632}"/>
    <cellStyle name="Calculation 2 4 2" xfId="18261" xr:uid="{C9FC39D9-1A2F-4BEC-92D2-213EA163E98B}"/>
    <cellStyle name="Calculation 2 5" xfId="3884" xr:uid="{C767F40F-5188-4496-ACF0-7CE5C1DD1ABA}"/>
    <cellStyle name="Calculation 2_Working Capital Current" xfId="15822" xr:uid="{C5F93E94-8928-4A3B-B116-30B8F6A5FBE2}"/>
    <cellStyle name="Calculation 3" xfId="175" xr:uid="{FC2D0988-E32C-4200-BD4C-A00C08E37750}"/>
    <cellStyle name="Calculation 3 2" xfId="2004" xr:uid="{C50E4176-E243-4CF1-A1C0-E52FF9E203C3}"/>
    <cellStyle name="Calculation 3 2 2" xfId="17713" xr:uid="{64432D82-64C7-4A5B-B889-CE310443F17A}"/>
    <cellStyle name="Calculation 3 2 2 2" xfId="18316" xr:uid="{33FFA911-AA22-4EDB-9FFE-4955990CD67E}"/>
    <cellStyle name="Calculation 3 2 3" xfId="12287" xr:uid="{B4BD15D3-9441-4D5E-A81A-B24C5A21E5A2}"/>
    <cellStyle name="Calculation 3 3" xfId="16605" xr:uid="{8A93928D-DC9F-46DA-BEBA-A537D9929676}"/>
    <cellStyle name="Calculation 3 3 2" xfId="18263" xr:uid="{FE85C4CB-4ACE-4C00-8B8D-4F8907D24954}"/>
    <cellStyle name="Calculation 3 4" xfId="3882" xr:uid="{0F44A21E-19FF-441C-9474-60C909936A0F}"/>
    <cellStyle name="Calculation 4" xfId="1858" xr:uid="{E802EE78-E51B-4F9F-889E-44C4A20CFBEB}"/>
    <cellStyle name="Calculation 5" xfId="16479" xr:uid="{876EEC55-5CBA-4DD8-9644-2C4132937A72}"/>
    <cellStyle name="Calculation 6" xfId="17007" xr:uid="{6C920C54-7763-482B-9B29-8BB0CEF6E46E}"/>
    <cellStyle name="Calculation 7" xfId="3913" xr:uid="{5EF4DB86-145C-4B79-B374-99EB25C1C80A}"/>
    <cellStyle name="Calculation 8" xfId="17767" xr:uid="{0E9D1E97-AFB3-43BE-8B01-01DEEF38E489}"/>
    <cellStyle name="Check Cell" xfId="17" builtinId="23" customBuiltin="1"/>
    <cellStyle name="Check Cell 2" xfId="176" xr:uid="{0C78DE89-4612-4AB6-A88F-0A971E82719C}"/>
    <cellStyle name="Check Cell 2 2" xfId="177" xr:uid="{B4D4BFC2-C2BF-4126-98FD-65AEA339C8B7}"/>
    <cellStyle name="Check Cell 2 2 2" xfId="2006" xr:uid="{13EDA729-E434-4B5E-A7EB-EC6F087AEC1D}"/>
    <cellStyle name="Check Cell 2 2 2 2" xfId="17715" xr:uid="{105B2D70-1F6B-456E-8B61-AA56BD9C9FA7}"/>
    <cellStyle name="Check Cell 2 2 2 3" xfId="12289" xr:uid="{AFBA2C4A-F362-495D-AE9F-7948402F38ED}"/>
    <cellStyle name="Check Cell 2 2 3" xfId="16607" xr:uid="{C71CF628-7BB8-4E65-85D2-BCE49A0F7135}"/>
    <cellStyle name="Check Cell 2 3" xfId="2005" xr:uid="{05805842-4A90-4544-B298-6364F2208DDB}"/>
    <cellStyle name="Check Cell 2 3 2" xfId="17714" xr:uid="{2EE979A4-31A8-48EB-B33D-30F2DA6C379D}"/>
    <cellStyle name="Check Cell 2 3 3" xfId="12288" xr:uid="{825C9E7F-BCCD-4FE4-9099-5C4458A8F1A0}"/>
    <cellStyle name="Check Cell 2 4" xfId="16606" xr:uid="{83C3E1D8-2A77-459D-BDB9-B5BB55BBE204}"/>
    <cellStyle name="Check Cell 2_Working Capital Current" xfId="15823" xr:uid="{AC2F27B9-0593-4FB2-9787-1D1686B812FC}"/>
    <cellStyle name="Check Cell 3" xfId="178" xr:uid="{1D148DAE-ADD9-4BFC-B65E-2B89E8D33836}"/>
    <cellStyle name="Check Cell 3 2" xfId="2007" xr:uid="{CE212EFB-886C-4125-A69D-971EA8FABCB6}"/>
    <cellStyle name="Check Cell 3 2 2" xfId="17716" xr:uid="{10D3B470-0A6F-4947-AEAC-1B52A61DB69F}"/>
    <cellStyle name="Check Cell 3 2 3" xfId="12290" xr:uid="{6A8CFDA7-953B-4831-8E49-D2AECEF7F330}"/>
    <cellStyle name="Check Cell 3 3" xfId="16608" xr:uid="{42DC3568-B99D-4D60-AC50-09D3678A4D84}"/>
    <cellStyle name="Check Cell 4" xfId="1860" xr:uid="{C7842D70-6010-4DFC-BC97-CCFFA5679B91}"/>
    <cellStyle name="Check Cell 5" xfId="16481" xr:uid="{4DC55F83-3E0A-4CD0-8F76-7A92CBEA68E6}"/>
    <cellStyle name="Check Cell 6" xfId="17002" xr:uid="{55311B97-BB55-4AF9-9AFA-F956E63AE2E0}"/>
    <cellStyle name="Check Cell 7" xfId="3914" xr:uid="{5C7161D3-5C8E-47E3-AC46-5EDE7FBF2725}"/>
    <cellStyle name="Check Cell 8" xfId="18284" xr:uid="{9D622C41-504D-410A-ADB2-4FC645A6AEBF}"/>
    <cellStyle name="Comma" xfId="1" builtinId="3"/>
    <cellStyle name="Comma 10" xfId="180" xr:uid="{C94C1E72-C31F-4FA1-8BC0-F531C2950569}"/>
    <cellStyle name="Comma 10 2" xfId="48" xr:uid="{553E52E7-4A6A-4885-912B-68406D856ED1}"/>
    <cellStyle name="Comma 10 2 2" xfId="181" xr:uid="{7CAF393E-C907-42BF-973C-6FD154676D8C}"/>
    <cellStyle name="Comma 10 2 3" xfId="49" xr:uid="{E184BECE-679B-4801-B27B-7ECA63E8B636}"/>
    <cellStyle name="Comma 10 3" xfId="182" xr:uid="{61322230-409A-44FD-8EE3-C4023E15EBAD}"/>
    <cellStyle name="Comma 10 4" xfId="183" xr:uid="{C84428B1-79C7-4317-A024-3EF3802D8A86}"/>
    <cellStyle name="Comma 10 5" xfId="901" xr:uid="{D5A2FE0D-5179-4DDE-8538-2687BEB47962}"/>
    <cellStyle name="Comma 10 5 2" xfId="17097" xr:uid="{0F44AF78-40AF-4F16-87F3-AE348FB8CD51}"/>
    <cellStyle name="Comma 10 5 3" xfId="15824" xr:uid="{C0151F5C-BAA7-427C-9A8B-C1A3148EB792}"/>
    <cellStyle name="Comma 10 6" xfId="902" xr:uid="{D7AF40DE-766A-413C-BBA7-CC788115ED6E}"/>
    <cellStyle name="Comma 11" xfId="184" xr:uid="{967D041B-6664-41D3-8E34-6A1DEB317B12}"/>
    <cellStyle name="Comma 11 2" xfId="185" xr:uid="{DCB9A1D3-625C-4939-B45E-00CDF34827C8}"/>
    <cellStyle name="Comma 11 2 2" xfId="903" xr:uid="{F5288CE0-84FF-4097-8C03-45D9CB107660}"/>
    <cellStyle name="Comma 11 3" xfId="186" xr:uid="{119E8559-DE60-4FDD-9762-14A0167ED26E}"/>
    <cellStyle name="Comma 11 4" xfId="904" xr:uid="{B5E77155-42DE-41D1-93CB-FFF9FFDAB833}"/>
    <cellStyle name="Comma 11 4 2" xfId="17098" xr:uid="{443A5383-8920-4645-9AD0-7413AF21CD79}"/>
    <cellStyle name="Comma 11 4 3" xfId="16458" xr:uid="{8BA9C763-BEF4-4BA6-B481-79117C28CBFE}"/>
    <cellStyle name="Comma 11 5" xfId="905" xr:uid="{401649B8-9857-4334-82EC-340F2A5F692D}"/>
    <cellStyle name="Comma 12" xfId="187" xr:uid="{D373A54E-B759-4E25-8ECA-E6B84A8AF21C}"/>
    <cellStyle name="Comma 12 2" xfId="188" xr:uid="{5B68064C-1D6D-4FBB-835D-8AB67C73019E}"/>
    <cellStyle name="Comma 12 2 2" xfId="189" xr:uid="{01409734-CFB6-4B9E-957F-F7BD3E6B13CE}"/>
    <cellStyle name="Comma 12 2 3" xfId="190" xr:uid="{05BE1516-98B0-43FB-9325-BF6A96247D75}"/>
    <cellStyle name="Comma 12 3" xfId="906" xr:uid="{D25B8624-06A5-4695-AE5C-E29AA2C1D2CB}"/>
    <cellStyle name="Comma 12 4" xfId="907" xr:uid="{7BFB52CF-FB85-4748-BD85-6BB724AA91EC}"/>
    <cellStyle name="Comma 13" xfId="191" xr:uid="{09A6261A-DFD0-4330-A192-037739A8BA13}"/>
    <cellStyle name="Comma 13 10" xfId="2008" xr:uid="{8194C8BA-1329-46DE-A3E1-D966CFA2A5CE}"/>
    <cellStyle name="Comma 13 10 2" xfId="3788" xr:uid="{2C884CA9-B8DF-47E2-9747-089CD436C31F}"/>
    <cellStyle name="Comma 13 10 2 2" xfId="20242" xr:uid="{7ED09AB7-6429-4C22-BB59-CA96AC77F7AF}"/>
    <cellStyle name="Comma 13 10 3" xfId="3185" xr:uid="{68ECDD99-305F-490F-BF2A-E704454BBAF7}"/>
    <cellStyle name="Comma 13 10 3 2" xfId="19659" xr:uid="{26878A87-E45E-4053-8FBF-F20DAC96306E}"/>
    <cellStyle name="Comma 13 10 4" xfId="17717" xr:uid="{4ADAA71E-04A3-42D9-81DF-6E7B453C746B}"/>
    <cellStyle name="Comma 13 10 4 2" xfId="20807" xr:uid="{189FD542-BE4C-4ED2-AD0D-271E91F99859}"/>
    <cellStyle name="Comma 13 10 5" xfId="18857" xr:uid="{B3514CEF-7905-4C10-8A1F-044B1B798338}"/>
    <cellStyle name="Comma 13 11" xfId="3774" xr:uid="{AE8F690E-09A9-482F-8AF9-3B0CB2940A0F}"/>
    <cellStyle name="Comma 13 11 2" xfId="18131" xr:uid="{0CC2D16D-1E40-48A8-9886-CD8590BFCC14}"/>
    <cellStyle name="Comma 13 11 2 2" xfId="21088" xr:uid="{5B71A0FE-2207-4447-AE7A-5F332307D345}"/>
    <cellStyle name="Comma 13 11 3" xfId="20228" xr:uid="{458A5DD2-1876-4AB5-8314-DE9ABD02D44A}"/>
    <cellStyle name="Comma 13 12" xfId="3171" xr:uid="{AA7F0588-6E57-4E6C-AF80-330102F44362}"/>
    <cellStyle name="Comma 13 12 2" xfId="18148" xr:uid="{EFAA6C36-7647-4AA4-B9FE-20EE307AAFCF}"/>
    <cellStyle name="Comma 13 12 2 2" xfId="21090" xr:uid="{7888E864-F876-46C7-8FAD-C6B74B11EEA7}"/>
    <cellStyle name="Comma 13 12 3" xfId="19645" xr:uid="{8872F417-AE42-4AD3-A520-D010FE5B38D3}"/>
    <cellStyle name="Comma 13 13" xfId="16610" xr:uid="{8973E2BE-4E5A-47DF-85BC-27D69D2B5167}"/>
    <cellStyle name="Comma 13 13 2" xfId="20321" xr:uid="{AB4EEBD0-29E7-4F98-A364-6705B3EBA4C0}"/>
    <cellStyle name="Comma 13 14" xfId="3848" xr:uid="{89502DD2-2B32-4F41-83DE-56B189973122}"/>
    <cellStyle name="Comma 13 14 2" xfId="20299" xr:uid="{17356AAB-FB5A-42E1-B0A6-D0151A7934D8}"/>
    <cellStyle name="Comma 13 15" xfId="18372" xr:uid="{C1A9A162-A24E-4775-9A04-FF25E030A173}"/>
    <cellStyle name="Comma 13 2" xfId="192" xr:uid="{43AEE700-4AD1-4F48-9EFC-7E6815B77FBC}"/>
    <cellStyle name="Comma 13 3" xfId="193" xr:uid="{789F87C1-C084-45D5-98B1-91578E6D061B}"/>
    <cellStyle name="Comma 13 3 10" xfId="1812" xr:uid="{AA0A8C93-E3FC-4A9B-983B-2DA872F3148C}"/>
    <cellStyle name="Comma 13 3 10 2" xfId="2613" xr:uid="{AB9E0090-1A17-4306-8EB0-64F69B57B227}"/>
    <cellStyle name="Comma 13 3 10 2 2" xfId="3738" xr:uid="{2ED9F168-816B-4092-A1F6-CEB09ED94892}"/>
    <cellStyle name="Comma 13 3 10 2 2 2" xfId="20192" xr:uid="{FEC437B2-B391-44DC-B61E-3532BAD53A2B}"/>
    <cellStyle name="Comma 13 3 10 2 3" xfId="18054" xr:uid="{21933BE2-76E9-413F-A274-AD70909483EC}"/>
    <cellStyle name="Comma 13 3 10 2 3 2" xfId="21047" xr:uid="{E6E539F9-2CAA-4F78-84EC-FD4ED15A458D}"/>
    <cellStyle name="Comma 13 3 10 2 4" xfId="19097" xr:uid="{A8BEF0B9-946B-4915-9FD6-136DCE6D23D3}"/>
    <cellStyle name="Comma 13 3 10 3" xfId="2869" xr:uid="{6971CD36-1A29-4720-A669-98F1CA0C34AC}"/>
    <cellStyle name="Comma 13 3 10 3 2" xfId="3482" xr:uid="{10792FB2-F472-4025-8DBD-A703FBCEC6E8}"/>
    <cellStyle name="Comma 13 3 10 3 2 2" xfId="19936" xr:uid="{7AD30C3B-F789-4E09-BC49-361BBD2EDD67}"/>
    <cellStyle name="Comma 13 3 10 3 3" xfId="19353" xr:uid="{24DF8AAB-36FE-460A-8E23-648A3F449F3A}"/>
    <cellStyle name="Comma 13 3 10 4" xfId="3135" xr:uid="{81E4EB6F-5D2E-4C12-9E9D-6A9E93C5AE8B}"/>
    <cellStyle name="Comma 13 3 10 4 2" xfId="19609" xr:uid="{0885DC62-DA01-4289-8A49-F5985B91284B}"/>
    <cellStyle name="Comma 13 3 10 5" xfId="17565" xr:uid="{B1A1D9C7-37B6-4E9A-B170-6D63158D4BE9}"/>
    <cellStyle name="Comma 13 3 10 5 2" xfId="20771" xr:uid="{ED594936-796F-4883-8FAB-022F5C536DB9}"/>
    <cellStyle name="Comma 13 3 10 6" xfId="18821" xr:uid="{AC2769E9-DD16-4816-9B48-CE4BCD7909AB}"/>
    <cellStyle name="Comma 13 3 11" xfId="1584" xr:uid="{5E6BFEAC-1697-4381-8DB5-A9BFD9DB3280}"/>
    <cellStyle name="Comma 13 3 11 2" xfId="3246" xr:uid="{C207ABC2-BA33-4751-8FE4-658EB1695308}"/>
    <cellStyle name="Comma 13 3 11 2 2" xfId="19716" xr:uid="{F3CC1813-6531-4A48-A1E3-ECAB1F9E5719}"/>
    <cellStyle name="Comma 13 3 11 3" xfId="17344" xr:uid="{108A9579-091E-4E81-AD95-1F368E1AF414}"/>
    <cellStyle name="Comma 13 3 11 3 2" xfId="20551" xr:uid="{A5DA0DB1-2A80-41BC-A273-C7A5A8E97700}"/>
    <cellStyle name="Comma 13 3 11 4" xfId="18601" xr:uid="{06BDA50D-6305-4B38-8B73-239DFDA09AE8}"/>
    <cellStyle name="Comma 13 3 12" xfId="2009" xr:uid="{051B800A-E87C-4775-96F0-10FEC28F972E}"/>
    <cellStyle name="Comma 13 3 12 2" xfId="3518" xr:uid="{E2623984-3A62-49AA-B4BA-732D60F162B2}"/>
    <cellStyle name="Comma 13 3 12 2 2" xfId="19972" xr:uid="{25D352BD-C4EC-4B01-B7D2-BD2068B8313B}"/>
    <cellStyle name="Comma 13 3 12 3" xfId="17718" xr:uid="{91477F15-FD50-469B-9F82-9E2FF5008C00}"/>
    <cellStyle name="Comma 13 3 12 3 2" xfId="20808" xr:uid="{836A3165-06C7-418D-8033-4D20184FB4FA}"/>
    <cellStyle name="Comma 13 3 12 4" xfId="18858" xr:uid="{82EDC9E1-85EA-4F4B-AF41-C9A30C3A6951}"/>
    <cellStyle name="Comma 13 3 13" xfId="2393" xr:uid="{0CE4FDAE-91F9-4B6C-AE93-92BA004A822E}"/>
    <cellStyle name="Comma 13 3 13 2" xfId="3775" xr:uid="{9C434686-5236-4B5C-9034-0A24FD48A2AD}"/>
    <cellStyle name="Comma 13 3 13 2 2" xfId="20229" xr:uid="{81970ECC-3A88-49A4-ADC1-E9C8B694CFA4}"/>
    <cellStyle name="Comma 13 3 13 3" xfId="17823" xr:uid="{98BDC717-A5BC-4002-86A5-7822079F6F27}"/>
    <cellStyle name="Comma 13 3 13 3 2" xfId="20827" xr:uid="{E15FB29D-B276-4DE5-8317-C561711A2B92}"/>
    <cellStyle name="Comma 13 3 13 4" xfId="18877" xr:uid="{D2CA12D8-8DA7-49F4-B484-58B0620D5FEF}"/>
    <cellStyle name="Comma 13 3 14" xfId="2649" xr:uid="{72E6C0E6-ADE1-4B5E-823A-3CB9872AD5CF}"/>
    <cellStyle name="Comma 13 3 14 2" xfId="3172" xr:uid="{00EE6D58-B4F6-45CD-8A18-4B45B8D1AEEB}"/>
    <cellStyle name="Comma 13 3 14 2 2" xfId="19646" xr:uid="{3CA90864-7A58-4598-B114-93A71A4D148E}"/>
    <cellStyle name="Comma 13 3 14 3" xfId="18130" xr:uid="{2DD8C108-1CAB-4CCE-BAF9-843465009CA8}"/>
    <cellStyle name="Comma 13 3 14 3 2" xfId="21087" xr:uid="{9A80E761-D428-4F29-A1D5-F496794FAFB9}"/>
    <cellStyle name="Comma 13 3 14 4" xfId="19133" xr:uid="{61ED74B9-F034-4D06-8234-7924FA48052F}"/>
    <cellStyle name="Comma 13 3 15" xfId="2915" xr:uid="{365358FE-8348-4244-9DCF-0F1B75B713F8}"/>
    <cellStyle name="Comma 13 3 15 2" xfId="18149" xr:uid="{05D03BA8-B272-4087-B372-B240735DFDFC}"/>
    <cellStyle name="Comma 13 3 15 2 2" xfId="21091" xr:uid="{77C512A9-2CF0-4DAD-8DA2-378816AB140B}"/>
    <cellStyle name="Comma 13 3 15 3" xfId="19389" xr:uid="{5CC85AB0-1EC7-439F-B0A4-109A8CFA1C5C}"/>
    <cellStyle name="Comma 13 3 16" xfId="16611" xr:uid="{A252D6E4-E4AF-4765-89B0-7F4738E179E5}"/>
    <cellStyle name="Comma 13 3 16 2" xfId="20322" xr:uid="{4AE951E1-8B2B-46E3-8271-7D4FE9C5D312}"/>
    <cellStyle name="Comma 13 3 17" xfId="3849" xr:uid="{D2765961-0449-4665-AAE8-A957DFF159CB}"/>
    <cellStyle name="Comma 13 3 17 2" xfId="20300" xr:uid="{FA884DC4-3101-45C8-8740-48F9D879A082}"/>
    <cellStyle name="Comma 13 3 18" xfId="18373" xr:uid="{31799729-8C15-4211-A5A9-6FDBE65B2B61}"/>
    <cellStyle name="Comma 13 3 2" xfId="821" xr:uid="{D601F18D-FB52-4BC0-96A1-C74FE84D3897}"/>
    <cellStyle name="Comma 13 3 2 10" xfId="2659" xr:uid="{053D4405-5A63-4614-91FB-558E6D446EE6}"/>
    <cellStyle name="Comma 13 3 2 10 2" xfId="3199" xr:uid="{7D5921A4-65A5-49A2-B02B-3BE03F311E5C}"/>
    <cellStyle name="Comma 13 3 2 10 2 2" xfId="19673" xr:uid="{AF397B32-4137-4697-970E-9836141C0B21}"/>
    <cellStyle name="Comma 13 3 2 10 3" xfId="17032" xr:uid="{D99702B9-EA9A-46FC-AB39-260AE5373362}"/>
    <cellStyle name="Comma 13 3 2 10 3 2" xfId="20336" xr:uid="{8B110DE2-73AF-4E72-B76E-1B17909ABE86}"/>
    <cellStyle name="Comma 13 3 2 10 4" xfId="19143" xr:uid="{CC0FF3FA-3691-49A8-89EA-494E43EC198F}"/>
    <cellStyle name="Comma 13 3 2 11" xfId="2925" xr:uid="{2B161BFC-ACDE-4B0A-B333-EB95DAFD4E72}"/>
    <cellStyle name="Comma 13 3 2 11 2" xfId="19399" xr:uid="{D754D013-A99B-43E6-9BA9-C3415241CC6C}"/>
    <cellStyle name="Comma 13 3 2 12" xfId="3922" xr:uid="{E1143BED-B906-4EFA-A40C-0544DFE24691}"/>
    <cellStyle name="Comma 13 3 2 12 2" xfId="20314" xr:uid="{3FEB39E8-B792-4822-AE04-A517283A0871}"/>
    <cellStyle name="Comma 13 3 2 13" xfId="18386" xr:uid="{F004B16D-FF83-4A63-9C3A-BE69DB64D99E}"/>
    <cellStyle name="Comma 13 3 2 2" xfId="863" xr:uid="{41721785-98FA-487F-A0BF-42FA15B5D3D0}"/>
    <cellStyle name="Comma 13 3 2 2 2" xfId="1433" xr:uid="{C3D30889-17E3-440D-BD7C-1B0F94856922}"/>
    <cellStyle name="Comma 13 3 2 2 2 2" xfId="3299" xr:uid="{F06A02ED-71A8-4239-BA64-F975CAC802E4}"/>
    <cellStyle name="Comma 13 3 2 2 2 2 2" xfId="19767" xr:uid="{70A202C9-323C-432B-8F61-9AD2CA81EB68}"/>
    <cellStyle name="Comma 13 3 2 2 2 3" xfId="17222" xr:uid="{164ABB4C-A287-498C-A69C-0D726C597A09}"/>
    <cellStyle name="Comma 13 3 2 2 2 3 2" xfId="20430" xr:uid="{0E20B5AB-FCD0-4919-B593-A3D980BD6D30}"/>
    <cellStyle name="Comma 13 3 2 2 2 4" xfId="18480" xr:uid="{58C3AA13-BE28-4D98-87F2-9853BBF58D83}"/>
    <cellStyle name="Comma 13 3 2 2 3" xfId="1635" xr:uid="{D45902FA-3B78-4DC7-98C4-C6A8A76B7458}"/>
    <cellStyle name="Comma 13 3 2 2 3 2" xfId="3569" xr:uid="{A961363C-3C53-4DFF-986F-C43805801417}"/>
    <cellStyle name="Comma 13 3 2 2 3 2 2" xfId="20023" xr:uid="{98E00736-8C79-4D58-99C2-74052D519146}"/>
    <cellStyle name="Comma 13 3 2 2 3 3" xfId="17395" xr:uid="{A09B5575-84F5-47F2-BC69-A8588D456E9D}"/>
    <cellStyle name="Comma 13 3 2 2 3 3 2" xfId="20602" xr:uid="{25760E1A-5DDB-4ECB-9C94-C72B337C165A}"/>
    <cellStyle name="Comma 13 3 2 2 3 4" xfId="18652" xr:uid="{BCEB2BD4-138D-4EA5-B80F-2E5AD7DD514C}"/>
    <cellStyle name="Comma 13 3 2 2 4" xfId="2444" xr:uid="{68B42D2D-1824-436E-9738-6ED8BE8D8AC1}"/>
    <cellStyle name="Comma 13 3 2 2 4 2" xfId="3827" xr:uid="{74BDB802-63B7-4E12-8CDD-CE526597BA52}"/>
    <cellStyle name="Comma 13 3 2 2 4 2 2" xfId="20281" xr:uid="{00A7EAC8-5D1E-49B2-AC8A-E9DE416A94D0}"/>
    <cellStyle name="Comma 13 3 2 2 4 3" xfId="17883" xr:uid="{5E85C6BC-7308-4C8D-BC47-F8A6E623B847}"/>
    <cellStyle name="Comma 13 3 2 2 4 3 2" xfId="20878" xr:uid="{9FF2717A-C6FD-44E9-961E-F1764F3485CB}"/>
    <cellStyle name="Comma 13 3 2 2 4 4" xfId="18928" xr:uid="{6717D75B-0622-482B-92D5-422622228978}"/>
    <cellStyle name="Comma 13 3 2 2 5" xfId="2700" xr:uid="{D387F81A-29D1-4478-8004-44A5C16A4640}"/>
    <cellStyle name="Comma 13 3 2 2 5 2" xfId="3226" xr:uid="{07C17739-2573-47A1-8BC0-A47F906537F0}"/>
    <cellStyle name="Comma 13 3 2 2 5 2 2" xfId="19698" xr:uid="{C89D2E83-CA6E-4622-A9D5-0B0299469AA6}"/>
    <cellStyle name="Comma 13 3 2 2 5 3" xfId="19184" xr:uid="{25017454-A6E2-4B73-A1D0-03B1D4867D91}"/>
    <cellStyle name="Comma 13 3 2 2 6" xfId="2966" xr:uid="{FCF9BE53-AB51-4392-BFBF-47CA97B9AA90}"/>
    <cellStyle name="Comma 13 3 2 2 6 2" xfId="19440" xr:uid="{4F81DE29-F54C-4965-A19D-D44952DC36B5}"/>
    <cellStyle name="Comma 13 3 2 2 7" xfId="17069" xr:uid="{D4921052-4417-4A6D-8FEB-FADF71B92084}"/>
    <cellStyle name="Comma 13 3 2 2 7 2" xfId="20361" xr:uid="{F18A36CE-1EDC-45FC-83EB-BED567185E46}"/>
    <cellStyle name="Comma 13 3 2 2 8" xfId="18411" xr:uid="{25404183-A71C-425E-A92F-7DDD47F959FE}"/>
    <cellStyle name="Comma 13 3 2 3" xfId="1476" xr:uid="{E0C06E37-B723-4DA7-9C21-AE244A9E1A4A}"/>
    <cellStyle name="Comma 13 3 2 3 2" xfId="1661" xr:uid="{4D14EF54-50E8-45E3-981E-BC9537CB7511}"/>
    <cellStyle name="Comma 13 3 2 3 2 2" xfId="3595" xr:uid="{0E7D622D-B82B-40E7-BA25-B291694944A6}"/>
    <cellStyle name="Comma 13 3 2 3 2 2 2" xfId="20049" xr:uid="{A735477F-7C63-4D50-972C-54CDADB1ED8B}"/>
    <cellStyle name="Comma 13 3 2 3 2 3" xfId="17421" xr:uid="{8E8C9DD7-8EC8-4E9A-A7EF-BDD4C644FE1B}"/>
    <cellStyle name="Comma 13 3 2 3 2 3 2" xfId="20628" xr:uid="{53919F33-B859-4D21-ADAD-8D401BFA4122}"/>
    <cellStyle name="Comma 13 3 2 3 2 4" xfId="18678" xr:uid="{ECD816D0-884A-40E1-89F2-5B4CD925D808}"/>
    <cellStyle name="Comma 13 3 2 3 3" xfId="2470" xr:uid="{F0686154-6A35-4DB6-A864-7A77EC58EFE6}"/>
    <cellStyle name="Comma 13 3 2 3 3 2" xfId="3326" xr:uid="{915645C2-067D-498F-80B8-BD4097CFD872}"/>
    <cellStyle name="Comma 13 3 2 3 3 2 2" xfId="19793" xr:uid="{441BB16F-74CB-46DC-93AB-231AB0D3BDD3}"/>
    <cellStyle name="Comma 13 3 2 3 3 3" xfId="17911" xr:uid="{A865F4E9-A690-4439-9170-53671D5540ED}"/>
    <cellStyle name="Comma 13 3 2 3 3 3 2" xfId="20904" xr:uid="{09C957B6-3DE2-4617-A689-846EB7EA5E16}"/>
    <cellStyle name="Comma 13 3 2 3 3 4" xfId="18954" xr:uid="{26175C9E-B317-40B2-A3BC-3B4B926FE276}"/>
    <cellStyle name="Comma 13 3 2 3 4" xfId="2726" xr:uid="{E9DA77C0-E409-4F6E-BD09-2C6F930C7B1E}"/>
    <cellStyle name="Comma 13 3 2 3 4 2" xfId="19210" xr:uid="{5FA91CBE-E53C-442D-BF1E-0EA85068920A}"/>
    <cellStyle name="Comma 13 3 2 3 5" xfId="2992" xr:uid="{BD157F07-5753-40BD-B7AB-D045F5E85CDB}"/>
    <cellStyle name="Comma 13 3 2 3 5 2" xfId="19466" xr:uid="{D30911BB-6FB9-4B1C-9C04-0FC984C5EFB2}"/>
    <cellStyle name="Comma 13 3 2 3 6" xfId="17249" xr:uid="{9F7EAB9C-6308-4560-AB7D-CD1E0F06AC4E}"/>
    <cellStyle name="Comma 13 3 2 3 6 2" xfId="20456" xr:uid="{21C26920-68B3-40B4-B9F0-17B3069A58DD}"/>
    <cellStyle name="Comma 13 3 2 3 7" xfId="18506" xr:uid="{1EBA31AF-EA4D-49E4-B3DF-A40DD716162C}"/>
    <cellStyle name="Comma 13 3 2 4" xfId="1536" xr:uid="{825D65C1-8A80-4F03-A5E7-ED605791F9B2}"/>
    <cellStyle name="Comma 13 3 2 4 2" xfId="1708" xr:uid="{C8FBFEB7-5C8E-4A48-A5E2-2CC97DA6D33B}"/>
    <cellStyle name="Comma 13 3 2 4 2 2" xfId="3642" xr:uid="{EC1B75E0-F1DF-48F1-887C-FEF6557B65A0}"/>
    <cellStyle name="Comma 13 3 2 4 2 2 2" xfId="20096" xr:uid="{FA8BC43E-5E79-47EC-8D4F-E3BAD8682061}"/>
    <cellStyle name="Comma 13 3 2 4 2 3" xfId="17468" xr:uid="{76F6A82A-DA7A-4464-8E28-D634019C6E5E}"/>
    <cellStyle name="Comma 13 3 2 4 2 3 2" xfId="20675" xr:uid="{7B366EC7-0C05-4D2E-BA9D-1CAC5754E107}"/>
    <cellStyle name="Comma 13 3 2 4 2 4" xfId="18725" xr:uid="{49A78922-27A4-4BB7-A528-960C9CF03D48}"/>
    <cellStyle name="Comma 13 3 2 4 3" xfId="2517" xr:uid="{C18DD223-C7B0-446B-8654-518AA2DDD65A}"/>
    <cellStyle name="Comma 13 3 2 4 3 2" xfId="3381" xr:uid="{BE06B5E2-BB10-400A-84EE-550819712660}"/>
    <cellStyle name="Comma 13 3 2 4 3 2 2" xfId="19840" xr:uid="{EAF7EC3B-4696-42D0-B7F7-94E98178595B}"/>
    <cellStyle name="Comma 13 3 2 4 3 3" xfId="17958" xr:uid="{ADDB5BFC-445D-486F-9A3F-EF5A19F42B6A}"/>
    <cellStyle name="Comma 13 3 2 4 3 3 2" xfId="20951" xr:uid="{5898535B-5C10-4EC2-BAD7-C95DC801B3AD}"/>
    <cellStyle name="Comma 13 3 2 4 3 4" xfId="19001" xr:uid="{6F5BA1A6-1B2C-4610-8845-98EC1B8DEE1E}"/>
    <cellStyle name="Comma 13 3 2 4 4" xfId="2773" xr:uid="{2CD0147E-2B47-4597-92E3-B750270AC56D}"/>
    <cellStyle name="Comma 13 3 2 4 4 2" xfId="19257" xr:uid="{5FED83F8-0026-4147-B59F-7E25E52E07F0}"/>
    <cellStyle name="Comma 13 3 2 4 5" xfId="3039" xr:uid="{7861063F-4470-49AF-BF79-734429D4E7DF}"/>
    <cellStyle name="Comma 13 3 2 4 5 2" xfId="19513" xr:uid="{78FAA5D6-A8EF-4127-9CCF-28B3ABC40C27}"/>
    <cellStyle name="Comma 13 3 2 4 6" xfId="17296" xr:uid="{7C5C54A2-12EC-4221-B618-F52A4C031D2D}"/>
    <cellStyle name="Comma 13 3 2 4 6 2" xfId="20503" xr:uid="{E3443F10-F1EC-46E3-8BD2-52AAF6E10778}"/>
    <cellStyle name="Comma 13 3 2 4 7" xfId="18553" xr:uid="{738C18A8-E66C-4192-8CAA-25790386AC59}"/>
    <cellStyle name="Comma 13 3 2 5" xfId="1360" xr:uid="{5726E80F-D6DA-499C-A983-909E7804F8CE}"/>
    <cellStyle name="Comma 13 3 2 5 2" xfId="1758" xr:uid="{6A8C38B5-436D-463F-BFD8-B32035307A8D}"/>
    <cellStyle name="Comma 13 3 2 5 2 2" xfId="3690" xr:uid="{ED9742A6-0F3D-4A28-9D78-942FACE42EB3}"/>
    <cellStyle name="Comma 13 3 2 5 2 2 2" xfId="20144" xr:uid="{3E91CE64-D7A0-4C1A-B34B-05501CFA306D}"/>
    <cellStyle name="Comma 13 3 2 5 2 3" xfId="17516" xr:uid="{D94E781A-0520-4B85-B07F-5E3F6D88CB34}"/>
    <cellStyle name="Comma 13 3 2 5 2 3 2" xfId="20723" xr:uid="{87DDDAA7-E061-41C1-9FC3-55A6672945B7}"/>
    <cellStyle name="Comma 13 3 2 5 2 4" xfId="18773" xr:uid="{1DBD19CE-531D-4D7A-91D6-C40E05D9C769}"/>
    <cellStyle name="Comma 13 3 2 5 3" xfId="2565" xr:uid="{CCD1F808-7A65-4513-9FE8-F10901EAC438}"/>
    <cellStyle name="Comma 13 3 2 5 3 2" xfId="3430" xr:uid="{67010876-B52A-4222-BEF4-594C49060074}"/>
    <cellStyle name="Comma 13 3 2 5 3 2 2" xfId="19888" xr:uid="{838EFC6D-AB67-4117-ADD0-4F37D6A83BEC}"/>
    <cellStyle name="Comma 13 3 2 5 3 3" xfId="18006" xr:uid="{90DD0FD7-75C7-4494-ACC2-CAFED5FD2DEF}"/>
    <cellStyle name="Comma 13 3 2 5 3 3 2" xfId="20999" xr:uid="{EDAD3E2B-0302-45DF-9DD1-E465D505F6B1}"/>
    <cellStyle name="Comma 13 3 2 5 3 4" xfId="19049" xr:uid="{CD88EA1C-4C37-4A92-80DD-638B8F39ACA8}"/>
    <cellStyle name="Comma 13 3 2 5 4" xfId="2821" xr:uid="{B50CDAD2-6E93-4A04-BADC-3058FD935563}"/>
    <cellStyle name="Comma 13 3 2 5 4 2" xfId="19305" xr:uid="{5E4BB6A5-5BA9-46F8-B792-8CBFBCBA51D4}"/>
    <cellStyle name="Comma 13 3 2 5 5" xfId="3087" xr:uid="{B420B12B-0E24-46FD-8ABA-9C9FBA96D7A0}"/>
    <cellStyle name="Comma 13 3 2 5 5 2" xfId="19561" xr:uid="{036E0F41-EF03-457F-86A6-330511CAAF67}"/>
    <cellStyle name="Comma 13 3 2 5 6" xfId="17179" xr:uid="{5C1C2B42-8091-4B1D-9863-FB99C5726EE5}"/>
    <cellStyle name="Comma 13 3 2 5 6 2" xfId="20389" xr:uid="{7BBCD188-4DDA-49BE-8C5F-DF72A6CC352D}"/>
    <cellStyle name="Comma 13 3 2 5 7" xfId="18439" xr:uid="{8504F03E-3FA1-45D9-BE9E-0357868B6CFD}"/>
    <cellStyle name="Comma 13 3 2 6" xfId="1822" xr:uid="{B83829F8-CE63-433F-A480-362A8871490B}"/>
    <cellStyle name="Comma 13 3 2 6 2" xfId="2623" xr:uid="{9FED9AD1-8395-4653-9B86-E0CFB6D468B5}"/>
    <cellStyle name="Comma 13 3 2 6 2 2" xfId="3748" xr:uid="{629343C9-2ED3-422F-81FA-53FEF35B79E1}"/>
    <cellStyle name="Comma 13 3 2 6 2 2 2" xfId="20202" xr:uid="{7586C0E0-672F-48CE-8DBB-94EC494E9EFC}"/>
    <cellStyle name="Comma 13 3 2 6 2 3" xfId="18064" xr:uid="{0CD2266E-6BFB-44EF-8A99-E8B104334AC3}"/>
    <cellStyle name="Comma 13 3 2 6 2 3 2" xfId="21057" xr:uid="{F32364E0-0833-450A-AFD5-D4D3780E14F3}"/>
    <cellStyle name="Comma 13 3 2 6 2 4" xfId="19107" xr:uid="{A174C267-9226-4649-B1EC-2BC85FE750CE}"/>
    <cellStyle name="Comma 13 3 2 6 3" xfId="2879" xr:uid="{0DB83457-DF84-42FB-B3D4-33609CA7D318}"/>
    <cellStyle name="Comma 13 3 2 6 3 2" xfId="3492" xr:uid="{45D28272-8A59-4B80-875D-70D8143EFE4C}"/>
    <cellStyle name="Comma 13 3 2 6 3 2 2" xfId="19946" xr:uid="{B718F577-A69D-4393-8DA1-913B9F869837}"/>
    <cellStyle name="Comma 13 3 2 6 3 3" xfId="19363" xr:uid="{62844607-BE91-4016-8455-CF7EA9D3ACCB}"/>
    <cellStyle name="Comma 13 3 2 6 4" xfId="3145" xr:uid="{DCD1E49F-1A5F-4E4C-8A08-0BAE1C810AB8}"/>
    <cellStyle name="Comma 13 3 2 6 4 2" xfId="19619" xr:uid="{CDA43568-997C-4151-917F-149D48A022CF}"/>
    <cellStyle name="Comma 13 3 2 6 5" xfId="17575" xr:uid="{E7DA46CE-2B9E-4EF0-8173-6D80F9C57DA6}"/>
    <cellStyle name="Comma 13 3 2 6 5 2" xfId="20781" xr:uid="{FB2486CD-CE8C-4098-A890-0399F7E811FD}"/>
    <cellStyle name="Comma 13 3 2 6 6" xfId="18831" xr:uid="{B7CF5772-091F-4C16-BAD1-C11C59166AB9}"/>
    <cellStyle name="Comma 13 3 2 7" xfId="1594" xr:uid="{F690397B-B513-4569-B888-63B6A25146DD}"/>
    <cellStyle name="Comma 13 3 2 7 2" xfId="3257" xr:uid="{B8907E17-A180-4920-ABFB-B93D63DF4D94}"/>
    <cellStyle name="Comma 13 3 2 7 2 2" xfId="19726" xr:uid="{FFA1179E-EDD8-4D98-82BF-ABA32B766E47}"/>
    <cellStyle name="Comma 13 3 2 7 3" xfId="17354" xr:uid="{C8E53256-21EF-4FE3-A0CA-5A5094C64181}"/>
    <cellStyle name="Comma 13 3 2 7 3 2" xfId="20561" xr:uid="{8EFF4833-B040-4A3A-BC42-8DBF9626D0BC}"/>
    <cellStyle name="Comma 13 3 2 7 4" xfId="18611" xr:uid="{F0BE73A3-96A7-4D95-B18C-57F54D7978C4}"/>
    <cellStyle name="Comma 13 3 2 8" xfId="2379" xr:uid="{9D8D9FF7-6A4C-458A-853E-DEBE75183617}"/>
    <cellStyle name="Comma 13 3 2 8 2" xfId="3528" xr:uid="{49508A28-AA62-4C91-988B-E0EFE6EA26E4}"/>
    <cellStyle name="Comma 13 3 2 8 2 2" xfId="19982" xr:uid="{4ED0FBF5-A064-4983-B90D-C59E84A875DC}"/>
    <cellStyle name="Comma 13 3 2 8 3" xfId="17815" xr:uid="{1DF613BC-880D-43D9-BA17-73EA50F91C33}"/>
    <cellStyle name="Comma 13 3 2 8 3 2" xfId="20821" xr:uid="{5084B57B-CF0B-4BE9-86E4-53F73FD62648}"/>
    <cellStyle name="Comma 13 3 2 8 4" xfId="18871" xr:uid="{F9A60827-2A24-450A-8F77-441364D3875A}"/>
    <cellStyle name="Comma 13 3 2 9" xfId="2403" xr:uid="{4E599F29-E655-49D2-AF95-2810D6E993B3}"/>
    <cellStyle name="Comma 13 3 2 9 2" xfId="3802" xr:uid="{41DF8406-C7F9-491E-8805-D96ACB5B4050}"/>
    <cellStyle name="Comma 13 3 2 9 2 2" xfId="20256" xr:uid="{E4673DFE-1EF5-4318-834F-A3268832A1FC}"/>
    <cellStyle name="Comma 13 3 2 9 3" xfId="17841" xr:uid="{F39EE17B-2971-4A7B-974C-14A77DA1181B}"/>
    <cellStyle name="Comma 13 3 2 9 3 2" xfId="20837" xr:uid="{60EF4BF5-F750-4C7D-8DD5-FC969860F305}"/>
    <cellStyle name="Comma 13 3 2 9 4" xfId="18887" xr:uid="{E1ED6150-AEAD-4ED8-99FE-5CB12FB63B26}"/>
    <cellStyle name="Comma 13 3 3" xfId="835" xr:uid="{19B5B698-4683-4628-919B-67FD07D2CDF9}"/>
    <cellStyle name="Comma 13 3 3 10" xfId="3205" xr:uid="{15AF1BE5-7809-4C7D-8E18-E233D481B895}"/>
    <cellStyle name="Comma 13 3 3 10 2" xfId="19679" xr:uid="{E1DC3F0C-23FF-4D96-B53C-99DD7FAE8021}"/>
    <cellStyle name="Comma 13 3 3 11" xfId="2933" xr:uid="{3DB2B31A-887C-4B52-A79E-E5C017DF4C9A}"/>
    <cellStyle name="Comma 13 3 3 11 2" xfId="19407" xr:uid="{B00A4B37-979A-48F4-B8F7-9F5BB4E2D152}"/>
    <cellStyle name="Comma 13 3 3 12" xfId="17046" xr:uid="{CF41D7DD-592E-48FF-B0A1-DC4439AD4B72}"/>
    <cellStyle name="Comma 13 3 3 12 2" xfId="20342" xr:uid="{61720571-3139-489B-B828-E051B7235F36}"/>
    <cellStyle name="Comma 13 3 3 13" xfId="18392" xr:uid="{478B14FF-4C7C-42DD-9ABF-C5133AF3ACCD}"/>
    <cellStyle name="Comma 13 3 3 2" xfId="1446" xr:uid="{F96C13C1-E8DF-45C4-84A6-8BA08731D2C4}"/>
    <cellStyle name="Comma 13 3 3 2 2" xfId="1643" xr:uid="{6E8B146A-0E8E-4854-8208-932BF338F288}"/>
    <cellStyle name="Comma 13 3 3 2 2 2" xfId="3577" xr:uid="{4D48B671-4514-4D6D-8494-8EA85B229150}"/>
    <cellStyle name="Comma 13 3 3 2 2 2 2" xfId="20031" xr:uid="{CD733E5B-FF25-4483-9C31-F1EE51F1E5F7}"/>
    <cellStyle name="Comma 13 3 3 2 2 3" xfId="17403" xr:uid="{3C50FB2C-DBFF-437C-8D6B-8E23B913A05E}"/>
    <cellStyle name="Comma 13 3 3 2 2 3 2" xfId="20610" xr:uid="{40C594A2-BCBC-47FE-941F-80168D77CA7A}"/>
    <cellStyle name="Comma 13 3 3 2 2 4" xfId="18660" xr:uid="{758E33BA-A28D-4900-B68C-46EA0EE9BFEE}"/>
    <cellStyle name="Comma 13 3 3 2 3" xfId="2452" xr:uid="{65ECE60D-46BE-4388-85FE-E2034BAD8B61}"/>
    <cellStyle name="Comma 13 3 3 2 3 2" xfId="3307" xr:uid="{DD9C9CE5-D4D2-4F1F-B3A9-7A197842E175}"/>
    <cellStyle name="Comma 13 3 3 2 3 2 2" xfId="19775" xr:uid="{D4377D70-EECD-452E-933B-A1E5C72B181D}"/>
    <cellStyle name="Comma 13 3 3 2 3 3" xfId="17893" xr:uid="{A62C074D-44A9-4B93-BD9B-44E21CBD0232}"/>
    <cellStyle name="Comma 13 3 3 2 3 3 2" xfId="20886" xr:uid="{B32BAE30-4023-4583-B092-A1FB4A7760DB}"/>
    <cellStyle name="Comma 13 3 3 2 3 4" xfId="18936" xr:uid="{D228AA93-0762-4D79-9DE4-21626E746BBE}"/>
    <cellStyle name="Comma 13 3 3 2 4" xfId="2708" xr:uid="{A7A2C84C-2A78-463B-A059-A7579B3BCFA6}"/>
    <cellStyle name="Comma 13 3 3 2 4 2" xfId="19192" xr:uid="{34C78786-5A76-4640-8E1E-A0B52B7D9A8C}"/>
    <cellStyle name="Comma 13 3 3 2 5" xfId="2974" xr:uid="{DE6B2E45-1A96-4A2F-9C59-61D5FDEBCB2F}"/>
    <cellStyle name="Comma 13 3 3 2 5 2" xfId="19448" xr:uid="{2F960576-CB06-422A-B536-9FCAFF47D145}"/>
    <cellStyle name="Comma 13 3 3 2 6" xfId="17230" xr:uid="{0036789C-EC82-4572-B6A4-E9C3DDF70B47}"/>
    <cellStyle name="Comma 13 3 3 2 6 2" xfId="20438" xr:uid="{0D4C8BE1-0F9D-4A0B-A330-04EFF68965DD}"/>
    <cellStyle name="Comma 13 3 3 2 7" xfId="18488" xr:uid="{CF158801-B7F3-4B3D-8FD2-8E4CC99D9220}"/>
    <cellStyle name="Comma 13 3 3 3" xfId="1477" xr:uid="{DA55B247-F091-474E-B712-50F008769E0C}"/>
    <cellStyle name="Comma 13 3 3 3 2" xfId="1662" xr:uid="{A85537F1-A3DE-49A6-ADE9-62962ADC59BD}"/>
    <cellStyle name="Comma 13 3 3 3 2 2" xfId="3596" xr:uid="{C6E3070F-31D0-4739-98AD-B4053C0397B1}"/>
    <cellStyle name="Comma 13 3 3 3 2 2 2" xfId="20050" xr:uid="{538BC439-8B63-476A-9184-D9D687E14AFE}"/>
    <cellStyle name="Comma 13 3 3 3 2 3" xfId="17422" xr:uid="{3C4FA4F8-BFB8-4ACC-BF28-E7DDFAF95624}"/>
    <cellStyle name="Comma 13 3 3 3 2 3 2" xfId="20629" xr:uid="{3525D979-06E9-4610-97C1-B2934B5EA39B}"/>
    <cellStyle name="Comma 13 3 3 3 2 4" xfId="18679" xr:uid="{5F33ECC2-726B-4B68-8F8A-4FAF8F14A6F8}"/>
    <cellStyle name="Comma 13 3 3 3 3" xfId="2471" xr:uid="{AE108CB7-A137-4EA1-AEAA-F0B81C9DC0CB}"/>
    <cellStyle name="Comma 13 3 3 3 3 2" xfId="3327" xr:uid="{03F1BA88-3C0E-47A5-A472-0889AEDE1D4A}"/>
    <cellStyle name="Comma 13 3 3 3 3 2 2" xfId="19794" xr:uid="{BA315527-8878-4224-A3AB-BE00E8BA22D9}"/>
    <cellStyle name="Comma 13 3 3 3 3 3" xfId="17912" xr:uid="{E45F816B-EA52-46CA-A34C-492B7BAB95FC}"/>
    <cellStyle name="Comma 13 3 3 3 3 3 2" xfId="20905" xr:uid="{BD4F596C-E203-40A1-9A02-2643991A81C4}"/>
    <cellStyle name="Comma 13 3 3 3 3 4" xfId="18955" xr:uid="{FB51393A-A213-435F-B3E6-135F01BDFC28}"/>
    <cellStyle name="Comma 13 3 3 3 4" xfId="2727" xr:uid="{A48FE4E1-1392-412E-B9E9-F9974815B948}"/>
    <cellStyle name="Comma 13 3 3 3 4 2" xfId="19211" xr:uid="{E8597970-4068-4968-A37F-5A225D157290}"/>
    <cellStyle name="Comma 13 3 3 3 5" xfId="2993" xr:uid="{369BFB0C-1C9A-4DE9-B0C7-78F9FC7118A1}"/>
    <cellStyle name="Comma 13 3 3 3 5 2" xfId="19467" xr:uid="{29445C4F-68EA-4B21-9D5E-2AEE355281C5}"/>
    <cellStyle name="Comma 13 3 3 3 6" xfId="17250" xr:uid="{754D4258-AEAD-471B-B5B2-C7BE04D87B03}"/>
    <cellStyle name="Comma 13 3 3 3 6 2" xfId="20457" xr:uid="{68A08DBC-EA8F-42A7-9C35-77F8F21A6F4A}"/>
    <cellStyle name="Comma 13 3 3 3 7" xfId="18507" xr:uid="{F8E359AF-2BB5-470F-95F5-8BE371E14A6A}"/>
    <cellStyle name="Comma 13 3 3 4" xfId="1537" xr:uid="{3D789CF0-E77D-4109-9528-D563F26CE9F7}"/>
    <cellStyle name="Comma 13 3 3 4 2" xfId="1709" xr:uid="{5C5D49A0-C9A6-4538-8075-DE4AFB6520B7}"/>
    <cellStyle name="Comma 13 3 3 4 2 2" xfId="3643" xr:uid="{6CDADFED-FED3-4DE1-8750-B0ED9D9828FA}"/>
    <cellStyle name="Comma 13 3 3 4 2 2 2" xfId="20097" xr:uid="{68CEA181-6D9A-46DB-9073-B37DAD59784E}"/>
    <cellStyle name="Comma 13 3 3 4 2 3" xfId="17469" xr:uid="{AA5C5972-60EC-4F65-81D1-03ADA8263C4B}"/>
    <cellStyle name="Comma 13 3 3 4 2 3 2" xfId="20676" xr:uid="{4D44B32E-F33D-4269-A54D-61F234316710}"/>
    <cellStyle name="Comma 13 3 3 4 2 4" xfId="18726" xr:uid="{7E33173E-0B1A-4652-85C0-7E966A153934}"/>
    <cellStyle name="Comma 13 3 3 4 3" xfId="2518" xr:uid="{7D43C887-344D-4985-81E9-A71732A9C29B}"/>
    <cellStyle name="Comma 13 3 3 4 3 2" xfId="3382" xr:uid="{E600AF56-69A8-4F6A-B648-6150CF679964}"/>
    <cellStyle name="Comma 13 3 3 4 3 2 2" xfId="19841" xr:uid="{92C88C3C-11DD-441A-A0CE-5E3049D6984F}"/>
    <cellStyle name="Comma 13 3 3 4 3 3" xfId="17959" xr:uid="{44E21A13-D136-47FB-9AE3-08BDE897BFA1}"/>
    <cellStyle name="Comma 13 3 3 4 3 3 2" xfId="20952" xr:uid="{65C1E32E-FA33-440F-8230-BD8FE65E2C89}"/>
    <cellStyle name="Comma 13 3 3 4 3 4" xfId="19002" xr:uid="{0A6EB52E-2A49-4752-834B-DEC5E5780830}"/>
    <cellStyle name="Comma 13 3 3 4 4" xfId="2774" xr:uid="{837BF8A5-CCC7-4438-8DFC-CA5668BA2CA8}"/>
    <cellStyle name="Comma 13 3 3 4 4 2" xfId="19258" xr:uid="{5A8011BE-9D33-48B0-81C8-C3E37FC2E108}"/>
    <cellStyle name="Comma 13 3 3 4 5" xfId="3040" xr:uid="{A76BABC2-EE18-49F0-9DCB-3F655DFE0E46}"/>
    <cellStyle name="Comma 13 3 3 4 5 2" xfId="19514" xr:uid="{2E7D4438-BE14-44A6-8F49-A3139AE58B8F}"/>
    <cellStyle name="Comma 13 3 3 4 6" xfId="17297" xr:uid="{C9F0D861-C02F-45DD-BABC-61E7107797A5}"/>
    <cellStyle name="Comma 13 3 3 4 6 2" xfId="20504" xr:uid="{6F78A540-BDB2-46DF-8C74-051F72295842}"/>
    <cellStyle name="Comma 13 3 3 4 7" xfId="18554" xr:uid="{272AAB82-E714-42ED-ADD7-EBD3F228DC36}"/>
    <cellStyle name="Comma 13 3 3 5" xfId="1373" xr:uid="{06294875-A8C2-4660-BDAE-3B628C456522}"/>
    <cellStyle name="Comma 13 3 3 5 2" xfId="1759" xr:uid="{423EE1E6-FD15-4579-97B8-390D0AA3470B}"/>
    <cellStyle name="Comma 13 3 3 5 2 2" xfId="3691" xr:uid="{6B6A9C13-29F7-4ABA-AEF1-592D7C89D4B1}"/>
    <cellStyle name="Comma 13 3 3 5 2 2 2" xfId="20145" xr:uid="{4A7AFAE0-8C8E-4C69-B8EF-FF8C91115887}"/>
    <cellStyle name="Comma 13 3 3 5 2 3" xfId="17517" xr:uid="{E2654408-F855-4924-A8FC-FBCF2E378AD3}"/>
    <cellStyle name="Comma 13 3 3 5 2 3 2" xfId="20724" xr:uid="{1AD1EACD-5494-42DE-80EE-4ED3402702EB}"/>
    <cellStyle name="Comma 13 3 3 5 2 4" xfId="18774" xr:uid="{3728194B-D306-401F-A998-A74268E2BF29}"/>
    <cellStyle name="Comma 13 3 3 5 3" xfId="2566" xr:uid="{B1C59D85-E4EF-4312-9E1C-B293EB5F1245}"/>
    <cellStyle name="Comma 13 3 3 5 3 2" xfId="3431" xr:uid="{5C6653A7-89C5-4BEF-9B9B-074BBF6B8492}"/>
    <cellStyle name="Comma 13 3 3 5 3 2 2" xfId="19889" xr:uid="{BE936E8F-F7CF-4456-8AED-DD4730AE592C}"/>
    <cellStyle name="Comma 13 3 3 5 3 3" xfId="18007" xr:uid="{E0938643-D25F-42E4-9427-B334EC57A93B}"/>
    <cellStyle name="Comma 13 3 3 5 3 3 2" xfId="21000" xr:uid="{1C582542-BD4D-4023-B65C-E126DC1FAF75}"/>
    <cellStyle name="Comma 13 3 3 5 3 4" xfId="19050" xr:uid="{C18BC936-3987-482F-9BCE-4E9292FE267C}"/>
    <cellStyle name="Comma 13 3 3 5 4" xfId="2822" xr:uid="{305E164C-C78F-4DA6-99C1-07C98390C93B}"/>
    <cellStyle name="Comma 13 3 3 5 4 2" xfId="19306" xr:uid="{71D60049-8054-4952-8FF5-45C354796E19}"/>
    <cellStyle name="Comma 13 3 3 5 5" xfId="3088" xr:uid="{2C8FDB28-6E34-4EF1-9FC6-D20CAC0B26F0}"/>
    <cellStyle name="Comma 13 3 3 5 5 2" xfId="19562" xr:uid="{1616B7D3-9E32-45DF-B284-BD41B8B6A930}"/>
    <cellStyle name="Comma 13 3 3 5 6" xfId="17187" xr:uid="{A1BD04D8-74C2-42BF-94C3-25D10916D161}"/>
    <cellStyle name="Comma 13 3 3 5 6 2" xfId="20397" xr:uid="{EB006679-9107-4516-8C58-963469BD3697}"/>
    <cellStyle name="Comma 13 3 3 5 7" xfId="18447" xr:uid="{A784928C-ACE6-450E-A0A4-B3243043C0BE}"/>
    <cellStyle name="Comma 13 3 3 6" xfId="1830" xr:uid="{5FAE6E86-9D49-484A-BC26-7CB348C3F9F9}"/>
    <cellStyle name="Comma 13 3 3 6 2" xfId="2631" xr:uid="{7A56BA1D-B211-430B-A6CB-CC098F7C6EA7}"/>
    <cellStyle name="Comma 13 3 3 6 2 2" xfId="3756" xr:uid="{8DB94D47-660F-4F43-8BE5-62DEC2CAD89B}"/>
    <cellStyle name="Comma 13 3 3 6 2 2 2" xfId="20210" xr:uid="{1FC384D2-39A7-4210-A1C0-F6F9D982B7E8}"/>
    <cellStyle name="Comma 13 3 3 6 2 3" xfId="18072" xr:uid="{2DB17023-25BA-456F-889A-4E54A5A1A99B}"/>
    <cellStyle name="Comma 13 3 3 6 2 3 2" xfId="21065" xr:uid="{F23F78A9-4649-424A-B078-E7097BF23B66}"/>
    <cellStyle name="Comma 13 3 3 6 2 4" xfId="19115" xr:uid="{226D86AE-B6BE-43DE-B827-372E57048BB2}"/>
    <cellStyle name="Comma 13 3 3 6 3" xfId="2887" xr:uid="{780A5B43-BA2B-42C9-96E3-B6C8E1DDA4DF}"/>
    <cellStyle name="Comma 13 3 3 6 3 2" xfId="3500" xr:uid="{F0DF770A-0E1F-460C-94B6-092CE6CCC1FD}"/>
    <cellStyle name="Comma 13 3 3 6 3 2 2" xfId="19954" xr:uid="{2D3B7597-A445-44EE-AB28-3400C6980797}"/>
    <cellStyle name="Comma 13 3 3 6 3 3" xfId="19371" xr:uid="{2323C572-C5F1-4617-A3D2-C9705ACDF0F2}"/>
    <cellStyle name="Comma 13 3 3 6 4" xfId="3153" xr:uid="{F0F7B83C-0837-4964-BA4E-62071D431CE6}"/>
    <cellStyle name="Comma 13 3 3 6 4 2" xfId="19627" xr:uid="{EBB0105C-EEAD-4743-B88E-9DF4EA8E66BA}"/>
    <cellStyle name="Comma 13 3 3 6 5" xfId="17583" xr:uid="{952EEDE6-5FFB-494E-B189-B8B885751CBF}"/>
    <cellStyle name="Comma 13 3 3 6 5 2" xfId="20789" xr:uid="{19CF7171-C551-4F22-9D7E-7A223FEEAF22}"/>
    <cellStyle name="Comma 13 3 3 6 6" xfId="18839" xr:uid="{57ED58E3-1583-4F73-BB92-00E935FCC55E}"/>
    <cellStyle name="Comma 13 3 3 7" xfId="1602" xr:uid="{E6051E01-98FE-4CF8-BD6D-718E2C6A1E26}"/>
    <cellStyle name="Comma 13 3 3 7 2" xfId="3265" xr:uid="{406A4D2C-F19C-48B8-AF69-86EFA21A687C}"/>
    <cellStyle name="Comma 13 3 3 7 2 2" xfId="19734" xr:uid="{E372B080-6A38-4BE3-8445-387BA4951217}"/>
    <cellStyle name="Comma 13 3 3 7 3" xfId="17362" xr:uid="{042D1C13-1A74-4906-95CB-7D0D08AD8218}"/>
    <cellStyle name="Comma 13 3 3 7 3 2" xfId="20569" xr:uid="{92608333-1CB8-4673-92A1-0A4FB04E8B93}"/>
    <cellStyle name="Comma 13 3 3 7 4" xfId="18619" xr:uid="{4B78B9F3-730A-4DB1-BC36-5256BCFA3246}"/>
    <cellStyle name="Comma 13 3 3 8" xfId="2411" xr:uid="{C0DE2CE9-922E-4E1C-BBE4-8B736FEF02D5}"/>
    <cellStyle name="Comma 13 3 3 8 2" xfId="3536" xr:uid="{72EE1AA3-2F4E-4214-8BC4-50531A5B45DA}"/>
    <cellStyle name="Comma 13 3 3 8 2 2" xfId="19990" xr:uid="{C4AA0169-ACCA-47E3-86F0-309CF5AC275D}"/>
    <cellStyle name="Comma 13 3 3 8 3" xfId="17850" xr:uid="{CADC6891-D5E3-4ADB-B883-AF16381D56AF}"/>
    <cellStyle name="Comma 13 3 3 8 3 2" xfId="20845" xr:uid="{E073120A-F482-476F-8779-C599D490A483}"/>
    <cellStyle name="Comma 13 3 3 8 4" xfId="18895" xr:uid="{EBBE0568-FE62-49B2-AA37-97A5E9E9043E}"/>
    <cellStyle name="Comma 13 3 3 9" xfId="2667" xr:uid="{41BFF116-9445-4AC7-952F-8E4F89A1B23A}"/>
    <cellStyle name="Comma 13 3 3 9 2" xfId="3808" xr:uid="{AD660FF2-6E33-4A7B-A9A3-25A3DA56251B}"/>
    <cellStyle name="Comma 13 3 3 9 2 2" xfId="20262" xr:uid="{F0A329C9-4340-499B-B1FF-5F5A19F64D3D}"/>
    <cellStyle name="Comma 13 3 3 9 3" xfId="19151" xr:uid="{FAD5486C-554B-4899-9178-8B2A0712BAE9}"/>
    <cellStyle name="Comma 13 3 4" xfId="848" xr:uid="{EC7EA1FC-2EF2-4AD4-98E1-285D26263369}"/>
    <cellStyle name="Comma 13 3 4 10" xfId="3213" xr:uid="{5FB61B54-A413-4E97-8F39-00E0D6A7C542}"/>
    <cellStyle name="Comma 13 3 4 10 2" xfId="19686" xr:uid="{19E38C31-0FA2-4AF5-AC40-D87916DDDB58}"/>
    <cellStyle name="Comma 13 3 4 11" xfId="2944" xr:uid="{930D4B9C-5863-4960-92E7-62D68B71D0B3}"/>
    <cellStyle name="Comma 13 3 4 11 2" xfId="19418" xr:uid="{9501B59A-7BA8-4DF4-977F-7B01C2C29D18}"/>
    <cellStyle name="Comma 13 3 4 12" xfId="17057" xr:uid="{C00B58D8-EA99-40CF-ACC6-C30E14FB335A}"/>
    <cellStyle name="Comma 13 3 4 12 2" xfId="20349" xr:uid="{ECE47C0D-37C2-424F-8BDC-4506C04D6E76}"/>
    <cellStyle name="Comma 13 3 4 13" xfId="18399" xr:uid="{C85AC291-A0B6-4833-85B2-DA099DE8F12D}"/>
    <cellStyle name="Comma 13 3 4 2" xfId="1458" xr:uid="{3A85E81D-842C-41E8-9964-6122D8C95E7B}"/>
    <cellStyle name="Comma 13 3 4 2 2" xfId="1654" xr:uid="{2CBDE282-2BB2-41D2-953D-4266F4F75830}"/>
    <cellStyle name="Comma 13 3 4 2 2 2" xfId="3588" xr:uid="{876199C8-8C59-4033-B9AF-1D7AA2F15A80}"/>
    <cellStyle name="Comma 13 3 4 2 2 2 2" xfId="20042" xr:uid="{29A91FAD-4243-415C-B47F-0C8B2E8E8E1C}"/>
    <cellStyle name="Comma 13 3 4 2 2 3" xfId="17414" xr:uid="{CFCDDC51-D1F3-4F55-B5AE-A19398FB6CE0}"/>
    <cellStyle name="Comma 13 3 4 2 2 3 2" xfId="20621" xr:uid="{BD5A399A-C32F-42CE-A65D-7E9542E4AE8D}"/>
    <cellStyle name="Comma 13 3 4 2 2 4" xfId="18671" xr:uid="{18C3BC31-3DCD-4E38-A604-112DF1C60657}"/>
    <cellStyle name="Comma 13 3 4 2 3" xfId="2463" xr:uid="{7E1D6F5A-9137-4867-A20B-7667B8BB88FD}"/>
    <cellStyle name="Comma 13 3 4 2 3 2" xfId="3318" xr:uid="{AC7BC448-8C97-4810-9189-51D9B7FB7E45}"/>
    <cellStyle name="Comma 13 3 4 2 3 2 2" xfId="19786" xr:uid="{76BB7972-70F6-420C-A7F6-8196E9A38A3D}"/>
    <cellStyle name="Comma 13 3 4 2 3 3" xfId="17904" xr:uid="{60359EB3-36F0-43BF-9155-BC8576BD2FD1}"/>
    <cellStyle name="Comma 13 3 4 2 3 3 2" xfId="20897" xr:uid="{AA4D57D2-1FB5-4EA4-814C-10E997CDCBBD}"/>
    <cellStyle name="Comma 13 3 4 2 3 4" xfId="18947" xr:uid="{41A1F58C-3840-43BC-961E-FF1C3EFDE842}"/>
    <cellStyle name="Comma 13 3 4 2 4" xfId="2719" xr:uid="{823B28E0-11C5-49A0-AF2F-CE4E87C4107E}"/>
    <cellStyle name="Comma 13 3 4 2 4 2" xfId="19203" xr:uid="{5CA39C47-D34C-43B2-943D-FFD9675DC5EF}"/>
    <cellStyle name="Comma 13 3 4 2 5" xfId="2985" xr:uid="{81F3382E-322B-4064-B605-5BA6874C8507}"/>
    <cellStyle name="Comma 13 3 4 2 5 2" xfId="19459" xr:uid="{E0DD2A70-01E4-416A-AB68-498DF40FB51A}"/>
    <cellStyle name="Comma 13 3 4 2 6" xfId="17241" xr:uid="{8853215C-B2B3-4D75-B69E-99F3C5304859}"/>
    <cellStyle name="Comma 13 3 4 2 6 2" xfId="20449" xr:uid="{945E991F-ED34-4795-920A-817A13BAAC8A}"/>
    <cellStyle name="Comma 13 3 4 2 7" xfId="18499" xr:uid="{AA60E6D9-E51E-4522-80A5-5D0ACBF7B3B8}"/>
    <cellStyle name="Comma 13 3 4 3" xfId="1478" xr:uid="{E90A7668-A746-4662-9FE0-07C1117912AC}"/>
    <cellStyle name="Comma 13 3 4 3 2" xfId="1663" xr:uid="{7AFAD36F-7096-4B04-AE54-A69F6203E1AC}"/>
    <cellStyle name="Comma 13 3 4 3 2 2" xfId="3597" xr:uid="{205574F2-952F-4B81-B269-4E313D7D21A7}"/>
    <cellStyle name="Comma 13 3 4 3 2 2 2" xfId="20051" xr:uid="{45C0134A-0D01-49E7-8360-D3791E46309E}"/>
    <cellStyle name="Comma 13 3 4 3 2 3" xfId="17423" xr:uid="{D9C21371-8097-43D8-953F-72428E487FBE}"/>
    <cellStyle name="Comma 13 3 4 3 2 3 2" xfId="20630" xr:uid="{65A44D5C-97E6-4C3D-B533-85C4F7B959FD}"/>
    <cellStyle name="Comma 13 3 4 3 2 4" xfId="18680" xr:uid="{B99A23A6-A435-4B0A-898E-2054BEBBD4F9}"/>
    <cellStyle name="Comma 13 3 4 3 3" xfId="2472" xr:uid="{D8B68485-BE6E-4CF0-A0C2-2EF817A8DAF7}"/>
    <cellStyle name="Comma 13 3 4 3 3 2" xfId="3328" xr:uid="{99D6C0F2-E816-4211-8555-B1DB8A141173}"/>
    <cellStyle name="Comma 13 3 4 3 3 2 2" xfId="19795" xr:uid="{E1114E42-9E83-4C8E-AC33-2D56E31FF094}"/>
    <cellStyle name="Comma 13 3 4 3 3 3" xfId="17913" xr:uid="{4013A874-3A8B-4B7F-BC4E-4EDF5F28B261}"/>
    <cellStyle name="Comma 13 3 4 3 3 3 2" xfId="20906" xr:uid="{92F32B2A-A36C-4BA4-B6FC-F49D7F5DDD8F}"/>
    <cellStyle name="Comma 13 3 4 3 3 4" xfId="18956" xr:uid="{5FD87A42-F631-4488-9EBD-3BCA8D65F7D8}"/>
    <cellStyle name="Comma 13 3 4 3 4" xfId="2728" xr:uid="{7E65B32B-C5FA-4567-90D2-0F114CE1643A}"/>
    <cellStyle name="Comma 13 3 4 3 4 2" xfId="19212" xr:uid="{72F5D748-1DCA-4446-BA8B-009BA40E4ACA}"/>
    <cellStyle name="Comma 13 3 4 3 5" xfId="2994" xr:uid="{65B6BC50-826E-4FEA-9C4A-EFD1BA28DBD4}"/>
    <cellStyle name="Comma 13 3 4 3 5 2" xfId="19468" xr:uid="{3379C7F2-99CE-4829-82B3-7767925E6CFE}"/>
    <cellStyle name="Comma 13 3 4 3 6" xfId="17251" xr:uid="{70F7DCC3-C741-446C-A5D3-31E8632355C9}"/>
    <cellStyle name="Comma 13 3 4 3 6 2" xfId="20458" xr:uid="{52687867-97E1-40E1-9F1A-81A05819A9B5}"/>
    <cellStyle name="Comma 13 3 4 3 7" xfId="18508" xr:uid="{2B6F2F44-8FFC-4E02-B6DC-151342D0B7FC}"/>
    <cellStyle name="Comma 13 3 4 4" xfId="1538" xr:uid="{53A26CDA-3B4D-4BD4-A345-27A82525A9FE}"/>
    <cellStyle name="Comma 13 3 4 4 2" xfId="1710" xr:uid="{FB12D4F2-29D9-4B7B-9501-D160846F7897}"/>
    <cellStyle name="Comma 13 3 4 4 2 2" xfId="3644" xr:uid="{1650CD43-41CA-46A1-B4E3-BA38F827725C}"/>
    <cellStyle name="Comma 13 3 4 4 2 2 2" xfId="20098" xr:uid="{AE65E548-748D-4B57-88BE-ED5F213E6C52}"/>
    <cellStyle name="Comma 13 3 4 4 2 3" xfId="17470" xr:uid="{4C0939DE-6240-4049-B892-81BAE94374A3}"/>
    <cellStyle name="Comma 13 3 4 4 2 3 2" xfId="20677" xr:uid="{80B1675E-5EFF-4B98-9AFB-8E0B0D46580D}"/>
    <cellStyle name="Comma 13 3 4 4 2 4" xfId="18727" xr:uid="{D6620F02-FC8A-4992-AC67-04B01F9C45F8}"/>
    <cellStyle name="Comma 13 3 4 4 3" xfId="2519" xr:uid="{91DBE958-4C18-489F-9FD1-78EB0DA6F108}"/>
    <cellStyle name="Comma 13 3 4 4 3 2" xfId="3383" xr:uid="{025EE38D-301F-4317-A7E2-0289847536C5}"/>
    <cellStyle name="Comma 13 3 4 4 3 2 2" xfId="19842" xr:uid="{A92E27BB-AE53-4D26-AA0F-783E4F734EEA}"/>
    <cellStyle name="Comma 13 3 4 4 3 3" xfId="17960" xr:uid="{89CEAACB-3A4C-4CBF-A5D4-A23BE5287F7E}"/>
    <cellStyle name="Comma 13 3 4 4 3 3 2" xfId="20953" xr:uid="{6B3E8F4D-CE99-47F1-B195-7D890A97DC79}"/>
    <cellStyle name="Comma 13 3 4 4 3 4" xfId="19003" xr:uid="{B660F2FE-459B-4963-BF39-8292D9C31444}"/>
    <cellStyle name="Comma 13 3 4 4 4" xfId="2775" xr:uid="{19083B1D-3843-45E2-8B1B-7D1CC3F0D2B1}"/>
    <cellStyle name="Comma 13 3 4 4 4 2" xfId="19259" xr:uid="{CE44F508-D971-4D55-A481-D32DE92F9064}"/>
    <cellStyle name="Comma 13 3 4 4 5" xfId="3041" xr:uid="{B72E991F-4614-4649-AABE-2C23BC1C327A}"/>
    <cellStyle name="Comma 13 3 4 4 5 2" xfId="19515" xr:uid="{C806E621-3131-44EC-92A6-AC4414282C5C}"/>
    <cellStyle name="Comma 13 3 4 4 6" xfId="17298" xr:uid="{04BFD8C1-3767-4917-829A-D30E057B92E0}"/>
    <cellStyle name="Comma 13 3 4 4 6 2" xfId="20505" xr:uid="{DBF800E6-FA3D-469E-A20F-99D5037A24FF}"/>
    <cellStyle name="Comma 13 3 4 4 7" xfId="18555" xr:uid="{C0B20083-9416-4156-B6CD-41A6ADF65538}"/>
    <cellStyle name="Comma 13 3 4 5" xfId="1390" xr:uid="{2F93D3E2-C6BE-4989-B032-D8A7C5DDDE47}"/>
    <cellStyle name="Comma 13 3 4 5 2" xfId="1760" xr:uid="{D8FC1E4C-B241-4FD5-913C-0CF837A83CA6}"/>
    <cellStyle name="Comma 13 3 4 5 2 2" xfId="3692" xr:uid="{55075BE1-1303-4C8F-BB68-4B98C4E2145B}"/>
    <cellStyle name="Comma 13 3 4 5 2 2 2" xfId="20146" xr:uid="{1F36C524-FCF0-45DE-A581-2E911ABD3ACC}"/>
    <cellStyle name="Comma 13 3 4 5 2 3" xfId="17518" xr:uid="{0C56984B-7B28-4F82-8A21-E0138060C6CD}"/>
    <cellStyle name="Comma 13 3 4 5 2 3 2" xfId="20725" xr:uid="{B7DB8F6B-6CC6-40E2-A4FE-A7DDDA2F3064}"/>
    <cellStyle name="Comma 13 3 4 5 2 4" xfId="18775" xr:uid="{B37D7A4A-C31B-4FD4-9B4D-8661F23F8DC9}"/>
    <cellStyle name="Comma 13 3 4 5 3" xfId="2567" xr:uid="{39B486FB-A6D9-4BD6-9A0D-C45D5C990B41}"/>
    <cellStyle name="Comma 13 3 4 5 3 2" xfId="3432" xr:uid="{6AB05B61-AA50-4DD6-82A8-4A4F09F802DB}"/>
    <cellStyle name="Comma 13 3 4 5 3 2 2" xfId="19890" xr:uid="{03144B65-4D14-4031-952B-97A58BC6A174}"/>
    <cellStyle name="Comma 13 3 4 5 3 3" xfId="18008" xr:uid="{3B67FD35-7F01-44C0-85A2-DB47304A7F1B}"/>
    <cellStyle name="Comma 13 3 4 5 3 3 2" xfId="21001" xr:uid="{E7BB87D3-D4D9-444E-9EA2-9278BB935C75}"/>
    <cellStyle name="Comma 13 3 4 5 3 4" xfId="19051" xr:uid="{A3EAEE3C-4D79-41D1-8F6C-75E25BEC2010}"/>
    <cellStyle name="Comma 13 3 4 5 4" xfId="2823" xr:uid="{4536DCD0-ABC2-4E0F-8C78-CE85CE96C299}"/>
    <cellStyle name="Comma 13 3 4 5 4 2" xfId="19307" xr:uid="{9F7F91F2-6556-44D5-BBF9-3A42A16CAF19}"/>
    <cellStyle name="Comma 13 3 4 5 5" xfId="3089" xr:uid="{FD3688C9-D827-44A1-BF37-3286EBFC8CA7}"/>
    <cellStyle name="Comma 13 3 4 5 5 2" xfId="19563" xr:uid="{FEA5AA2A-94B1-45A2-B625-A2BFC735CFCE}"/>
    <cellStyle name="Comma 13 3 4 5 6" xfId="17198" xr:uid="{52F08BF0-4655-49BA-A7C1-650D9108C61D}"/>
    <cellStyle name="Comma 13 3 4 5 6 2" xfId="20408" xr:uid="{9CB2B9A2-ED37-4058-9204-53B9777BBA47}"/>
    <cellStyle name="Comma 13 3 4 5 7" xfId="18458" xr:uid="{FFD47013-E7A7-448D-90F8-D6CE0EA7A61D}"/>
    <cellStyle name="Comma 13 3 4 6" xfId="1841" xr:uid="{5E0E3BDF-CD64-46EB-B94B-E3C27C630F67}"/>
    <cellStyle name="Comma 13 3 4 6 2" xfId="2642" xr:uid="{89E01ED5-D5C9-4231-AC7A-6FE51EB7C7AD}"/>
    <cellStyle name="Comma 13 3 4 6 2 2" xfId="3767" xr:uid="{8CE4934F-86C1-4FDB-BAE6-671C6F39F595}"/>
    <cellStyle name="Comma 13 3 4 6 2 2 2" xfId="20221" xr:uid="{04A76F80-5333-4F04-B8E8-FC50E57F05B1}"/>
    <cellStyle name="Comma 13 3 4 6 2 3" xfId="18083" xr:uid="{8E020142-DCC9-41BB-B8AD-8B0E05EF0A5D}"/>
    <cellStyle name="Comma 13 3 4 6 2 3 2" xfId="21076" xr:uid="{B11F5585-BC12-4CDE-A836-296E396701BE}"/>
    <cellStyle name="Comma 13 3 4 6 2 4" xfId="19126" xr:uid="{0E8CB34B-9E88-4E85-8D13-879107F2325D}"/>
    <cellStyle name="Comma 13 3 4 6 3" xfId="2898" xr:uid="{F7E35F29-7D33-4181-A402-D00ED7534C5A}"/>
    <cellStyle name="Comma 13 3 4 6 3 2" xfId="3511" xr:uid="{69F4D9A4-F2E9-43DA-AAF1-E81A1B8A83FA}"/>
    <cellStyle name="Comma 13 3 4 6 3 2 2" xfId="19965" xr:uid="{22C60B35-809E-4C9E-9410-B0A596252019}"/>
    <cellStyle name="Comma 13 3 4 6 3 3" xfId="19382" xr:uid="{64E16F54-FC09-41EB-A66E-D780E46F3503}"/>
    <cellStyle name="Comma 13 3 4 6 4" xfId="3164" xr:uid="{7B4A6F2A-4077-4FCB-8F4F-2E2CB94690AA}"/>
    <cellStyle name="Comma 13 3 4 6 4 2" xfId="19638" xr:uid="{E18EE423-9822-44C5-B63B-B9008F488C73}"/>
    <cellStyle name="Comma 13 3 4 6 5" xfId="17594" xr:uid="{A4611381-D9F5-4119-BFF3-C6ABD87D5F9E}"/>
    <cellStyle name="Comma 13 3 4 6 5 2" xfId="20800" xr:uid="{AE3B18D0-047C-4097-B696-E81D894F8F2B}"/>
    <cellStyle name="Comma 13 3 4 6 6" xfId="18850" xr:uid="{54F12513-2749-48CE-BC70-F7DF67B8F7FC}"/>
    <cellStyle name="Comma 13 3 4 7" xfId="1613" xr:uid="{3F2C08E2-5F24-4D8B-82DF-DB9078A74364}"/>
    <cellStyle name="Comma 13 3 4 7 2" xfId="3276" xr:uid="{B9DF04D9-5BD3-4AB8-B876-A9552FF53CB5}"/>
    <cellStyle name="Comma 13 3 4 7 2 2" xfId="19745" xr:uid="{31B8E5FA-4D52-400F-92FB-418DD030FC0C}"/>
    <cellStyle name="Comma 13 3 4 7 3" xfId="17373" xr:uid="{CEAE3950-A5F0-458E-B1E4-2FE76D88BB3A}"/>
    <cellStyle name="Comma 13 3 4 7 3 2" xfId="20580" xr:uid="{E06828EE-C942-4AF5-9133-E9703B166234}"/>
    <cellStyle name="Comma 13 3 4 7 4" xfId="18630" xr:uid="{03CA601F-B7C1-4A30-81D1-4F2E50254935}"/>
    <cellStyle name="Comma 13 3 4 8" xfId="2422" xr:uid="{EA4E20FC-1EF1-4992-AB5D-D81B18E02CF5}"/>
    <cellStyle name="Comma 13 3 4 8 2" xfId="3547" xr:uid="{6C3E4478-5700-4560-B75E-E89D6ED5A1A8}"/>
    <cellStyle name="Comma 13 3 4 8 2 2" xfId="20001" xr:uid="{0D7111D3-497A-4453-BAEC-F327C7F8A6D4}"/>
    <cellStyle name="Comma 13 3 4 8 3" xfId="17861" xr:uid="{DFA46047-955B-4F25-91B8-C5AEDE633369}"/>
    <cellStyle name="Comma 13 3 4 8 3 2" xfId="20856" xr:uid="{05AA5F34-F233-42E9-BEB7-1DBA3AA9292D}"/>
    <cellStyle name="Comma 13 3 4 8 4" xfId="18906" xr:uid="{F024F51D-E517-4979-8064-0272FCE00CFF}"/>
    <cellStyle name="Comma 13 3 4 9" xfId="2678" xr:uid="{8ACA7F1D-D2C7-4698-A391-26F957464745}"/>
    <cellStyle name="Comma 13 3 4 9 2" xfId="3815" xr:uid="{0C47AC66-8D43-429D-ADC2-E0E2C49C5142}"/>
    <cellStyle name="Comma 13 3 4 9 2 2" xfId="20269" xr:uid="{BC50799E-570D-4FDE-A49B-C065497E168D}"/>
    <cellStyle name="Comma 13 3 4 9 3" xfId="19162" xr:uid="{38A3879E-0B68-4D3B-8CD0-269C2D4D9D2D}"/>
    <cellStyle name="Comma 13 3 5" xfId="873" xr:uid="{E88F75E8-983F-40D4-BB22-3AB928B50F8F}"/>
    <cellStyle name="Comma 13 3 5 10" xfId="17076" xr:uid="{8CF00A98-C3FD-4205-A43D-B9E4B11176BC}"/>
    <cellStyle name="Comma 13 3 5 10 2" xfId="20367" xr:uid="{AC5AEC4C-31F5-409B-8471-742265DA1BAC}"/>
    <cellStyle name="Comma 13 3 5 11" xfId="18417" xr:uid="{6B6AB8FC-798B-4AF1-96C7-71D814FBFA7F}"/>
    <cellStyle name="Comma 13 3 5 2" xfId="1479" xr:uid="{07644DC3-8FE6-4316-BD0F-858B74B8C252}"/>
    <cellStyle name="Comma 13 3 5 2 2" xfId="1664" xr:uid="{71C57658-3F5D-4DB0-986A-F17D71C33184}"/>
    <cellStyle name="Comma 13 3 5 2 2 2" xfId="3598" xr:uid="{8671E0B4-8F91-4D10-80EA-AF3575A24EF4}"/>
    <cellStyle name="Comma 13 3 5 2 2 2 2" xfId="20052" xr:uid="{2DE9BCE4-25FC-4626-92CB-74B666EA0812}"/>
    <cellStyle name="Comma 13 3 5 2 2 3" xfId="17424" xr:uid="{35C02942-6D92-4593-A45E-0DDEC2F1A783}"/>
    <cellStyle name="Comma 13 3 5 2 2 3 2" xfId="20631" xr:uid="{3F4432FB-3AEA-4F6C-9EA2-80554AD70E0E}"/>
    <cellStyle name="Comma 13 3 5 2 2 4" xfId="18681" xr:uid="{94221D4C-0CA7-4C89-A87C-75ECA5EBAD7E}"/>
    <cellStyle name="Comma 13 3 5 2 3" xfId="2473" xr:uid="{A7B786E4-0FC0-495C-BDC9-5EB0EF62E8C2}"/>
    <cellStyle name="Comma 13 3 5 2 3 2" xfId="3329" xr:uid="{6BA2A31C-EBBE-4D0E-9150-9BA86DC36803}"/>
    <cellStyle name="Comma 13 3 5 2 3 2 2" xfId="19796" xr:uid="{38661DB0-85BE-4525-B9A7-DF81F1B05FC2}"/>
    <cellStyle name="Comma 13 3 5 2 3 3" xfId="17914" xr:uid="{CB788D20-B2D3-4F8C-8914-721DFA7E25DE}"/>
    <cellStyle name="Comma 13 3 5 2 3 3 2" xfId="20907" xr:uid="{2554348C-2D58-45F2-8A5D-7E1D281CC61B}"/>
    <cellStyle name="Comma 13 3 5 2 3 4" xfId="18957" xr:uid="{87228842-0112-462A-B6DC-BCB757B869E0}"/>
    <cellStyle name="Comma 13 3 5 2 4" xfId="2729" xr:uid="{320AFACC-DE15-4FFF-B883-63BFF3811044}"/>
    <cellStyle name="Comma 13 3 5 2 4 2" xfId="19213" xr:uid="{5B10A4E8-592E-446E-8C6A-518A4D672362}"/>
    <cellStyle name="Comma 13 3 5 2 5" xfId="2995" xr:uid="{36A0EF86-422B-453A-8AE5-4C134224029B}"/>
    <cellStyle name="Comma 13 3 5 2 5 2" xfId="19469" xr:uid="{5F5F670C-6B5B-4950-8EF7-BA4DE8EBF3CB}"/>
    <cellStyle name="Comma 13 3 5 2 6" xfId="17252" xr:uid="{A6FC9917-27D8-4DFA-A2BF-36A93893336B}"/>
    <cellStyle name="Comma 13 3 5 2 6 2" xfId="20459" xr:uid="{519F3AC3-6F2D-4933-A5CC-F3E0A0591F26}"/>
    <cellStyle name="Comma 13 3 5 2 7" xfId="18509" xr:uid="{AA93E716-5071-4DC9-B215-DD9016C918A3}"/>
    <cellStyle name="Comma 13 3 5 3" xfId="1539" xr:uid="{0B0C233E-6B5C-495F-9666-73E16810206C}"/>
    <cellStyle name="Comma 13 3 5 3 2" xfId="1711" xr:uid="{7B21B129-75C5-4C34-9BF5-A758CF6E4F68}"/>
    <cellStyle name="Comma 13 3 5 3 2 2" xfId="3645" xr:uid="{5E0732AE-6C5D-44C5-B422-14962408B05F}"/>
    <cellStyle name="Comma 13 3 5 3 2 2 2" xfId="20099" xr:uid="{D8FCDB02-0D77-42D2-ADB2-2B8E17841EFD}"/>
    <cellStyle name="Comma 13 3 5 3 2 3" xfId="17471" xr:uid="{85E2C41D-BD83-42B8-AD41-B2428DA31DFC}"/>
    <cellStyle name="Comma 13 3 5 3 2 3 2" xfId="20678" xr:uid="{04254927-1755-455C-82AC-44C3E047488C}"/>
    <cellStyle name="Comma 13 3 5 3 2 4" xfId="18728" xr:uid="{5436193D-03F5-4C23-8FDD-FF73D46E842B}"/>
    <cellStyle name="Comma 13 3 5 3 3" xfId="2520" xr:uid="{230946A8-2FE1-4395-93DF-19E87B442A03}"/>
    <cellStyle name="Comma 13 3 5 3 3 2" xfId="3384" xr:uid="{2E54EC4F-3FAA-4F0C-923F-DB083A6BBA80}"/>
    <cellStyle name="Comma 13 3 5 3 3 2 2" xfId="19843" xr:uid="{C7B36BEC-0124-4F7D-9951-FA272116A020}"/>
    <cellStyle name="Comma 13 3 5 3 3 3" xfId="17961" xr:uid="{F5A4A956-11C4-4CC0-8186-1C2FC419461C}"/>
    <cellStyle name="Comma 13 3 5 3 3 3 2" xfId="20954" xr:uid="{2C6F4343-667F-4341-90A4-A660B1FDDE6E}"/>
    <cellStyle name="Comma 13 3 5 3 3 4" xfId="19004" xr:uid="{5F9090BF-F2B9-433E-84BD-1A8FCBB0326D}"/>
    <cellStyle name="Comma 13 3 5 3 4" xfId="2776" xr:uid="{796A94D0-F64D-4567-9A6E-45C5E358769D}"/>
    <cellStyle name="Comma 13 3 5 3 4 2" xfId="19260" xr:uid="{6D9BF246-00D4-4BD9-9299-CB60F3744439}"/>
    <cellStyle name="Comma 13 3 5 3 5" xfId="3042" xr:uid="{CCB8E1D3-E44C-4E0B-B28A-EE56BB90A07F}"/>
    <cellStyle name="Comma 13 3 5 3 5 2" xfId="19516" xr:uid="{938B1993-42EA-4828-873B-38FA6AEB71F4}"/>
    <cellStyle name="Comma 13 3 5 3 6" xfId="17299" xr:uid="{2E13EF06-FBF8-43FD-8E04-4D742C340A89}"/>
    <cellStyle name="Comma 13 3 5 3 6 2" xfId="20506" xr:uid="{2DDFA6E8-E404-4A31-86BD-46BF0C62B021}"/>
    <cellStyle name="Comma 13 3 5 3 7" xfId="18556" xr:uid="{30142F4C-88F1-47A3-8E0E-743A85EA4390}"/>
    <cellStyle name="Comma 13 3 5 4" xfId="1398" xr:uid="{1DAEC08A-7D78-42AD-BE50-C69658FEF648}"/>
    <cellStyle name="Comma 13 3 5 4 2" xfId="1761" xr:uid="{FF783E73-CE69-4E66-9A6E-63E6F138D497}"/>
    <cellStyle name="Comma 13 3 5 4 2 2" xfId="3693" xr:uid="{16271BAB-B427-4312-81EC-2D0651C50C69}"/>
    <cellStyle name="Comma 13 3 5 4 2 2 2" xfId="20147" xr:uid="{F787FB35-D9E6-4210-B1AB-7CE18A8B924D}"/>
    <cellStyle name="Comma 13 3 5 4 2 3" xfId="17519" xr:uid="{C4CE228B-2383-4616-A505-7D11C062E5A5}"/>
    <cellStyle name="Comma 13 3 5 4 2 3 2" xfId="20726" xr:uid="{04700849-1C48-4764-A4A3-D97AAE8E9B93}"/>
    <cellStyle name="Comma 13 3 5 4 2 4" xfId="18776" xr:uid="{B1A7D65E-A69D-4FB0-9CC6-B30C89C11446}"/>
    <cellStyle name="Comma 13 3 5 4 3" xfId="2568" xr:uid="{2508ECCA-5629-4987-8876-18F84786B0BB}"/>
    <cellStyle name="Comma 13 3 5 4 3 2" xfId="3433" xr:uid="{CE19B1D5-9A2B-4FB6-B737-0C018A739DB1}"/>
    <cellStyle name="Comma 13 3 5 4 3 2 2" xfId="19891" xr:uid="{649B6DE0-5C92-4789-8A43-3399FD01F63C}"/>
    <cellStyle name="Comma 13 3 5 4 3 3" xfId="18009" xr:uid="{BA13C4E5-3D3A-41AF-9507-192634BD991F}"/>
    <cellStyle name="Comma 13 3 5 4 3 3 2" xfId="21002" xr:uid="{6BF99980-7A3A-44A1-8E6A-04547F5767A5}"/>
    <cellStyle name="Comma 13 3 5 4 3 4" xfId="19052" xr:uid="{0FFFD72D-EE29-4AFF-A01D-58DB418B9D56}"/>
    <cellStyle name="Comma 13 3 5 4 4" xfId="2824" xr:uid="{FB22F714-A23A-45A6-9300-10A58696A8FB}"/>
    <cellStyle name="Comma 13 3 5 4 4 2" xfId="19308" xr:uid="{0AB90482-4F5A-41EE-A628-6E7FBB97801D}"/>
    <cellStyle name="Comma 13 3 5 4 5" xfId="3090" xr:uid="{B62D5D6D-2F72-448F-B7D4-F639E9C7274F}"/>
    <cellStyle name="Comma 13 3 5 4 5 2" xfId="19564" xr:uid="{5910A5C0-E6D0-46A9-9EC2-3CE8E10DA7FE}"/>
    <cellStyle name="Comma 13 3 5 4 6" xfId="17204" xr:uid="{A47262B6-15FE-4BFD-97FD-22E233E9A7BF}"/>
    <cellStyle name="Comma 13 3 5 4 6 2" xfId="20414" xr:uid="{7F537586-EAA0-479D-A1B6-70BEF46A31FC}"/>
    <cellStyle name="Comma 13 3 5 4 7" xfId="18464" xr:uid="{6C133119-51B6-4CBE-A7FD-5E50602034CE}"/>
    <cellStyle name="Comma 13 3 5 5" xfId="1619" xr:uid="{9C4B184F-3F1F-4346-87AF-70D2D5FB08AD}"/>
    <cellStyle name="Comma 13 3 5 5 2" xfId="3282" xr:uid="{1A903587-F05D-4DAC-89D0-347B0043016F}"/>
    <cellStyle name="Comma 13 3 5 5 2 2" xfId="19751" xr:uid="{A40B5B97-C986-4DEF-9B98-C4AE97AF93E4}"/>
    <cellStyle name="Comma 13 3 5 5 3" xfId="17379" xr:uid="{97B79A3A-89DD-4B5E-ADCE-BAB26D7C94CA}"/>
    <cellStyle name="Comma 13 3 5 5 3 2" xfId="20586" xr:uid="{3C3B018D-82FB-4DCA-9095-546D4186AADB}"/>
    <cellStyle name="Comma 13 3 5 5 4" xfId="18636" xr:uid="{17697657-AF3B-4235-830B-C6A0162081F2}"/>
    <cellStyle name="Comma 13 3 5 6" xfId="2428" xr:uid="{8F474C5F-14C2-4484-8C0F-3654900912E3}"/>
    <cellStyle name="Comma 13 3 5 6 2" xfId="3553" xr:uid="{B7F350D3-964D-4DD4-9F54-7534A73D367C}"/>
    <cellStyle name="Comma 13 3 5 6 2 2" xfId="20007" xr:uid="{16099A0E-F3E1-4F2A-927C-9A31B0CA2052}"/>
    <cellStyle name="Comma 13 3 5 6 3" xfId="17867" xr:uid="{EEAD2271-B5DF-463C-A303-C7FE7042F4C1}"/>
    <cellStyle name="Comma 13 3 5 6 3 2" xfId="20862" xr:uid="{C654DD0F-7021-4883-A709-F40178A7F43D}"/>
    <cellStyle name="Comma 13 3 5 6 4" xfId="18912" xr:uid="{FFD7F00C-F09E-4AFD-815D-309DC590D18F}"/>
    <cellStyle name="Comma 13 3 5 7" xfId="2684" xr:uid="{81C1FDEA-1D35-499C-BBE1-754CB64E2D04}"/>
    <cellStyle name="Comma 13 3 5 7 2" xfId="3833" xr:uid="{C6F99EE3-6436-4B3B-93D7-935A7ABD9638}"/>
    <cellStyle name="Comma 13 3 5 7 2 2" xfId="20287" xr:uid="{515F0B27-B058-41C7-909D-16FC4AA120E6}"/>
    <cellStyle name="Comma 13 3 5 7 3" xfId="19168" xr:uid="{91DCF234-9D99-4A34-B926-7E8D0DE27506}"/>
    <cellStyle name="Comma 13 3 5 8" xfId="3234" xr:uid="{43AAFDFF-BF61-49DB-BFDE-F971EE6F2921}"/>
    <cellStyle name="Comma 13 3 5 8 2" xfId="19704" xr:uid="{13467290-C4A2-4D5E-8D22-CF2B72756323}"/>
    <cellStyle name="Comma 13 3 5 9" xfId="2950" xr:uid="{D779735F-74ED-493E-AD63-BC6AC340DE94}"/>
    <cellStyle name="Comma 13 3 5 9 2" xfId="19424" xr:uid="{B0369D65-E03A-445B-AD70-A9B7A2C0B0DC}"/>
    <cellStyle name="Comma 13 3 6" xfId="885" xr:uid="{4BE8DDEC-D0C2-4503-800E-F0BA95EB0308}"/>
    <cellStyle name="Comma 13 3 6 10" xfId="17086" xr:uid="{7627112A-7C4B-4ABF-9315-B700871FF4F4}"/>
    <cellStyle name="Comma 13 3 6 10 2" xfId="20373" xr:uid="{B72F7788-88F7-4CD1-93EF-9E2D24F4785F}"/>
    <cellStyle name="Comma 13 3 6 11" xfId="18423" xr:uid="{3A0D0CBA-1D90-4B20-A8EB-D49782B108AC}"/>
    <cellStyle name="Comma 13 3 6 2" xfId="1480" xr:uid="{40E801D5-28F3-4923-97D3-134AE10594EA}"/>
    <cellStyle name="Comma 13 3 6 2 2" xfId="1665" xr:uid="{FBFFA5C1-A0CC-4473-A7C0-FB139B6E0CBC}"/>
    <cellStyle name="Comma 13 3 6 2 2 2" xfId="3599" xr:uid="{08B9CF1A-DC58-43A0-9524-5810B8062E51}"/>
    <cellStyle name="Comma 13 3 6 2 2 2 2" xfId="20053" xr:uid="{2AFACC68-E0E2-4E5C-9815-C736DE454012}"/>
    <cellStyle name="Comma 13 3 6 2 2 3" xfId="17425" xr:uid="{E19820DB-B80E-48F5-8167-3821D44BB92D}"/>
    <cellStyle name="Comma 13 3 6 2 2 3 2" xfId="20632" xr:uid="{E81126A0-CDC5-42F4-AAC1-88BDFC07A301}"/>
    <cellStyle name="Comma 13 3 6 2 2 4" xfId="18682" xr:uid="{485A2EF1-6BB3-4BEE-AC38-D5296013A75B}"/>
    <cellStyle name="Comma 13 3 6 2 3" xfId="2474" xr:uid="{D18ABD3D-857F-4E57-BC9F-C2130C984238}"/>
    <cellStyle name="Comma 13 3 6 2 3 2" xfId="3330" xr:uid="{87AA129C-16A6-4590-AEC7-46077BD7489F}"/>
    <cellStyle name="Comma 13 3 6 2 3 2 2" xfId="19797" xr:uid="{F543A70F-6C45-4DBD-96F4-F10BE2387184}"/>
    <cellStyle name="Comma 13 3 6 2 3 3" xfId="17915" xr:uid="{7A6D6C3C-7A4B-4DF5-B459-343E4842856B}"/>
    <cellStyle name="Comma 13 3 6 2 3 3 2" xfId="20908" xr:uid="{1D0451DF-CF99-40F9-AF15-BF6DAEE57DE7}"/>
    <cellStyle name="Comma 13 3 6 2 3 4" xfId="18958" xr:uid="{C790CE70-6E1A-41B1-9539-61DD667EA2DD}"/>
    <cellStyle name="Comma 13 3 6 2 4" xfId="2730" xr:uid="{E81F362C-1031-40C8-9BEF-4CDBB867E814}"/>
    <cellStyle name="Comma 13 3 6 2 4 2" xfId="19214" xr:uid="{9A352477-C454-4619-8A18-ACBFCB6604A7}"/>
    <cellStyle name="Comma 13 3 6 2 5" xfId="2996" xr:uid="{6C41CDFD-253F-456B-B73F-0464A4FECB18}"/>
    <cellStyle name="Comma 13 3 6 2 5 2" xfId="19470" xr:uid="{B1D0B020-7058-4671-AE69-1583C36C7844}"/>
    <cellStyle name="Comma 13 3 6 2 6" xfId="17253" xr:uid="{85A92721-27BC-492E-8CF3-5D2AC0C9EFA4}"/>
    <cellStyle name="Comma 13 3 6 2 6 2" xfId="20460" xr:uid="{D4392195-78B4-4943-B119-9C780F16C299}"/>
    <cellStyle name="Comma 13 3 6 2 7" xfId="18510" xr:uid="{67B43076-B69D-4CCA-AB82-5656C3B4DDDE}"/>
    <cellStyle name="Comma 13 3 6 3" xfId="1540" xr:uid="{D3FDE0B2-3C6F-42FF-AA82-81C4965301E0}"/>
    <cellStyle name="Comma 13 3 6 3 2" xfId="1712" xr:uid="{66FA5748-DA3C-4C8D-AFEB-7D279EF7AA17}"/>
    <cellStyle name="Comma 13 3 6 3 2 2" xfId="3646" xr:uid="{86106BA8-FD0D-4592-8668-D5680EE50EBC}"/>
    <cellStyle name="Comma 13 3 6 3 2 2 2" xfId="20100" xr:uid="{E8B3B620-BF93-4CBF-9102-79770AF1714B}"/>
    <cellStyle name="Comma 13 3 6 3 2 3" xfId="17472" xr:uid="{1291BC8B-3D22-447B-8859-6BC94C425DA4}"/>
    <cellStyle name="Comma 13 3 6 3 2 3 2" xfId="20679" xr:uid="{8336A39B-9FEC-491B-8BB5-C98E1FCE31F1}"/>
    <cellStyle name="Comma 13 3 6 3 2 4" xfId="18729" xr:uid="{4CD50711-4BEA-450E-9CE1-ADB2751ABD37}"/>
    <cellStyle name="Comma 13 3 6 3 3" xfId="2521" xr:uid="{F6C81BB9-5B00-425B-BF6E-7076221C5862}"/>
    <cellStyle name="Comma 13 3 6 3 3 2" xfId="3385" xr:uid="{DA4EA33E-899C-49FA-B4AC-7DA6CD4E54E5}"/>
    <cellStyle name="Comma 13 3 6 3 3 2 2" xfId="19844" xr:uid="{AA4249C6-6E63-44E7-9DC0-8454A525F899}"/>
    <cellStyle name="Comma 13 3 6 3 3 3" xfId="17962" xr:uid="{EB1ACB5E-4D35-4EA2-9C89-2B19EDC174AB}"/>
    <cellStyle name="Comma 13 3 6 3 3 3 2" xfId="20955" xr:uid="{7E3A613D-0FAB-41F1-A747-2D3B28463CEE}"/>
    <cellStyle name="Comma 13 3 6 3 3 4" xfId="19005" xr:uid="{A9FBCA0F-F250-4D01-B8D5-7D151FD1D715}"/>
    <cellStyle name="Comma 13 3 6 3 4" xfId="2777" xr:uid="{401F4E02-8D00-4BFF-91A6-BDCB17E33643}"/>
    <cellStyle name="Comma 13 3 6 3 4 2" xfId="19261" xr:uid="{130706BE-575B-4AD7-A8F8-D4AA68B1FB85}"/>
    <cellStyle name="Comma 13 3 6 3 5" xfId="3043" xr:uid="{74564563-57FF-43AF-8C88-6F5B16ECD882}"/>
    <cellStyle name="Comma 13 3 6 3 5 2" xfId="19517" xr:uid="{C898C713-F3F7-4FB5-ADBA-8DCEE57C21BE}"/>
    <cellStyle name="Comma 13 3 6 3 6" xfId="17300" xr:uid="{D8B8D258-694F-4913-A22A-54901933C58A}"/>
    <cellStyle name="Comma 13 3 6 3 6 2" xfId="20507" xr:uid="{704C04ED-BA6D-4D8C-8105-7074AD2D930D}"/>
    <cellStyle name="Comma 13 3 6 3 7" xfId="18557" xr:uid="{1674D9BF-0BB0-4C8B-AEC3-3349620BDC47}"/>
    <cellStyle name="Comma 13 3 6 4" xfId="1411" xr:uid="{A9DEB148-AADD-4AD5-B7F0-4D515A996DD0}"/>
    <cellStyle name="Comma 13 3 6 4 2" xfId="1762" xr:uid="{45F6817F-F0E9-4948-957B-9F3A17DBF5AB}"/>
    <cellStyle name="Comma 13 3 6 4 2 2" xfId="3694" xr:uid="{A1266D14-2369-44B3-9129-DB798D8F3847}"/>
    <cellStyle name="Comma 13 3 6 4 2 2 2" xfId="20148" xr:uid="{07349748-969D-446D-AFAB-134AD3638A7D}"/>
    <cellStyle name="Comma 13 3 6 4 2 3" xfId="17520" xr:uid="{0D6C5E28-93B8-4A1D-8312-D131A057D2EA}"/>
    <cellStyle name="Comma 13 3 6 4 2 3 2" xfId="20727" xr:uid="{0BA9DD72-04E7-4600-8C75-C7E2AADD9103}"/>
    <cellStyle name="Comma 13 3 6 4 2 4" xfId="18777" xr:uid="{FAA6FA7C-B906-4D3F-8820-3F065755F5BB}"/>
    <cellStyle name="Comma 13 3 6 4 3" xfId="2569" xr:uid="{573501E2-EE5A-4E3B-8E11-440753D44E93}"/>
    <cellStyle name="Comma 13 3 6 4 3 2" xfId="3434" xr:uid="{046DC4BE-75DE-4E4F-B308-B08907758DE5}"/>
    <cellStyle name="Comma 13 3 6 4 3 2 2" xfId="19892" xr:uid="{461B913A-D3C8-4470-8F6D-B1ADA77F134C}"/>
    <cellStyle name="Comma 13 3 6 4 3 3" xfId="18010" xr:uid="{7B924144-F572-4FC6-AF39-338625174E6D}"/>
    <cellStyle name="Comma 13 3 6 4 3 3 2" xfId="21003" xr:uid="{27B3E5BB-CB8F-4DB9-8B47-058140D9FCBF}"/>
    <cellStyle name="Comma 13 3 6 4 3 4" xfId="19053" xr:uid="{D2FBED53-EA30-49E3-A597-CF7C235956E5}"/>
    <cellStyle name="Comma 13 3 6 4 4" xfId="2825" xr:uid="{986DC496-4202-4946-BBB3-FF7D0FEE2484}"/>
    <cellStyle name="Comma 13 3 6 4 4 2" xfId="19309" xr:uid="{30EA0BC3-39DB-4372-9FFE-8309B43A9A75}"/>
    <cellStyle name="Comma 13 3 6 4 5" xfId="3091" xr:uid="{2F5CEB75-AC92-4588-997A-AE3471AFF260}"/>
    <cellStyle name="Comma 13 3 6 4 5 2" xfId="19565" xr:uid="{72404267-44B3-4809-AB19-FD4F4AFA0841}"/>
    <cellStyle name="Comma 13 3 6 4 6" xfId="17212" xr:uid="{0B58EECF-CE31-49DA-9745-53BD965B1289}"/>
    <cellStyle name="Comma 13 3 6 4 6 2" xfId="20421" xr:uid="{B7312124-B7B7-4612-BAFA-9A7C358861EE}"/>
    <cellStyle name="Comma 13 3 6 4 7" xfId="18471" xr:uid="{EAFABAC1-3094-41BA-B821-A6F54EB0D7A6}"/>
    <cellStyle name="Comma 13 3 6 5" xfId="1626" xr:uid="{A155DF04-69E1-4316-95DB-BC7D08894012}"/>
    <cellStyle name="Comma 13 3 6 5 2" xfId="3290" xr:uid="{92C7A3E6-E1D1-4D44-96D5-CADECC376253}"/>
    <cellStyle name="Comma 13 3 6 5 2 2" xfId="19758" xr:uid="{92CD78A9-FC8F-49F4-B440-0A9E5E184ED3}"/>
    <cellStyle name="Comma 13 3 6 5 3" xfId="17386" xr:uid="{8D120FA3-EBA6-4A12-87F5-E9232521B312}"/>
    <cellStyle name="Comma 13 3 6 5 3 2" xfId="20593" xr:uid="{F88CFBE9-0382-4299-AD13-2CC23B946B95}"/>
    <cellStyle name="Comma 13 3 6 5 4" xfId="18643" xr:uid="{0A7508E5-B076-4337-BFA5-1D4376BD0551}"/>
    <cellStyle name="Comma 13 3 6 6" xfId="2435" xr:uid="{C9E3726A-B09C-4F4F-B553-7289DEA1C1E8}"/>
    <cellStyle name="Comma 13 3 6 6 2" xfId="3560" xr:uid="{A63C223C-DE36-4827-98FC-CCAD761671F2}"/>
    <cellStyle name="Comma 13 3 6 6 2 2" xfId="20014" xr:uid="{618FFFDC-9B7D-4E25-A767-D417DF467D5A}"/>
    <cellStyle name="Comma 13 3 6 6 3" xfId="17874" xr:uid="{CFFDED96-C5AD-4BEE-842A-15EC22298969}"/>
    <cellStyle name="Comma 13 3 6 6 3 2" xfId="20869" xr:uid="{7DF13966-EEC1-40B3-AFAB-8199609B0D68}"/>
    <cellStyle name="Comma 13 3 6 6 4" xfId="18919" xr:uid="{73DA471A-8C96-4410-BA35-BC212AEE25F4}"/>
    <cellStyle name="Comma 13 3 6 7" xfId="2691" xr:uid="{C8174CF3-EFA5-4C5C-AEB8-CF730A987700}"/>
    <cellStyle name="Comma 13 3 6 7 2" xfId="3839" xr:uid="{D9580F3F-48D1-4835-8247-1278C9656541}"/>
    <cellStyle name="Comma 13 3 6 7 2 2" xfId="20293" xr:uid="{1A7414E2-36DC-4257-A7A9-04E9DD2D8987}"/>
    <cellStyle name="Comma 13 3 6 7 3" xfId="19175" xr:uid="{74D30B62-96D6-4BA2-8A7F-DABFE368AB80}"/>
    <cellStyle name="Comma 13 3 6 8" xfId="3240" xr:uid="{945AD7A8-1151-4B02-BD2D-3C274C8F5A0C}"/>
    <cellStyle name="Comma 13 3 6 8 2" xfId="19710" xr:uid="{D72BA2E9-5253-42CE-85C4-FE5F6E2EDA25}"/>
    <cellStyle name="Comma 13 3 6 9" xfId="2957" xr:uid="{4D41658A-B8C0-4E23-98F4-A2A4CA75E979}"/>
    <cellStyle name="Comma 13 3 6 9 2" xfId="19431" xr:uid="{834BE18B-7592-4BD1-8601-DB6F840DB94E}"/>
    <cellStyle name="Comma 13 3 7" xfId="1475" xr:uid="{8A38B69E-BA10-471A-9734-F68688743CCD}"/>
    <cellStyle name="Comma 13 3 7 2" xfId="1660" xr:uid="{D383916B-CC05-440A-A254-0D59D32D2E7F}"/>
    <cellStyle name="Comma 13 3 7 2 2" xfId="3325" xr:uid="{850BF2A8-94DE-4EBE-BB1C-B8498B6EE015}"/>
    <cellStyle name="Comma 13 3 7 2 2 2" xfId="19792" xr:uid="{856A6BD5-D669-4DDA-AFD7-A8845DE300B3}"/>
    <cellStyle name="Comma 13 3 7 2 3" xfId="17420" xr:uid="{EF67F460-442F-4037-9CCF-ED0460DA115E}"/>
    <cellStyle name="Comma 13 3 7 2 3 2" xfId="20627" xr:uid="{B2015D0D-B533-42B2-9BFB-F34E8915180A}"/>
    <cellStyle name="Comma 13 3 7 2 4" xfId="18677" xr:uid="{77824FB2-B03B-4F68-85AD-81A2C2D62644}"/>
    <cellStyle name="Comma 13 3 7 3" xfId="2469" xr:uid="{3D706E01-DD26-4E79-AA3A-053CA12AAB29}"/>
    <cellStyle name="Comma 13 3 7 3 2" xfId="3594" xr:uid="{B9883D36-50B1-4AE1-92A6-6DBADE94F483}"/>
    <cellStyle name="Comma 13 3 7 3 2 2" xfId="20048" xr:uid="{E170CAE9-357E-4A86-850C-91CEB4A3B5A8}"/>
    <cellStyle name="Comma 13 3 7 3 3" xfId="17910" xr:uid="{FF01B531-2FEC-442C-924C-32109865AFB9}"/>
    <cellStyle name="Comma 13 3 7 3 3 2" xfId="20903" xr:uid="{8961C8A9-688F-43EA-8DC7-E74CB9C9BE9C}"/>
    <cellStyle name="Comma 13 3 7 3 4" xfId="18953" xr:uid="{B2D47DC5-0FA6-47BC-B301-F35F4319C0C9}"/>
    <cellStyle name="Comma 13 3 7 4" xfId="2725" xr:uid="{F9CB1227-027F-4690-A7F7-7A08D88F783D}"/>
    <cellStyle name="Comma 13 3 7 4 2" xfId="3789" xr:uid="{4C5FEE1D-A2EB-453B-81E1-2FBF8EBD2718}"/>
    <cellStyle name="Comma 13 3 7 4 2 2" xfId="20243" xr:uid="{19DE37BD-5317-4715-AB87-8618CBBBDA2C}"/>
    <cellStyle name="Comma 13 3 7 4 3" xfId="19209" xr:uid="{82BA81E8-F22B-4206-A14D-1CD180521561}"/>
    <cellStyle name="Comma 13 3 7 5" xfId="3186" xr:uid="{AEE152E3-B49B-4F0F-95A1-62DDE305FA51}"/>
    <cellStyle name="Comma 13 3 7 5 2" xfId="19660" xr:uid="{7E623DDA-F0A3-439B-9140-D503CE397C3F}"/>
    <cellStyle name="Comma 13 3 7 6" xfId="2991" xr:uid="{7BF27D5E-3A10-40BB-B631-FD5E4B8E0265}"/>
    <cellStyle name="Comma 13 3 7 6 2" xfId="19465" xr:uid="{99A84971-CC63-414C-9A67-8B112857991C}"/>
    <cellStyle name="Comma 13 3 7 7" xfId="17248" xr:uid="{965F5E37-0F1C-426E-8B28-7B579D839DAE}"/>
    <cellStyle name="Comma 13 3 7 7 2" xfId="20455" xr:uid="{BF5EC7D0-DFE1-4A13-BBF2-DF0F24C09D13}"/>
    <cellStyle name="Comma 13 3 7 8" xfId="18505" xr:uid="{3998E8C9-555B-49BE-93A0-0C7547F6CC1E}"/>
    <cellStyle name="Comma 13 3 8" xfId="1535" xr:uid="{FD8DE963-7627-4661-AF57-C9F794C231D8}"/>
    <cellStyle name="Comma 13 3 8 2" xfId="1707" xr:uid="{7975BFFE-FEC2-490C-9D59-600F6A4D2419}"/>
    <cellStyle name="Comma 13 3 8 2 2" xfId="3641" xr:uid="{217615C6-34BD-460E-BBF3-9D5FAD7765FD}"/>
    <cellStyle name="Comma 13 3 8 2 2 2" xfId="20095" xr:uid="{9092CBD7-9582-4709-BE5E-45D469BA73FD}"/>
    <cellStyle name="Comma 13 3 8 2 3" xfId="17467" xr:uid="{DFB4A2D7-D48E-47B7-8D0E-DBF3DAA351DF}"/>
    <cellStyle name="Comma 13 3 8 2 3 2" xfId="20674" xr:uid="{9112085E-FFF4-47A1-8241-890670D45A0B}"/>
    <cellStyle name="Comma 13 3 8 2 4" xfId="18724" xr:uid="{D5AB27AA-865A-465F-9132-C8F8E572F47A}"/>
    <cellStyle name="Comma 13 3 8 3" xfId="2516" xr:uid="{B7D51F5C-E802-4BD3-85BC-BE65232E52C2}"/>
    <cellStyle name="Comma 13 3 8 3 2" xfId="3380" xr:uid="{F6BEBC96-962D-4A14-80F5-EB39B7FEC9EB}"/>
    <cellStyle name="Comma 13 3 8 3 2 2" xfId="19839" xr:uid="{670E5B2C-2A51-4F90-B401-CD44A7395F2F}"/>
    <cellStyle name="Comma 13 3 8 3 3" xfId="17957" xr:uid="{85D948C7-71FE-43E3-B845-ACC83C806B56}"/>
    <cellStyle name="Comma 13 3 8 3 3 2" xfId="20950" xr:uid="{2DABE037-1483-4306-8D0C-0B6787D41F9F}"/>
    <cellStyle name="Comma 13 3 8 3 4" xfId="19000" xr:uid="{C6EC6C85-C6DB-4BCA-AE16-9E948F9048F9}"/>
    <cellStyle name="Comma 13 3 8 4" xfId="2772" xr:uid="{BA287C51-91C8-4E82-8C51-B96D48196960}"/>
    <cellStyle name="Comma 13 3 8 4 2" xfId="19256" xr:uid="{CED5B5A4-DB7E-418D-9396-D11E110F0BB2}"/>
    <cellStyle name="Comma 13 3 8 5" xfId="3038" xr:uid="{9FD29208-2D0C-40F5-8CD9-C1D51F902F65}"/>
    <cellStyle name="Comma 13 3 8 5 2" xfId="19512" xr:uid="{3EE0AACA-2D78-44D8-9648-9611B4524E5F}"/>
    <cellStyle name="Comma 13 3 8 6" xfId="17295" xr:uid="{015531FD-72BC-42CF-8656-F843DE20117F}"/>
    <cellStyle name="Comma 13 3 8 6 2" xfId="20502" xr:uid="{F6155EC5-7515-4934-A4C5-20E53FE94958}"/>
    <cellStyle name="Comma 13 3 8 7" xfId="18552" xr:uid="{D204FE57-9396-4221-8D56-55EC02DB4FDE}"/>
    <cellStyle name="Comma 13 3 9" xfId="908" xr:uid="{01FEC1D5-6D20-46D4-B308-8A763CA1899A}"/>
    <cellStyle name="Comma 13 3 9 2" xfId="1757" xr:uid="{FF578637-1136-4B2E-88B1-850B2F43E81C}"/>
    <cellStyle name="Comma 13 3 9 2 2" xfId="3689" xr:uid="{CA556905-EF56-4B33-B07A-A609DB318774}"/>
    <cellStyle name="Comma 13 3 9 2 2 2" xfId="20143" xr:uid="{90ABF4F8-7D9D-4966-A0F6-B6167EA62951}"/>
    <cellStyle name="Comma 13 3 9 2 3" xfId="17515" xr:uid="{CE21A3D7-86B5-4689-AE40-141C56694044}"/>
    <cellStyle name="Comma 13 3 9 2 3 2" xfId="20722" xr:uid="{ECAB556B-3D83-454A-A17B-2B2765142E51}"/>
    <cellStyle name="Comma 13 3 9 2 4" xfId="18772" xr:uid="{0AA6F5CB-67D8-403F-84A4-59FF8D5450F7}"/>
    <cellStyle name="Comma 13 3 9 3" xfId="2564" xr:uid="{BC263495-4712-4A5B-B873-792B09B2BD2C}"/>
    <cellStyle name="Comma 13 3 9 3 2" xfId="3429" xr:uid="{7B70B5CF-10C7-4C3E-91AD-B3F502AAE66A}"/>
    <cellStyle name="Comma 13 3 9 3 2 2" xfId="19887" xr:uid="{055BC77D-F961-49C1-976D-43271FC09466}"/>
    <cellStyle name="Comma 13 3 9 3 3" xfId="18005" xr:uid="{E988F78C-D104-428D-BC7D-F855E75571D8}"/>
    <cellStyle name="Comma 13 3 9 3 3 2" xfId="20998" xr:uid="{BF18B80C-4D42-425D-A6EF-D9493B02EA16}"/>
    <cellStyle name="Comma 13 3 9 3 4" xfId="19048" xr:uid="{79491F77-CDB2-4060-8906-7D2CDD8B02CC}"/>
    <cellStyle name="Comma 13 3 9 4" xfId="2820" xr:uid="{9C292ABE-1960-4B2F-80FF-66CFA928DC77}"/>
    <cellStyle name="Comma 13 3 9 4 2" xfId="19304" xr:uid="{865406EE-98BE-4130-B4F8-AE980ACBD5F1}"/>
    <cellStyle name="Comma 13 3 9 5" xfId="3086" xr:uid="{7C070380-BAAE-4EE3-B68C-47511618C28B}"/>
    <cellStyle name="Comma 13 3 9 5 2" xfId="19560" xr:uid="{C5911F38-DC29-4C4D-B5A0-40E11C16E25F}"/>
    <cellStyle name="Comma 13 3 9 6" xfId="17099" xr:uid="{5325C902-6FF7-4711-8F6E-F91FDA41E860}"/>
    <cellStyle name="Comma 13 3 9 6 2" xfId="20379" xr:uid="{DCBDE466-5012-46EC-AD0A-34F0E0E83F99}"/>
    <cellStyle name="Comma 13 3 9 7" xfId="18429" xr:uid="{E1987F13-2EEC-429E-95E2-8D24149AEEFE}"/>
    <cellStyle name="Comma 13 4" xfId="194" xr:uid="{188A9606-AA5B-4D5C-8528-8C4AC41CE278}"/>
    <cellStyle name="Comma 13 5" xfId="820" xr:uid="{A438E20F-935C-48D6-84EF-F56BB7816B31}"/>
    <cellStyle name="Comma 13 5 10" xfId="1585" xr:uid="{2FEAF73E-37CA-4E61-BCB7-67A71C937B08}"/>
    <cellStyle name="Comma 13 5 10 2" xfId="3247" xr:uid="{A2F352E1-B726-4EC7-AFEA-C5CA186812B1}"/>
    <cellStyle name="Comma 13 5 10 2 2" xfId="19717" xr:uid="{300E20B2-84FA-4995-8E36-90B6800652A8}"/>
    <cellStyle name="Comma 13 5 10 3" xfId="17345" xr:uid="{13BFD894-429E-46FC-B527-5AD078B95973}"/>
    <cellStyle name="Comma 13 5 10 3 2" xfId="20552" xr:uid="{5AA9B002-BBCE-4592-A7D0-1FE640E24461}"/>
    <cellStyle name="Comma 13 5 10 4" xfId="18602" xr:uid="{4B65D992-08F8-4C60-A962-C84034311BD5}"/>
    <cellStyle name="Comma 13 5 11" xfId="2378" xr:uid="{512005C8-BF5E-4117-AC9D-663E4809330A}"/>
    <cellStyle name="Comma 13 5 11 2" xfId="3519" xr:uid="{0CB73ADD-7938-459F-9A7C-B6784299BD9A}"/>
    <cellStyle name="Comma 13 5 11 2 2" xfId="19973" xr:uid="{BE5A70E4-2D3A-4C5A-AD5E-B36511EA652D}"/>
    <cellStyle name="Comma 13 5 11 3" xfId="17814" xr:uid="{C85A8E74-4390-4C9D-865E-AB38D331EE49}"/>
    <cellStyle name="Comma 13 5 11 3 2" xfId="20820" xr:uid="{CCDE845A-A898-4F7D-A74B-7501A7B77D1B}"/>
    <cellStyle name="Comma 13 5 11 4" xfId="18870" xr:uid="{200B925D-23DD-4880-B83C-0A61B3AF628C}"/>
    <cellStyle name="Comma 13 5 12" xfId="2394" xr:uid="{88DFFAEB-4DB2-48FF-ACAB-7534D1BA04BF}"/>
    <cellStyle name="Comma 13 5 12 2" xfId="3801" xr:uid="{F6F6ACD2-35C6-45CB-8821-F6048B85D2EE}"/>
    <cellStyle name="Comma 13 5 12 2 2" xfId="20255" xr:uid="{BF8BA02E-9B2C-47A3-AF28-31F45705E50D}"/>
    <cellStyle name="Comma 13 5 12 3" xfId="17824" xr:uid="{556D6A22-5908-4ABA-8D4A-4F515D25CC8D}"/>
    <cellStyle name="Comma 13 5 12 3 2" xfId="20828" xr:uid="{965797C2-737B-473F-BE0A-63EB407704D9}"/>
    <cellStyle name="Comma 13 5 12 4" xfId="18878" xr:uid="{5D32EEC3-FDAE-4DC6-90E1-31C81802AEB8}"/>
    <cellStyle name="Comma 13 5 13" xfId="2650" xr:uid="{2D38F281-CEC4-4271-B93C-8CAE9CEC328D}"/>
    <cellStyle name="Comma 13 5 13 2" xfId="3198" xr:uid="{EA939B65-F9CC-4F76-8218-57E2709F0115}"/>
    <cellStyle name="Comma 13 5 13 2 2" xfId="19672" xr:uid="{A2EA5473-57A7-41B4-BDB6-D91ED364C6F1}"/>
    <cellStyle name="Comma 13 5 13 3" xfId="18129" xr:uid="{48A81303-24A6-4F41-88F9-2D465CD349CD}"/>
    <cellStyle name="Comma 13 5 13 3 2" xfId="21086" xr:uid="{DD39C678-12EC-404F-87D2-22CAE65B59BD}"/>
    <cellStyle name="Comma 13 5 13 4" xfId="19134" xr:uid="{C78DE6C2-CA10-4F00-9A09-AEF8BE1D4457}"/>
    <cellStyle name="Comma 13 5 14" xfId="2916" xr:uid="{3C7590C2-1A61-43C0-A8E2-0AB954A6B322}"/>
    <cellStyle name="Comma 13 5 14 2" xfId="18150" xr:uid="{26AD1BB8-960D-4936-99D6-5F44A5899DB5}"/>
    <cellStyle name="Comma 13 5 14 2 2" xfId="21092" xr:uid="{73E37300-BE4B-42DA-9336-4B549E59426E}"/>
    <cellStyle name="Comma 13 5 14 3" xfId="19390" xr:uid="{E1DEF06D-E3B5-4A32-A1D9-93F3CC509190}"/>
    <cellStyle name="Comma 13 5 15" xfId="17031" xr:uid="{9C8D90AB-6A31-4D5F-9AF9-B9C529013051}"/>
    <cellStyle name="Comma 13 5 15 2" xfId="20335" xr:uid="{317E501C-E77C-409C-8BC8-A7A175C2B2C1}"/>
    <cellStyle name="Comma 13 5 16" xfId="3921" xr:uid="{FB4DBB70-D4A8-445F-A6A4-7ADD69719441}"/>
    <cellStyle name="Comma 13 5 16 2" xfId="20313" xr:uid="{95627F39-02FB-4EAA-B884-7379128D2107}"/>
    <cellStyle name="Comma 13 5 17" xfId="18385" xr:uid="{B8D1759D-3F33-4A84-8E2F-BD640CC3E81A}"/>
    <cellStyle name="Comma 13 5 2" xfId="862" xr:uid="{0F6BB2A5-70E7-4885-A90F-20DD91014BDA}"/>
    <cellStyle name="Comma 13 5 2 10" xfId="3225" xr:uid="{3C56A351-3E36-4E0F-9319-F3B61B22BC99}"/>
    <cellStyle name="Comma 13 5 2 10 2" xfId="19697" xr:uid="{A623D370-3FD9-42ED-BB0A-5A7247FDBFA5}"/>
    <cellStyle name="Comma 13 5 2 11" xfId="2926" xr:uid="{017BC3AC-B8A6-436A-BD67-BFADE754FA74}"/>
    <cellStyle name="Comma 13 5 2 11 2" xfId="19400" xr:uid="{528D05D0-598D-4CF8-AC7F-2EB86CFC882A}"/>
    <cellStyle name="Comma 13 5 2 12" xfId="17068" xr:uid="{C4794A1F-0A9C-48F2-9B06-5F8E82578A34}"/>
    <cellStyle name="Comma 13 5 2 12 2" xfId="20360" xr:uid="{0164834E-C03A-4361-9468-EF0B814A65D5}"/>
    <cellStyle name="Comma 13 5 2 13" xfId="18410" xr:uid="{526672F7-AEAD-4AE5-A935-D567A9149828}"/>
    <cellStyle name="Comma 13 5 2 2" xfId="1434" xr:uid="{F5AE235F-B23C-47D0-80F5-F28774EB5986}"/>
    <cellStyle name="Comma 13 5 2 2 2" xfId="1636" xr:uid="{C12DC301-39FF-493B-9355-85B8EA361FAD}"/>
    <cellStyle name="Comma 13 5 2 2 2 2" xfId="3570" xr:uid="{EE865D95-3F76-48AB-A150-6DA19098D338}"/>
    <cellStyle name="Comma 13 5 2 2 2 2 2" xfId="20024" xr:uid="{26BCF59B-BB85-4D07-A616-F3324141D053}"/>
    <cellStyle name="Comma 13 5 2 2 2 3" xfId="17396" xr:uid="{92CE5926-3385-49A5-89AF-4340C6B64368}"/>
    <cellStyle name="Comma 13 5 2 2 2 3 2" xfId="20603" xr:uid="{FC049A04-F0F5-49F1-81E4-2BA1BADA97C1}"/>
    <cellStyle name="Comma 13 5 2 2 2 4" xfId="18653" xr:uid="{1F6C9C7B-A95E-4464-B09A-F51696FD30D1}"/>
    <cellStyle name="Comma 13 5 2 2 3" xfId="2445" xr:uid="{EE846C2A-8238-43D2-988A-D0061F5E7E76}"/>
    <cellStyle name="Comma 13 5 2 2 3 2" xfId="3300" xr:uid="{1505B258-EBCF-4748-A059-1E1602D1EDD6}"/>
    <cellStyle name="Comma 13 5 2 2 3 2 2" xfId="19768" xr:uid="{21ED9181-F211-407B-A8BF-FAE6AB953089}"/>
    <cellStyle name="Comma 13 5 2 2 3 3" xfId="17884" xr:uid="{B70CBB6F-0F6C-4644-992B-1F04B301F8AB}"/>
    <cellStyle name="Comma 13 5 2 2 3 3 2" xfId="20879" xr:uid="{DB57A5BD-43C0-4037-883C-F7F49D68991B}"/>
    <cellStyle name="Comma 13 5 2 2 3 4" xfId="18929" xr:uid="{75221A90-4FB1-4E0C-9B67-10C1ADB58FDF}"/>
    <cellStyle name="Comma 13 5 2 2 4" xfId="2701" xr:uid="{5E892619-118D-4FC6-977E-0A38C46EFBA8}"/>
    <cellStyle name="Comma 13 5 2 2 4 2" xfId="19185" xr:uid="{7FC1C6E7-8F8D-4B87-A595-3F21469215FC}"/>
    <cellStyle name="Comma 13 5 2 2 5" xfId="2967" xr:uid="{AECCBD28-2EF0-4387-9084-8CFA39BE402F}"/>
    <cellStyle name="Comma 13 5 2 2 5 2" xfId="19441" xr:uid="{AD964A4F-4435-438A-8A68-51D088C07F79}"/>
    <cellStyle name="Comma 13 5 2 2 6" xfId="17223" xr:uid="{43536B97-0B75-4ADE-860B-ADAE0BF4AFD2}"/>
    <cellStyle name="Comma 13 5 2 2 6 2" xfId="20431" xr:uid="{BC60BEEF-973A-437C-BE72-87774107E2E7}"/>
    <cellStyle name="Comma 13 5 2 2 7" xfId="18481" xr:uid="{C42D7858-3FBC-4145-86CD-08D0E90F1EA9}"/>
    <cellStyle name="Comma 13 5 2 3" xfId="1482" xr:uid="{F94E35CA-0759-4883-A757-537D8D45F505}"/>
    <cellStyle name="Comma 13 5 2 3 2" xfId="1667" xr:uid="{ABA25CFA-C44A-4971-896A-D591B23DCB63}"/>
    <cellStyle name="Comma 13 5 2 3 2 2" xfId="3601" xr:uid="{D85A179F-ACC1-437B-9FFB-87EE1671A638}"/>
    <cellStyle name="Comma 13 5 2 3 2 2 2" xfId="20055" xr:uid="{41B2E077-3B63-449F-8200-11DE6BE95A2C}"/>
    <cellStyle name="Comma 13 5 2 3 2 3" xfId="17427" xr:uid="{C2964A69-7BA9-44DF-9626-B198AD18A7B0}"/>
    <cellStyle name="Comma 13 5 2 3 2 3 2" xfId="20634" xr:uid="{CE523BBF-27B7-429E-8772-96F07CAC3AFB}"/>
    <cellStyle name="Comma 13 5 2 3 2 4" xfId="18684" xr:uid="{24FE4234-2A85-4C98-8D47-73F01B07842E}"/>
    <cellStyle name="Comma 13 5 2 3 3" xfId="2476" xr:uid="{881A4439-A44F-44EE-8EA1-9B848A5F3040}"/>
    <cellStyle name="Comma 13 5 2 3 3 2" xfId="3332" xr:uid="{F41DB128-C656-49BB-A9BF-E9CADBA540DA}"/>
    <cellStyle name="Comma 13 5 2 3 3 2 2" xfId="19799" xr:uid="{AB97EE3A-4E3F-4D39-9D23-F02F998409F4}"/>
    <cellStyle name="Comma 13 5 2 3 3 3" xfId="17917" xr:uid="{AAD9B9E2-FA24-4B64-A9B9-D7D1742DFA0A}"/>
    <cellStyle name="Comma 13 5 2 3 3 3 2" xfId="20910" xr:uid="{F7741256-C1BE-425E-94CA-8425ABA4E851}"/>
    <cellStyle name="Comma 13 5 2 3 3 4" xfId="18960" xr:uid="{492EEE2F-1281-47C9-9ABA-1BAA79340521}"/>
    <cellStyle name="Comma 13 5 2 3 4" xfId="2732" xr:uid="{2E906A61-CE83-4040-A5BB-2B68C2F57259}"/>
    <cellStyle name="Comma 13 5 2 3 4 2" xfId="19216" xr:uid="{285D8E7E-97AB-4F84-8545-77A215074EEB}"/>
    <cellStyle name="Comma 13 5 2 3 5" xfId="2998" xr:uid="{8E9985A6-99BB-4CBA-B8A3-1DBB104EE43A}"/>
    <cellStyle name="Comma 13 5 2 3 5 2" xfId="19472" xr:uid="{7F0C0E99-A64B-41BE-946C-C85C693980C7}"/>
    <cellStyle name="Comma 13 5 2 3 6" xfId="17255" xr:uid="{B4733D6A-0AC3-4B3D-B6CC-7CDDB6D5266F}"/>
    <cellStyle name="Comma 13 5 2 3 6 2" xfId="20462" xr:uid="{C59C5809-021F-451D-BADD-9F0D4607FD5C}"/>
    <cellStyle name="Comma 13 5 2 3 7" xfId="18512" xr:uid="{A2DD937E-DBF5-4482-928C-148889314CC1}"/>
    <cellStyle name="Comma 13 5 2 4" xfId="1542" xr:uid="{3BDFBFC3-9861-422D-9AD7-CF20F507EFB2}"/>
    <cellStyle name="Comma 13 5 2 4 2" xfId="1714" xr:uid="{CE188720-4ACD-44EB-8DF9-A1C3E30E5579}"/>
    <cellStyle name="Comma 13 5 2 4 2 2" xfId="3648" xr:uid="{355C268F-0B58-4CCB-A633-197F971CFF7D}"/>
    <cellStyle name="Comma 13 5 2 4 2 2 2" xfId="20102" xr:uid="{5D1D4790-9910-47AD-859C-CA3BD6B1F0D5}"/>
    <cellStyle name="Comma 13 5 2 4 2 3" xfId="17474" xr:uid="{0719006C-28A1-4684-9BE6-21860BBEB28E}"/>
    <cellStyle name="Comma 13 5 2 4 2 3 2" xfId="20681" xr:uid="{9A2AD16F-E149-4195-9A2F-5F9D6C8A6DE9}"/>
    <cellStyle name="Comma 13 5 2 4 2 4" xfId="18731" xr:uid="{E27BCA81-2E1D-4712-82E1-958D0BFF3838}"/>
    <cellStyle name="Comma 13 5 2 4 3" xfId="2523" xr:uid="{9D7C763F-E3BC-45BC-868C-012CE311232B}"/>
    <cellStyle name="Comma 13 5 2 4 3 2" xfId="3387" xr:uid="{9E0E077C-13DF-4CF3-AB9B-645339B8C4E4}"/>
    <cellStyle name="Comma 13 5 2 4 3 2 2" xfId="19846" xr:uid="{BCD4DF6A-C51C-4512-850A-EBD687B9823B}"/>
    <cellStyle name="Comma 13 5 2 4 3 3" xfId="17964" xr:uid="{C440D300-138C-420F-AA54-8B2C4AF56B4F}"/>
    <cellStyle name="Comma 13 5 2 4 3 3 2" xfId="20957" xr:uid="{7E220C9D-AAAA-4EA5-B8BB-7CFC1152E00D}"/>
    <cellStyle name="Comma 13 5 2 4 3 4" xfId="19007" xr:uid="{E16ED005-655F-4C74-88AE-0FE51FD464CB}"/>
    <cellStyle name="Comma 13 5 2 4 4" xfId="2779" xr:uid="{9C9EB7BC-0944-4E49-BC55-30E4DD134DAE}"/>
    <cellStyle name="Comma 13 5 2 4 4 2" xfId="19263" xr:uid="{B4A7F421-1713-4623-907C-6B5F260292DD}"/>
    <cellStyle name="Comma 13 5 2 4 5" xfId="3045" xr:uid="{3C46209C-B8E9-41BF-9A53-ADD5D1AAA3B3}"/>
    <cellStyle name="Comma 13 5 2 4 5 2" xfId="19519" xr:uid="{D2F08C1F-F912-4913-9933-D040186CDA11}"/>
    <cellStyle name="Comma 13 5 2 4 6" xfId="17302" xr:uid="{087E874A-0DA0-4885-90C5-04E896071AA3}"/>
    <cellStyle name="Comma 13 5 2 4 6 2" xfId="20509" xr:uid="{761A5EFB-4BDB-4E42-8EF5-B644341A7E7D}"/>
    <cellStyle name="Comma 13 5 2 4 7" xfId="18559" xr:uid="{3AE2A7E4-6931-401C-8D5F-23D4B67D9408}"/>
    <cellStyle name="Comma 13 5 2 5" xfId="1361" xr:uid="{4667C5FE-985A-4CFC-BDEC-75157E5CEA43}"/>
    <cellStyle name="Comma 13 5 2 5 2" xfId="1764" xr:uid="{539EE17D-85A2-422E-80CF-B5444BA40548}"/>
    <cellStyle name="Comma 13 5 2 5 2 2" xfId="3696" xr:uid="{41180942-DDE2-4A51-A48A-E76BC104620A}"/>
    <cellStyle name="Comma 13 5 2 5 2 2 2" xfId="20150" xr:uid="{6485302D-460F-48C5-AB8F-6839024F90AC}"/>
    <cellStyle name="Comma 13 5 2 5 2 3" xfId="17522" xr:uid="{3FA7F685-B36E-423C-BB5F-EB1E2B2E72F5}"/>
    <cellStyle name="Comma 13 5 2 5 2 3 2" xfId="20729" xr:uid="{71892FF4-4AA5-42CE-831D-3078A74783F8}"/>
    <cellStyle name="Comma 13 5 2 5 2 4" xfId="18779" xr:uid="{53FF4678-68B5-4AAB-AA5B-791680478B03}"/>
    <cellStyle name="Comma 13 5 2 5 3" xfId="2571" xr:uid="{B2D3712A-5126-410D-B529-1E4A87EBC7C4}"/>
    <cellStyle name="Comma 13 5 2 5 3 2" xfId="3436" xr:uid="{EFEA2034-7115-46D4-8E3D-4C92657EEFDF}"/>
    <cellStyle name="Comma 13 5 2 5 3 2 2" xfId="19894" xr:uid="{B746CD9F-AB23-4FC8-92C9-620397C08A28}"/>
    <cellStyle name="Comma 13 5 2 5 3 3" xfId="18012" xr:uid="{CE6F869A-12A3-40E5-B1D7-83CAB710FBF0}"/>
    <cellStyle name="Comma 13 5 2 5 3 3 2" xfId="21005" xr:uid="{F62758C3-8213-4C09-8889-6658C0677B63}"/>
    <cellStyle name="Comma 13 5 2 5 3 4" xfId="19055" xr:uid="{96F00EA7-CC05-4423-99C3-B6147FEB8B96}"/>
    <cellStyle name="Comma 13 5 2 5 4" xfId="2827" xr:uid="{B027F124-668E-460D-AACC-F3E37D5EF06B}"/>
    <cellStyle name="Comma 13 5 2 5 4 2" xfId="19311" xr:uid="{A665CC3F-39A8-4955-A836-08AB0E955631}"/>
    <cellStyle name="Comma 13 5 2 5 5" xfId="3093" xr:uid="{B01646C3-C23F-4FBE-B4D1-87100B500601}"/>
    <cellStyle name="Comma 13 5 2 5 5 2" xfId="19567" xr:uid="{86C4DEB5-DAC1-4B3F-88B8-4496747BEBFD}"/>
    <cellStyle name="Comma 13 5 2 5 6" xfId="17180" xr:uid="{BD28420F-0F5C-4333-81C6-88722AE919D2}"/>
    <cellStyle name="Comma 13 5 2 5 6 2" xfId="20390" xr:uid="{FB61EB7B-6B06-4859-AA8D-61328155D2DD}"/>
    <cellStyle name="Comma 13 5 2 5 7" xfId="18440" xr:uid="{E22CB4EC-C621-4A21-9FFA-CB6CB6CFB3E8}"/>
    <cellStyle name="Comma 13 5 2 6" xfId="1823" xr:uid="{F8D24450-C94C-47FD-9866-BB06161BBB02}"/>
    <cellStyle name="Comma 13 5 2 6 2" xfId="2624" xr:uid="{B76D777C-F077-4F8B-8984-7B411DD5910B}"/>
    <cellStyle name="Comma 13 5 2 6 2 2" xfId="3749" xr:uid="{6019F610-D285-4751-8EE8-DC1D38986F34}"/>
    <cellStyle name="Comma 13 5 2 6 2 2 2" xfId="20203" xr:uid="{816E33A6-B5A2-4039-A41E-011264D6043E}"/>
    <cellStyle name="Comma 13 5 2 6 2 3" xfId="18065" xr:uid="{1A4DB1FD-38C6-4C05-864D-9B1D7C3B586E}"/>
    <cellStyle name="Comma 13 5 2 6 2 3 2" xfId="21058" xr:uid="{C0249A68-9368-4552-88E3-6C45316D936B}"/>
    <cellStyle name="Comma 13 5 2 6 2 4" xfId="19108" xr:uid="{5B5D854B-A574-4257-90D0-14E0F7E0BEE2}"/>
    <cellStyle name="Comma 13 5 2 6 3" xfId="2880" xr:uid="{12A1CA70-96EC-4B2C-937F-A3A2E68AD063}"/>
    <cellStyle name="Comma 13 5 2 6 3 2" xfId="3493" xr:uid="{C54915A1-7326-4A4C-B07F-A75C4AD0A203}"/>
    <cellStyle name="Comma 13 5 2 6 3 2 2" xfId="19947" xr:uid="{A1C7A03E-071C-422B-AB0A-1ECFCA594979}"/>
    <cellStyle name="Comma 13 5 2 6 3 3" xfId="19364" xr:uid="{5B920BE2-EC01-4EC6-A645-E7E07A093057}"/>
    <cellStyle name="Comma 13 5 2 6 4" xfId="3146" xr:uid="{BF9F6DE8-B422-4968-81AA-D1BBC7AC8E30}"/>
    <cellStyle name="Comma 13 5 2 6 4 2" xfId="19620" xr:uid="{49AB8202-B442-477D-BA99-9FE37A2EFBEB}"/>
    <cellStyle name="Comma 13 5 2 6 5" xfId="17576" xr:uid="{898A0C23-4A78-42F2-9771-63D9623F2CD2}"/>
    <cellStyle name="Comma 13 5 2 6 5 2" xfId="20782" xr:uid="{734ED920-DF75-4635-9244-190785BABE6D}"/>
    <cellStyle name="Comma 13 5 2 6 6" xfId="18832" xr:uid="{BD4736F4-5FAE-49E3-A8F6-69D3875DC931}"/>
    <cellStyle name="Comma 13 5 2 7" xfId="1595" xr:uid="{5EEA6062-7220-4545-80C2-C4609CE94F22}"/>
    <cellStyle name="Comma 13 5 2 7 2" xfId="3258" xr:uid="{181DC87E-5A09-40D0-A006-4A5B9766F57B}"/>
    <cellStyle name="Comma 13 5 2 7 2 2" xfId="19727" xr:uid="{0F86D6AF-A0EF-4F6A-B2F8-6D0338D2DB3A}"/>
    <cellStyle name="Comma 13 5 2 7 3" xfId="17355" xr:uid="{46EF05B0-FBD4-4C24-BB71-DF0BECCC33C1}"/>
    <cellStyle name="Comma 13 5 2 7 3 2" xfId="20562" xr:uid="{B58B4C9F-B378-40C9-8340-102E0CAD7872}"/>
    <cellStyle name="Comma 13 5 2 7 4" xfId="18612" xr:uid="{4ED93A7E-6C2A-4B13-BE63-D8128DAA9D19}"/>
    <cellStyle name="Comma 13 5 2 8" xfId="2404" xr:uid="{15F1434A-AB2E-4A63-BC4E-18538F7DF5EA}"/>
    <cellStyle name="Comma 13 5 2 8 2" xfId="3529" xr:uid="{33A63E1E-89AB-4AED-A315-F563191DA8B2}"/>
    <cellStyle name="Comma 13 5 2 8 2 2" xfId="19983" xr:uid="{95644A4F-BE7C-46FB-9378-9A607A51788D}"/>
    <cellStyle name="Comma 13 5 2 8 3" xfId="17842" xr:uid="{1A489C32-302C-4015-B41D-24C8A7ABE446}"/>
    <cellStyle name="Comma 13 5 2 8 3 2" xfId="20838" xr:uid="{F0AB47D2-5FD5-4D34-97D9-8A47188DFCBD}"/>
    <cellStyle name="Comma 13 5 2 8 4" xfId="18888" xr:uid="{8A8929DE-2D19-4EE8-BEBE-51E48479A99B}"/>
    <cellStyle name="Comma 13 5 2 9" xfId="2660" xr:uid="{4C8F5975-5FD5-415C-816C-7DEA1BEA4826}"/>
    <cellStyle name="Comma 13 5 2 9 2" xfId="3826" xr:uid="{96B98C30-CD0F-41A4-AE01-439A20C112ED}"/>
    <cellStyle name="Comma 13 5 2 9 2 2" xfId="20280" xr:uid="{CE62E9D5-EF52-4404-99CE-798FB3F31784}"/>
    <cellStyle name="Comma 13 5 2 9 3" xfId="19144" xr:uid="{F4C11E80-D238-4D26-AB20-9EE372CD7E0A}"/>
    <cellStyle name="Comma 13 5 3" xfId="1391" xr:uid="{1018C5FC-AEE1-440E-A55A-ED34CB26C70A}"/>
    <cellStyle name="Comma 13 5 3 10" xfId="2945" xr:uid="{AA964BFD-8F4D-4BF4-AFCD-BA12AE0B0679}"/>
    <cellStyle name="Comma 13 5 3 10 2" xfId="19419" xr:uid="{AC67A05C-C828-46E8-B7B2-E56FACFF7DCA}"/>
    <cellStyle name="Comma 13 5 3 11" xfId="17199" xr:uid="{ED193C73-0F85-46F2-93AD-46EF9483C7AA}"/>
    <cellStyle name="Comma 13 5 3 11 2" xfId="20409" xr:uid="{7CB03F29-DB39-4EAC-9D92-7B7DDCA3D707}"/>
    <cellStyle name="Comma 13 5 3 12" xfId="18459" xr:uid="{CF42A1CC-251B-402D-81F7-0E4AA2C0519E}"/>
    <cellStyle name="Comma 13 5 3 2" xfId="1459" xr:uid="{CE7BF5F5-FE5B-446D-9400-2C863EFD8ABA}"/>
    <cellStyle name="Comma 13 5 3 2 2" xfId="1655" xr:uid="{5E831D42-E515-4A75-9286-BBA4051089A7}"/>
    <cellStyle name="Comma 13 5 3 2 2 2" xfId="3589" xr:uid="{2843B1C2-566A-4E00-8C2C-0AC750C29427}"/>
    <cellStyle name="Comma 13 5 3 2 2 2 2" xfId="20043" xr:uid="{A6C77A13-4156-4159-A17C-EC224645BB7B}"/>
    <cellStyle name="Comma 13 5 3 2 2 3" xfId="17415" xr:uid="{5247B7A6-846C-4978-8602-1F0A34251A5E}"/>
    <cellStyle name="Comma 13 5 3 2 2 3 2" xfId="20622" xr:uid="{726A2A65-EEBE-4FD1-A8A6-C4A03FFCAA25}"/>
    <cellStyle name="Comma 13 5 3 2 2 4" xfId="18672" xr:uid="{5F9E8630-AC7E-4F8B-859C-E874E75170A7}"/>
    <cellStyle name="Comma 13 5 3 2 3" xfId="2464" xr:uid="{CF1CB72C-F7FC-4095-9EB7-B53061F5B9F3}"/>
    <cellStyle name="Comma 13 5 3 2 3 2" xfId="3319" xr:uid="{DE9E6974-D492-44D2-8CC4-A63E5541B2F7}"/>
    <cellStyle name="Comma 13 5 3 2 3 2 2" xfId="19787" xr:uid="{3A160861-41EF-4308-97CD-982171F92FC4}"/>
    <cellStyle name="Comma 13 5 3 2 3 3" xfId="17905" xr:uid="{F2917BC0-3912-4663-9905-EA66BB743A6F}"/>
    <cellStyle name="Comma 13 5 3 2 3 3 2" xfId="20898" xr:uid="{28B06641-5648-455A-A830-89CE154F9220}"/>
    <cellStyle name="Comma 13 5 3 2 3 4" xfId="18948" xr:uid="{BA3970B6-8FE2-4659-AB08-88FF057A6E43}"/>
    <cellStyle name="Comma 13 5 3 2 4" xfId="2720" xr:uid="{50C554D8-58AD-4C17-AB58-554ABCC098F0}"/>
    <cellStyle name="Comma 13 5 3 2 4 2" xfId="19204" xr:uid="{700A2894-CBBC-4381-9A61-4A2F8121DB16}"/>
    <cellStyle name="Comma 13 5 3 2 5" xfId="2986" xr:uid="{0C6A0D70-629C-4F98-8FD5-23C1D5568A5E}"/>
    <cellStyle name="Comma 13 5 3 2 5 2" xfId="19460" xr:uid="{D387312B-1B6D-46DF-AF25-498AD322FB06}"/>
    <cellStyle name="Comma 13 5 3 2 6" xfId="17242" xr:uid="{3009E6F5-449D-4C1C-BABE-CD036FFA8EBD}"/>
    <cellStyle name="Comma 13 5 3 2 6 2" xfId="20450" xr:uid="{08672C87-93AB-40BF-94FF-7B47408F2120}"/>
    <cellStyle name="Comma 13 5 3 2 7" xfId="18500" xr:uid="{39B8E8BA-6610-4B2B-850F-79458DAFA866}"/>
    <cellStyle name="Comma 13 5 3 3" xfId="1483" xr:uid="{F8599315-A8D5-4599-824B-6CA6E47536AD}"/>
    <cellStyle name="Comma 13 5 3 3 2" xfId="1668" xr:uid="{D18EA701-9109-4B07-8CBA-58AC91271D0B}"/>
    <cellStyle name="Comma 13 5 3 3 2 2" xfId="3602" xr:uid="{1C11B1B7-D2A0-4EF6-8834-2D9C407FE2F4}"/>
    <cellStyle name="Comma 13 5 3 3 2 2 2" xfId="20056" xr:uid="{F434946B-4F2F-45FE-9579-36E17A480D5C}"/>
    <cellStyle name="Comma 13 5 3 3 2 3" xfId="17428" xr:uid="{A416BBB9-B702-4C33-A062-DBB9177ECF99}"/>
    <cellStyle name="Comma 13 5 3 3 2 3 2" xfId="20635" xr:uid="{CFA2E8A6-4421-4A7F-9770-AA09C2656E97}"/>
    <cellStyle name="Comma 13 5 3 3 2 4" xfId="18685" xr:uid="{17B93778-7BE3-4663-B926-377297297252}"/>
    <cellStyle name="Comma 13 5 3 3 3" xfId="2477" xr:uid="{C59F8359-726F-4700-BCAD-396412FB8F41}"/>
    <cellStyle name="Comma 13 5 3 3 3 2" xfId="3333" xr:uid="{AFA36B8C-0393-42A4-B1F5-CA1434B4C8F3}"/>
    <cellStyle name="Comma 13 5 3 3 3 2 2" xfId="19800" xr:uid="{3FE0E163-6F5A-4B32-8401-FFEA06DDAFC3}"/>
    <cellStyle name="Comma 13 5 3 3 3 3" xfId="17918" xr:uid="{2EE07448-E0FE-4847-8702-CC135D6A93C7}"/>
    <cellStyle name="Comma 13 5 3 3 3 3 2" xfId="20911" xr:uid="{F834BFA0-70BA-46E2-AF8E-6A9CAD5CED1F}"/>
    <cellStyle name="Comma 13 5 3 3 3 4" xfId="18961" xr:uid="{40550F5A-2644-4284-A555-0D0350DE1727}"/>
    <cellStyle name="Comma 13 5 3 3 4" xfId="2733" xr:uid="{ED47B5A6-A383-4CDE-A43C-C0A5E1C36EA8}"/>
    <cellStyle name="Comma 13 5 3 3 4 2" xfId="19217" xr:uid="{B537ADAA-F512-4157-9989-E0F877B37E7A}"/>
    <cellStyle name="Comma 13 5 3 3 5" xfId="2999" xr:uid="{AFBE62C5-1033-4317-BAAE-C8C880E09990}"/>
    <cellStyle name="Comma 13 5 3 3 5 2" xfId="19473" xr:uid="{0707A005-9467-4882-BF94-D9CDAE03792B}"/>
    <cellStyle name="Comma 13 5 3 3 6" xfId="17256" xr:uid="{63FB3701-2D45-4DE5-B1ED-ACA0375AB151}"/>
    <cellStyle name="Comma 13 5 3 3 6 2" xfId="20463" xr:uid="{EFCB0733-083C-4238-AFEF-0FC246C7FBF7}"/>
    <cellStyle name="Comma 13 5 3 3 7" xfId="18513" xr:uid="{60C0CCA5-C64A-4C26-A6DE-2B274E860805}"/>
    <cellStyle name="Comma 13 5 3 4" xfId="1543" xr:uid="{D06505C9-1EC8-459F-90B6-D7AC04CE5216}"/>
    <cellStyle name="Comma 13 5 3 4 2" xfId="1715" xr:uid="{9FD1DA5C-35DF-4C54-936E-5D89E173D155}"/>
    <cellStyle name="Comma 13 5 3 4 2 2" xfId="3649" xr:uid="{1B7B84BE-B140-4D5E-8BD4-24DBC7D3514B}"/>
    <cellStyle name="Comma 13 5 3 4 2 2 2" xfId="20103" xr:uid="{EF7E573A-8517-4982-A9B0-BF7119A51D75}"/>
    <cellStyle name="Comma 13 5 3 4 2 3" xfId="17475" xr:uid="{8EA84FE6-4FA4-44F7-A78C-9F1B89128435}"/>
    <cellStyle name="Comma 13 5 3 4 2 3 2" xfId="20682" xr:uid="{EEDA18AC-429B-4C36-867A-9141C21C31E3}"/>
    <cellStyle name="Comma 13 5 3 4 2 4" xfId="18732" xr:uid="{0C5FAA6A-3E12-4336-80A7-8303FCBCE280}"/>
    <cellStyle name="Comma 13 5 3 4 3" xfId="2524" xr:uid="{21D89007-7A4E-4C9B-976E-8AC3559DE79A}"/>
    <cellStyle name="Comma 13 5 3 4 3 2" xfId="3388" xr:uid="{31E729E9-5E05-4C14-81DD-28A5C9035B8A}"/>
    <cellStyle name="Comma 13 5 3 4 3 2 2" xfId="19847" xr:uid="{A9460B93-72D4-4040-A704-0403579939A8}"/>
    <cellStyle name="Comma 13 5 3 4 3 3" xfId="17965" xr:uid="{06CE1069-2A33-4818-86E1-75111A195147}"/>
    <cellStyle name="Comma 13 5 3 4 3 3 2" xfId="20958" xr:uid="{AEC9F0AB-5CDA-4B54-9261-4ED8DB82E809}"/>
    <cellStyle name="Comma 13 5 3 4 3 4" xfId="19008" xr:uid="{E1B730CD-7955-4756-8F64-D228298F8376}"/>
    <cellStyle name="Comma 13 5 3 4 4" xfId="2780" xr:uid="{1561FB1E-2EAC-4A78-8D1C-8B3C3D47F909}"/>
    <cellStyle name="Comma 13 5 3 4 4 2" xfId="19264" xr:uid="{48449F78-2225-4AB2-A7FC-95F4CE3B1A1C}"/>
    <cellStyle name="Comma 13 5 3 4 5" xfId="3046" xr:uid="{16955714-2ED2-42B5-8AD9-7412E3D24817}"/>
    <cellStyle name="Comma 13 5 3 4 5 2" xfId="19520" xr:uid="{CE8EFBF2-C74E-489E-833C-E80B0CC93061}"/>
    <cellStyle name="Comma 13 5 3 4 6" xfId="17303" xr:uid="{D169152A-5700-4868-8517-F42BF2AEFF53}"/>
    <cellStyle name="Comma 13 5 3 4 6 2" xfId="20510" xr:uid="{4C633CDA-B584-43D4-A8C1-5848D675A3F4}"/>
    <cellStyle name="Comma 13 5 3 4 7" xfId="18560" xr:uid="{EA81D9DB-C678-4B5F-93AC-7799634BC680}"/>
    <cellStyle name="Comma 13 5 3 5" xfId="1765" xr:uid="{95912C66-4F1E-48B2-A006-4F1A9F3F2BD9}"/>
    <cellStyle name="Comma 13 5 3 5 2" xfId="2572" xr:uid="{D4E2EB3E-2F81-430F-AD32-9988764F64A7}"/>
    <cellStyle name="Comma 13 5 3 5 2 2" xfId="3697" xr:uid="{3330DA38-4336-402E-A1A6-6DFF2CECDF86}"/>
    <cellStyle name="Comma 13 5 3 5 2 2 2" xfId="20151" xr:uid="{5BA86284-5B8A-44C8-B064-874A5E077064}"/>
    <cellStyle name="Comma 13 5 3 5 2 3" xfId="18013" xr:uid="{0B09970A-893B-4837-95BC-F0F4F9C159C2}"/>
    <cellStyle name="Comma 13 5 3 5 2 3 2" xfId="21006" xr:uid="{9B65A78A-EDA5-40A3-AEBD-B4AB2894BA91}"/>
    <cellStyle name="Comma 13 5 3 5 2 4" xfId="19056" xr:uid="{01C54867-D21B-4CEE-8B4B-92F07ACFCC7D}"/>
    <cellStyle name="Comma 13 5 3 5 3" xfId="2828" xr:uid="{09171E03-1D54-4C0D-B2AA-0777F398117F}"/>
    <cellStyle name="Comma 13 5 3 5 3 2" xfId="3437" xr:uid="{B9CD7369-1552-4973-8592-D2D65765E869}"/>
    <cellStyle name="Comma 13 5 3 5 3 2 2" xfId="19895" xr:uid="{90A581EC-E45C-47D7-95F6-AD84695A006A}"/>
    <cellStyle name="Comma 13 5 3 5 3 3" xfId="19312" xr:uid="{5B881DD0-3EF9-48C1-AA48-1CB9AB20D23E}"/>
    <cellStyle name="Comma 13 5 3 5 4" xfId="3094" xr:uid="{B06D9CBC-FB68-4192-8D87-F53AC4C9B19D}"/>
    <cellStyle name="Comma 13 5 3 5 4 2" xfId="19568" xr:uid="{74D00051-1245-48D2-9106-F17B1BC2E5B2}"/>
    <cellStyle name="Comma 13 5 3 5 5" xfId="17523" xr:uid="{FEF23A4D-C1B3-401F-9C79-9615CCC5BE78}"/>
    <cellStyle name="Comma 13 5 3 5 5 2" xfId="20730" xr:uid="{B68AC199-AC15-4DF5-8A89-F559B5D40275}"/>
    <cellStyle name="Comma 13 5 3 5 6" xfId="18780" xr:uid="{2B159E85-3DD7-43EE-AEDD-1716663234E3}"/>
    <cellStyle name="Comma 13 5 3 6" xfId="1842" xr:uid="{90323FE9-C7BD-49E2-8DFE-FD34587A68E7}"/>
    <cellStyle name="Comma 13 5 3 6 2" xfId="2643" xr:uid="{152E5725-0AC8-4405-B920-3724D5633ECE}"/>
    <cellStyle name="Comma 13 5 3 6 2 2" xfId="3768" xr:uid="{E87182E3-34AE-4394-B80F-C7CC8379CC3B}"/>
    <cellStyle name="Comma 13 5 3 6 2 2 2" xfId="20222" xr:uid="{AE1C5896-92EC-4A56-930F-7EEE48955003}"/>
    <cellStyle name="Comma 13 5 3 6 2 3" xfId="18084" xr:uid="{73293F1E-3290-442E-AF5E-E5D4E3A27AE3}"/>
    <cellStyle name="Comma 13 5 3 6 2 3 2" xfId="21077" xr:uid="{0DB8A973-C2B9-408C-8E88-A3BA574012C6}"/>
    <cellStyle name="Comma 13 5 3 6 2 4" xfId="19127" xr:uid="{F7CB9801-AFBA-450E-95CD-D70A466D38DF}"/>
    <cellStyle name="Comma 13 5 3 6 3" xfId="2899" xr:uid="{98447A4E-7D31-4711-8808-11C26D503218}"/>
    <cellStyle name="Comma 13 5 3 6 3 2" xfId="3512" xr:uid="{E9D5823A-A532-4643-8EB2-B01B22C3FC1D}"/>
    <cellStyle name="Comma 13 5 3 6 3 2 2" xfId="19966" xr:uid="{898730A0-95DD-45EF-8A85-280849E4722D}"/>
    <cellStyle name="Comma 13 5 3 6 3 3" xfId="19383" xr:uid="{B86898C1-F615-4A35-8964-FD1FA9937731}"/>
    <cellStyle name="Comma 13 5 3 6 4" xfId="3165" xr:uid="{2D71DA43-B370-4B3D-A7A9-2A303D459EFF}"/>
    <cellStyle name="Comma 13 5 3 6 4 2" xfId="19639" xr:uid="{B046857D-D4A5-47D5-A6AD-E9433D16B120}"/>
    <cellStyle name="Comma 13 5 3 6 5" xfId="17595" xr:uid="{2C9CAB45-D81F-4182-B156-315EE9354132}"/>
    <cellStyle name="Comma 13 5 3 6 5 2" xfId="20801" xr:uid="{C0FCE600-4D6B-4B6D-B32A-593C4EDA2318}"/>
    <cellStyle name="Comma 13 5 3 6 6" xfId="18851" xr:uid="{F657003F-630B-4D19-88AC-659528073478}"/>
    <cellStyle name="Comma 13 5 3 7" xfId="1614" xr:uid="{0944AD4C-E0FD-46C1-B326-BE0B8F9E1FEE}"/>
    <cellStyle name="Comma 13 5 3 7 2" xfId="3548" xr:uid="{76C9F7D6-9C2D-4EC9-ABE8-BB084FEA9545}"/>
    <cellStyle name="Comma 13 5 3 7 2 2" xfId="20002" xr:uid="{47B53925-AC64-48A3-B59D-193151E444BE}"/>
    <cellStyle name="Comma 13 5 3 7 3" xfId="17374" xr:uid="{9DB16DC5-29B1-42B9-8F15-E8D75D233D68}"/>
    <cellStyle name="Comma 13 5 3 7 3 2" xfId="20581" xr:uid="{EA501A38-2E7A-48D0-AB1B-0062E67E4657}"/>
    <cellStyle name="Comma 13 5 3 7 4" xfId="18631" xr:uid="{918F6181-5853-4E4F-8AC9-C6BDC8856AB2}"/>
    <cellStyle name="Comma 13 5 3 8" xfId="2423" xr:uid="{098271E4-F599-43E5-9DC6-4F1B16EA2620}"/>
    <cellStyle name="Comma 13 5 3 8 2" xfId="3277" xr:uid="{006D80F5-F653-492C-9DCC-7F454720CE2B}"/>
    <cellStyle name="Comma 13 5 3 8 2 2" xfId="19746" xr:uid="{0D9BF164-A87E-4C98-8BFE-0C5CD80EA4E6}"/>
    <cellStyle name="Comma 13 5 3 8 3" xfId="17862" xr:uid="{674BDF8F-81F9-48F4-A51D-B05ECE9BB105}"/>
    <cellStyle name="Comma 13 5 3 8 3 2" xfId="20857" xr:uid="{B480DFD0-9AA9-49F7-AF67-D7BF0D3429DB}"/>
    <cellStyle name="Comma 13 5 3 8 4" xfId="18907" xr:uid="{D275BA1F-EE00-4704-A6CC-E254D80917E6}"/>
    <cellStyle name="Comma 13 5 3 9" xfId="2679" xr:uid="{D6374B61-888E-4600-BA13-520D53522B6E}"/>
    <cellStyle name="Comma 13 5 3 9 2" xfId="19163" xr:uid="{53F007F2-DEF7-40F2-9FB0-DC51243F004C}"/>
    <cellStyle name="Comma 13 5 4" xfId="1399" xr:uid="{F5C8ACE6-460A-444E-96C2-84B23CDAB25A}"/>
    <cellStyle name="Comma 13 5 4 10" xfId="18465" xr:uid="{CB766EA2-E04A-439A-8CE1-D7D5AD4DB01F}"/>
    <cellStyle name="Comma 13 5 4 2" xfId="1484" xr:uid="{1C8533A6-DE0C-47B4-8507-9857161D3EFB}"/>
    <cellStyle name="Comma 13 5 4 2 2" xfId="1669" xr:uid="{EC629E1F-A95B-4EEE-9414-6FAF4B163CB6}"/>
    <cellStyle name="Comma 13 5 4 2 2 2" xfId="3603" xr:uid="{C2707A96-C4FF-4765-B8B7-AAA43DA69B7B}"/>
    <cellStyle name="Comma 13 5 4 2 2 2 2" xfId="20057" xr:uid="{7522A4B3-E026-458F-8FE2-2D3F437BBE59}"/>
    <cellStyle name="Comma 13 5 4 2 2 3" xfId="17429" xr:uid="{7DDEDF61-C152-477C-9A20-25D7AA86A577}"/>
    <cellStyle name="Comma 13 5 4 2 2 3 2" xfId="20636" xr:uid="{0805021E-6E0B-4674-927E-D8D94B6C9B8B}"/>
    <cellStyle name="Comma 13 5 4 2 2 4" xfId="18686" xr:uid="{7DC67914-2AE4-4247-9360-7F95610A9718}"/>
    <cellStyle name="Comma 13 5 4 2 3" xfId="2478" xr:uid="{BA41062E-437F-4A49-8714-BC3ED9A3983F}"/>
    <cellStyle name="Comma 13 5 4 2 3 2" xfId="3334" xr:uid="{7B2E73CF-2117-473E-B682-A5403EF7AEE0}"/>
    <cellStyle name="Comma 13 5 4 2 3 2 2" xfId="19801" xr:uid="{4DAD74FF-18DE-46CA-A4A6-A7D0C7E14983}"/>
    <cellStyle name="Comma 13 5 4 2 3 3" xfId="17919" xr:uid="{9D79E5B8-48AF-476D-BDC2-9EEB3131362F}"/>
    <cellStyle name="Comma 13 5 4 2 3 3 2" xfId="20912" xr:uid="{C0694677-58EA-47C3-B15C-2D77E2D2E1A5}"/>
    <cellStyle name="Comma 13 5 4 2 3 4" xfId="18962" xr:uid="{30D40520-F38D-4A57-98F2-8A9A8350FDD4}"/>
    <cellStyle name="Comma 13 5 4 2 4" xfId="2734" xr:uid="{74628BA2-5E34-4B86-B2E5-3E0399CBB4C4}"/>
    <cellStyle name="Comma 13 5 4 2 4 2" xfId="19218" xr:uid="{7F6A26A4-0A49-4CC4-ABC0-00734D4A3D4E}"/>
    <cellStyle name="Comma 13 5 4 2 5" xfId="3000" xr:uid="{437C63B7-1C0B-4DB7-B64F-E899ED128D69}"/>
    <cellStyle name="Comma 13 5 4 2 5 2" xfId="19474" xr:uid="{4254482B-7845-4E84-9EB6-3C40FE3DEE6A}"/>
    <cellStyle name="Comma 13 5 4 2 6" xfId="17257" xr:uid="{BAE8EEC6-B0C4-4995-A8EF-37C50A47DEB1}"/>
    <cellStyle name="Comma 13 5 4 2 6 2" xfId="20464" xr:uid="{C4D792E8-6A38-4310-9B88-B11C1C59AC6D}"/>
    <cellStyle name="Comma 13 5 4 2 7" xfId="18514" xr:uid="{FB5EAAA7-30B4-4405-A424-C875C4844BD3}"/>
    <cellStyle name="Comma 13 5 4 3" xfId="1544" xr:uid="{B6AEE4FA-DD23-448F-BE2D-C418C98430ED}"/>
    <cellStyle name="Comma 13 5 4 3 2" xfId="1716" xr:uid="{BA3EE58C-4AE7-4392-9858-225E9FA18BB3}"/>
    <cellStyle name="Comma 13 5 4 3 2 2" xfId="3650" xr:uid="{94955E01-E2AE-48E7-ADFF-3929228C3CED}"/>
    <cellStyle name="Comma 13 5 4 3 2 2 2" xfId="20104" xr:uid="{ED4648A8-AD4D-4643-889D-EF2860A2CB23}"/>
    <cellStyle name="Comma 13 5 4 3 2 3" xfId="17476" xr:uid="{F25AA166-65F9-4D94-8DE6-3376DF59ACF3}"/>
    <cellStyle name="Comma 13 5 4 3 2 3 2" xfId="20683" xr:uid="{250EB9A6-C63E-4835-9F18-F4D24588B39D}"/>
    <cellStyle name="Comma 13 5 4 3 2 4" xfId="18733" xr:uid="{51E39038-A846-43B1-85B6-B698C0C4F439}"/>
    <cellStyle name="Comma 13 5 4 3 3" xfId="2525" xr:uid="{9537DF2A-3644-48AC-A289-30AC8DE50813}"/>
    <cellStyle name="Comma 13 5 4 3 3 2" xfId="3389" xr:uid="{8AB855B5-6FD7-435D-AD8D-99082816B3E2}"/>
    <cellStyle name="Comma 13 5 4 3 3 2 2" xfId="19848" xr:uid="{463784D0-26CC-4C44-A2F2-63EF0A62D4C9}"/>
    <cellStyle name="Comma 13 5 4 3 3 3" xfId="17966" xr:uid="{666DEFAE-5B6F-4AC9-A43F-BC794D69F7E6}"/>
    <cellStyle name="Comma 13 5 4 3 3 3 2" xfId="20959" xr:uid="{95867771-7F30-473F-9126-0C0260DAD07C}"/>
    <cellStyle name="Comma 13 5 4 3 3 4" xfId="19009" xr:uid="{3178B96F-B8DC-48C3-88DC-EFD557628A22}"/>
    <cellStyle name="Comma 13 5 4 3 4" xfId="2781" xr:uid="{C6310AFD-6463-4DCC-82A5-1A94F27F73D6}"/>
    <cellStyle name="Comma 13 5 4 3 4 2" xfId="19265" xr:uid="{CE5F1C41-4C0C-423D-8D10-650679F59E2B}"/>
    <cellStyle name="Comma 13 5 4 3 5" xfId="3047" xr:uid="{56FF96D3-3C9F-403E-889B-4D6B290F5B74}"/>
    <cellStyle name="Comma 13 5 4 3 5 2" xfId="19521" xr:uid="{A4FBE032-246B-43C3-BB8D-F7C2FA02F43F}"/>
    <cellStyle name="Comma 13 5 4 3 6" xfId="17304" xr:uid="{A8EEE259-3838-4783-917A-A35998B6FA2F}"/>
    <cellStyle name="Comma 13 5 4 3 6 2" xfId="20511" xr:uid="{9A95356E-C820-48DB-8059-039514EF641F}"/>
    <cellStyle name="Comma 13 5 4 3 7" xfId="18561" xr:uid="{19FA1747-90A5-40F1-BE52-2E09EEB9D181}"/>
    <cellStyle name="Comma 13 5 4 4" xfId="1766" xr:uid="{5B6BC4BC-5177-4049-BB80-51A52D5DA78D}"/>
    <cellStyle name="Comma 13 5 4 4 2" xfId="2573" xr:uid="{4AEF0701-98BB-441F-AC2E-EE587FAC8542}"/>
    <cellStyle name="Comma 13 5 4 4 2 2" xfId="3698" xr:uid="{BAE6637D-3576-42B6-85C4-64C7B06564DD}"/>
    <cellStyle name="Comma 13 5 4 4 2 2 2" xfId="20152" xr:uid="{F99575FD-AA89-42BA-813F-E6F82D2ED1D6}"/>
    <cellStyle name="Comma 13 5 4 4 2 3" xfId="18014" xr:uid="{B1FB24A8-A07C-4336-939A-AA8D49F11C2B}"/>
    <cellStyle name="Comma 13 5 4 4 2 3 2" xfId="21007" xr:uid="{F78CD4B4-4D2D-4AD0-B8B1-261E641445AA}"/>
    <cellStyle name="Comma 13 5 4 4 2 4" xfId="19057" xr:uid="{B441F72F-5E64-4775-800C-A692797E3BE1}"/>
    <cellStyle name="Comma 13 5 4 4 3" xfId="2829" xr:uid="{DF4AA8B1-58B8-4CE5-8F81-A3537E72E665}"/>
    <cellStyle name="Comma 13 5 4 4 3 2" xfId="3438" xr:uid="{DA8EFF5E-924F-44C9-842E-FA2FC7EE20A4}"/>
    <cellStyle name="Comma 13 5 4 4 3 2 2" xfId="19896" xr:uid="{190C1870-4086-4009-B4B5-74FE41FA64B5}"/>
    <cellStyle name="Comma 13 5 4 4 3 3" xfId="19313" xr:uid="{AB305581-CAD4-4C5E-AB2F-B1695651BAFC}"/>
    <cellStyle name="Comma 13 5 4 4 4" xfId="3095" xr:uid="{F7E413E9-0B38-4188-84A7-D44BF95406C4}"/>
    <cellStyle name="Comma 13 5 4 4 4 2" xfId="19569" xr:uid="{9B9C8540-9C32-4941-B2AD-4FCB91866B21}"/>
    <cellStyle name="Comma 13 5 4 4 5" xfId="17524" xr:uid="{F99681DB-72D7-4AF2-BB35-8F8852ABD0C1}"/>
    <cellStyle name="Comma 13 5 4 4 5 2" xfId="20731" xr:uid="{55125D66-E770-4E5E-B908-7B1D71A63E97}"/>
    <cellStyle name="Comma 13 5 4 4 6" xfId="18781" xr:uid="{AA000D37-DA7F-4C16-B71C-60A43BDEC10F}"/>
    <cellStyle name="Comma 13 5 4 5" xfId="1620" xr:uid="{03A21652-4A57-4CF8-80D2-5C1BDEF86999}"/>
    <cellStyle name="Comma 13 5 4 5 2" xfId="3554" xr:uid="{DF1D89D8-EF57-45F5-AF8F-63400B1801B7}"/>
    <cellStyle name="Comma 13 5 4 5 2 2" xfId="20008" xr:uid="{FC3DFBA2-F454-47EF-9A77-AEB57CFD303C}"/>
    <cellStyle name="Comma 13 5 4 5 3" xfId="17380" xr:uid="{7210C6EE-823E-4353-AA42-67707AB6D259}"/>
    <cellStyle name="Comma 13 5 4 5 3 2" xfId="20587" xr:uid="{5B0CA76A-B7FE-4B33-95D2-F553A0760BBB}"/>
    <cellStyle name="Comma 13 5 4 5 4" xfId="18637" xr:uid="{BCD7525C-8153-402D-84DD-D222C7C75C2B}"/>
    <cellStyle name="Comma 13 5 4 6" xfId="2429" xr:uid="{0826C3B8-936F-4E09-9B52-7CB90695089D}"/>
    <cellStyle name="Comma 13 5 4 6 2" xfId="3283" xr:uid="{F63ED640-3CF5-4C53-9ACD-432870A889E7}"/>
    <cellStyle name="Comma 13 5 4 6 2 2" xfId="19752" xr:uid="{57641DF7-0D3E-4560-BBA7-3D15ED85500F}"/>
    <cellStyle name="Comma 13 5 4 6 3" xfId="17868" xr:uid="{AB18CD5F-07D9-4820-B622-71B27D10C987}"/>
    <cellStyle name="Comma 13 5 4 6 3 2" xfId="20863" xr:uid="{0247AB62-E096-4DEA-A4CC-94E6D3EF716E}"/>
    <cellStyle name="Comma 13 5 4 6 4" xfId="18913" xr:uid="{3FD417BA-5D1A-4DD3-BD32-DF4150B027B6}"/>
    <cellStyle name="Comma 13 5 4 7" xfId="2685" xr:uid="{65ADAABF-0BB3-4B79-A0F7-1EC8CDCB6B85}"/>
    <cellStyle name="Comma 13 5 4 7 2" xfId="19169" xr:uid="{76F65D78-95E3-45EA-A30F-12E3F80F7F66}"/>
    <cellStyle name="Comma 13 5 4 8" xfId="2951" xr:uid="{91152BE7-F45B-4CA8-ABB1-0BF2F0C48AD6}"/>
    <cellStyle name="Comma 13 5 4 8 2" xfId="19425" xr:uid="{2C062A27-DAF9-42B3-A960-5F0670B9F589}"/>
    <cellStyle name="Comma 13 5 4 9" xfId="17205" xr:uid="{2F1844A2-38C3-4825-8B38-E741B1B0AB09}"/>
    <cellStyle name="Comma 13 5 4 9 2" xfId="20415" xr:uid="{DCF1F66C-5749-449A-B01A-C070DE384C63}"/>
    <cellStyle name="Comma 13 5 5" xfId="1412" xr:uid="{DA1407D4-3D71-4DE7-8D67-06BFAE9B1AD5}"/>
    <cellStyle name="Comma 13 5 5 10" xfId="18472" xr:uid="{703FC691-039E-4BFB-9095-CAD53DC7D030}"/>
    <cellStyle name="Comma 13 5 5 2" xfId="1485" xr:uid="{028D3E70-E651-45A1-94C4-FD36021597E1}"/>
    <cellStyle name="Comma 13 5 5 2 2" xfId="1670" xr:uid="{DB8453CB-D8D2-486F-BC76-5CDE7932DD2C}"/>
    <cellStyle name="Comma 13 5 5 2 2 2" xfId="3604" xr:uid="{10B4E083-668C-43C0-8431-357751A06520}"/>
    <cellStyle name="Comma 13 5 5 2 2 2 2" xfId="20058" xr:uid="{632DD82C-B063-48E0-921D-1A4B70069883}"/>
    <cellStyle name="Comma 13 5 5 2 2 3" xfId="17430" xr:uid="{F2A7B3F5-DAF0-4F10-A570-80C6DBDFFC9E}"/>
    <cellStyle name="Comma 13 5 5 2 2 3 2" xfId="20637" xr:uid="{A6613C14-CC01-4658-BD4E-F6A5275DB4A5}"/>
    <cellStyle name="Comma 13 5 5 2 2 4" xfId="18687" xr:uid="{4C122C4B-79E5-4FA9-84FE-40727AA93B3B}"/>
    <cellStyle name="Comma 13 5 5 2 3" xfId="2479" xr:uid="{362FC5E5-5064-4263-8065-783DB6A63059}"/>
    <cellStyle name="Comma 13 5 5 2 3 2" xfId="3335" xr:uid="{EA208E57-8D61-4C49-82B3-75FE45EF24C3}"/>
    <cellStyle name="Comma 13 5 5 2 3 2 2" xfId="19802" xr:uid="{1B8F2636-5547-47C2-8505-09485421C7D6}"/>
    <cellStyle name="Comma 13 5 5 2 3 3" xfId="17920" xr:uid="{8D86CE89-6084-4896-9F95-9C1DD521C9A7}"/>
    <cellStyle name="Comma 13 5 5 2 3 3 2" xfId="20913" xr:uid="{B1C44D79-1CAD-4EEF-9636-642FA893D7D6}"/>
    <cellStyle name="Comma 13 5 5 2 3 4" xfId="18963" xr:uid="{58CC6198-2583-4779-B04B-2B3BE0ED3A6C}"/>
    <cellStyle name="Comma 13 5 5 2 4" xfId="2735" xr:uid="{515E9B47-B27E-4945-BC50-2134CA76C170}"/>
    <cellStyle name="Comma 13 5 5 2 4 2" xfId="19219" xr:uid="{5AED8704-825E-4EEB-A840-EBF9404900E1}"/>
    <cellStyle name="Comma 13 5 5 2 5" xfId="3001" xr:uid="{56956985-A5B9-4C8E-9A5E-FCBB22F00945}"/>
    <cellStyle name="Comma 13 5 5 2 5 2" xfId="19475" xr:uid="{84127DAE-0861-4ED4-B875-7B99EF5E012A}"/>
    <cellStyle name="Comma 13 5 5 2 6" xfId="17258" xr:uid="{D904458C-746D-4A2E-80EC-6DA6D832D618}"/>
    <cellStyle name="Comma 13 5 5 2 6 2" xfId="20465" xr:uid="{890A1060-0802-44D5-B857-A6CB30FFE862}"/>
    <cellStyle name="Comma 13 5 5 2 7" xfId="18515" xr:uid="{0215D722-929E-4404-929A-8C47FF99065E}"/>
    <cellStyle name="Comma 13 5 5 3" xfId="1545" xr:uid="{9B17C3C5-7EC2-49A9-BEAD-25BEC7A31D44}"/>
    <cellStyle name="Comma 13 5 5 3 2" xfId="1717" xr:uid="{08A8F1FA-3492-4B6C-A77C-0803A605007B}"/>
    <cellStyle name="Comma 13 5 5 3 2 2" xfId="3651" xr:uid="{FBC33D6F-D716-4994-B61E-32A2D975F9AF}"/>
    <cellStyle name="Comma 13 5 5 3 2 2 2" xfId="20105" xr:uid="{5DF3D2A8-5CA3-455B-A398-2C041BDC587E}"/>
    <cellStyle name="Comma 13 5 5 3 2 3" xfId="17477" xr:uid="{BB29C814-366E-4082-BCC9-AC15141E13BD}"/>
    <cellStyle name="Comma 13 5 5 3 2 3 2" xfId="20684" xr:uid="{809DAE54-E5D1-4212-8F22-C7FB020A3F0D}"/>
    <cellStyle name="Comma 13 5 5 3 2 4" xfId="18734" xr:uid="{59A22FE5-AD99-4C39-9681-6607CBE4FFA7}"/>
    <cellStyle name="Comma 13 5 5 3 3" xfId="2526" xr:uid="{39ABCA8A-1F45-4311-97A4-7B4A44A5541F}"/>
    <cellStyle name="Comma 13 5 5 3 3 2" xfId="3390" xr:uid="{EC942B34-5467-4950-923B-80AE33A2A60B}"/>
    <cellStyle name="Comma 13 5 5 3 3 2 2" xfId="19849" xr:uid="{D860EA1B-007D-4897-B794-60BDB6014ECC}"/>
    <cellStyle name="Comma 13 5 5 3 3 3" xfId="17967" xr:uid="{AF7C71AA-AD4F-47F8-ABB9-898C314D732C}"/>
    <cellStyle name="Comma 13 5 5 3 3 3 2" xfId="20960" xr:uid="{3BCB2063-B00B-44BC-B97E-18836FDC8DBA}"/>
    <cellStyle name="Comma 13 5 5 3 3 4" xfId="19010" xr:uid="{F5A293C4-7593-4B8B-BF2B-FE889B06E46A}"/>
    <cellStyle name="Comma 13 5 5 3 4" xfId="2782" xr:uid="{A46DE1CD-6658-484C-B4F2-AB46F683E6B6}"/>
    <cellStyle name="Comma 13 5 5 3 4 2" xfId="19266" xr:uid="{3BF07AA0-9071-44C5-9A52-05F9CE8A9A3E}"/>
    <cellStyle name="Comma 13 5 5 3 5" xfId="3048" xr:uid="{F600C60B-7CAA-4F44-8428-2A390BA9DDED}"/>
    <cellStyle name="Comma 13 5 5 3 5 2" xfId="19522" xr:uid="{A3EAA6CA-E534-4495-93CC-F9D77BD88EAA}"/>
    <cellStyle name="Comma 13 5 5 3 6" xfId="17305" xr:uid="{2B30AD94-3353-431D-89FF-3F8090CB1AFD}"/>
    <cellStyle name="Comma 13 5 5 3 6 2" xfId="20512" xr:uid="{41675E05-FA6A-460B-AACB-C5707E095458}"/>
    <cellStyle name="Comma 13 5 5 3 7" xfId="18562" xr:uid="{98F13A8F-06FB-415F-B115-B809D7857164}"/>
    <cellStyle name="Comma 13 5 5 4" xfId="1767" xr:uid="{335C453B-52BE-448B-8683-8010BA494224}"/>
    <cellStyle name="Comma 13 5 5 4 2" xfId="2574" xr:uid="{C4EA30A3-1DAF-4038-AB84-14B39CEF2021}"/>
    <cellStyle name="Comma 13 5 5 4 2 2" xfId="3699" xr:uid="{C93A9950-BB12-4F53-B77F-E771C276754D}"/>
    <cellStyle name="Comma 13 5 5 4 2 2 2" xfId="20153" xr:uid="{53C7FA2A-BCE1-493E-B1F7-836AE5F78DB6}"/>
    <cellStyle name="Comma 13 5 5 4 2 3" xfId="18015" xr:uid="{87190C7B-6227-4795-98C3-35E368BA5ED9}"/>
    <cellStyle name="Comma 13 5 5 4 2 3 2" xfId="21008" xr:uid="{EB83AF82-CFE6-4A26-BFAA-9848D503D0BF}"/>
    <cellStyle name="Comma 13 5 5 4 2 4" xfId="19058" xr:uid="{F74D653C-DF10-4274-9212-A5E6BA8705CD}"/>
    <cellStyle name="Comma 13 5 5 4 3" xfId="2830" xr:uid="{371C8DEB-AA6C-483A-A000-C9970A0562D8}"/>
    <cellStyle name="Comma 13 5 5 4 3 2" xfId="3439" xr:uid="{427E1BBF-4BA4-4DD6-B6C6-A9CC92B5146A}"/>
    <cellStyle name="Comma 13 5 5 4 3 2 2" xfId="19897" xr:uid="{F674340D-C799-4460-806E-D0A2C7E65E99}"/>
    <cellStyle name="Comma 13 5 5 4 3 3" xfId="19314" xr:uid="{375D3AD7-9C29-4ACA-BAF9-C6EB46EFC678}"/>
    <cellStyle name="Comma 13 5 5 4 4" xfId="3096" xr:uid="{2A2DDB28-97B4-4116-AF80-6C59E526F42B}"/>
    <cellStyle name="Comma 13 5 5 4 4 2" xfId="19570" xr:uid="{74F4C1AD-663A-4425-8446-3B171DB5B002}"/>
    <cellStyle name="Comma 13 5 5 4 5" xfId="17525" xr:uid="{2A7890F8-1321-44CA-9BC8-7321C53943F3}"/>
    <cellStyle name="Comma 13 5 5 4 5 2" xfId="20732" xr:uid="{5B6D1601-1405-4A77-9429-2CD848AD8E77}"/>
    <cellStyle name="Comma 13 5 5 4 6" xfId="18782" xr:uid="{2CD8C54C-E99A-4350-AA06-70E20A222AE8}"/>
    <cellStyle name="Comma 13 5 5 5" xfId="1627" xr:uid="{018B30AB-A057-4C43-AB86-34DA646B67AC}"/>
    <cellStyle name="Comma 13 5 5 5 2" xfId="3561" xr:uid="{F298A779-7D12-467C-AB76-BAC0A248E601}"/>
    <cellStyle name="Comma 13 5 5 5 2 2" xfId="20015" xr:uid="{F0047286-CB10-4B5B-ADEE-7C4F8AB08190}"/>
    <cellStyle name="Comma 13 5 5 5 3" xfId="17387" xr:uid="{237F1381-0AAD-4B64-989A-438110D5DCA9}"/>
    <cellStyle name="Comma 13 5 5 5 3 2" xfId="20594" xr:uid="{6329872B-A317-4469-A1F1-D2E2551CFE9C}"/>
    <cellStyle name="Comma 13 5 5 5 4" xfId="18644" xr:uid="{A7E418E5-4E56-497B-9CB3-869ACF6EDCCE}"/>
    <cellStyle name="Comma 13 5 5 6" xfId="2436" xr:uid="{33E8C535-B699-475E-9DED-F3496D04F79E}"/>
    <cellStyle name="Comma 13 5 5 6 2" xfId="3291" xr:uid="{A3E054F8-DE4E-44C2-9F02-74301D488251}"/>
    <cellStyle name="Comma 13 5 5 6 2 2" xfId="19759" xr:uid="{E4060E5A-58C0-456D-847B-F1CEA6952677}"/>
    <cellStyle name="Comma 13 5 5 6 3" xfId="17875" xr:uid="{06FA92FF-C722-44FB-B6CB-E76FBE03E1E5}"/>
    <cellStyle name="Comma 13 5 5 6 3 2" xfId="20870" xr:uid="{8821E87E-552C-4A90-A5D9-E296F203891E}"/>
    <cellStyle name="Comma 13 5 5 6 4" xfId="18920" xr:uid="{6895B031-A175-4F7D-880E-0EB32B5EF6BD}"/>
    <cellStyle name="Comma 13 5 5 7" xfId="2692" xr:uid="{BDF13CA3-5CAE-4F07-8884-7E3CF92F8E3C}"/>
    <cellStyle name="Comma 13 5 5 7 2" xfId="19176" xr:uid="{7F24C1EF-5510-4F4C-84FB-3A743CA39EC8}"/>
    <cellStyle name="Comma 13 5 5 8" xfId="2958" xr:uid="{D50C67AE-89AF-4FE5-AF2D-0DE3238F4468}"/>
    <cellStyle name="Comma 13 5 5 8 2" xfId="19432" xr:uid="{42C1B890-1073-4002-87FE-43EFB81FAA73}"/>
    <cellStyle name="Comma 13 5 5 9" xfId="17213" xr:uid="{2FC69944-09C3-49DC-A1A0-832F8B0BBFD0}"/>
    <cellStyle name="Comma 13 5 5 9 2" xfId="20422" xr:uid="{BF0B27A9-A34B-433B-BD66-118764BE216F}"/>
    <cellStyle name="Comma 13 5 6" xfId="1481" xr:uid="{DC9AA775-8438-4D00-AAFA-7528481E74F5}"/>
    <cellStyle name="Comma 13 5 6 2" xfId="1666" xr:uid="{4A9CF1EF-21C9-490D-AF2B-9613CE8D72EA}"/>
    <cellStyle name="Comma 13 5 6 2 2" xfId="3600" xr:uid="{ACB5E507-A2AC-4319-ACC7-8EACE7C7B69C}"/>
    <cellStyle name="Comma 13 5 6 2 2 2" xfId="20054" xr:uid="{E24F1667-D210-4DE1-B09E-25AF8787F43B}"/>
    <cellStyle name="Comma 13 5 6 2 3" xfId="17426" xr:uid="{38214710-B7A1-4134-8B1C-A56E179E2A27}"/>
    <cellStyle name="Comma 13 5 6 2 3 2" xfId="20633" xr:uid="{852F4068-A829-4EF4-AA26-38E44906964B}"/>
    <cellStyle name="Comma 13 5 6 2 4" xfId="18683" xr:uid="{542BAEE5-81F7-4F40-AE06-B38523296BA7}"/>
    <cellStyle name="Comma 13 5 6 3" xfId="2475" xr:uid="{9C0BF82B-5239-4B04-A94C-FA135542DEF2}"/>
    <cellStyle name="Comma 13 5 6 3 2" xfId="3331" xr:uid="{6A70ECAE-827E-430B-B047-1495FD0D7995}"/>
    <cellStyle name="Comma 13 5 6 3 2 2" xfId="19798" xr:uid="{149B23A3-F024-445F-8394-4AB1800EB410}"/>
    <cellStyle name="Comma 13 5 6 3 3" xfId="17916" xr:uid="{9A632EC6-064D-4A36-B5E8-1F8AA32DB636}"/>
    <cellStyle name="Comma 13 5 6 3 3 2" xfId="20909" xr:uid="{EB370695-A8EC-4258-AE42-0F10FA415C38}"/>
    <cellStyle name="Comma 13 5 6 3 4" xfId="18959" xr:uid="{80F7A5C7-1E9A-411A-94BB-5E7F494AC125}"/>
    <cellStyle name="Comma 13 5 6 4" xfId="2731" xr:uid="{087EC814-2C8E-4E2C-8359-F52C6AD18B82}"/>
    <cellStyle name="Comma 13 5 6 4 2" xfId="19215" xr:uid="{2A3F0371-CBEE-4476-BAED-4C780DBE5E71}"/>
    <cellStyle name="Comma 13 5 6 5" xfId="2997" xr:uid="{3D0395AB-E8A5-440C-A074-48979568E3CF}"/>
    <cellStyle name="Comma 13 5 6 5 2" xfId="19471" xr:uid="{CB047388-0DCA-4962-A825-7F9FF93F056F}"/>
    <cellStyle name="Comma 13 5 6 6" xfId="17254" xr:uid="{1E328FB1-5E46-4A10-B599-C698637D5F15}"/>
    <cellStyle name="Comma 13 5 6 6 2" xfId="20461" xr:uid="{3BEB4ED5-CC71-43D0-B3CE-34BF3295419F}"/>
    <cellStyle name="Comma 13 5 6 7" xfId="18511" xr:uid="{5862BC56-0E86-4226-9E82-56723AF5C3D0}"/>
    <cellStyle name="Comma 13 5 7" xfId="1541" xr:uid="{AF1C1106-372F-400A-9916-36620D65D634}"/>
    <cellStyle name="Comma 13 5 7 2" xfId="1713" xr:uid="{A38629F8-AB6B-46EE-AE0D-427A05FF959B}"/>
    <cellStyle name="Comma 13 5 7 2 2" xfId="3647" xr:uid="{EAA17B7B-227C-40CA-9201-F37570A24256}"/>
    <cellStyle name="Comma 13 5 7 2 2 2" xfId="20101" xr:uid="{FD41E4FF-BA3F-45D3-AF1D-E40D5BC03FAD}"/>
    <cellStyle name="Comma 13 5 7 2 3" xfId="17473" xr:uid="{B1DCFDD1-CAE5-4527-BD3F-0B0F3535A7B3}"/>
    <cellStyle name="Comma 13 5 7 2 3 2" xfId="20680" xr:uid="{60601CCE-0676-40BC-90B9-DD1EDD5A5F2D}"/>
    <cellStyle name="Comma 13 5 7 2 4" xfId="18730" xr:uid="{D0191772-C248-4C30-80D2-A74361B3A778}"/>
    <cellStyle name="Comma 13 5 7 3" xfId="2522" xr:uid="{49ABE7C9-E3F2-4FF9-A3E8-26CE1AD1E178}"/>
    <cellStyle name="Comma 13 5 7 3 2" xfId="3386" xr:uid="{4F23B3F8-C9FE-4B36-B924-17050144533B}"/>
    <cellStyle name="Comma 13 5 7 3 2 2" xfId="19845" xr:uid="{FB4C1C05-5420-45F4-A717-4E463D71B75C}"/>
    <cellStyle name="Comma 13 5 7 3 3" xfId="17963" xr:uid="{6243E572-59D3-42D1-9359-B82AE313C16A}"/>
    <cellStyle name="Comma 13 5 7 3 3 2" xfId="20956" xr:uid="{08B5192B-9C02-4015-8EAD-3D6CECCED0C9}"/>
    <cellStyle name="Comma 13 5 7 3 4" xfId="19006" xr:uid="{0CC032E9-B167-4E29-AE93-C4FE52F1796E}"/>
    <cellStyle name="Comma 13 5 7 4" xfId="2778" xr:uid="{AFF1D754-FDD0-4A73-807B-BBC7DB098E40}"/>
    <cellStyle name="Comma 13 5 7 4 2" xfId="19262" xr:uid="{E1F77F70-1B95-46AA-95C7-080360E203F6}"/>
    <cellStyle name="Comma 13 5 7 5" xfId="3044" xr:uid="{C531E719-7175-4B35-9E36-87E72D1F0304}"/>
    <cellStyle name="Comma 13 5 7 5 2" xfId="19518" xr:uid="{8E898CE5-F0FE-4C44-8EB5-DA49C2E3628E}"/>
    <cellStyle name="Comma 13 5 7 6" xfId="17301" xr:uid="{BD6780FE-19D5-4E8F-9699-7ED05EE4178D}"/>
    <cellStyle name="Comma 13 5 7 6 2" xfId="20508" xr:uid="{6E04FB37-6D08-49E7-A4FC-467BFA39F9DC}"/>
    <cellStyle name="Comma 13 5 7 7" xfId="18558" xr:uid="{38752426-C824-4E5C-B729-2F3DF5BFAE0D}"/>
    <cellStyle name="Comma 13 5 8" xfId="909" xr:uid="{8FEAF238-B8AF-43AE-BC3D-04EEBA56ACC5}"/>
    <cellStyle name="Comma 13 5 8 2" xfId="1763" xr:uid="{F554744D-6E66-4F5F-B018-935F830630E8}"/>
    <cellStyle name="Comma 13 5 8 2 2" xfId="3695" xr:uid="{985568FE-FA7E-4129-999E-40C65AB4FECA}"/>
    <cellStyle name="Comma 13 5 8 2 2 2" xfId="20149" xr:uid="{D7E8B4B7-0FEF-44C3-B1B7-3FB6498D9B32}"/>
    <cellStyle name="Comma 13 5 8 2 3" xfId="17521" xr:uid="{4624A880-9417-4A77-9A1B-242C6F7BFAEA}"/>
    <cellStyle name="Comma 13 5 8 2 3 2" xfId="20728" xr:uid="{98CE186C-CF37-4C26-98E7-FD5A024715B3}"/>
    <cellStyle name="Comma 13 5 8 2 4" xfId="18778" xr:uid="{7A023516-D074-41EF-A740-7480398A985E}"/>
    <cellStyle name="Comma 13 5 8 3" xfId="2570" xr:uid="{868C8BA9-F08C-4478-8418-C937C87A5334}"/>
    <cellStyle name="Comma 13 5 8 3 2" xfId="3435" xr:uid="{23697E78-A879-4FE7-8807-DDF8875BD49C}"/>
    <cellStyle name="Comma 13 5 8 3 2 2" xfId="19893" xr:uid="{34C9EA6A-0AC2-434E-9435-0154B467A273}"/>
    <cellStyle name="Comma 13 5 8 3 3" xfId="18011" xr:uid="{73597ECF-07C1-4FD9-96F0-5A78CA5E1677}"/>
    <cellStyle name="Comma 13 5 8 3 3 2" xfId="21004" xr:uid="{5FAE58D8-444E-4EB5-BE6B-E9B022B7D8E0}"/>
    <cellStyle name="Comma 13 5 8 3 4" xfId="19054" xr:uid="{2D0DFB7A-C470-4F49-948E-8B2293B8F3C1}"/>
    <cellStyle name="Comma 13 5 8 4" xfId="2826" xr:uid="{98BFDE00-01B0-4026-ADB1-0BE83185A835}"/>
    <cellStyle name="Comma 13 5 8 4 2" xfId="19310" xr:uid="{B0953B53-9DD0-4C31-8E0C-DAC104B5198C}"/>
    <cellStyle name="Comma 13 5 8 5" xfId="3092" xr:uid="{C6ACD53F-59A7-4794-A7CC-3C4EFEFB32DD}"/>
    <cellStyle name="Comma 13 5 8 5 2" xfId="19566" xr:uid="{259062C9-1B8C-4DD4-8DBC-70F6A4237414}"/>
    <cellStyle name="Comma 13 5 8 6" xfId="17100" xr:uid="{50A00C83-BA30-46D6-8F0B-454A35569A3C}"/>
    <cellStyle name="Comma 13 5 8 6 2" xfId="20380" xr:uid="{476DFA54-44EC-4F48-8DF3-3DA96824A025}"/>
    <cellStyle name="Comma 13 5 8 7" xfId="18430" xr:uid="{618BF28D-4CD1-4D96-A4C7-BD3B226EB57E}"/>
    <cellStyle name="Comma 13 5 9" xfId="1813" xr:uid="{9D9DB74F-A9AB-43E7-9B45-9F8DE74C94EB}"/>
    <cellStyle name="Comma 13 5 9 2" xfId="2614" xr:uid="{CE74BD2D-2229-44F1-972D-A6E6EE290284}"/>
    <cellStyle name="Comma 13 5 9 2 2" xfId="3739" xr:uid="{DC23E1E9-8D75-4188-8274-3BD191768041}"/>
    <cellStyle name="Comma 13 5 9 2 2 2" xfId="20193" xr:uid="{2FD996CF-72B4-4107-92A5-6EC5BF33EEA8}"/>
    <cellStyle name="Comma 13 5 9 2 3" xfId="18055" xr:uid="{1FC26C93-3C27-49CF-8DC5-E4C7AFCF0A38}"/>
    <cellStyle name="Comma 13 5 9 2 3 2" xfId="21048" xr:uid="{C6910CFD-5015-4914-8F0A-1DEE02498188}"/>
    <cellStyle name="Comma 13 5 9 2 4" xfId="19098" xr:uid="{88BD577C-C78D-47C1-A395-986154EC471A}"/>
    <cellStyle name="Comma 13 5 9 3" xfId="2870" xr:uid="{7A876505-0F8A-4522-9F2D-8F699297A9BF}"/>
    <cellStyle name="Comma 13 5 9 3 2" xfId="3483" xr:uid="{F40B9277-3585-4811-9273-5758468FD3D7}"/>
    <cellStyle name="Comma 13 5 9 3 2 2" xfId="19937" xr:uid="{71439B6A-9CA2-485D-A623-6D9ECEEFC1BE}"/>
    <cellStyle name="Comma 13 5 9 3 3" xfId="19354" xr:uid="{66114B8B-3247-4563-B38E-7D70237ACC12}"/>
    <cellStyle name="Comma 13 5 9 4" xfId="3136" xr:uid="{54AD5EED-359F-4019-A083-C2F7832DAC3E}"/>
    <cellStyle name="Comma 13 5 9 4 2" xfId="19610" xr:uid="{2CB41BDC-1A8D-4295-BA55-E031EC729526}"/>
    <cellStyle name="Comma 13 5 9 5" xfId="17566" xr:uid="{1FD148F6-1306-4258-AEA2-69694D4378DD}"/>
    <cellStyle name="Comma 13 5 9 5 2" xfId="20772" xr:uid="{1345132D-A2B1-4AAC-A4A8-7A792E4D16B4}"/>
    <cellStyle name="Comma 13 5 9 6" xfId="18822" xr:uid="{83730704-6DF5-4FE9-B099-CF7E781809A6}"/>
    <cellStyle name="Comma 13 6" xfId="834" xr:uid="{9202D3EE-1DA3-421A-98EE-3AB6166B0C17}"/>
    <cellStyle name="Comma 13 6 2" xfId="910" xr:uid="{C4ABA049-E889-4067-B87A-A15D2135D841}"/>
    <cellStyle name="Comma 13 6 3" xfId="3807" xr:uid="{B4BC1A2F-0851-4131-B222-33ECD9DEE6F9}"/>
    <cellStyle name="Comma 13 6 3 2" xfId="20261" xr:uid="{D74C08D7-8AB8-419C-9C92-81CB587EC5CF}"/>
    <cellStyle name="Comma 13 6 4" xfId="3204" xr:uid="{A90A6448-FAB2-4C97-9A82-7D8F184D2871}"/>
    <cellStyle name="Comma 13 6 4 2" xfId="19678" xr:uid="{6893676B-29CA-4AF2-A14F-66FC494FD973}"/>
    <cellStyle name="Comma 13 6 5" xfId="17045" xr:uid="{FE4D2ADA-D544-4B6E-9297-F56B6F6596F8}"/>
    <cellStyle name="Comma 13 6 5 2" xfId="20341" xr:uid="{E7F35D4C-783A-4197-ABB2-F730634671C8}"/>
    <cellStyle name="Comma 13 6 6" xfId="18391" xr:uid="{64F37060-883B-416B-A298-3C856C17BD40}"/>
    <cellStyle name="Comma 13 7" xfId="847" xr:uid="{34CEF79B-AC5A-4ED9-BF81-18D573B75031}"/>
    <cellStyle name="Comma 13 7 2" xfId="911" xr:uid="{D1F5F8CB-65C2-4ACA-BE33-C82859134464}"/>
    <cellStyle name="Comma 13 7 3" xfId="3814" xr:uid="{F03E0717-44EA-4CE0-90A4-6B4EC94344C5}"/>
    <cellStyle name="Comma 13 7 3 2" xfId="20268" xr:uid="{85FDBA8D-3FB8-45BF-9DB3-BEA6C327120A}"/>
    <cellStyle name="Comma 13 7 4" xfId="3212" xr:uid="{23C6ABE7-C659-4BA2-8A67-EFEC0593D49E}"/>
    <cellStyle name="Comma 13 7 4 2" xfId="19685" xr:uid="{C7A45764-6D4B-42B8-AE55-2B2121D562C7}"/>
    <cellStyle name="Comma 13 7 5" xfId="17056" xr:uid="{ED64C4B2-A330-4889-A61A-91A7A3C7B9A4}"/>
    <cellStyle name="Comma 13 7 5 2" xfId="20348" xr:uid="{711B2C76-58F8-452D-B5C9-61B8CDECD005}"/>
    <cellStyle name="Comma 13 7 6" xfId="18398" xr:uid="{2BF46311-F0C2-47CD-99D8-136A25713058}"/>
    <cellStyle name="Comma 13 8" xfId="872" xr:uid="{07EBAB3C-1270-458E-9A8E-3F135FA05B72}"/>
    <cellStyle name="Comma 13 8 10" xfId="3233" xr:uid="{A972A638-0E5B-4BD7-BC83-0D9CA6F1CFC9}"/>
    <cellStyle name="Comma 13 8 10 2" xfId="19703" xr:uid="{8675A599-5E29-4363-84DB-EE665E619EB3}"/>
    <cellStyle name="Comma 13 8 11" xfId="2932" xr:uid="{A4F4A849-194C-4648-8D5A-027A6ED651C7}"/>
    <cellStyle name="Comma 13 8 11 2" xfId="19406" xr:uid="{90AE0B13-6102-4C7E-AC30-5A1894CB3EB5}"/>
    <cellStyle name="Comma 13 8 12" xfId="17075" xr:uid="{8A4C13D6-7B0E-4563-B24E-26D442400A94}"/>
    <cellStyle name="Comma 13 8 12 2" xfId="20366" xr:uid="{58425BDF-10C3-4956-BA03-7527E993D5E4}"/>
    <cellStyle name="Comma 13 8 13" xfId="18416" xr:uid="{91FD3D32-0429-49CE-9ECF-E16C22DDE236}"/>
    <cellStyle name="Comma 13 8 2" xfId="1445" xr:uid="{9A07BAF6-C34D-4068-8277-929F936C7407}"/>
    <cellStyle name="Comma 13 8 2 2" xfId="1642" xr:uid="{AD6EAC6F-B03B-4E99-9CDB-F2F2CFA1A045}"/>
    <cellStyle name="Comma 13 8 2 2 2" xfId="3576" xr:uid="{F1FA2652-EA5C-4935-A631-20D6B1FC2726}"/>
    <cellStyle name="Comma 13 8 2 2 2 2" xfId="20030" xr:uid="{3889F9A0-AF02-4CB0-9CAB-2253D83A51EC}"/>
    <cellStyle name="Comma 13 8 2 2 3" xfId="17402" xr:uid="{BC9AF0F0-A6CA-462D-AA19-D144AC2389CD}"/>
    <cellStyle name="Comma 13 8 2 2 3 2" xfId="20609" xr:uid="{C98720C9-D668-4AD4-9EBB-E5C3C6F95AA2}"/>
    <cellStyle name="Comma 13 8 2 2 4" xfId="18659" xr:uid="{051A82CC-F595-454A-8ECB-D91CFB8B469A}"/>
    <cellStyle name="Comma 13 8 2 3" xfId="2451" xr:uid="{63D1E2E0-53A2-47F9-84BA-A5A65F5B28A2}"/>
    <cellStyle name="Comma 13 8 2 3 2" xfId="3306" xr:uid="{8048D9E5-C2CF-4D68-BB2C-72B388EB0D1E}"/>
    <cellStyle name="Comma 13 8 2 3 2 2" xfId="19774" xr:uid="{38A2E264-8404-4EFF-8598-732AEE592465}"/>
    <cellStyle name="Comma 13 8 2 3 3" xfId="17892" xr:uid="{A71929F4-C49C-4DC1-9427-84C2DBB91DCD}"/>
    <cellStyle name="Comma 13 8 2 3 3 2" xfId="20885" xr:uid="{177C6721-A077-4DD7-9C14-5238010DD8BB}"/>
    <cellStyle name="Comma 13 8 2 3 4" xfId="18935" xr:uid="{4A9445C5-87DB-4D93-AF13-6FAED67D4C20}"/>
    <cellStyle name="Comma 13 8 2 4" xfId="2707" xr:uid="{6F297307-EF1B-4D85-A7D6-58A059E55A2D}"/>
    <cellStyle name="Comma 13 8 2 4 2" xfId="19191" xr:uid="{A95FD815-55B4-4C8B-9505-9AABD8C0A387}"/>
    <cellStyle name="Comma 13 8 2 5" xfId="2973" xr:uid="{23D605E1-6E6D-43DD-BF11-432C258116E8}"/>
    <cellStyle name="Comma 13 8 2 5 2" xfId="19447" xr:uid="{DB419B76-E76B-4057-8C7D-1B082BB85766}"/>
    <cellStyle name="Comma 13 8 2 6" xfId="17229" xr:uid="{E8046397-16D4-452F-8D0F-E8301101251C}"/>
    <cellStyle name="Comma 13 8 2 6 2" xfId="20437" xr:uid="{BDEBE219-91FF-4917-A10F-0AE3B940BD57}"/>
    <cellStyle name="Comma 13 8 2 7" xfId="18487" xr:uid="{F5CE5F31-E536-4672-9356-5A8310333CCA}"/>
    <cellStyle name="Comma 13 8 3" xfId="1486" xr:uid="{BA32FE63-9B9E-47A5-A1AB-A8EB32B33B34}"/>
    <cellStyle name="Comma 13 8 3 2" xfId="1671" xr:uid="{0B381120-EE09-4694-A970-0D8BAD80629C}"/>
    <cellStyle name="Comma 13 8 3 2 2" xfId="3605" xr:uid="{11035F66-6053-4095-B35C-0019F798650D}"/>
    <cellStyle name="Comma 13 8 3 2 2 2" xfId="20059" xr:uid="{CA606617-9C2C-4678-8422-2ADFDE67A68D}"/>
    <cellStyle name="Comma 13 8 3 2 3" xfId="17431" xr:uid="{4CA33DBF-8AAF-425D-A905-F94226976B0D}"/>
    <cellStyle name="Comma 13 8 3 2 3 2" xfId="20638" xr:uid="{997DCE4E-B355-41CC-BEF3-11A9E940F231}"/>
    <cellStyle name="Comma 13 8 3 2 4" xfId="18688" xr:uid="{81EC96D6-BC15-45D8-919A-E9DBF495A338}"/>
    <cellStyle name="Comma 13 8 3 3" xfId="2480" xr:uid="{0354D261-66A1-4ECA-81F3-06C00C7C1489}"/>
    <cellStyle name="Comma 13 8 3 3 2" xfId="3336" xr:uid="{93F8055E-E7DD-4B7C-A71E-5968C99288B2}"/>
    <cellStyle name="Comma 13 8 3 3 2 2" xfId="19803" xr:uid="{A2B19D28-3C0C-4F6C-8275-859925B8CFE9}"/>
    <cellStyle name="Comma 13 8 3 3 3" xfId="17921" xr:uid="{A6B388AB-5205-47BA-A6A9-62E7EDA08F8D}"/>
    <cellStyle name="Comma 13 8 3 3 3 2" xfId="20914" xr:uid="{35E683DF-9E4F-4919-9E3E-5669974F4639}"/>
    <cellStyle name="Comma 13 8 3 3 4" xfId="18964" xr:uid="{D9BAFEA0-D7BE-4740-A715-AD1C849650C0}"/>
    <cellStyle name="Comma 13 8 3 4" xfId="2736" xr:uid="{6D07FCCF-7578-464F-B660-011F0A7605FC}"/>
    <cellStyle name="Comma 13 8 3 4 2" xfId="19220" xr:uid="{D344B043-6D91-455B-A3BB-63B06BB11523}"/>
    <cellStyle name="Comma 13 8 3 5" xfId="3002" xr:uid="{7FF7BD1B-F145-4D58-A21D-5EDA582DFBF4}"/>
    <cellStyle name="Comma 13 8 3 5 2" xfId="19476" xr:uid="{5028B4BD-72C4-4726-BEEB-2FB7F80004AE}"/>
    <cellStyle name="Comma 13 8 3 6" xfId="17259" xr:uid="{C25291E4-D1E9-4940-BADA-509114CB8F2C}"/>
    <cellStyle name="Comma 13 8 3 6 2" xfId="20466" xr:uid="{273C0F67-382B-433D-A1C1-F20A446EC9B3}"/>
    <cellStyle name="Comma 13 8 3 7" xfId="18516" xr:uid="{F293C882-F95E-4BFA-8DF9-272EE9AFD105}"/>
    <cellStyle name="Comma 13 8 4" xfId="1546" xr:uid="{E2C05DBA-03EF-4B34-BCE2-BBB281F91599}"/>
    <cellStyle name="Comma 13 8 4 2" xfId="1718" xr:uid="{460AB7D5-4133-435E-9AF3-6BAB72989728}"/>
    <cellStyle name="Comma 13 8 4 2 2" xfId="3652" xr:uid="{F90162DD-5EBA-411D-A917-3FC6EAF606B9}"/>
    <cellStyle name="Comma 13 8 4 2 2 2" xfId="20106" xr:uid="{6492BA91-E9E6-465B-8906-A939FD13E20D}"/>
    <cellStyle name="Comma 13 8 4 2 3" xfId="17478" xr:uid="{DBB49538-5BFE-4352-98ED-953136181243}"/>
    <cellStyle name="Comma 13 8 4 2 3 2" xfId="20685" xr:uid="{F79FB2F3-C60D-4971-AA89-1447AD99636B}"/>
    <cellStyle name="Comma 13 8 4 2 4" xfId="18735" xr:uid="{B41C3A08-C383-4C1C-BAB7-BBD8E97CDDC4}"/>
    <cellStyle name="Comma 13 8 4 3" xfId="2527" xr:uid="{86F96E76-252E-44F7-9C3A-808A16C84F08}"/>
    <cellStyle name="Comma 13 8 4 3 2" xfId="3391" xr:uid="{F7C4D4EC-2831-459C-AB8E-BF82C5C0E718}"/>
    <cellStyle name="Comma 13 8 4 3 2 2" xfId="19850" xr:uid="{354D18F3-64B5-4626-921D-CA581464E21B}"/>
    <cellStyle name="Comma 13 8 4 3 3" xfId="17968" xr:uid="{0F95BFDD-1B03-4724-9687-A4145E922375}"/>
    <cellStyle name="Comma 13 8 4 3 3 2" xfId="20961" xr:uid="{E7BEC599-B711-46C4-B004-BDF748DC8493}"/>
    <cellStyle name="Comma 13 8 4 3 4" xfId="19011" xr:uid="{F3C71CDA-F4B6-4F74-843E-8B0904624FC3}"/>
    <cellStyle name="Comma 13 8 4 4" xfId="2783" xr:uid="{16909290-E6D1-4C41-9568-1DB6CC9F0C03}"/>
    <cellStyle name="Comma 13 8 4 4 2" xfId="19267" xr:uid="{D47E547C-B3BF-4BE4-9058-C72A695D1DCB}"/>
    <cellStyle name="Comma 13 8 4 5" xfId="3049" xr:uid="{4F626814-F9CC-40C7-A499-C1AE4D07BB98}"/>
    <cellStyle name="Comma 13 8 4 5 2" xfId="19523" xr:uid="{042F63E7-867B-4431-9868-5010E5D1E4F4}"/>
    <cellStyle name="Comma 13 8 4 6" xfId="17306" xr:uid="{57ACAC80-2849-415E-A07E-96FF2AF4D737}"/>
    <cellStyle name="Comma 13 8 4 6 2" xfId="20513" xr:uid="{86919035-008D-4B84-B398-FDE4D680BDF5}"/>
    <cellStyle name="Comma 13 8 4 7" xfId="18563" xr:uid="{9409A986-06FD-475A-B663-6305D6A1B992}"/>
    <cellStyle name="Comma 13 8 5" xfId="1372" xr:uid="{0C6E5042-8C1A-4867-8D37-BA0DF4B4B511}"/>
    <cellStyle name="Comma 13 8 5 2" xfId="1768" xr:uid="{F578BDE8-B0F0-4A15-86D2-BF5AAA5AAE20}"/>
    <cellStyle name="Comma 13 8 5 2 2" xfId="3700" xr:uid="{8AF8B55B-97DF-46A9-A98F-8AA5068D1318}"/>
    <cellStyle name="Comma 13 8 5 2 2 2" xfId="20154" xr:uid="{CB9FAD49-21E8-4094-9932-7BD928051682}"/>
    <cellStyle name="Comma 13 8 5 2 3" xfId="17526" xr:uid="{1154E70F-782C-4535-9534-55A340CFED95}"/>
    <cellStyle name="Comma 13 8 5 2 3 2" xfId="20733" xr:uid="{51D395A9-CCD1-4E1C-8C4C-479AD9EDA868}"/>
    <cellStyle name="Comma 13 8 5 2 4" xfId="18783" xr:uid="{303D476B-866A-45F7-A140-DFF6765D8881}"/>
    <cellStyle name="Comma 13 8 5 3" xfId="2575" xr:uid="{39A20C64-F547-4EB4-9222-EF8D872741C6}"/>
    <cellStyle name="Comma 13 8 5 3 2" xfId="3440" xr:uid="{FD4CB9D0-E418-4243-BD6D-F0AED13B8D8B}"/>
    <cellStyle name="Comma 13 8 5 3 2 2" xfId="19898" xr:uid="{D4EEAAFF-526D-4773-981E-224FE5C2168F}"/>
    <cellStyle name="Comma 13 8 5 3 3" xfId="18016" xr:uid="{7E36CDAC-BA67-4A8D-914F-22413BED0170}"/>
    <cellStyle name="Comma 13 8 5 3 3 2" xfId="21009" xr:uid="{2C75D00A-F3AD-40B2-B52F-56B24C29552D}"/>
    <cellStyle name="Comma 13 8 5 3 4" xfId="19059" xr:uid="{78D1B154-7ACC-4D9E-9A35-BBA81A647C68}"/>
    <cellStyle name="Comma 13 8 5 4" xfId="2831" xr:uid="{5CBEB67A-2F19-4F92-8ABC-3DA74828ABB0}"/>
    <cellStyle name="Comma 13 8 5 4 2" xfId="19315" xr:uid="{73793EB2-837E-48D3-B0E1-2DF3B2AFC85F}"/>
    <cellStyle name="Comma 13 8 5 5" xfId="3097" xr:uid="{5FF7DB5A-E309-4C18-94E4-86D40D97C4B8}"/>
    <cellStyle name="Comma 13 8 5 5 2" xfId="19571" xr:uid="{BD78E8D2-E1BB-4E8D-B9AA-B31D57745696}"/>
    <cellStyle name="Comma 13 8 5 6" xfId="17186" xr:uid="{33097047-CF98-44DC-83DF-B2107E73953F}"/>
    <cellStyle name="Comma 13 8 5 6 2" xfId="20396" xr:uid="{1DACE8F6-414D-438E-AF31-49880894C443}"/>
    <cellStyle name="Comma 13 8 5 7" xfId="18446" xr:uid="{8087DF43-D1EB-47BD-831D-B82987CDD510}"/>
    <cellStyle name="Comma 13 8 6" xfId="1829" xr:uid="{BEA1DB34-5C9A-4F96-A9AF-BFB3434A97FA}"/>
    <cellStyle name="Comma 13 8 6 2" xfId="2630" xr:uid="{3331B0E4-120B-4C8E-B724-194737EFAF35}"/>
    <cellStyle name="Comma 13 8 6 2 2" xfId="3755" xr:uid="{E7F234A3-CE97-4181-94B6-D1FDBFAD7274}"/>
    <cellStyle name="Comma 13 8 6 2 2 2" xfId="20209" xr:uid="{DCBACBA3-8417-4F93-B816-3AF084674213}"/>
    <cellStyle name="Comma 13 8 6 2 3" xfId="18071" xr:uid="{A21A9B57-73C8-473B-993E-B2ECB5595878}"/>
    <cellStyle name="Comma 13 8 6 2 3 2" xfId="21064" xr:uid="{904A87BD-6141-4B6F-9C23-3540C3B0905E}"/>
    <cellStyle name="Comma 13 8 6 2 4" xfId="19114" xr:uid="{DCFB4DC3-E742-4D9D-86AD-6E6D2A74278C}"/>
    <cellStyle name="Comma 13 8 6 3" xfId="2886" xr:uid="{71FE13B1-B2A0-4198-AA8D-87487DCA57EE}"/>
    <cellStyle name="Comma 13 8 6 3 2" xfId="3499" xr:uid="{8C62879D-38A5-4AC2-BE4D-DCFC408C263D}"/>
    <cellStyle name="Comma 13 8 6 3 2 2" xfId="19953" xr:uid="{C44F9805-8452-4760-B657-5D430121AA12}"/>
    <cellStyle name="Comma 13 8 6 3 3" xfId="19370" xr:uid="{31EF92DC-BDDE-4A8A-80C6-DCDA49505A09}"/>
    <cellStyle name="Comma 13 8 6 4" xfId="3152" xr:uid="{A6059C8C-F098-43EE-9B42-1E1374974E11}"/>
    <cellStyle name="Comma 13 8 6 4 2" xfId="19626" xr:uid="{E66869C2-C142-4BC5-9048-76D31A6EF719}"/>
    <cellStyle name="Comma 13 8 6 5" xfId="17582" xr:uid="{2B5A4C35-0E45-4F25-B229-03FF9B52558F}"/>
    <cellStyle name="Comma 13 8 6 5 2" xfId="20788" xr:uid="{AE95808E-7A1E-476E-83B4-9EBC9FCBCCA9}"/>
    <cellStyle name="Comma 13 8 6 6" xfId="18838" xr:uid="{DEA2E5F6-5A29-4BFD-BA6D-FE44F430E208}"/>
    <cellStyle name="Comma 13 8 7" xfId="1601" xr:uid="{40D32325-6F75-4B09-B6DA-86803415BFAA}"/>
    <cellStyle name="Comma 13 8 7 2" xfId="3264" xr:uid="{30D31DBD-BB02-4BF8-9DC0-9DA90E5FDB61}"/>
    <cellStyle name="Comma 13 8 7 2 2" xfId="19733" xr:uid="{973C4DCF-3E32-4246-AB67-7F191BF4FBEA}"/>
    <cellStyle name="Comma 13 8 7 3" xfId="17361" xr:uid="{DF7EF0A6-292C-4F96-B736-9ACE4CA1DDF0}"/>
    <cellStyle name="Comma 13 8 7 3 2" xfId="20568" xr:uid="{700D02AE-0370-4272-907E-B391DFDC088D}"/>
    <cellStyle name="Comma 13 8 7 4" xfId="18618" xr:uid="{9C868DDB-3E9D-477E-923B-CE19BD12CCA3}"/>
    <cellStyle name="Comma 13 8 8" xfId="2410" xr:uid="{A504C362-047E-41E1-B12F-E6EA3EA3F586}"/>
    <cellStyle name="Comma 13 8 8 2" xfId="3535" xr:uid="{8EAC3E6D-FE7D-42DD-A688-AC06E5665563}"/>
    <cellStyle name="Comma 13 8 8 2 2" xfId="19989" xr:uid="{57FFEABF-4167-40BF-9C23-F402A794080F}"/>
    <cellStyle name="Comma 13 8 8 3" xfId="17849" xr:uid="{B0CFB032-9B37-4C3F-AB2E-7B89B465764E}"/>
    <cellStyle name="Comma 13 8 8 3 2" xfId="20844" xr:uid="{C6155F17-E4CB-4F0D-90BA-AFC7D494BB3A}"/>
    <cellStyle name="Comma 13 8 8 4" xfId="18894" xr:uid="{2348EB1F-56A2-4381-B82A-70485AB4DC0B}"/>
    <cellStyle name="Comma 13 8 9" xfId="2666" xr:uid="{2947C050-3687-478F-970C-2463EE33FEEA}"/>
    <cellStyle name="Comma 13 8 9 2" xfId="3832" xr:uid="{AFC27A56-54DC-4948-8BD0-850514E1902D}"/>
    <cellStyle name="Comma 13 8 9 2 2" xfId="20286" xr:uid="{774088D6-2D99-462B-AC9C-22AE6A64658E}"/>
    <cellStyle name="Comma 13 8 9 3" xfId="19150" xr:uid="{7050A32B-A317-4835-869A-96537110C8FC}"/>
    <cellStyle name="Comma 13 9" xfId="884" xr:uid="{3934B23D-F863-4BA3-B500-B9242E8234E3}"/>
    <cellStyle name="Comma 13 9 2" xfId="3838" xr:uid="{6113B4AF-BBC5-46A4-8459-AD7F9607FC56}"/>
    <cellStyle name="Comma 13 9 2 2" xfId="20292" xr:uid="{08600EC6-B0D3-4B1C-89CE-B49E4423DF63}"/>
    <cellStyle name="Comma 13 9 3" xfId="3239" xr:uid="{D130853A-A64A-4C7D-8078-FA8BB932CCBA}"/>
    <cellStyle name="Comma 13 9 3 2" xfId="19709" xr:uid="{608430BC-4D30-40A0-AAC0-35B414B62D6B}"/>
    <cellStyle name="Comma 13 9 4" xfId="17085" xr:uid="{86033BF4-B28E-46F5-8D5C-B3E1A0C6A079}"/>
    <cellStyle name="Comma 13 9 4 2" xfId="20372" xr:uid="{4EA67CFF-EEF2-43AF-BF4C-88E8469988F3}"/>
    <cellStyle name="Comma 13 9 5" xfId="18422" xr:uid="{600E74BD-DE98-4CE3-AE0C-8511BB0F93E9}"/>
    <cellStyle name="Comma 14" xfId="195" xr:uid="{04B45215-9536-46B1-9B89-B4C275F6BF73}"/>
    <cellStyle name="Comma 14 2" xfId="196" xr:uid="{CF304D97-C998-4963-8F0D-F1EF3FD8E0A6}"/>
    <cellStyle name="Comma 14 2 2" xfId="197" xr:uid="{ECD9437C-E28A-4606-B115-F0CB4DCA4AE5}"/>
    <cellStyle name="Comma 14 2 3" xfId="198" xr:uid="{2EC70230-97DA-4FBD-BB1A-359C7528321F}"/>
    <cellStyle name="Comma 14 2 3 10" xfId="3852" xr:uid="{AD4FD9D5-DAFC-448E-A2D5-F85C526FF94C}"/>
    <cellStyle name="Comma 14 2 3 10 2" xfId="20303" xr:uid="{90B37F8B-A862-4A93-86B8-170AF24590ED}"/>
    <cellStyle name="Comma 14 2 3 11" xfId="18376" xr:uid="{4D0724EB-0CC8-407D-B519-EA4F0A470513}"/>
    <cellStyle name="Comma 14 2 3 2" xfId="851" xr:uid="{62396C7F-97B8-4EC7-B468-F5C371036B68}"/>
    <cellStyle name="Comma 14 2 3 2 10" xfId="3216" xr:uid="{6B865991-FC2D-465A-8C9D-1A9F4315EB76}"/>
    <cellStyle name="Comma 14 2 3 2 10 2" xfId="19689" xr:uid="{42ECD884-5EE2-49F4-93BD-77B89255EAED}"/>
    <cellStyle name="Comma 14 2 3 2 11" xfId="2936" xr:uid="{93496B25-F82F-47BF-B060-91AD5DE4E224}"/>
    <cellStyle name="Comma 14 2 3 2 11 2" xfId="19410" xr:uid="{DE718A70-C573-413F-A596-6B993B41B03D}"/>
    <cellStyle name="Comma 14 2 3 2 12" xfId="17060" xr:uid="{4CDAB86C-5638-4464-BBFC-E5EB8604D580}"/>
    <cellStyle name="Comma 14 2 3 2 12 2" xfId="20352" xr:uid="{6D072101-22D4-48D5-B505-D71D479198EE}"/>
    <cellStyle name="Comma 14 2 3 2 13" xfId="18402" xr:uid="{6740DBB6-CADE-4456-8C63-7FC1F5932D47}"/>
    <cellStyle name="Comma 14 2 3 2 2" xfId="1449" xr:uid="{B4D9F80C-0EE4-4B22-AEC4-6BF576F94A46}"/>
    <cellStyle name="Comma 14 2 3 2 2 2" xfId="1646" xr:uid="{675963ED-C7D4-4C01-9CFB-326E03985D29}"/>
    <cellStyle name="Comma 14 2 3 2 2 2 2" xfId="3580" xr:uid="{AAF22953-7F2A-488A-81D0-F519EB4C723D}"/>
    <cellStyle name="Comma 14 2 3 2 2 2 2 2" xfId="20034" xr:uid="{2455779B-7929-4DB1-9688-0C81496D6DFC}"/>
    <cellStyle name="Comma 14 2 3 2 2 2 3" xfId="17406" xr:uid="{3D936813-B9BE-42B3-8D9A-91552B92FBA3}"/>
    <cellStyle name="Comma 14 2 3 2 2 2 3 2" xfId="20613" xr:uid="{9E8D263A-9D42-4629-A619-0555B22184F6}"/>
    <cellStyle name="Comma 14 2 3 2 2 2 4" xfId="18663" xr:uid="{9E107494-F984-4611-812D-56D056FDFB23}"/>
    <cellStyle name="Comma 14 2 3 2 2 3" xfId="2455" xr:uid="{8020B8ED-0F84-4028-803E-CE4378A2E660}"/>
    <cellStyle name="Comma 14 2 3 2 2 3 2" xfId="3310" xr:uid="{4AFBB590-D2BC-4CF6-9978-6F6F27AE801C}"/>
    <cellStyle name="Comma 14 2 3 2 2 3 2 2" xfId="19778" xr:uid="{2A454C8E-9697-42DA-97A9-2C372291E529}"/>
    <cellStyle name="Comma 14 2 3 2 2 3 3" xfId="17896" xr:uid="{A21A4D91-94BC-4A3B-8418-E68BDEB15DB1}"/>
    <cellStyle name="Comma 14 2 3 2 2 3 3 2" xfId="20889" xr:uid="{95DB97E2-8387-44B5-B223-34CBECEDACE9}"/>
    <cellStyle name="Comma 14 2 3 2 2 3 4" xfId="18939" xr:uid="{7DD9B04C-AB85-45CA-A3AC-36AD9158ACBA}"/>
    <cellStyle name="Comma 14 2 3 2 2 4" xfId="2711" xr:uid="{FEB5D0D0-570A-483F-A299-5A57DBBAC54D}"/>
    <cellStyle name="Comma 14 2 3 2 2 4 2" xfId="19195" xr:uid="{6B15F61E-2D37-409F-A3B3-35BF5B8B30D6}"/>
    <cellStyle name="Comma 14 2 3 2 2 5" xfId="2977" xr:uid="{C6B5D86C-4389-4D1C-AFD5-5E2D4F3AEF65}"/>
    <cellStyle name="Comma 14 2 3 2 2 5 2" xfId="19451" xr:uid="{771D2EA2-7D81-4C9B-B0C1-08D7D85D6257}"/>
    <cellStyle name="Comma 14 2 3 2 2 6" xfId="17233" xr:uid="{ECB6177C-B090-4634-89CD-EEFB5BB47307}"/>
    <cellStyle name="Comma 14 2 3 2 2 6 2" xfId="20441" xr:uid="{05332C5A-D074-4544-94DB-1FF314FA3F81}"/>
    <cellStyle name="Comma 14 2 3 2 2 7" xfId="18491" xr:uid="{791E5347-29B2-4714-8310-79D154125643}"/>
    <cellStyle name="Comma 14 2 3 2 3" xfId="1487" xr:uid="{3F85DA51-2379-4841-90D7-2175D0B1ABFF}"/>
    <cellStyle name="Comma 14 2 3 2 3 2" xfId="1672" xr:uid="{60F63BAF-6C96-431B-9231-DBB724C2D0D3}"/>
    <cellStyle name="Comma 14 2 3 2 3 2 2" xfId="3606" xr:uid="{05F4B19F-B5BD-4653-A498-17BCFF41B581}"/>
    <cellStyle name="Comma 14 2 3 2 3 2 2 2" xfId="20060" xr:uid="{72C2DD1A-84FD-4498-9C33-7E2170AC08E6}"/>
    <cellStyle name="Comma 14 2 3 2 3 2 3" xfId="17432" xr:uid="{614E5F99-2ECC-4243-BBF9-00AEB30E676C}"/>
    <cellStyle name="Comma 14 2 3 2 3 2 3 2" xfId="20639" xr:uid="{72AEDD89-C255-4828-958A-CCBC360F260E}"/>
    <cellStyle name="Comma 14 2 3 2 3 2 4" xfId="18689" xr:uid="{3FE39AB4-5430-4569-B1C9-680D7955E0C0}"/>
    <cellStyle name="Comma 14 2 3 2 3 3" xfId="2481" xr:uid="{C42B86BE-9307-4215-A285-EF60796AF927}"/>
    <cellStyle name="Comma 14 2 3 2 3 3 2" xfId="3337" xr:uid="{CDFE4373-66C7-4B31-8DAD-86DF432D07C1}"/>
    <cellStyle name="Comma 14 2 3 2 3 3 2 2" xfId="19804" xr:uid="{60C7D744-F934-4731-8C12-1873AD45AFCC}"/>
    <cellStyle name="Comma 14 2 3 2 3 3 3" xfId="17922" xr:uid="{5F32C640-2D50-4576-AB8A-E26EB7155DDE}"/>
    <cellStyle name="Comma 14 2 3 2 3 3 3 2" xfId="20915" xr:uid="{199F28BA-9859-4D67-B152-42665CB500D7}"/>
    <cellStyle name="Comma 14 2 3 2 3 3 4" xfId="18965" xr:uid="{8258287F-B432-44E9-A776-737ED33F3434}"/>
    <cellStyle name="Comma 14 2 3 2 3 4" xfId="2737" xr:uid="{C5A58423-10D8-4DFA-91EC-08B4FA55E1CA}"/>
    <cellStyle name="Comma 14 2 3 2 3 4 2" xfId="19221" xr:uid="{2B65CACF-B6AC-489E-A64E-AF2E42F368FB}"/>
    <cellStyle name="Comma 14 2 3 2 3 5" xfId="3003" xr:uid="{7E3BAD06-3FD3-4761-B586-80C6062DB604}"/>
    <cellStyle name="Comma 14 2 3 2 3 5 2" xfId="19477" xr:uid="{2BE0F8B4-11A9-4668-B941-9689832AA003}"/>
    <cellStyle name="Comma 14 2 3 2 3 6" xfId="17260" xr:uid="{D1D42291-E85F-44CC-8F98-7EC39E288D8D}"/>
    <cellStyle name="Comma 14 2 3 2 3 6 2" xfId="20467" xr:uid="{11A2C513-01B5-44C2-90A5-8084D3671B58}"/>
    <cellStyle name="Comma 14 2 3 2 3 7" xfId="18517" xr:uid="{52A95161-A0C6-4558-B1BC-FE10C96E5A4F}"/>
    <cellStyle name="Comma 14 2 3 2 4" xfId="1547" xr:uid="{28B371BE-13AA-4692-8184-D4066638AD99}"/>
    <cellStyle name="Comma 14 2 3 2 4 2" xfId="1719" xr:uid="{B650839A-2862-487B-9E60-9B0988319601}"/>
    <cellStyle name="Comma 14 2 3 2 4 2 2" xfId="3653" xr:uid="{556C8D92-6E28-4A78-842A-B6E921F8ACE7}"/>
    <cellStyle name="Comma 14 2 3 2 4 2 2 2" xfId="20107" xr:uid="{57534ED2-7121-43EE-8D33-DE589CFA92F7}"/>
    <cellStyle name="Comma 14 2 3 2 4 2 3" xfId="17479" xr:uid="{E67D77FD-AECE-4F85-8F0F-509D9BCC80A5}"/>
    <cellStyle name="Comma 14 2 3 2 4 2 3 2" xfId="20686" xr:uid="{9AC493A3-75B1-4A65-A7EF-1D9A72950933}"/>
    <cellStyle name="Comma 14 2 3 2 4 2 4" xfId="18736" xr:uid="{4503141F-6410-4E56-B688-7EE0BFDEC6CF}"/>
    <cellStyle name="Comma 14 2 3 2 4 3" xfId="2528" xr:uid="{6CC17097-06BE-48C3-BDAB-6F9DB672A9B9}"/>
    <cellStyle name="Comma 14 2 3 2 4 3 2" xfId="3392" xr:uid="{91EF7A4B-E039-4C97-A534-93E0062AB3E0}"/>
    <cellStyle name="Comma 14 2 3 2 4 3 2 2" xfId="19851" xr:uid="{A65B0D65-E526-4DD9-9419-28EE17419B24}"/>
    <cellStyle name="Comma 14 2 3 2 4 3 3" xfId="17969" xr:uid="{38C6C5C8-AC63-484F-8110-02050D86350A}"/>
    <cellStyle name="Comma 14 2 3 2 4 3 3 2" xfId="20962" xr:uid="{29F44B03-1BF4-4F9E-AE6F-EB768D8840E9}"/>
    <cellStyle name="Comma 14 2 3 2 4 3 4" xfId="19012" xr:uid="{2F09EF47-D94E-40EF-BE1F-24BCF6E1AD3D}"/>
    <cellStyle name="Comma 14 2 3 2 4 4" xfId="2784" xr:uid="{CEBF1790-265B-438F-9EA4-83DB40F4510F}"/>
    <cellStyle name="Comma 14 2 3 2 4 4 2" xfId="19268" xr:uid="{7FC5EB51-81CC-4ADE-A86F-8A6826E8F9D1}"/>
    <cellStyle name="Comma 14 2 3 2 4 5" xfId="3050" xr:uid="{F125DE88-C6FC-457B-AAF2-F2F186E2990C}"/>
    <cellStyle name="Comma 14 2 3 2 4 5 2" xfId="19524" xr:uid="{3933502E-D7EE-4BA0-BF37-A07AA0E2162F}"/>
    <cellStyle name="Comma 14 2 3 2 4 6" xfId="17307" xr:uid="{F9E11821-8F6E-4EB2-A783-3970337D80FC}"/>
    <cellStyle name="Comma 14 2 3 2 4 6 2" xfId="20514" xr:uid="{B3DF6879-ABFF-486C-8977-8B1DEA52843F}"/>
    <cellStyle name="Comma 14 2 3 2 4 7" xfId="18564" xr:uid="{EDBBBB40-B0D7-4C8D-BC75-E3B2DC8B91B6}"/>
    <cellStyle name="Comma 14 2 3 2 5" xfId="1376" xr:uid="{13DB98D2-B446-43DC-8A24-5F1F823F7EB5}"/>
    <cellStyle name="Comma 14 2 3 2 5 2" xfId="1769" xr:uid="{5FFBD432-18CF-40B8-979A-5D54B4BCC9DB}"/>
    <cellStyle name="Comma 14 2 3 2 5 2 2" xfId="3701" xr:uid="{1801CFA5-B78E-4290-B122-8F3F4EACD625}"/>
    <cellStyle name="Comma 14 2 3 2 5 2 2 2" xfId="20155" xr:uid="{3FFF2F21-783F-43C0-8550-07A0B41E4F25}"/>
    <cellStyle name="Comma 14 2 3 2 5 2 3" xfId="17527" xr:uid="{53E5CAD4-DD79-40E0-954E-3CB56B43658A}"/>
    <cellStyle name="Comma 14 2 3 2 5 2 3 2" xfId="20734" xr:uid="{4B45619F-B68E-42B8-B227-D081DDF79585}"/>
    <cellStyle name="Comma 14 2 3 2 5 2 4" xfId="18784" xr:uid="{536F703B-E935-49B4-87FE-6CA5B67B5E62}"/>
    <cellStyle name="Comma 14 2 3 2 5 3" xfId="2576" xr:uid="{7982014F-6EA2-4276-BE4B-25CE6682EF55}"/>
    <cellStyle name="Comma 14 2 3 2 5 3 2" xfId="3441" xr:uid="{81AA35DA-6C03-41C1-9951-E7214FA9D02A}"/>
    <cellStyle name="Comma 14 2 3 2 5 3 2 2" xfId="19899" xr:uid="{7A3F8452-9127-4C9D-991D-F8B8D07AE057}"/>
    <cellStyle name="Comma 14 2 3 2 5 3 3" xfId="18017" xr:uid="{D5FEB1E1-6A58-4068-95AB-7BCA0D26ED80}"/>
    <cellStyle name="Comma 14 2 3 2 5 3 3 2" xfId="21010" xr:uid="{720FB53C-D626-4E23-866A-1C32F23285E6}"/>
    <cellStyle name="Comma 14 2 3 2 5 3 4" xfId="19060" xr:uid="{EA10124A-0CC4-4989-8DBA-A6AC735006CF}"/>
    <cellStyle name="Comma 14 2 3 2 5 4" xfId="2832" xr:uid="{BF2918A3-E4E1-4389-98B5-6F742DA32F9C}"/>
    <cellStyle name="Comma 14 2 3 2 5 4 2" xfId="19316" xr:uid="{95E64ADE-332C-4CD3-AEEA-4831EFA3A87A}"/>
    <cellStyle name="Comma 14 2 3 2 5 5" xfId="3098" xr:uid="{D024F271-D460-465B-AA23-C9E0232EE4DA}"/>
    <cellStyle name="Comma 14 2 3 2 5 5 2" xfId="19572" xr:uid="{3E704B96-F8F7-4439-8BFD-8AE153027F97}"/>
    <cellStyle name="Comma 14 2 3 2 5 6" xfId="17190" xr:uid="{46802E06-EC56-41B1-9FB5-A0789BF29DB8}"/>
    <cellStyle name="Comma 14 2 3 2 5 6 2" xfId="20400" xr:uid="{11A5E73A-65FC-4873-A907-F144266EAE33}"/>
    <cellStyle name="Comma 14 2 3 2 5 7" xfId="18450" xr:uid="{197B60BF-32FE-4BB0-A6E8-E54B3CCCD05A}"/>
    <cellStyle name="Comma 14 2 3 2 6" xfId="1833" xr:uid="{3D18BC10-1383-41F7-BDB9-79D2C664CF29}"/>
    <cellStyle name="Comma 14 2 3 2 6 2" xfId="2634" xr:uid="{FD60EBEF-0352-4133-B462-FAFCEAC12EA0}"/>
    <cellStyle name="Comma 14 2 3 2 6 2 2" xfId="3759" xr:uid="{072AAE52-F3CB-4801-AD97-7B31172455B8}"/>
    <cellStyle name="Comma 14 2 3 2 6 2 2 2" xfId="20213" xr:uid="{D5C1EC61-62B2-4C28-B772-F5313881B76C}"/>
    <cellStyle name="Comma 14 2 3 2 6 2 3" xfId="18075" xr:uid="{D4B28FAE-2E91-4013-BFC2-A6C675C8ECEE}"/>
    <cellStyle name="Comma 14 2 3 2 6 2 3 2" xfId="21068" xr:uid="{88BCAFF7-89AF-44E4-A544-965E9EF707E8}"/>
    <cellStyle name="Comma 14 2 3 2 6 2 4" xfId="19118" xr:uid="{D97958AC-292B-4D89-AD8F-676EF09679EC}"/>
    <cellStyle name="Comma 14 2 3 2 6 3" xfId="2890" xr:uid="{F2EFF643-4C4B-41AE-B3B0-7EF48CE1B2F3}"/>
    <cellStyle name="Comma 14 2 3 2 6 3 2" xfId="3503" xr:uid="{5167ED9C-F4BA-4B96-BA87-BD70534FDC32}"/>
    <cellStyle name="Comma 14 2 3 2 6 3 2 2" xfId="19957" xr:uid="{2616F918-20CC-4BF0-8E1F-6330E6E27061}"/>
    <cellStyle name="Comma 14 2 3 2 6 3 3" xfId="19374" xr:uid="{D1C5295A-49AF-4140-B4AA-29931F865ABD}"/>
    <cellStyle name="Comma 14 2 3 2 6 4" xfId="3156" xr:uid="{38D79C81-3788-456D-93B6-EEC1724FAD3F}"/>
    <cellStyle name="Comma 14 2 3 2 6 4 2" xfId="19630" xr:uid="{E10695B2-233D-4985-A9E9-0B1BB58662E6}"/>
    <cellStyle name="Comma 14 2 3 2 6 5" xfId="17586" xr:uid="{98B759DF-7DFE-4A04-81EE-7DB96DEDCF88}"/>
    <cellStyle name="Comma 14 2 3 2 6 5 2" xfId="20792" xr:uid="{C39D0347-0D83-42AD-8008-BB1DC02A943E}"/>
    <cellStyle name="Comma 14 2 3 2 6 6" xfId="18842" xr:uid="{AF269D9A-463C-4E58-B6E8-7E0CBB49B1DD}"/>
    <cellStyle name="Comma 14 2 3 2 7" xfId="1605" xr:uid="{8599B6E2-6CF6-4F05-94C3-1101918E68C1}"/>
    <cellStyle name="Comma 14 2 3 2 7 2" xfId="3268" xr:uid="{A466ED9B-03C4-4B3C-AE58-11B05B42B472}"/>
    <cellStyle name="Comma 14 2 3 2 7 2 2" xfId="19737" xr:uid="{22A87AF9-D5C2-4C81-9B8E-8CA39CBEC2B0}"/>
    <cellStyle name="Comma 14 2 3 2 7 3" xfId="17365" xr:uid="{5A9116BF-F240-4C59-8169-C20E78DD6645}"/>
    <cellStyle name="Comma 14 2 3 2 7 3 2" xfId="20572" xr:uid="{B3F96231-DD37-4FBD-872C-0EEC549147D7}"/>
    <cellStyle name="Comma 14 2 3 2 7 4" xfId="18622" xr:uid="{02B24ACF-2D7E-4F14-9F56-C4AAA1387C4D}"/>
    <cellStyle name="Comma 14 2 3 2 8" xfId="2414" xr:uid="{9F76A0DC-9719-4BC9-8CBD-3702CA5433EE}"/>
    <cellStyle name="Comma 14 2 3 2 8 2" xfId="3539" xr:uid="{24968567-594D-4AE8-A0F1-5D4FB8A4094D}"/>
    <cellStyle name="Comma 14 2 3 2 8 2 2" xfId="19993" xr:uid="{22E57319-9598-4FD9-83A5-88A739AD0151}"/>
    <cellStyle name="Comma 14 2 3 2 8 3" xfId="17853" xr:uid="{E37D34F8-56DA-4708-A407-AF2B748DC4DC}"/>
    <cellStyle name="Comma 14 2 3 2 8 3 2" xfId="20848" xr:uid="{7559DD8E-4B3B-4D2F-BC61-26E9859F4098}"/>
    <cellStyle name="Comma 14 2 3 2 8 4" xfId="18898" xr:uid="{B3CE413D-501F-455A-BD9B-529215417E96}"/>
    <cellStyle name="Comma 14 2 3 2 9" xfId="2670" xr:uid="{7D9744F9-45E7-470C-B0E9-A345C91C13D0}"/>
    <cellStyle name="Comma 14 2 3 2 9 2" xfId="3818" xr:uid="{864F684B-466B-4194-B621-189D5E9350CB}"/>
    <cellStyle name="Comma 14 2 3 2 9 2 2" xfId="20272" xr:uid="{7982ECC9-13C8-45F2-8DA2-7849A5126793}"/>
    <cellStyle name="Comma 14 2 3 2 9 3" xfId="19154" xr:uid="{82B1C641-828B-482B-B561-09755BA67BCF}"/>
    <cellStyle name="Comma 14 2 3 3" xfId="1413" xr:uid="{E5BA1601-CAD5-418A-A511-DC2021BD2CC7}"/>
    <cellStyle name="Comma 14 2 3 3 10" xfId="17214" xr:uid="{C35F131E-6F4E-4107-972E-E3311400D2EE}"/>
    <cellStyle name="Comma 14 2 3 3 10 2" xfId="20423" xr:uid="{A189BF27-2C2E-41C6-9FF3-34668E011857}"/>
    <cellStyle name="Comma 14 2 3 3 11" xfId="18473" xr:uid="{2836028B-8DB1-4C1C-962F-61205FBAD870}"/>
    <cellStyle name="Comma 14 2 3 3 2" xfId="1488" xr:uid="{D735A4DE-37BE-45FF-BBA9-6CFDBD6E6C73}"/>
    <cellStyle name="Comma 14 2 3 3 2 2" xfId="1673" xr:uid="{9AD26CDB-E7BD-454E-81DE-B722A37EE78B}"/>
    <cellStyle name="Comma 14 2 3 3 2 2 2" xfId="3607" xr:uid="{AEA4513D-5E3A-4AF3-9B57-2946EA1687B8}"/>
    <cellStyle name="Comma 14 2 3 3 2 2 2 2" xfId="20061" xr:uid="{FC928423-18C4-4D55-A064-BFE5201EFB6A}"/>
    <cellStyle name="Comma 14 2 3 3 2 2 3" xfId="17433" xr:uid="{0171DD09-74A8-496F-84DA-D0E6F860994B}"/>
    <cellStyle name="Comma 14 2 3 3 2 2 3 2" xfId="20640" xr:uid="{2F11A614-A5EB-4187-9908-01103AF0D223}"/>
    <cellStyle name="Comma 14 2 3 3 2 2 4" xfId="18690" xr:uid="{3F79C1B6-012A-48A3-A140-8428118D204D}"/>
    <cellStyle name="Comma 14 2 3 3 2 3" xfId="2482" xr:uid="{51B4524C-BAAA-44C0-BD3D-5B2A8A25584C}"/>
    <cellStyle name="Comma 14 2 3 3 2 3 2" xfId="3338" xr:uid="{6874179F-9F00-4E49-8080-FDA9AB8303CA}"/>
    <cellStyle name="Comma 14 2 3 3 2 3 2 2" xfId="19805" xr:uid="{E2D1423E-D1D0-4BE1-982A-9A483BA2DD4A}"/>
    <cellStyle name="Comma 14 2 3 3 2 3 3" xfId="17923" xr:uid="{0336D904-437C-459C-B2D1-E2FEF35DDC3F}"/>
    <cellStyle name="Comma 14 2 3 3 2 3 3 2" xfId="20916" xr:uid="{72ADD608-97E9-4B0F-B394-22FC1A164818}"/>
    <cellStyle name="Comma 14 2 3 3 2 3 4" xfId="18966" xr:uid="{D03A98CF-120F-4243-BDF1-3F19D4AD6B62}"/>
    <cellStyle name="Comma 14 2 3 3 2 4" xfId="2738" xr:uid="{CFE7A0D8-AA63-4C18-A947-B7B7858BAAEC}"/>
    <cellStyle name="Comma 14 2 3 3 2 4 2" xfId="19222" xr:uid="{97855113-AC32-430B-9367-8014E58B524E}"/>
    <cellStyle name="Comma 14 2 3 3 2 5" xfId="3004" xr:uid="{94D0C9C4-6761-40A1-ACEC-EBE332632D77}"/>
    <cellStyle name="Comma 14 2 3 3 2 5 2" xfId="19478" xr:uid="{0A1C534B-069A-4AF1-896F-AF161272DFBF}"/>
    <cellStyle name="Comma 14 2 3 3 2 6" xfId="17261" xr:uid="{887B462F-42A0-424C-B3AE-58E505528618}"/>
    <cellStyle name="Comma 14 2 3 3 2 6 2" xfId="20468" xr:uid="{58F093F4-80F2-4072-B519-B74825EDCCF8}"/>
    <cellStyle name="Comma 14 2 3 3 2 7" xfId="18518" xr:uid="{50FBCC5D-92BE-438B-B9FF-E622203504F2}"/>
    <cellStyle name="Comma 14 2 3 3 3" xfId="1548" xr:uid="{FD868AEC-B06C-4906-80DA-1D83DC842A57}"/>
    <cellStyle name="Comma 14 2 3 3 3 2" xfId="1720" xr:uid="{1C0DEC30-BD4D-48B9-9F7D-FB7E95D8AD3A}"/>
    <cellStyle name="Comma 14 2 3 3 3 2 2" xfId="3654" xr:uid="{83548ACA-0ABC-49E1-AE3B-7AF6818FFBBC}"/>
    <cellStyle name="Comma 14 2 3 3 3 2 2 2" xfId="20108" xr:uid="{C941E177-ECB7-40BE-9F77-F9EB10DEB63E}"/>
    <cellStyle name="Comma 14 2 3 3 3 2 3" xfId="17480" xr:uid="{5A1530EC-9C33-4969-B598-4B36F70AC01C}"/>
    <cellStyle name="Comma 14 2 3 3 3 2 3 2" xfId="20687" xr:uid="{50DFE422-C6E8-434E-9C32-030065BC122D}"/>
    <cellStyle name="Comma 14 2 3 3 3 2 4" xfId="18737" xr:uid="{ECC10DFF-7128-4290-9511-ADC25FB0E649}"/>
    <cellStyle name="Comma 14 2 3 3 3 3" xfId="2529" xr:uid="{84379A7A-24FB-4046-9DA8-E86FA4505150}"/>
    <cellStyle name="Comma 14 2 3 3 3 3 2" xfId="3393" xr:uid="{12B0C4AC-C90D-4389-A0C0-89666A2469CC}"/>
    <cellStyle name="Comma 14 2 3 3 3 3 2 2" xfId="19852" xr:uid="{BDC30F9E-B4DF-4D2E-B518-6645B2C9C57D}"/>
    <cellStyle name="Comma 14 2 3 3 3 3 3" xfId="17970" xr:uid="{9426522A-2DA8-46C2-BB17-97E16E8439B1}"/>
    <cellStyle name="Comma 14 2 3 3 3 3 3 2" xfId="20963" xr:uid="{E0C94708-32D6-4D21-A891-D18BF8C3FF1E}"/>
    <cellStyle name="Comma 14 2 3 3 3 3 4" xfId="19013" xr:uid="{A527BA48-1006-48A6-9681-62B110FC8B95}"/>
    <cellStyle name="Comma 14 2 3 3 3 4" xfId="2785" xr:uid="{98C39696-715F-4640-A4E8-4A076F1834C9}"/>
    <cellStyle name="Comma 14 2 3 3 3 4 2" xfId="19269" xr:uid="{8C1B61A7-47E8-4A45-B433-98CA491F5AC2}"/>
    <cellStyle name="Comma 14 2 3 3 3 5" xfId="3051" xr:uid="{595A3575-002C-4568-B98C-154DA49A2416}"/>
    <cellStyle name="Comma 14 2 3 3 3 5 2" xfId="19525" xr:uid="{5E7C553E-2364-4B43-89BA-D3AE37CD2D25}"/>
    <cellStyle name="Comma 14 2 3 3 3 6" xfId="17308" xr:uid="{5528A562-B60F-4806-BBCF-1383EEA5E6E4}"/>
    <cellStyle name="Comma 14 2 3 3 3 6 2" xfId="20515" xr:uid="{B14F0853-C501-412E-AD52-2CE00DCB2260}"/>
    <cellStyle name="Comma 14 2 3 3 3 7" xfId="18565" xr:uid="{0A662390-5069-420B-A84B-9E9C189DF535}"/>
    <cellStyle name="Comma 14 2 3 3 4" xfId="1770" xr:uid="{AA7B4D10-7E38-47E2-92D5-F9462B71B6EE}"/>
    <cellStyle name="Comma 14 2 3 3 4 2" xfId="2577" xr:uid="{0E40B6E3-BD8D-42AE-BCB7-B17DC6498AAF}"/>
    <cellStyle name="Comma 14 2 3 3 4 2 2" xfId="3702" xr:uid="{4E8CA14B-19A5-4094-AEC9-70F1093A0BED}"/>
    <cellStyle name="Comma 14 2 3 3 4 2 2 2" xfId="20156" xr:uid="{4CE6543D-57E6-4000-B94D-1B76052AF4DE}"/>
    <cellStyle name="Comma 14 2 3 3 4 2 3" xfId="18018" xr:uid="{B10F1FDF-1605-4726-9A41-2528F12F884A}"/>
    <cellStyle name="Comma 14 2 3 3 4 2 3 2" xfId="21011" xr:uid="{5D148300-C860-4CD8-9245-9685FB8B8129}"/>
    <cellStyle name="Comma 14 2 3 3 4 2 4" xfId="19061" xr:uid="{13D7B3D4-DB7B-4316-B9B9-D9E58F1012B6}"/>
    <cellStyle name="Comma 14 2 3 3 4 3" xfId="2833" xr:uid="{D6474664-0A79-4A79-AA6D-9312BF515BE5}"/>
    <cellStyle name="Comma 14 2 3 3 4 3 2" xfId="3442" xr:uid="{2E24DAA6-05F6-4150-8176-827E601159F7}"/>
    <cellStyle name="Comma 14 2 3 3 4 3 2 2" xfId="19900" xr:uid="{F2E1A45A-E017-4C1F-A0DB-353C0635B9DA}"/>
    <cellStyle name="Comma 14 2 3 3 4 3 3" xfId="19317" xr:uid="{FA0097FF-9E9A-4743-9655-C05F5EB624C6}"/>
    <cellStyle name="Comma 14 2 3 3 4 4" xfId="3099" xr:uid="{1D773A59-BBD0-4B8D-9153-102E5F672C9B}"/>
    <cellStyle name="Comma 14 2 3 3 4 4 2" xfId="19573" xr:uid="{42B8CED6-BA3C-41B1-B427-18BD58FA335D}"/>
    <cellStyle name="Comma 14 2 3 3 4 5" xfId="17528" xr:uid="{15FAD53B-B05F-4319-A40A-4B67E53BFF3B}"/>
    <cellStyle name="Comma 14 2 3 3 4 5 2" xfId="20735" xr:uid="{826CF121-AA35-47DC-88BF-93B9DEC30EFB}"/>
    <cellStyle name="Comma 14 2 3 3 4 6" xfId="18785" xr:uid="{EC957DD0-967A-4E5A-AA59-20F9B437E3A6}"/>
    <cellStyle name="Comma 14 2 3 3 5" xfId="1628" xr:uid="{1F176619-84A2-409D-BB54-FD6B66B64D57}"/>
    <cellStyle name="Comma 14 2 3 3 5 2" xfId="3292" xr:uid="{0F96D861-608F-4DA6-91C2-3FF9ED13000A}"/>
    <cellStyle name="Comma 14 2 3 3 5 2 2" xfId="19760" xr:uid="{A9A186A3-94E9-4B96-A675-322575FA38DB}"/>
    <cellStyle name="Comma 14 2 3 3 5 3" xfId="17388" xr:uid="{3CFFB9DF-381E-4284-B7D2-7BCAC235CF4E}"/>
    <cellStyle name="Comma 14 2 3 3 5 3 2" xfId="20595" xr:uid="{173DE007-D064-428D-BEDF-1F43C408E855}"/>
    <cellStyle name="Comma 14 2 3 3 5 4" xfId="18645" xr:uid="{76779A77-2F75-483B-9E3E-C6A477A6484A}"/>
    <cellStyle name="Comma 14 2 3 3 6" xfId="2437" xr:uid="{DC4C6054-712F-4280-B1F1-421E5D33B278}"/>
    <cellStyle name="Comma 14 2 3 3 6 2" xfId="3562" xr:uid="{816E360D-C728-49CB-B209-67AF25D6F4ED}"/>
    <cellStyle name="Comma 14 2 3 3 6 2 2" xfId="20016" xr:uid="{D10B8A3E-4D9B-4584-B076-E366297221ED}"/>
    <cellStyle name="Comma 14 2 3 3 6 3" xfId="17876" xr:uid="{B1B4E6AB-35FE-4C20-BD54-137DEA80F264}"/>
    <cellStyle name="Comma 14 2 3 3 6 3 2" xfId="20871" xr:uid="{EA11665A-6104-4DF9-8E25-DC0B1E521DFB}"/>
    <cellStyle name="Comma 14 2 3 3 6 4" xfId="18921" xr:uid="{06394F3C-E31D-4A57-830B-79C6DEBA9E36}"/>
    <cellStyle name="Comma 14 2 3 3 7" xfId="2693" xr:uid="{6D81192A-0467-41EE-A990-90E2B5D5B452}"/>
    <cellStyle name="Comma 14 2 3 3 7 2" xfId="3792" xr:uid="{B1E96097-E6F7-441C-ABAA-203A409D826D}"/>
    <cellStyle name="Comma 14 2 3 3 7 2 2" xfId="20246" xr:uid="{37D1F3D8-C920-4086-9028-5551C5EBB16B}"/>
    <cellStyle name="Comma 14 2 3 3 7 3" xfId="19177" xr:uid="{807AA6E7-3A3B-4D44-B476-F8FFFBE7DB18}"/>
    <cellStyle name="Comma 14 2 3 3 8" xfId="3189" xr:uid="{0538A109-6CD7-41F5-83CB-8D37141E9A4D}"/>
    <cellStyle name="Comma 14 2 3 3 8 2" xfId="19663" xr:uid="{23E32625-A73C-4A7B-B8B3-779E9E20ADE3}"/>
    <cellStyle name="Comma 14 2 3 3 9" xfId="2959" xr:uid="{F80FF176-3E1A-48C2-9A18-EC94A671D536}"/>
    <cellStyle name="Comma 14 2 3 3 9 2" xfId="19433" xr:uid="{ACC51F31-8AFC-4417-A520-295767841B24}"/>
    <cellStyle name="Comma 14 2 3 4" xfId="912" xr:uid="{3056ED5B-C36E-409C-931F-1DF4592BBD25}"/>
    <cellStyle name="Comma 14 2 3 4 2" xfId="1814" xr:uid="{F63DCD1C-EB86-4643-A218-138308DA0F24}"/>
    <cellStyle name="Comma 14 2 3 4 2 2" xfId="3740" xr:uid="{723C67FC-5B92-4275-8FC5-57B82FF55EF5}"/>
    <cellStyle name="Comma 14 2 3 4 2 2 2" xfId="20194" xr:uid="{49E09394-CA8B-47A8-A31B-5E6464D8E7D0}"/>
    <cellStyle name="Comma 14 2 3 4 2 3" xfId="17567" xr:uid="{11797BFA-1B0E-4BE2-A848-6EA1963B5E1D}"/>
    <cellStyle name="Comma 14 2 3 4 2 3 2" xfId="20773" xr:uid="{B83088F3-7071-4AD7-B8C4-1A8B34EBADC4}"/>
    <cellStyle name="Comma 14 2 3 4 2 4" xfId="18823" xr:uid="{F77F4C2D-B378-4D8F-94B7-870DC7EECD55}"/>
    <cellStyle name="Comma 14 2 3 4 3" xfId="2615" xr:uid="{EE35E6BD-6835-44C3-9E4C-A3831015B010}"/>
    <cellStyle name="Comma 14 2 3 4 3 2" xfId="3484" xr:uid="{7C658E09-E2F7-4D6F-9D2E-4BC17EEF3431}"/>
    <cellStyle name="Comma 14 2 3 4 3 2 2" xfId="19938" xr:uid="{150151F3-57E0-447D-A87F-8DBCC07A3D04}"/>
    <cellStyle name="Comma 14 2 3 4 3 3" xfId="18056" xr:uid="{4826A985-B762-4E16-88A4-97D156DC78A1}"/>
    <cellStyle name="Comma 14 2 3 4 3 3 2" xfId="21049" xr:uid="{850099E2-CFA8-4A85-AE14-2A444A194020}"/>
    <cellStyle name="Comma 14 2 3 4 3 4" xfId="19099" xr:uid="{08A36DC4-16E7-43DD-89E5-CCC67E957104}"/>
    <cellStyle name="Comma 14 2 3 4 4" xfId="2871" xr:uid="{72DEA86A-E097-42AE-BFFC-3EE1F4D40513}"/>
    <cellStyle name="Comma 14 2 3 4 4 2" xfId="19355" xr:uid="{C16CC515-4442-4B97-AB84-D60806933D03}"/>
    <cellStyle name="Comma 14 2 3 4 5" xfId="3137" xr:uid="{7DFB2BE3-A2B7-4BA4-BFB2-830237D3577E}"/>
    <cellStyle name="Comma 14 2 3 4 5 2" xfId="19611" xr:uid="{AED9935C-2B6F-4E9A-A741-708D3AFB9EEB}"/>
    <cellStyle name="Comma 14 2 3 4 6" xfId="17101" xr:uid="{8F31B74F-43BE-4F7D-B209-DA4332B7F316}"/>
    <cellStyle name="Comma 14 2 3 4 6 2" xfId="20381" xr:uid="{0E6A53FC-A062-4CE2-A44F-E84BEC099009}"/>
    <cellStyle name="Comma 14 2 3 4 7" xfId="18431" xr:uid="{F3BF5923-E1EE-44AF-A86D-428FC8B94EC6}"/>
    <cellStyle name="Comma 14 2 3 5" xfId="1586" xr:uid="{CA28B7F5-CAFA-4290-8F04-51E1FBE46495}"/>
    <cellStyle name="Comma 14 2 3 5 2" xfId="3248" xr:uid="{31F8F245-B123-4843-BE17-8CA5B014DC09}"/>
    <cellStyle name="Comma 14 2 3 5 2 2" xfId="19718" xr:uid="{6D63E420-7110-46DA-9906-3E9F277BA54F}"/>
    <cellStyle name="Comma 14 2 3 5 3" xfId="17346" xr:uid="{6B5D9910-329D-4EDA-B5D7-E729BD8A0C72}"/>
    <cellStyle name="Comma 14 2 3 5 3 2" xfId="20553" xr:uid="{3CD387ED-9FD1-4A91-ABF8-25E0A5A1AF3C}"/>
    <cellStyle name="Comma 14 2 3 5 4" xfId="18603" xr:uid="{C5D680D2-E8CC-4FDC-8C34-D62EDDB46923}"/>
    <cellStyle name="Comma 14 2 3 6" xfId="2012" xr:uid="{94BD9042-0E0E-4D23-BEAB-626576C7368E}"/>
    <cellStyle name="Comma 14 2 3 6 2" xfId="3520" xr:uid="{30AA4FDE-AE70-49E8-AC36-D374FA50486A}"/>
    <cellStyle name="Comma 14 2 3 6 2 2" xfId="19974" xr:uid="{791D76FD-91AE-4DC2-ADE4-CF2F731BACF7}"/>
    <cellStyle name="Comma 14 2 3 6 3" xfId="17721" xr:uid="{8E1BEF3E-2E8B-495B-B5F9-688771B20E34}"/>
    <cellStyle name="Comma 14 2 3 6 3 2" xfId="20811" xr:uid="{E5D9CC24-22FF-4268-B75B-03F4313425D6}"/>
    <cellStyle name="Comma 14 2 3 6 4" xfId="18861" xr:uid="{304E329B-C13D-4EF6-AA93-BD1A30D21C4B}"/>
    <cellStyle name="Comma 14 2 3 7" xfId="2395" xr:uid="{E1FB0B3F-5820-41C3-AAA8-2818813C7BB7}"/>
    <cellStyle name="Comma 14 2 3 7 2" xfId="3778" xr:uid="{BEB1DA05-13ED-43F7-B59D-06A0DE61DFEC}"/>
    <cellStyle name="Comma 14 2 3 7 2 2" xfId="20232" xr:uid="{177AF256-10B8-47F4-96AF-F5879A1BD1FF}"/>
    <cellStyle name="Comma 14 2 3 7 3" xfId="17825" xr:uid="{0287BB48-5B1B-4507-A0EA-779CC9712222}"/>
    <cellStyle name="Comma 14 2 3 7 3 2" xfId="20829" xr:uid="{64B863F1-1A36-4D20-ADE9-04E56EC079E0}"/>
    <cellStyle name="Comma 14 2 3 7 4" xfId="18879" xr:uid="{55E59580-F4CD-473F-A080-AE252088470C}"/>
    <cellStyle name="Comma 14 2 3 8" xfId="2651" xr:uid="{2151AC57-10E4-4764-8FEB-AA3358F2C44C}"/>
    <cellStyle name="Comma 14 2 3 8 2" xfId="3175" xr:uid="{592DCC2D-1D0B-4783-B00E-A91AD5FD4F67}"/>
    <cellStyle name="Comma 14 2 3 8 2 2" xfId="19649" xr:uid="{04818EED-829E-4F1B-B5F5-8B0D6F48A3CC}"/>
    <cellStyle name="Comma 14 2 3 8 3" xfId="16614" xr:uid="{D406A993-B57A-453C-93D4-989B42745A11}"/>
    <cellStyle name="Comma 14 2 3 8 3 2" xfId="20325" xr:uid="{FDDCE41B-4DE2-4D0C-BCB3-402BB564A3CD}"/>
    <cellStyle name="Comma 14 2 3 8 4" xfId="19135" xr:uid="{121C1582-4F16-4486-BEDC-0AEF552D2876}"/>
    <cellStyle name="Comma 14 2 3 9" xfId="2917" xr:uid="{9CD27D20-1E25-436B-B4DF-920107F4D6C5}"/>
    <cellStyle name="Comma 14 2 3 9 2" xfId="19391" xr:uid="{D0ED9481-9D39-4844-9BF6-E99DA1B6D057}"/>
    <cellStyle name="Comma 14 2 4" xfId="850" xr:uid="{A4F1E8D2-CB90-44E6-9FE7-9360840F5CFC}"/>
    <cellStyle name="Comma 14 2 4 10" xfId="3215" xr:uid="{5AD50ED6-011C-4342-AB0B-272F5B6466EA}"/>
    <cellStyle name="Comma 14 2 4 10 2" xfId="19688" xr:uid="{F018D871-C3A9-4131-96A1-F0F0239DA8DE}"/>
    <cellStyle name="Comma 14 2 4 11" xfId="2935" xr:uid="{A432094C-C066-47B8-A768-A7100586324A}"/>
    <cellStyle name="Comma 14 2 4 11 2" xfId="19409" xr:uid="{AE92CDA5-D5CA-4C4F-942B-CDD2B4E197ED}"/>
    <cellStyle name="Comma 14 2 4 12" xfId="17059" xr:uid="{D4414F94-686D-4750-93F3-51481A5A7DC6}"/>
    <cellStyle name="Comma 14 2 4 12 2" xfId="20351" xr:uid="{46D5019C-1720-45B6-B077-B5F0E555E4DD}"/>
    <cellStyle name="Comma 14 2 4 13" xfId="18401" xr:uid="{8F65B05B-46E3-47D1-BA3D-8CECCD1BEACD}"/>
    <cellStyle name="Comma 14 2 4 2" xfId="1448" xr:uid="{CBFA2112-780F-4046-A7C1-7AA468080442}"/>
    <cellStyle name="Comma 14 2 4 2 2" xfId="1645" xr:uid="{DAD19341-D374-4EEB-B188-DDB50639F3CE}"/>
    <cellStyle name="Comma 14 2 4 2 2 2" xfId="3579" xr:uid="{3649ACE5-40D0-40B6-8971-D13EA5CBE1F1}"/>
    <cellStyle name="Comma 14 2 4 2 2 2 2" xfId="20033" xr:uid="{AB9D0312-2ACB-41F4-ABBB-15F411B8E046}"/>
    <cellStyle name="Comma 14 2 4 2 2 3" xfId="17405" xr:uid="{34FE1B08-3EE4-42AD-A1CC-3F70A7F6D670}"/>
    <cellStyle name="Comma 14 2 4 2 2 3 2" xfId="20612" xr:uid="{D86B8349-8686-45FD-BBD8-B83D06810923}"/>
    <cellStyle name="Comma 14 2 4 2 2 4" xfId="18662" xr:uid="{4B2FA395-F560-4785-A332-7D8F4230BFCC}"/>
    <cellStyle name="Comma 14 2 4 2 3" xfId="2454" xr:uid="{5CC2CA71-DBCB-4EB1-A9F6-B7128FCB7796}"/>
    <cellStyle name="Comma 14 2 4 2 3 2" xfId="3309" xr:uid="{1E4DCEFF-F57B-4AF1-B30D-87353DA04FAB}"/>
    <cellStyle name="Comma 14 2 4 2 3 2 2" xfId="19777" xr:uid="{48801DDD-E06F-446B-9454-429D1B593A95}"/>
    <cellStyle name="Comma 14 2 4 2 3 3" xfId="17895" xr:uid="{46ACD293-829E-46A5-87A4-5076A5B36E2A}"/>
    <cellStyle name="Comma 14 2 4 2 3 3 2" xfId="20888" xr:uid="{258BFFAB-D43A-4C77-89C6-EA605A03AE03}"/>
    <cellStyle name="Comma 14 2 4 2 3 4" xfId="18938" xr:uid="{F7263FAE-9486-42C9-B2FB-CB3EE92270FF}"/>
    <cellStyle name="Comma 14 2 4 2 4" xfId="2710" xr:uid="{1C203141-9E77-429D-90B2-72375F9EEAC1}"/>
    <cellStyle name="Comma 14 2 4 2 4 2" xfId="19194" xr:uid="{F913B941-6B1D-4076-B65A-5470B19E8174}"/>
    <cellStyle name="Comma 14 2 4 2 5" xfId="2976" xr:uid="{344B79B1-82DF-4495-AC61-04763F71EFE7}"/>
    <cellStyle name="Comma 14 2 4 2 5 2" xfId="19450" xr:uid="{1814E856-BFA8-426F-B1F1-F8D4F1092A36}"/>
    <cellStyle name="Comma 14 2 4 2 6" xfId="17232" xr:uid="{7AB6B3A3-6E0E-47D4-AF77-FCA9303388A7}"/>
    <cellStyle name="Comma 14 2 4 2 6 2" xfId="20440" xr:uid="{D08CE594-5966-4901-9B4F-D69123CE993C}"/>
    <cellStyle name="Comma 14 2 4 2 7" xfId="18490" xr:uid="{8D3705A0-A1D7-45BD-9F7D-3E55AFD66C6F}"/>
    <cellStyle name="Comma 14 2 4 3" xfId="1489" xr:uid="{71D82E06-0A82-4CFD-824C-817C70055FB0}"/>
    <cellStyle name="Comma 14 2 4 3 2" xfId="1674" xr:uid="{B11826A5-97BF-4598-846B-09FDE9C65CEA}"/>
    <cellStyle name="Comma 14 2 4 3 2 2" xfId="3608" xr:uid="{E20FD4FF-068A-48B3-8E21-6603CA6CB538}"/>
    <cellStyle name="Comma 14 2 4 3 2 2 2" xfId="20062" xr:uid="{D383FD64-1B3B-4721-BA6C-116E9C696DF7}"/>
    <cellStyle name="Comma 14 2 4 3 2 3" xfId="17434" xr:uid="{D7D6E852-BF58-413F-80D1-FCC18D50BE6A}"/>
    <cellStyle name="Comma 14 2 4 3 2 3 2" xfId="20641" xr:uid="{2B5E6575-B67B-4A0D-9940-90C13AC491A6}"/>
    <cellStyle name="Comma 14 2 4 3 2 4" xfId="18691" xr:uid="{6478137C-2B3B-48DD-87AA-73D8E06829CF}"/>
    <cellStyle name="Comma 14 2 4 3 3" xfId="2483" xr:uid="{62717083-CE1C-46F5-B807-89E91686E865}"/>
    <cellStyle name="Comma 14 2 4 3 3 2" xfId="3339" xr:uid="{5153C696-2F05-4387-B37C-254990BDB8FF}"/>
    <cellStyle name="Comma 14 2 4 3 3 2 2" xfId="19806" xr:uid="{FF92F679-2B2A-49BD-8DF9-BFD6E3F28552}"/>
    <cellStyle name="Comma 14 2 4 3 3 3" xfId="17924" xr:uid="{CC34DE5F-DCAC-4735-8A60-2E1C04CA7A5D}"/>
    <cellStyle name="Comma 14 2 4 3 3 3 2" xfId="20917" xr:uid="{19FF57B7-BCD8-48C4-ABB8-35C78B2B03A2}"/>
    <cellStyle name="Comma 14 2 4 3 3 4" xfId="18967" xr:uid="{E7052302-B24A-4E04-AB86-174694AC9549}"/>
    <cellStyle name="Comma 14 2 4 3 4" xfId="2739" xr:uid="{3A69ACD6-F01B-4A6A-81D8-00199A30A8C2}"/>
    <cellStyle name="Comma 14 2 4 3 4 2" xfId="19223" xr:uid="{F5D834DE-2EC0-4749-B616-36729E167991}"/>
    <cellStyle name="Comma 14 2 4 3 5" xfId="3005" xr:uid="{05E1BC47-1C8A-47BC-B632-9C197DFA83EF}"/>
    <cellStyle name="Comma 14 2 4 3 5 2" xfId="19479" xr:uid="{EA0AF44B-511D-4730-9CBE-8AD64898FCC6}"/>
    <cellStyle name="Comma 14 2 4 3 6" xfId="17262" xr:uid="{B5B3EE94-F555-4D85-8E9F-2A1EC2EC5872}"/>
    <cellStyle name="Comma 14 2 4 3 6 2" xfId="20469" xr:uid="{CAE29B71-222C-455D-8670-2972CCDB465B}"/>
    <cellStyle name="Comma 14 2 4 3 7" xfId="18519" xr:uid="{19348EA6-B989-4F69-A231-C56CC39142DD}"/>
    <cellStyle name="Comma 14 2 4 4" xfId="1549" xr:uid="{BA94C2EE-37BD-4D2B-9F8C-DBE809C66EFB}"/>
    <cellStyle name="Comma 14 2 4 4 2" xfId="1721" xr:uid="{022C984B-08D8-4CE4-8351-25C7EF9BE800}"/>
    <cellStyle name="Comma 14 2 4 4 2 2" xfId="3655" xr:uid="{FB965411-C2D0-4878-8B29-68135BE14FA2}"/>
    <cellStyle name="Comma 14 2 4 4 2 2 2" xfId="20109" xr:uid="{0D798059-D6B7-4EE3-A739-9714B02DFF6B}"/>
    <cellStyle name="Comma 14 2 4 4 2 3" xfId="17481" xr:uid="{4EEACB3E-1C46-4AB9-B37C-6CF5D41283A0}"/>
    <cellStyle name="Comma 14 2 4 4 2 3 2" xfId="20688" xr:uid="{7512E078-955A-4116-8258-F8563AE20C5C}"/>
    <cellStyle name="Comma 14 2 4 4 2 4" xfId="18738" xr:uid="{45FA4697-9DE9-49C7-BA05-22C3F2006AA7}"/>
    <cellStyle name="Comma 14 2 4 4 3" xfId="2530" xr:uid="{091F8E2E-5BAC-4DA0-9D0C-C14A9E8FC176}"/>
    <cellStyle name="Comma 14 2 4 4 3 2" xfId="3394" xr:uid="{2CEEB2AD-21F8-4DB9-99EB-BA2663EE6641}"/>
    <cellStyle name="Comma 14 2 4 4 3 2 2" xfId="19853" xr:uid="{6FB04DC8-83E6-4F4E-8560-6329DE93BA45}"/>
    <cellStyle name="Comma 14 2 4 4 3 3" xfId="17971" xr:uid="{0EFA230B-2638-4B61-88CE-51B16CC8B7CE}"/>
    <cellStyle name="Comma 14 2 4 4 3 3 2" xfId="20964" xr:uid="{2994239A-6520-483B-B5F1-219051F9BDD3}"/>
    <cellStyle name="Comma 14 2 4 4 3 4" xfId="19014" xr:uid="{E4F31C49-7848-4B5F-A38B-5FB3DEA2514D}"/>
    <cellStyle name="Comma 14 2 4 4 4" xfId="2786" xr:uid="{74739297-6279-4DFB-9A26-F893899DB02B}"/>
    <cellStyle name="Comma 14 2 4 4 4 2" xfId="19270" xr:uid="{917FAF19-9A15-4038-8AD1-A41DFEFB81B4}"/>
    <cellStyle name="Comma 14 2 4 4 5" xfId="3052" xr:uid="{E55EA484-AF6F-4DBC-A41D-7B440F2EA407}"/>
    <cellStyle name="Comma 14 2 4 4 5 2" xfId="19526" xr:uid="{55BAE1A1-4340-40C8-A164-EB70BFB5E6F8}"/>
    <cellStyle name="Comma 14 2 4 4 6" xfId="17309" xr:uid="{9EA3F1AA-D361-41E9-8AE3-90F530D3950F}"/>
    <cellStyle name="Comma 14 2 4 4 6 2" xfId="20516" xr:uid="{7266B16C-5975-4CC6-90DD-6F4DD767C124}"/>
    <cellStyle name="Comma 14 2 4 4 7" xfId="18566" xr:uid="{9D8276A4-07FE-4B3E-B771-FF71F858BE36}"/>
    <cellStyle name="Comma 14 2 4 5" xfId="1375" xr:uid="{41AA3642-7229-4FC2-90E7-0E11DE7FB2C2}"/>
    <cellStyle name="Comma 14 2 4 5 2" xfId="1771" xr:uid="{5F696A11-C10C-45C1-B107-07073930A8F6}"/>
    <cellStyle name="Comma 14 2 4 5 2 2" xfId="3703" xr:uid="{E7B1E9C9-9077-45DC-960D-7D19B460207A}"/>
    <cellStyle name="Comma 14 2 4 5 2 2 2" xfId="20157" xr:uid="{6C28789A-F321-4BC5-8784-6D146427428A}"/>
    <cellStyle name="Comma 14 2 4 5 2 3" xfId="17529" xr:uid="{F6DF7DA2-9457-4C71-82B4-8FC3133D90C2}"/>
    <cellStyle name="Comma 14 2 4 5 2 3 2" xfId="20736" xr:uid="{CCC4FDDE-0CAE-4420-87FA-7B782717FD79}"/>
    <cellStyle name="Comma 14 2 4 5 2 4" xfId="18786" xr:uid="{F45CBF6D-BF1A-4765-ACA1-CD90DDDBC297}"/>
    <cellStyle name="Comma 14 2 4 5 3" xfId="2578" xr:uid="{783BFA9A-FDA8-42AB-A68B-93BB66D3B1DD}"/>
    <cellStyle name="Comma 14 2 4 5 3 2" xfId="3443" xr:uid="{3948FCA9-CA16-44F8-8DBE-E02EC06CF7FF}"/>
    <cellStyle name="Comma 14 2 4 5 3 2 2" xfId="19901" xr:uid="{51877F42-8812-4ACC-86B1-44F75A64450A}"/>
    <cellStyle name="Comma 14 2 4 5 3 3" xfId="18019" xr:uid="{0A5C9E45-D7C1-4EC1-9D9A-46A6DD2E0747}"/>
    <cellStyle name="Comma 14 2 4 5 3 3 2" xfId="21012" xr:uid="{820C9783-21C7-4C8A-8AFF-C73A96C2FC3D}"/>
    <cellStyle name="Comma 14 2 4 5 3 4" xfId="19062" xr:uid="{81157666-12BE-4737-A098-4EA0907BCE19}"/>
    <cellStyle name="Comma 14 2 4 5 4" xfId="2834" xr:uid="{4B76E59C-FB6E-4841-9A8B-1C22F741D3E7}"/>
    <cellStyle name="Comma 14 2 4 5 4 2" xfId="19318" xr:uid="{6719519D-A069-4E5A-A044-0DC1602ED4F7}"/>
    <cellStyle name="Comma 14 2 4 5 5" xfId="3100" xr:uid="{260CC317-062A-4025-8738-DEA567AF0D84}"/>
    <cellStyle name="Comma 14 2 4 5 5 2" xfId="19574" xr:uid="{9A1F36E2-FE86-40DA-8EF0-5E93A673B0FE}"/>
    <cellStyle name="Comma 14 2 4 5 6" xfId="17189" xr:uid="{9B2EB82B-A3E9-403D-9C04-00B7EFB0B072}"/>
    <cellStyle name="Comma 14 2 4 5 6 2" xfId="20399" xr:uid="{1A9531FF-2A6E-4F33-BF82-9196052F6AD1}"/>
    <cellStyle name="Comma 14 2 4 5 7" xfId="18449" xr:uid="{9530CCE9-E8FE-4466-ABC2-C2C32923DF6B}"/>
    <cellStyle name="Comma 14 2 4 6" xfId="1832" xr:uid="{E8B5F736-C7B7-41B2-AD70-53510D53768F}"/>
    <cellStyle name="Comma 14 2 4 6 2" xfId="2633" xr:uid="{7EDA61CB-DA66-4583-9F8C-66EA8B7DED89}"/>
    <cellStyle name="Comma 14 2 4 6 2 2" xfId="3758" xr:uid="{040B04BA-90F1-46E5-912E-B1D121769254}"/>
    <cellStyle name="Comma 14 2 4 6 2 2 2" xfId="20212" xr:uid="{29EE3CEA-C9CB-4140-AAB5-7B05458A1297}"/>
    <cellStyle name="Comma 14 2 4 6 2 3" xfId="18074" xr:uid="{234355AD-BEAC-40C0-9389-E5F3017A1F8B}"/>
    <cellStyle name="Comma 14 2 4 6 2 3 2" xfId="21067" xr:uid="{BCA18297-C8F7-4DFC-8C1C-4D9B5D973B83}"/>
    <cellStyle name="Comma 14 2 4 6 2 4" xfId="19117" xr:uid="{734BFA24-01DE-4953-B837-05C6C6B18519}"/>
    <cellStyle name="Comma 14 2 4 6 3" xfId="2889" xr:uid="{A9287125-48AA-493B-8D62-6A1EFD6E68F2}"/>
    <cellStyle name="Comma 14 2 4 6 3 2" xfId="3502" xr:uid="{40612C68-0390-4EF0-9CCD-6BB6BFE0A70A}"/>
    <cellStyle name="Comma 14 2 4 6 3 2 2" xfId="19956" xr:uid="{E996DB8F-ABC5-4750-8C6C-1726F8196068}"/>
    <cellStyle name="Comma 14 2 4 6 3 3" xfId="19373" xr:uid="{15108FD4-4F5D-48F0-8703-7AC16BAE3BAD}"/>
    <cellStyle name="Comma 14 2 4 6 4" xfId="3155" xr:uid="{3733EE18-AD35-46A9-9E06-33BCF219C8E5}"/>
    <cellStyle name="Comma 14 2 4 6 4 2" xfId="19629" xr:uid="{268E8DA7-D998-4FFD-9B69-52AA72223BD3}"/>
    <cellStyle name="Comma 14 2 4 6 5" xfId="17585" xr:uid="{00605632-AFB1-42F1-AE26-71AC1AD2BB74}"/>
    <cellStyle name="Comma 14 2 4 6 5 2" xfId="20791" xr:uid="{8C127214-BF26-491C-A65F-6725A1B29E43}"/>
    <cellStyle name="Comma 14 2 4 6 6" xfId="18841" xr:uid="{75B1868E-9316-485B-909A-79D95A864130}"/>
    <cellStyle name="Comma 14 2 4 7" xfId="1604" xr:uid="{DFCB0494-9AD2-4242-8AB1-999B25A72B54}"/>
    <cellStyle name="Comma 14 2 4 7 2" xfId="3267" xr:uid="{14EA68C5-8ADC-4A9B-ABCE-11115048DE77}"/>
    <cellStyle name="Comma 14 2 4 7 2 2" xfId="19736" xr:uid="{5F2D0E18-7210-4BE4-9B82-8B2D14F3181D}"/>
    <cellStyle name="Comma 14 2 4 7 3" xfId="17364" xr:uid="{358AAB5B-F57D-4F55-89E0-CB6227142811}"/>
    <cellStyle name="Comma 14 2 4 7 3 2" xfId="20571" xr:uid="{391C6392-B3C5-41EF-B74B-6FE61B1DFE96}"/>
    <cellStyle name="Comma 14 2 4 7 4" xfId="18621" xr:uid="{1CD3D51F-94FC-499A-BF58-3F21D5BCB739}"/>
    <cellStyle name="Comma 14 2 4 8" xfId="2413" xr:uid="{B97B2FC9-777D-4D57-89D0-A86426474552}"/>
    <cellStyle name="Comma 14 2 4 8 2" xfId="3538" xr:uid="{E944F093-CC0E-43E3-A1FE-B6639F665710}"/>
    <cellStyle name="Comma 14 2 4 8 2 2" xfId="19992" xr:uid="{E540F81A-CF7D-4F82-BE05-52F4842FB328}"/>
    <cellStyle name="Comma 14 2 4 8 3" xfId="17852" xr:uid="{53142D70-EE5D-483B-BA0B-72F5FF0E40A4}"/>
    <cellStyle name="Comma 14 2 4 8 3 2" xfId="20847" xr:uid="{6E553162-A00F-4B87-8BA8-A51B61C6CE9A}"/>
    <cellStyle name="Comma 14 2 4 8 4" xfId="18897" xr:uid="{F1BEDDC4-EB4D-4BAF-850F-89CF17AAF03D}"/>
    <cellStyle name="Comma 14 2 4 9" xfId="2669" xr:uid="{154B685F-FC29-4C80-AA16-208FB6A07569}"/>
    <cellStyle name="Comma 14 2 4 9 2" xfId="3817" xr:uid="{6AD71990-59F5-4246-AB22-AFD67066EB54}"/>
    <cellStyle name="Comma 14 2 4 9 2 2" xfId="20271" xr:uid="{BFB4EACD-23F1-40FD-8B79-FF2124607BA5}"/>
    <cellStyle name="Comma 14 2 4 9 3" xfId="19153" xr:uid="{06343EA6-B933-4F94-B1AC-333DAFF9EFA3}"/>
    <cellStyle name="Comma 14 2 5" xfId="2011" xr:uid="{5EA8544F-8F62-46A5-AD28-C9AC7125F8A0}"/>
    <cellStyle name="Comma 14 2 5 2" xfId="3791" xr:uid="{536F9B05-89BB-4A21-BFB8-3A0475BB9924}"/>
    <cellStyle name="Comma 14 2 5 2 2" xfId="20245" xr:uid="{4612FC06-BB00-4AFB-B3A5-9D8539CCA500}"/>
    <cellStyle name="Comma 14 2 5 3" xfId="3188" xr:uid="{08E60702-67F0-4DD0-9AE2-6493618D3098}"/>
    <cellStyle name="Comma 14 2 5 3 2" xfId="19662" xr:uid="{7FC97915-04CF-44DE-A79F-409DE24B730A}"/>
    <cellStyle name="Comma 14 2 5 4" xfId="17720" xr:uid="{F2D2C0D6-2251-4548-BF1A-A845DAFBD08F}"/>
    <cellStyle name="Comma 14 2 5 4 2" xfId="20810" xr:uid="{ACDAB83E-6D02-4FCA-8A8A-9747ADB7A4F1}"/>
    <cellStyle name="Comma 14 2 5 5" xfId="18860" xr:uid="{8FC26B75-2A9F-4E6D-8118-71AFCB780C95}"/>
    <cellStyle name="Comma 14 2 6" xfId="3777" xr:uid="{22D2DE00-6092-4CD7-B7FB-BA26AAD6C1C5}"/>
    <cellStyle name="Comma 14 2 6 2" xfId="16613" xr:uid="{57E1D3B4-B891-41D1-AC23-CC6FA8FFC910}"/>
    <cellStyle name="Comma 14 2 6 2 2" xfId="20324" xr:uid="{8ED4CAB8-408D-48A0-A1B0-1F5A563A6A95}"/>
    <cellStyle name="Comma 14 2 6 3" xfId="20231" xr:uid="{443F63E5-41E2-4095-ADDC-6D1CD0E320FA}"/>
    <cellStyle name="Comma 14 2 7" xfId="3174" xr:uid="{2257C7C7-0B9D-4778-897F-75CA8591D67A}"/>
    <cellStyle name="Comma 14 2 7 2" xfId="19648" xr:uid="{73C627F6-F710-4AAF-83F8-434A71355DCF}"/>
    <cellStyle name="Comma 14 2 8" xfId="3851" xr:uid="{F9D79229-9E1D-4D46-9CE3-F1E6EEF95225}"/>
    <cellStyle name="Comma 14 2 8 2" xfId="20302" xr:uid="{7BC5C953-5134-47DC-86D7-6DF018D6AF9A}"/>
    <cellStyle name="Comma 14 2 9" xfId="18375" xr:uid="{4DEEFD30-7C84-4B81-8706-57DB2F59B44E}"/>
    <cellStyle name="Comma 14 3" xfId="199" xr:uid="{6E15A59C-A2AF-48E6-80A0-9C8C509587AE}"/>
    <cellStyle name="Comma 14 4" xfId="849" xr:uid="{2DB5A5FE-EBE5-43BC-96E2-9BDDF3187147}"/>
    <cellStyle name="Comma 14 4 10" xfId="3214" xr:uid="{BDB04756-869B-4179-BE62-89B73D2E9A47}"/>
    <cellStyle name="Comma 14 4 10 2" xfId="19687" xr:uid="{732D15EC-EF02-465A-B059-C01B2C0C447D}"/>
    <cellStyle name="Comma 14 4 11" xfId="2934" xr:uid="{CCD6DC3E-BE3C-47DF-97A8-43BDEE89CF7A}"/>
    <cellStyle name="Comma 14 4 11 2" xfId="19408" xr:uid="{7453ACEE-EE50-41AF-93CF-C3D421AF75BC}"/>
    <cellStyle name="Comma 14 4 12" xfId="17058" xr:uid="{C7C988F4-313F-4A3D-A8B3-C5501FE6A5A1}"/>
    <cellStyle name="Comma 14 4 12 2" xfId="20350" xr:uid="{007754B5-B593-4D54-9D2A-278BB714392E}"/>
    <cellStyle name="Comma 14 4 13" xfId="18400" xr:uid="{B768C404-CA26-46CC-BE25-568794B0D5DB}"/>
    <cellStyle name="Comma 14 4 2" xfId="1447" xr:uid="{1542CA2E-110C-4ADE-88D7-7067FE697CF7}"/>
    <cellStyle name="Comma 14 4 2 2" xfId="1644" xr:uid="{7B46A779-8D97-4564-BF61-AD9D21622285}"/>
    <cellStyle name="Comma 14 4 2 2 2" xfId="3578" xr:uid="{1BFBE673-1966-4A8D-8DC3-BB4307667702}"/>
    <cellStyle name="Comma 14 4 2 2 2 2" xfId="20032" xr:uid="{0755F40C-9C13-4531-B795-604B521E1A1F}"/>
    <cellStyle name="Comma 14 4 2 2 3" xfId="17404" xr:uid="{BFCC89ED-CE49-4187-BDCF-A93E6DFA6110}"/>
    <cellStyle name="Comma 14 4 2 2 3 2" xfId="20611" xr:uid="{F19209ED-E99F-4E2C-B938-2526AEC68829}"/>
    <cellStyle name="Comma 14 4 2 2 4" xfId="18661" xr:uid="{AB4FA462-D9F1-4D2E-BCCC-0FA71315EE87}"/>
    <cellStyle name="Comma 14 4 2 3" xfId="2453" xr:uid="{93527098-CBE1-4593-9293-1CF91D0C73EB}"/>
    <cellStyle name="Comma 14 4 2 3 2" xfId="3308" xr:uid="{522AEA24-CCE8-4B53-B217-224ABB4C7AAE}"/>
    <cellStyle name="Comma 14 4 2 3 2 2" xfId="19776" xr:uid="{40EC0E2F-9FEE-426D-B87B-2FBEFAE6E7C0}"/>
    <cellStyle name="Comma 14 4 2 3 3" xfId="17894" xr:uid="{3FF633D3-7D18-4AE6-BA0B-AA81F03D6BAE}"/>
    <cellStyle name="Comma 14 4 2 3 3 2" xfId="20887" xr:uid="{8F6B0796-FA9D-4BEE-9D67-0129EB8FB0FA}"/>
    <cellStyle name="Comma 14 4 2 3 4" xfId="18937" xr:uid="{3C8498E8-F658-4EEC-990E-31D159738523}"/>
    <cellStyle name="Comma 14 4 2 4" xfId="2709" xr:uid="{2C365D9F-33FF-41AC-8B9C-B312E0CA6719}"/>
    <cellStyle name="Comma 14 4 2 4 2" xfId="19193" xr:uid="{E7CFA257-F818-425D-8DCB-0919E2ED98BD}"/>
    <cellStyle name="Comma 14 4 2 5" xfId="2975" xr:uid="{C9D6E714-CFC6-4675-97D1-B75E8CB34BA3}"/>
    <cellStyle name="Comma 14 4 2 5 2" xfId="19449" xr:uid="{AE222B4C-0DAF-4927-AB1D-28B07208DE2A}"/>
    <cellStyle name="Comma 14 4 2 6" xfId="17231" xr:uid="{824804C2-430A-4FC8-AB11-B6A4E91F043B}"/>
    <cellStyle name="Comma 14 4 2 6 2" xfId="20439" xr:uid="{5CD57A8B-992B-4AB2-9A6F-BDB1E0BB55E7}"/>
    <cellStyle name="Comma 14 4 2 7" xfId="18489" xr:uid="{7B535A91-CFEF-4B2E-BBD6-A37963572A1B}"/>
    <cellStyle name="Comma 14 4 3" xfId="1490" xr:uid="{84C8CC31-FE9E-439C-AE54-FB0748E03DA8}"/>
    <cellStyle name="Comma 14 4 3 2" xfId="1675" xr:uid="{50471B73-4A65-4D5D-B49C-BC376A73679F}"/>
    <cellStyle name="Comma 14 4 3 2 2" xfId="3609" xr:uid="{BE1FABFA-CF9B-4E2A-B409-B59B52CB9328}"/>
    <cellStyle name="Comma 14 4 3 2 2 2" xfId="20063" xr:uid="{9C2F05FF-690D-41C2-8C81-18A016EFF528}"/>
    <cellStyle name="Comma 14 4 3 2 3" xfId="17435" xr:uid="{E0EF8DFA-8799-4910-8A14-53D9A3730013}"/>
    <cellStyle name="Comma 14 4 3 2 3 2" xfId="20642" xr:uid="{53AE75E9-AF4D-46AF-879F-40A91FF5B9C2}"/>
    <cellStyle name="Comma 14 4 3 2 4" xfId="18692" xr:uid="{9DA78008-1F33-46BF-B1E7-9EEC27A629C3}"/>
    <cellStyle name="Comma 14 4 3 3" xfId="2484" xr:uid="{FBCD63F2-C80B-4C1C-8F68-43529A60B8D0}"/>
    <cellStyle name="Comma 14 4 3 3 2" xfId="3340" xr:uid="{CD49C48D-D5E2-489B-9344-3059D4D26026}"/>
    <cellStyle name="Comma 14 4 3 3 2 2" xfId="19807" xr:uid="{B7B26CEA-701E-47FD-B9A2-97652413832D}"/>
    <cellStyle name="Comma 14 4 3 3 3" xfId="17925" xr:uid="{DC2510C6-7D32-4633-BAC2-020FDD0A0D7F}"/>
    <cellStyle name="Comma 14 4 3 3 3 2" xfId="20918" xr:uid="{D97A9CB1-5A92-4FB4-84D3-502F76128689}"/>
    <cellStyle name="Comma 14 4 3 3 4" xfId="18968" xr:uid="{CD7F24EB-B5F4-474C-AA55-B3121D1EB7BD}"/>
    <cellStyle name="Comma 14 4 3 4" xfId="2740" xr:uid="{CE444021-67CD-451F-ADCA-8C1B677525A6}"/>
    <cellStyle name="Comma 14 4 3 4 2" xfId="19224" xr:uid="{B3CCE8CF-0791-4125-A829-3A928FE9AF1F}"/>
    <cellStyle name="Comma 14 4 3 5" xfId="3006" xr:uid="{C13B140E-6373-4158-944E-3D9CE8D9CE64}"/>
    <cellStyle name="Comma 14 4 3 5 2" xfId="19480" xr:uid="{885B705C-0027-487B-8849-CF2F5C61DF0D}"/>
    <cellStyle name="Comma 14 4 3 6" xfId="17263" xr:uid="{230EE6F3-76DE-4BCF-9FE2-9D38CADB6B36}"/>
    <cellStyle name="Comma 14 4 3 6 2" xfId="20470" xr:uid="{8500AAC8-AFA5-4D60-B282-4DB2E64D1A3A}"/>
    <cellStyle name="Comma 14 4 3 7" xfId="18520" xr:uid="{A4DAE728-B01A-433A-95ED-5D9F075FF2CE}"/>
    <cellStyle name="Comma 14 4 4" xfId="1550" xr:uid="{669719BD-3222-4AF0-830A-81622DBAD4EB}"/>
    <cellStyle name="Comma 14 4 4 2" xfId="1722" xr:uid="{23A65DC0-F501-417B-AE09-DEAB505FA6E2}"/>
    <cellStyle name="Comma 14 4 4 2 2" xfId="3656" xr:uid="{912439CE-DFDE-4FA1-874D-69C4CFC9E9F4}"/>
    <cellStyle name="Comma 14 4 4 2 2 2" xfId="20110" xr:uid="{17E62C1E-2EB8-41D8-A50B-B798C05F7B4C}"/>
    <cellStyle name="Comma 14 4 4 2 3" xfId="17482" xr:uid="{7A547C7D-7E83-4A9E-A68A-9B9173A56851}"/>
    <cellStyle name="Comma 14 4 4 2 3 2" xfId="20689" xr:uid="{A4A11114-586B-44ED-ACA0-A6D8417006C7}"/>
    <cellStyle name="Comma 14 4 4 2 4" xfId="18739" xr:uid="{4D1F7075-0443-4EEF-992D-F23C632C9EF8}"/>
    <cellStyle name="Comma 14 4 4 3" xfId="2531" xr:uid="{2821494C-F629-41BF-A65F-1BD75937B12D}"/>
    <cellStyle name="Comma 14 4 4 3 2" xfId="3395" xr:uid="{AF336AAE-9113-4E7A-B1B1-E0E9F70B7D63}"/>
    <cellStyle name="Comma 14 4 4 3 2 2" xfId="19854" xr:uid="{35186849-22DA-4F78-B813-71EE1DD5A06F}"/>
    <cellStyle name="Comma 14 4 4 3 3" xfId="17972" xr:uid="{7B6B9D3D-EE6D-4983-8721-CFF9B8E93463}"/>
    <cellStyle name="Comma 14 4 4 3 3 2" xfId="20965" xr:uid="{39506A19-8E04-483E-9B85-C75CD70C33CA}"/>
    <cellStyle name="Comma 14 4 4 3 4" xfId="19015" xr:uid="{B49B21C8-3389-4544-9A50-5888A7AC7D49}"/>
    <cellStyle name="Comma 14 4 4 4" xfId="2787" xr:uid="{E076E59E-7253-406A-B1EC-34F95C74ADE9}"/>
    <cellStyle name="Comma 14 4 4 4 2" xfId="19271" xr:uid="{8F60A022-CEA7-423B-8EDE-08282433885A}"/>
    <cellStyle name="Comma 14 4 4 5" xfId="3053" xr:uid="{2DBF456A-06F2-4AED-9EE3-E3014D42C2CE}"/>
    <cellStyle name="Comma 14 4 4 5 2" xfId="19527" xr:uid="{E3DAD50A-4F50-4EB2-84EF-E360EF679457}"/>
    <cellStyle name="Comma 14 4 4 6" xfId="17310" xr:uid="{DF9F45B4-F6B5-47C2-9839-1C2F89230F18}"/>
    <cellStyle name="Comma 14 4 4 6 2" xfId="20517" xr:uid="{F1B88F28-42C6-45F5-875D-C4D191D999D0}"/>
    <cellStyle name="Comma 14 4 4 7" xfId="18567" xr:uid="{39DA67E6-0DA8-4202-B923-19CA593BC562}"/>
    <cellStyle name="Comma 14 4 5" xfId="1374" xr:uid="{92DC2D0B-038E-4E37-8282-3537280F4470}"/>
    <cellStyle name="Comma 14 4 5 2" xfId="1772" xr:uid="{77B8F96B-FCAE-417F-9DF1-BB06B90A9B80}"/>
    <cellStyle name="Comma 14 4 5 2 2" xfId="3704" xr:uid="{7D614CE9-B5D5-4D6C-960C-E3DCF5D1C028}"/>
    <cellStyle name="Comma 14 4 5 2 2 2" xfId="20158" xr:uid="{9693B79D-2C93-4070-91BF-874F13B68285}"/>
    <cellStyle name="Comma 14 4 5 2 3" xfId="17530" xr:uid="{5ACCBB80-B52D-4FB5-9C98-2374C8E71F81}"/>
    <cellStyle name="Comma 14 4 5 2 3 2" xfId="20737" xr:uid="{DDC5AE12-694A-4433-B4BF-E691445898E2}"/>
    <cellStyle name="Comma 14 4 5 2 4" xfId="18787" xr:uid="{76E76796-2F08-4325-9F8B-A0621A2C1F7E}"/>
    <cellStyle name="Comma 14 4 5 3" xfId="2579" xr:uid="{05453E26-6D5B-4FA0-9212-66C7FA6F5230}"/>
    <cellStyle name="Comma 14 4 5 3 2" xfId="3444" xr:uid="{880B671B-EF7F-469E-8205-C37123354A8A}"/>
    <cellStyle name="Comma 14 4 5 3 2 2" xfId="19902" xr:uid="{D44E6D52-63D9-4427-9D17-F1211AB9723A}"/>
    <cellStyle name="Comma 14 4 5 3 3" xfId="18020" xr:uid="{5E7B6B35-A56C-4AA1-A045-2DF871AEE537}"/>
    <cellStyle name="Comma 14 4 5 3 3 2" xfId="21013" xr:uid="{B133BE97-AF9F-4627-96A6-967842EA0DF9}"/>
    <cellStyle name="Comma 14 4 5 3 4" xfId="19063" xr:uid="{2DADA879-7F19-4D6F-82F9-830DB38C1F32}"/>
    <cellStyle name="Comma 14 4 5 4" xfId="2835" xr:uid="{EE5A33CB-ABB2-46D8-B01E-DDE41E09E18A}"/>
    <cellStyle name="Comma 14 4 5 4 2" xfId="19319" xr:uid="{041AE217-DA7E-47B4-A44F-AA6804582748}"/>
    <cellStyle name="Comma 14 4 5 5" xfId="3101" xr:uid="{264F7335-0154-4097-9396-978FA0047639}"/>
    <cellStyle name="Comma 14 4 5 5 2" xfId="19575" xr:uid="{F7750B78-B868-40B2-B970-2A2E0A6113F4}"/>
    <cellStyle name="Comma 14 4 5 6" xfId="17188" xr:uid="{F7546C17-E3AB-4BA3-8209-92222B4D3C04}"/>
    <cellStyle name="Comma 14 4 5 6 2" xfId="20398" xr:uid="{C2C65EA4-3165-4E56-B1F6-94E0A29D606C}"/>
    <cellStyle name="Comma 14 4 5 7" xfId="18448" xr:uid="{0C5A43AE-CE1C-4168-A197-BAF4894950B4}"/>
    <cellStyle name="Comma 14 4 6" xfId="1831" xr:uid="{7269EAA0-A38A-4A26-BF6D-E36E22F651AC}"/>
    <cellStyle name="Comma 14 4 6 2" xfId="2632" xr:uid="{571C8CA5-B50F-4E4E-9983-A01503906042}"/>
    <cellStyle name="Comma 14 4 6 2 2" xfId="3757" xr:uid="{4AF45A01-E752-4F65-A794-310A01D479E4}"/>
    <cellStyle name="Comma 14 4 6 2 2 2" xfId="20211" xr:uid="{11926691-EA94-42F4-90F9-0328FABED0C8}"/>
    <cellStyle name="Comma 14 4 6 2 3" xfId="18073" xr:uid="{80E13D34-401B-4199-A21F-52E8FF925A29}"/>
    <cellStyle name="Comma 14 4 6 2 3 2" xfId="21066" xr:uid="{C8BDDB07-4CBB-4D9B-900C-37CDC607945D}"/>
    <cellStyle name="Comma 14 4 6 2 4" xfId="19116" xr:uid="{75FDB9FD-4ED1-47DE-AED1-EE258525ED1B}"/>
    <cellStyle name="Comma 14 4 6 3" xfId="2888" xr:uid="{7C2BA68F-E77E-40F1-82F7-F2D34B5F64FF}"/>
    <cellStyle name="Comma 14 4 6 3 2" xfId="3501" xr:uid="{AD19957F-AD63-46D1-9166-AA1F03B7DBFD}"/>
    <cellStyle name="Comma 14 4 6 3 2 2" xfId="19955" xr:uid="{C1105354-695B-4472-86A6-60186C92AD87}"/>
    <cellStyle name="Comma 14 4 6 3 3" xfId="19372" xr:uid="{49AC1869-EC64-4149-9522-FDD36F5F0DD8}"/>
    <cellStyle name="Comma 14 4 6 4" xfId="3154" xr:uid="{C31120F7-CCFB-4865-BF8E-F859978ECE04}"/>
    <cellStyle name="Comma 14 4 6 4 2" xfId="19628" xr:uid="{779C6A13-C8FA-4232-85F2-EF10EDE8BD4D}"/>
    <cellStyle name="Comma 14 4 6 5" xfId="17584" xr:uid="{D2837B3C-A068-4CBB-A4FD-9C101D69409A}"/>
    <cellStyle name="Comma 14 4 6 5 2" xfId="20790" xr:uid="{36F99B1B-5948-4B11-A4C2-EA891116413C}"/>
    <cellStyle name="Comma 14 4 6 6" xfId="18840" xr:uid="{9157EFCC-3329-44D5-9CC9-9D0D0374A65A}"/>
    <cellStyle name="Comma 14 4 7" xfId="1603" xr:uid="{3874ACCC-8EB2-44D3-8D60-90F1CC962749}"/>
    <cellStyle name="Comma 14 4 7 2" xfId="3266" xr:uid="{1E704E34-8CBD-43E7-8EC4-AE561E564EFF}"/>
    <cellStyle name="Comma 14 4 7 2 2" xfId="19735" xr:uid="{9204FC28-8CB1-411B-8242-68BBECAAB90D}"/>
    <cellStyle name="Comma 14 4 7 3" xfId="17363" xr:uid="{72820C07-565A-4746-9A52-57D079619BCB}"/>
    <cellStyle name="Comma 14 4 7 3 2" xfId="20570" xr:uid="{3A8643A7-CF47-4A40-A400-4EB2C821AE8E}"/>
    <cellStyle name="Comma 14 4 7 4" xfId="18620" xr:uid="{842A43A1-7A34-45EF-89DA-8F0883641E78}"/>
    <cellStyle name="Comma 14 4 8" xfId="2412" xr:uid="{1ABF6CD1-09D4-4CA7-929D-9AEDC3281306}"/>
    <cellStyle name="Comma 14 4 8 2" xfId="3537" xr:uid="{F2432F4B-DFB2-4ACF-83ED-FFC996114694}"/>
    <cellStyle name="Comma 14 4 8 2 2" xfId="19991" xr:uid="{AA2AB2D5-218D-4406-A7BB-D7D4E1A315E7}"/>
    <cellStyle name="Comma 14 4 8 3" xfId="17851" xr:uid="{62A5EC13-9DE3-4241-B982-799D51EFABAA}"/>
    <cellStyle name="Comma 14 4 8 3 2" xfId="20846" xr:uid="{6F53C48B-F4A8-4686-93EF-21E509BF4F7F}"/>
    <cellStyle name="Comma 14 4 8 4" xfId="18896" xr:uid="{6C041CEF-0A56-4AD7-BE9F-9FE5E9702689}"/>
    <cellStyle name="Comma 14 4 9" xfId="2668" xr:uid="{183F0BAB-0B78-4487-88A4-9B98CF766132}"/>
    <cellStyle name="Comma 14 4 9 2" xfId="3816" xr:uid="{8681432B-EA39-4D73-B4D4-09D2E269807A}"/>
    <cellStyle name="Comma 14 4 9 2 2" xfId="20270" xr:uid="{B42569BA-16EB-4BFF-B473-14102112F877}"/>
    <cellStyle name="Comma 14 4 9 3" xfId="19152" xr:uid="{735EF38E-78F6-4B05-81F6-2E0DF7B67182}"/>
    <cellStyle name="Comma 14 5" xfId="2010" xr:uid="{E5EAE886-17FE-4F47-BA85-75F581047322}"/>
    <cellStyle name="Comma 14 5 2" xfId="3790" xr:uid="{AAC96BBB-C315-4FE3-96B8-5146EE0BC348}"/>
    <cellStyle name="Comma 14 5 2 2" xfId="20244" xr:uid="{FA5D9590-4749-4475-8491-5468F0F2C35E}"/>
    <cellStyle name="Comma 14 5 3" xfId="3187" xr:uid="{B0211E7B-DEEA-45C7-B116-2B598BB15F1B}"/>
    <cellStyle name="Comma 14 5 3 2" xfId="19661" xr:uid="{02008F8F-C6FA-406C-AF84-E4463F6C2EFD}"/>
    <cellStyle name="Comma 14 5 4" xfId="17719" xr:uid="{3A68ED8D-8866-41F6-B481-CB771620DE44}"/>
    <cellStyle name="Comma 14 5 4 2" xfId="20809" xr:uid="{7C74B19B-8863-4CD3-A542-406B6F34CC72}"/>
    <cellStyle name="Comma 14 5 5" xfId="18859" xr:uid="{2F136F9D-3943-4214-BC52-D02B802CEE11}"/>
    <cellStyle name="Comma 14 6" xfId="3776" xr:uid="{FAB73645-75FD-46DB-B02D-0D60008A4380}"/>
    <cellStyle name="Comma 14 6 2" xfId="16612" xr:uid="{BDFA1F8C-11FD-44B2-A976-7462A1881A03}"/>
    <cellStyle name="Comma 14 6 2 2" xfId="20323" xr:uid="{A396A903-A6D4-4CB3-850F-7FB81E297575}"/>
    <cellStyle name="Comma 14 6 3" xfId="20230" xr:uid="{68C1AF81-D7A1-46C6-8E89-2309FAE69957}"/>
    <cellStyle name="Comma 14 7" xfId="3173" xr:uid="{18374D31-D2EF-4578-AB2E-BF9CF1EF4326}"/>
    <cellStyle name="Comma 14 7 2" xfId="19647" xr:uid="{299520FA-02BE-4F82-829C-6DFCA784AF98}"/>
    <cellStyle name="Comma 14 8" xfId="3850" xr:uid="{55EC0F1F-9BD7-4DFD-AE9C-B1A989E4025D}"/>
    <cellStyle name="Comma 14 8 2" xfId="20301" xr:uid="{D5DFC3AA-0951-474E-9C45-3FC26DFFD32E}"/>
    <cellStyle name="Comma 14 9" xfId="18374" xr:uid="{7F6B7769-84D4-481F-8BFB-13A960025200}"/>
    <cellStyle name="Comma 15" xfId="200" xr:uid="{4B1E0DB5-DB1D-49AA-86B0-6DE34C76D528}"/>
    <cellStyle name="Comma 15 2" xfId="201" xr:uid="{C09B71E1-9914-46B1-B84E-C45C7C40E39E}"/>
    <cellStyle name="Comma 15 3" xfId="913" xr:uid="{67FA92F5-52B1-4913-BCEF-CB1CA11FF6B5}"/>
    <cellStyle name="Comma 16" xfId="202" xr:uid="{1476EC4C-F056-4433-91CC-EC29D9D8782E}"/>
    <cellStyle name="Comma 16 2" xfId="203" xr:uid="{F001FCE8-90ED-42D8-8F94-D8F17F4E1E9D}"/>
    <cellStyle name="Comma 16 2 10" xfId="3854" xr:uid="{7102BB61-AF85-45D2-B207-538D1EA2E8DD}"/>
    <cellStyle name="Comma 16 2 10 2" xfId="20305" xr:uid="{527EEE63-A0C4-4D4C-9950-3C8C009725AE}"/>
    <cellStyle name="Comma 16 2 11" xfId="18378" xr:uid="{5B3B84D9-BFDC-4539-B9F1-B21ADCC555CD}"/>
    <cellStyle name="Comma 16 2 2" xfId="853" xr:uid="{E49D47BA-F138-41EC-A8FE-1E13C083F2DF}"/>
    <cellStyle name="Comma 16 2 2 10" xfId="3218" xr:uid="{31490545-32F6-4EFB-AD91-4B5806FE0714}"/>
    <cellStyle name="Comma 16 2 2 10 2" xfId="19691" xr:uid="{46948217-6E3C-46F9-8073-8E6581A60F28}"/>
    <cellStyle name="Comma 16 2 2 11" xfId="2938" xr:uid="{C127C177-58E4-4C3A-90AD-26D978AA657B}"/>
    <cellStyle name="Comma 16 2 2 11 2" xfId="19412" xr:uid="{A043089C-D7C2-4514-894C-ED908496FC2A}"/>
    <cellStyle name="Comma 16 2 2 12" xfId="17062" xr:uid="{4DA40B6A-ABBC-4661-8794-080D1846C04F}"/>
    <cellStyle name="Comma 16 2 2 12 2" xfId="20354" xr:uid="{ACEDDB9D-80ED-458F-AE68-02CC737B8C27}"/>
    <cellStyle name="Comma 16 2 2 13" xfId="18404" xr:uid="{479C153F-3323-43FB-B5C7-90B29FACB88F}"/>
    <cellStyle name="Comma 16 2 2 2" xfId="1451" xr:uid="{BA31EC8C-22E6-4A30-BCC0-5C173C649018}"/>
    <cellStyle name="Comma 16 2 2 2 2" xfId="1648" xr:uid="{DFB3A396-397A-4CF2-91E8-EACADBDC3E14}"/>
    <cellStyle name="Comma 16 2 2 2 2 2" xfId="3582" xr:uid="{DE3C8160-9C28-48E7-92C9-E05ABFA72C59}"/>
    <cellStyle name="Comma 16 2 2 2 2 2 2" xfId="20036" xr:uid="{73FA0E8F-25CD-4A26-8F02-451AB75AD53E}"/>
    <cellStyle name="Comma 16 2 2 2 2 3" xfId="17408" xr:uid="{9258363C-D9E1-4D78-9E87-183BE0AC9356}"/>
    <cellStyle name="Comma 16 2 2 2 2 3 2" xfId="20615" xr:uid="{1E4AB43B-BC02-49A0-8C5C-48341AD3EF88}"/>
    <cellStyle name="Comma 16 2 2 2 2 4" xfId="18665" xr:uid="{7570EE8B-D886-402D-BB97-8B4346D5A7DA}"/>
    <cellStyle name="Comma 16 2 2 2 3" xfId="2457" xr:uid="{1669E49C-A2C6-4F49-89DF-008404EF015A}"/>
    <cellStyle name="Comma 16 2 2 2 3 2" xfId="3312" xr:uid="{AAABAFDE-27BD-4C8F-A711-EB8CAA7A99F1}"/>
    <cellStyle name="Comma 16 2 2 2 3 2 2" xfId="19780" xr:uid="{E2B18836-9C3C-4271-8FFA-240D3F70C3C9}"/>
    <cellStyle name="Comma 16 2 2 2 3 3" xfId="17898" xr:uid="{56968DD5-4226-4104-B41A-10D02F452917}"/>
    <cellStyle name="Comma 16 2 2 2 3 3 2" xfId="20891" xr:uid="{84D574E4-9F83-4D65-BA17-3653D8873E9F}"/>
    <cellStyle name="Comma 16 2 2 2 3 4" xfId="18941" xr:uid="{2132AF4D-C838-4F27-B75A-067D098A14DD}"/>
    <cellStyle name="Comma 16 2 2 2 4" xfId="2713" xr:uid="{3A9D775C-8916-4B42-9F50-05B62BE40C7E}"/>
    <cellStyle name="Comma 16 2 2 2 4 2" xfId="19197" xr:uid="{B3BA2C75-E3A3-4DCA-911C-E286E3E268B0}"/>
    <cellStyle name="Comma 16 2 2 2 5" xfId="2979" xr:uid="{1325F591-1FA1-4FFC-9E4A-1CC390955C9F}"/>
    <cellStyle name="Comma 16 2 2 2 5 2" xfId="19453" xr:uid="{82EF6515-3E4A-4523-9EA3-DCDB1EAF878C}"/>
    <cellStyle name="Comma 16 2 2 2 6" xfId="17235" xr:uid="{065C8806-1EC2-483F-A5CD-88FD227D7C71}"/>
    <cellStyle name="Comma 16 2 2 2 6 2" xfId="20443" xr:uid="{C7C2CCD6-CE40-4DB4-92A3-C3E629E213A2}"/>
    <cellStyle name="Comma 16 2 2 2 7" xfId="18493" xr:uid="{ACC5B5EA-F05B-4505-B255-03E8E8530F57}"/>
    <cellStyle name="Comma 16 2 2 3" xfId="1491" xr:uid="{51040A2A-4835-4007-8A4C-706BD05AFFC6}"/>
    <cellStyle name="Comma 16 2 2 3 2" xfId="1676" xr:uid="{7E187354-8C0E-4E23-922A-53F6AFE0BF28}"/>
    <cellStyle name="Comma 16 2 2 3 2 2" xfId="3610" xr:uid="{FC5BB105-DF20-4F1B-9766-4D7D661AFFDA}"/>
    <cellStyle name="Comma 16 2 2 3 2 2 2" xfId="20064" xr:uid="{3FC2AA39-A267-4612-A998-AAFE93175B51}"/>
    <cellStyle name="Comma 16 2 2 3 2 3" xfId="17436" xr:uid="{680A73A7-52F8-4E94-8802-BAEB9DA508A6}"/>
    <cellStyle name="Comma 16 2 2 3 2 3 2" xfId="20643" xr:uid="{38C922DE-03FD-4F42-8381-2AF60F142569}"/>
    <cellStyle name="Comma 16 2 2 3 2 4" xfId="18693" xr:uid="{A282F28E-9F85-4D29-9696-2C28DAAA8BDA}"/>
    <cellStyle name="Comma 16 2 2 3 3" xfId="2485" xr:uid="{89565C8D-4CCB-423F-A944-BAEC66737ED2}"/>
    <cellStyle name="Comma 16 2 2 3 3 2" xfId="3341" xr:uid="{C97D4B39-AAF2-4DC6-9B34-C2D91A7B8FD1}"/>
    <cellStyle name="Comma 16 2 2 3 3 2 2" xfId="19808" xr:uid="{372F32EC-71B6-4AD3-AEF6-49EF0087D015}"/>
    <cellStyle name="Comma 16 2 2 3 3 3" xfId="17926" xr:uid="{A070D761-BCC4-4BE1-A050-B6CA7CCC4E6A}"/>
    <cellStyle name="Comma 16 2 2 3 3 3 2" xfId="20919" xr:uid="{12721D4A-0501-4CFE-9BE0-A7D75FD1E335}"/>
    <cellStyle name="Comma 16 2 2 3 3 4" xfId="18969" xr:uid="{9B6573B0-9D6B-4C69-A227-DA8A97E96338}"/>
    <cellStyle name="Comma 16 2 2 3 4" xfId="2741" xr:uid="{C4729F35-C3F6-4D1C-8981-588D8CD7ADA7}"/>
    <cellStyle name="Comma 16 2 2 3 4 2" xfId="19225" xr:uid="{979A8885-9EB1-475C-ABBA-95799F6D15A7}"/>
    <cellStyle name="Comma 16 2 2 3 5" xfId="3007" xr:uid="{C3421DF1-2D4B-42A2-BE7B-EA3C01693ACB}"/>
    <cellStyle name="Comma 16 2 2 3 5 2" xfId="19481" xr:uid="{8DB6965B-2ED3-4DB9-91FE-F0729F97CAE6}"/>
    <cellStyle name="Comma 16 2 2 3 6" xfId="17264" xr:uid="{4C02D6DD-6659-4FC5-9064-19ED5421E408}"/>
    <cellStyle name="Comma 16 2 2 3 6 2" xfId="20471" xr:uid="{06DC5BF6-4714-48CE-B6E1-866FF26605E1}"/>
    <cellStyle name="Comma 16 2 2 3 7" xfId="18521" xr:uid="{685BA605-A1D9-4032-8190-5A2CB30604AC}"/>
    <cellStyle name="Comma 16 2 2 4" xfId="1551" xr:uid="{3384DA89-1C06-4C32-B5E9-838A057DA93D}"/>
    <cellStyle name="Comma 16 2 2 4 2" xfId="1723" xr:uid="{3B6563A2-969A-4879-AC8A-BD3CCDB86638}"/>
    <cellStyle name="Comma 16 2 2 4 2 2" xfId="3657" xr:uid="{39166D80-9DAB-404D-B1E9-DFAC0FBB0A8F}"/>
    <cellStyle name="Comma 16 2 2 4 2 2 2" xfId="20111" xr:uid="{EAF1F5D6-36B1-4808-AB27-0D45B882207C}"/>
    <cellStyle name="Comma 16 2 2 4 2 3" xfId="17483" xr:uid="{81E5724D-5BB9-4B0F-863C-942B8B2CFE03}"/>
    <cellStyle name="Comma 16 2 2 4 2 3 2" xfId="20690" xr:uid="{732A4AA5-92AE-4678-840A-DED5BD8EF3F2}"/>
    <cellStyle name="Comma 16 2 2 4 2 4" xfId="18740" xr:uid="{938A1B26-34FB-45B0-9A6D-41C6570BAFBF}"/>
    <cellStyle name="Comma 16 2 2 4 3" xfId="2532" xr:uid="{3BDF2940-3384-4181-BECD-ACD87C558224}"/>
    <cellStyle name="Comma 16 2 2 4 3 2" xfId="3396" xr:uid="{B864FE48-4E71-406F-9C5E-6F12CFD14791}"/>
    <cellStyle name="Comma 16 2 2 4 3 2 2" xfId="19855" xr:uid="{C125F3C6-BC0A-4FD5-A9BF-D24952B960A9}"/>
    <cellStyle name="Comma 16 2 2 4 3 3" xfId="17973" xr:uid="{733D0211-6CEA-42B7-932B-5101FC7D8638}"/>
    <cellStyle name="Comma 16 2 2 4 3 3 2" xfId="20966" xr:uid="{99489692-D048-42A3-A2C5-D716C293F232}"/>
    <cellStyle name="Comma 16 2 2 4 3 4" xfId="19016" xr:uid="{72C3047B-7D05-4148-ABA1-A54EF16BF69E}"/>
    <cellStyle name="Comma 16 2 2 4 4" xfId="2788" xr:uid="{CF21DC91-093D-455C-9EFF-9AF96173A2D8}"/>
    <cellStyle name="Comma 16 2 2 4 4 2" xfId="19272" xr:uid="{BA2053F2-E523-4470-BCD5-4292ACED08B8}"/>
    <cellStyle name="Comma 16 2 2 4 5" xfId="3054" xr:uid="{BC30D137-0FE5-461E-BB9B-13DB74185B1F}"/>
    <cellStyle name="Comma 16 2 2 4 5 2" xfId="19528" xr:uid="{10E1E533-14EA-4B4D-B692-970F1BB7A84B}"/>
    <cellStyle name="Comma 16 2 2 4 6" xfId="17311" xr:uid="{70CD1290-2764-499E-B74A-863E3BF6E7A6}"/>
    <cellStyle name="Comma 16 2 2 4 6 2" xfId="20518" xr:uid="{31974CDE-6BB5-44E9-99BC-C70C7DD9D773}"/>
    <cellStyle name="Comma 16 2 2 4 7" xfId="18568" xr:uid="{05595CDF-956F-48C9-B50B-9E078C5AE0D7}"/>
    <cellStyle name="Comma 16 2 2 5" xfId="1378" xr:uid="{6F6A37E0-EA8C-483F-ACDD-34D2CDBF8813}"/>
    <cellStyle name="Comma 16 2 2 5 2" xfId="1773" xr:uid="{B202984F-E6ED-4F4C-9928-A069A73C5ACD}"/>
    <cellStyle name="Comma 16 2 2 5 2 2" xfId="3705" xr:uid="{8C24C386-83A9-417D-B45A-02B9B37B65FB}"/>
    <cellStyle name="Comma 16 2 2 5 2 2 2" xfId="20159" xr:uid="{08183F4E-075D-4E79-96A3-F29B23F75465}"/>
    <cellStyle name="Comma 16 2 2 5 2 3" xfId="17531" xr:uid="{43BA4D7A-4FE6-44A2-A74D-181835726576}"/>
    <cellStyle name="Comma 16 2 2 5 2 3 2" xfId="20738" xr:uid="{38181331-C0DC-46F7-A467-94844EC55D00}"/>
    <cellStyle name="Comma 16 2 2 5 2 4" xfId="18788" xr:uid="{F9230239-E7B7-4F8C-A0E3-1C6D96B5D295}"/>
    <cellStyle name="Comma 16 2 2 5 3" xfId="2580" xr:uid="{04C1A2D2-8584-4FC7-8529-3AA05A8C4674}"/>
    <cellStyle name="Comma 16 2 2 5 3 2" xfId="3445" xr:uid="{0F356C7B-A161-4512-91F6-D0316B5F6E71}"/>
    <cellStyle name="Comma 16 2 2 5 3 2 2" xfId="19903" xr:uid="{8AEA8DDF-D3EF-4A8F-A9A0-C51B79D1F0FC}"/>
    <cellStyle name="Comma 16 2 2 5 3 3" xfId="18021" xr:uid="{A0DF0543-43B2-42DF-BB6F-50DF6814988E}"/>
    <cellStyle name="Comma 16 2 2 5 3 3 2" xfId="21014" xr:uid="{F3F4A946-DE16-4BC8-A3B2-DBE682BCEDE6}"/>
    <cellStyle name="Comma 16 2 2 5 3 4" xfId="19064" xr:uid="{BB039469-BFB6-49B2-8942-89816793B7DD}"/>
    <cellStyle name="Comma 16 2 2 5 4" xfId="2836" xr:uid="{271477D4-9E3B-4E04-B625-62FA47F9D6BF}"/>
    <cellStyle name="Comma 16 2 2 5 4 2" xfId="19320" xr:uid="{28900B3C-F7C4-425E-8684-CD3BE6926145}"/>
    <cellStyle name="Comma 16 2 2 5 5" xfId="3102" xr:uid="{6EB7F5FA-DF33-4E5E-A045-9D8B69D829B6}"/>
    <cellStyle name="Comma 16 2 2 5 5 2" xfId="19576" xr:uid="{EA61139E-5BD6-446F-B8BA-B3B169E7CFB3}"/>
    <cellStyle name="Comma 16 2 2 5 6" xfId="17192" xr:uid="{626DABFB-327C-4E8E-81AB-1727752389A3}"/>
    <cellStyle name="Comma 16 2 2 5 6 2" xfId="20402" xr:uid="{5B6F66B5-2D01-43F1-A382-02310AE68701}"/>
    <cellStyle name="Comma 16 2 2 5 7" xfId="18452" xr:uid="{2127D9FF-0D81-4456-8007-45AA069189BA}"/>
    <cellStyle name="Comma 16 2 2 6" xfId="1835" xr:uid="{40B0A8F8-1E01-41B6-9A03-713DCF129F38}"/>
    <cellStyle name="Comma 16 2 2 6 2" xfId="2636" xr:uid="{C7E8B2D8-6255-4B53-BC57-7673A5D31011}"/>
    <cellStyle name="Comma 16 2 2 6 2 2" xfId="3761" xr:uid="{B2E1B644-B0D1-44CD-BEBC-4C575CD1E260}"/>
    <cellStyle name="Comma 16 2 2 6 2 2 2" xfId="20215" xr:uid="{8E5472EB-813C-491C-BB85-09DB8916E8E0}"/>
    <cellStyle name="Comma 16 2 2 6 2 3" xfId="18077" xr:uid="{8F1DE078-D22B-4B0D-8934-FFF9FF8FCDF3}"/>
    <cellStyle name="Comma 16 2 2 6 2 3 2" xfId="21070" xr:uid="{37F6CED0-3714-4C04-851E-98B856CDAFDF}"/>
    <cellStyle name="Comma 16 2 2 6 2 4" xfId="19120" xr:uid="{96AEACE7-007F-411F-BE37-00D70C288898}"/>
    <cellStyle name="Comma 16 2 2 6 3" xfId="2892" xr:uid="{54626F4A-14E8-4B7F-ABC3-9F6C7EAB925D}"/>
    <cellStyle name="Comma 16 2 2 6 3 2" xfId="3505" xr:uid="{54071503-D44F-43C7-9EED-2BFD6E36DD5A}"/>
    <cellStyle name="Comma 16 2 2 6 3 2 2" xfId="19959" xr:uid="{9F9A8E27-04DA-40F9-9498-3566CF6AFEA8}"/>
    <cellStyle name="Comma 16 2 2 6 3 3" xfId="19376" xr:uid="{B9BE266F-72B6-41FE-881F-FE998FB46024}"/>
    <cellStyle name="Comma 16 2 2 6 4" xfId="3158" xr:uid="{59434302-0487-4584-B182-DDBC5AB45E8A}"/>
    <cellStyle name="Comma 16 2 2 6 4 2" xfId="19632" xr:uid="{1E5191EF-4B9D-4962-A448-ADBBD0B14626}"/>
    <cellStyle name="Comma 16 2 2 6 5" xfId="17588" xr:uid="{0B3DC378-BD5B-4696-87EC-A4A5F2DE2467}"/>
    <cellStyle name="Comma 16 2 2 6 5 2" xfId="20794" xr:uid="{6CB7B9CC-30F1-485D-BB68-2CDDEA39F9B0}"/>
    <cellStyle name="Comma 16 2 2 6 6" xfId="18844" xr:uid="{233D1BDD-0E56-4E77-A111-1A1222BAD6A9}"/>
    <cellStyle name="Comma 16 2 2 7" xfId="1607" xr:uid="{6072FBDC-ECCD-49A1-8254-D84CAA7944E6}"/>
    <cellStyle name="Comma 16 2 2 7 2" xfId="3270" xr:uid="{331C4144-5F91-4767-B8B3-C1B57B484207}"/>
    <cellStyle name="Comma 16 2 2 7 2 2" xfId="19739" xr:uid="{826375CE-C856-4927-B0AB-170477888C97}"/>
    <cellStyle name="Comma 16 2 2 7 3" xfId="17367" xr:uid="{C7793F2A-82D6-4127-99AF-09430B1A0917}"/>
    <cellStyle name="Comma 16 2 2 7 3 2" xfId="20574" xr:uid="{085D39B5-E819-4607-9353-0FF8B8CB3463}"/>
    <cellStyle name="Comma 16 2 2 7 4" xfId="18624" xr:uid="{88905685-35BF-4939-BAF0-2688A194C897}"/>
    <cellStyle name="Comma 16 2 2 8" xfId="2416" xr:uid="{B545976A-248E-4C1B-92FE-5B5AADAC3BAE}"/>
    <cellStyle name="Comma 16 2 2 8 2" xfId="3541" xr:uid="{12A0B4DB-E4A4-42B0-9F60-F1CAFA7229C9}"/>
    <cellStyle name="Comma 16 2 2 8 2 2" xfId="19995" xr:uid="{88F2EBF0-241D-4447-97B4-98A5887FE3E0}"/>
    <cellStyle name="Comma 16 2 2 8 3" xfId="17855" xr:uid="{595611BE-7578-4EC9-A85C-78B380DF5518}"/>
    <cellStyle name="Comma 16 2 2 8 3 2" xfId="20850" xr:uid="{2BC570D9-8E21-49F7-ABD9-458BC9792C2F}"/>
    <cellStyle name="Comma 16 2 2 8 4" xfId="18900" xr:uid="{76A87EB4-43DD-4084-8FC7-A9ED75FA93D0}"/>
    <cellStyle name="Comma 16 2 2 9" xfId="2672" xr:uid="{64909511-7FAF-441E-A381-A813603D4014}"/>
    <cellStyle name="Comma 16 2 2 9 2" xfId="3820" xr:uid="{643AB2F2-8F6E-4E4D-B9E5-F9FDD6A5FC58}"/>
    <cellStyle name="Comma 16 2 2 9 2 2" xfId="20274" xr:uid="{9550D79F-F3E5-4246-8363-F2E7797F74C3}"/>
    <cellStyle name="Comma 16 2 2 9 3" xfId="19156" xr:uid="{33573277-946F-4526-A210-A73D8254D9CC}"/>
    <cellStyle name="Comma 16 2 3" xfId="1414" xr:uid="{B550CFDF-0563-47C2-8021-2EFF749C5CF3}"/>
    <cellStyle name="Comma 16 2 3 10" xfId="17215" xr:uid="{B6DB20E4-DA0A-4D48-B800-659CF251B6AF}"/>
    <cellStyle name="Comma 16 2 3 10 2" xfId="20424" xr:uid="{7A86A560-4338-46A6-B8EE-18FA9C46BCA5}"/>
    <cellStyle name="Comma 16 2 3 11" xfId="18474" xr:uid="{134690B2-67ED-4D63-A481-772867CF5682}"/>
    <cellStyle name="Comma 16 2 3 2" xfId="1492" xr:uid="{B98C498E-75AD-4C61-AD37-23D8B610FE30}"/>
    <cellStyle name="Comma 16 2 3 2 2" xfId="1677" xr:uid="{3121F94A-7667-4EA8-A2D8-555804A134AB}"/>
    <cellStyle name="Comma 16 2 3 2 2 2" xfId="3611" xr:uid="{3BE44081-81B6-443A-8192-919509F8D844}"/>
    <cellStyle name="Comma 16 2 3 2 2 2 2" xfId="20065" xr:uid="{55A4518A-F2AF-4C4A-A27E-C52702002E9D}"/>
    <cellStyle name="Comma 16 2 3 2 2 3" xfId="17437" xr:uid="{8CAC8355-C461-4A73-9129-BC5A1326252C}"/>
    <cellStyle name="Comma 16 2 3 2 2 3 2" xfId="20644" xr:uid="{86726D72-E2E3-4FEB-96F1-5F4C7019755D}"/>
    <cellStyle name="Comma 16 2 3 2 2 4" xfId="18694" xr:uid="{C0790E9E-3BF3-4AE0-9644-D140EF294F5B}"/>
    <cellStyle name="Comma 16 2 3 2 3" xfId="2486" xr:uid="{BC900F59-3F73-41C0-BE3A-2A184F88FBAC}"/>
    <cellStyle name="Comma 16 2 3 2 3 2" xfId="3342" xr:uid="{225E24C4-6EE0-41A6-9CBF-8F6E0AD055CB}"/>
    <cellStyle name="Comma 16 2 3 2 3 2 2" xfId="19809" xr:uid="{0CFD104A-B45F-4762-8B32-B4EC75BF152B}"/>
    <cellStyle name="Comma 16 2 3 2 3 3" xfId="17927" xr:uid="{E26C5472-D352-454E-A8FA-401B2C2636FF}"/>
    <cellStyle name="Comma 16 2 3 2 3 3 2" xfId="20920" xr:uid="{822E9D1B-10A4-4B84-9A98-B9C779334BB7}"/>
    <cellStyle name="Comma 16 2 3 2 3 4" xfId="18970" xr:uid="{E29B8082-9E17-436C-BA68-CE5511590664}"/>
    <cellStyle name="Comma 16 2 3 2 4" xfId="2742" xr:uid="{A3E50541-9300-425F-8BA2-DF3DE9FAED69}"/>
    <cellStyle name="Comma 16 2 3 2 4 2" xfId="19226" xr:uid="{8870EB35-3270-4A29-BC69-7C21A36B2BE1}"/>
    <cellStyle name="Comma 16 2 3 2 5" xfId="3008" xr:uid="{E9F498D1-F656-46A7-8C39-58CBFB8AEF08}"/>
    <cellStyle name="Comma 16 2 3 2 5 2" xfId="19482" xr:uid="{3BAD668E-3856-42D7-8396-C01C21FA84ED}"/>
    <cellStyle name="Comma 16 2 3 2 6" xfId="17265" xr:uid="{D48CFDB2-2E41-44C7-B43A-B15CAD59A509}"/>
    <cellStyle name="Comma 16 2 3 2 6 2" xfId="20472" xr:uid="{6EECCB90-0A0C-4C7B-A509-06780A392B67}"/>
    <cellStyle name="Comma 16 2 3 2 7" xfId="18522" xr:uid="{6573B9C1-2413-415E-B042-9D57794985B1}"/>
    <cellStyle name="Comma 16 2 3 3" xfId="1552" xr:uid="{9DD023F3-0344-4465-BCD5-9990278E3B1F}"/>
    <cellStyle name="Comma 16 2 3 3 2" xfId="1724" xr:uid="{78F186C1-C522-462E-BF02-722CFAD608DC}"/>
    <cellStyle name="Comma 16 2 3 3 2 2" xfId="3658" xr:uid="{BBD43894-B8E3-4DFA-A4D9-9F6FA07829BA}"/>
    <cellStyle name="Comma 16 2 3 3 2 2 2" xfId="20112" xr:uid="{346236E9-E732-4F33-AB3A-FCC813872960}"/>
    <cellStyle name="Comma 16 2 3 3 2 3" xfId="17484" xr:uid="{193994EC-0075-4F7F-B080-CBCBDD7281EB}"/>
    <cellStyle name="Comma 16 2 3 3 2 3 2" xfId="20691" xr:uid="{0575FAA6-CB10-425C-804E-99F6D01FEA25}"/>
    <cellStyle name="Comma 16 2 3 3 2 4" xfId="18741" xr:uid="{7A53B69D-1507-4A34-9D51-D82D6129B154}"/>
    <cellStyle name="Comma 16 2 3 3 3" xfId="2533" xr:uid="{24275FE5-2C35-425A-85FA-D50DD2D2107B}"/>
    <cellStyle name="Comma 16 2 3 3 3 2" xfId="3397" xr:uid="{AD7072A1-C73C-4C07-81E5-13665BAF6271}"/>
    <cellStyle name="Comma 16 2 3 3 3 2 2" xfId="19856" xr:uid="{432B24DF-7F90-4C9B-9A7F-0085E05952B4}"/>
    <cellStyle name="Comma 16 2 3 3 3 3" xfId="17974" xr:uid="{0BDB9BFB-CD86-47AD-A093-E4464F29A450}"/>
    <cellStyle name="Comma 16 2 3 3 3 3 2" xfId="20967" xr:uid="{C878ECE6-F0E5-42A4-8099-EA6383315877}"/>
    <cellStyle name="Comma 16 2 3 3 3 4" xfId="19017" xr:uid="{2A2FFE41-1773-46CE-B8C6-EDF6BB9CE46A}"/>
    <cellStyle name="Comma 16 2 3 3 4" xfId="2789" xr:uid="{DCFF0C7E-6980-4668-A5D7-2D80B406C9CF}"/>
    <cellStyle name="Comma 16 2 3 3 4 2" xfId="19273" xr:uid="{EF772B92-79AD-492A-8BF8-34D03C5B2DF9}"/>
    <cellStyle name="Comma 16 2 3 3 5" xfId="3055" xr:uid="{0DF25F53-2D1E-4785-9484-23334EB031D8}"/>
    <cellStyle name="Comma 16 2 3 3 5 2" xfId="19529" xr:uid="{9483FEA6-29C3-4D55-9589-BEC5666A4AB5}"/>
    <cellStyle name="Comma 16 2 3 3 6" xfId="17312" xr:uid="{DC3A51E4-05C5-4D59-BAD9-A7778F7BDBCC}"/>
    <cellStyle name="Comma 16 2 3 3 6 2" xfId="20519" xr:uid="{EAFE774D-CCFD-409B-BA3C-BCEEBE6E5808}"/>
    <cellStyle name="Comma 16 2 3 3 7" xfId="18569" xr:uid="{897F32A0-2618-408D-A0D0-0D58318C3D17}"/>
    <cellStyle name="Comma 16 2 3 4" xfId="1774" xr:uid="{D8B3026B-0F06-472D-B6AD-1C7B5EC715D7}"/>
    <cellStyle name="Comma 16 2 3 4 2" xfId="2581" xr:uid="{6651AB9F-E191-439A-8682-F60EF4E668C2}"/>
    <cellStyle name="Comma 16 2 3 4 2 2" xfId="3706" xr:uid="{042FF1F5-FF04-4DCA-8C97-04D8BDAE9AC6}"/>
    <cellStyle name="Comma 16 2 3 4 2 2 2" xfId="20160" xr:uid="{F1761D8F-BB1A-4852-AF4B-EAA7D53F97E0}"/>
    <cellStyle name="Comma 16 2 3 4 2 3" xfId="18022" xr:uid="{D304BFE4-BEE0-4BA3-AB5E-047FBA7011F9}"/>
    <cellStyle name="Comma 16 2 3 4 2 3 2" xfId="21015" xr:uid="{2CFA5B06-0AF4-47D8-BBFC-08D881E74057}"/>
    <cellStyle name="Comma 16 2 3 4 2 4" xfId="19065" xr:uid="{D207F71B-A783-48CA-AF65-80D7B7391087}"/>
    <cellStyle name="Comma 16 2 3 4 3" xfId="2837" xr:uid="{ECD0D267-8FC6-4AA4-AA1B-0EF6A20EF2A2}"/>
    <cellStyle name="Comma 16 2 3 4 3 2" xfId="3446" xr:uid="{DA693F0B-09D9-47F9-866A-165704F63C3F}"/>
    <cellStyle name="Comma 16 2 3 4 3 2 2" xfId="19904" xr:uid="{DA1555DC-DA3E-4224-AAD0-784E8EA222A7}"/>
    <cellStyle name="Comma 16 2 3 4 3 3" xfId="19321" xr:uid="{310D398D-F3F6-4C4C-A62F-C94154189AD9}"/>
    <cellStyle name="Comma 16 2 3 4 4" xfId="3103" xr:uid="{3A4CE08C-6154-4715-B7F9-18F55553BBA6}"/>
    <cellStyle name="Comma 16 2 3 4 4 2" xfId="19577" xr:uid="{1293BB84-70B2-4BF5-93DA-5CB8B8307FBD}"/>
    <cellStyle name="Comma 16 2 3 4 5" xfId="17532" xr:uid="{65444DD4-3E10-4DC4-BB5B-E71C24708716}"/>
    <cellStyle name="Comma 16 2 3 4 5 2" xfId="20739" xr:uid="{0D360826-5C5C-4830-BD1C-313AD7F08E1E}"/>
    <cellStyle name="Comma 16 2 3 4 6" xfId="18789" xr:uid="{9D26A5E5-E978-40C2-88FF-D8A664C7B069}"/>
    <cellStyle name="Comma 16 2 3 5" xfId="1629" xr:uid="{0FD9FE4C-F1B8-4D84-A73C-A68DF3585C59}"/>
    <cellStyle name="Comma 16 2 3 5 2" xfId="3293" xr:uid="{2A04A587-B594-4E42-A189-B1F0D10C8A5C}"/>
    <cellStyle name="Comma 16 2 3 5 2 2" xfId="19761" xr:uid="{388DE83A-5F2B-40D1-8D04-B33300BC75E9}"/>
    <cellStyle name="Comma 16 2 3 5 3" xfId="17389" xr:uid="{27F2970C-FE59-425A-B99D-AF00D2562AB2}"/>
    <cellStyle name="Comma 16 2 3 5 3 2" xfId="20596" xr:uid="{01A9CD01-A988-49E3-A799-98ADEA560E10}"/>
    <cellStyle name="Comma 16 2 3 5 4" xfId="18646" xr:uid="{C9098AA1-BF38-49E4-A065-EBEAE3DBCFF3}"/>
    <cellStyle name="Comma 16 2 3 6" xfId="2438" xr:uid="{6F852310-4A7E-4ECC-80F2-DD1588CBA294}"/>
    <cellStyle name="Comma 16 2 3 6 2" xfId="3563" xr:uid="{71B8656F-BAFF-4E45-A9DD-F83A1793C02D}"/>
    <cellStyle name="Comma 16 2 3 6 2 2" xfId="20017" xr:uid="{8E4BDCE5-013C-4D9D-81F1-9C78724C9E49}"/>
    <cellStyle name="Comma 16 2 3 6 3" xfId="17877" xr:uid="{6983FF51-91FD-4751-A71B-D54CCD503AF9}"/>
    <cellStyle name="Comma 16 2 3 6 3 2" xfId="20872" xr:uid="{D915E1C1-FDFA-471D-ACD0-4C0CF7C3974F}"/>
    <cellStyle name="Comma 16 2 3 6 4" xfId="18922" xr:uid="{24A42C42-A8D9-49CB-91ED-750A9774C9FD}"/>
    <cellStyle name="Comma 16 2 3 7" xfId="2694" xr:uid="{922213D8-B082-489C-AA68-292FE2699F07}"/>
    <cellStyle name="Comma 16 2 3 7 2" xfId="3794" xr:uid="{638513B5-F575-440F-BF13-5F5810FE18C0}"/>
    <cellStyle name="Comma 16 2 3 7 2 2" xfId="20248" xr:uid="{194F1658-85D8-4D35-A2EE-9D98997BE1DE}"/>
    <cellStyle name="Comma 16 2 3 7 3" xfId="19178" xr:uid="{BAA00790-F196-4D90-97F3-D81F273399DD}"/>
    <cellStyle name="Comma 16 2 3 8" xfId="3191" xr:uid="{987ADFA6-EAB6-4FC6-9C5E-369E2001143C}"/>
    <cellStyle name="Comma 16 2 3 8 2" xfId="19665" xr:uid="{DE6379FE-1123-4528-8235-BFA1844E6EFD}"/>
    <cellStyle name="Comma 16 2 3 9" xfId="2960" xr:uid="{B5557095-57A7-4818-AB4C-5154B5AB04F1}"/>
    <cellStyle name="Comma 16 2 3 9 2" xfId="19434" xr:uid="{FD1E0CA8-9D37-4B57-9366-4AD759318F0E}"/>
    <cellStyle name="Comma 16 2 4" xfId="914" xr:uid="{0C4ACC6F-EC4D-4C57-A591-78700CE801B3}"/>
    <cellStyle name="Comma 16 2 4 2" xfId="1815" xr:uid="{E1DFDF41-3C38-4901-A083-850D5DBD40AC}"/>
    <cellStyle name="Comma 16 2 4 2 2" xfId="3741" xr:uid="{7F07159C-20B9-4FCF-A1D4-973495B1C341}"/>
    <cellStyle name="Comma 16 2 4 2 2 2" xfId="20195" xr:uid="{3C2CBE79-42F7-432E-9C84-BAEF1B8DDE5E}"/>
    <cellStyle name="Comma 16 2 4 2 3" xfId="17568" xr:uid="{72E166A4-B4F5-41EB-AF57-03B9CCC860BC}"/>
    <cellStyle name="Comma 16 2 4 2 3 2" xfId="20774" xr:uid="{CF818E83-D82E-47B9-B604-879F0AB2BEBE}"/>
    <cellStyle name="Comma 16 2 4 2 4" xfId="18824" xr:uid="{15E70572-DA94-4356-99A5-77D2F21EC28C}"/>
    <cellStyle name="Comma 16 2 4 3" xfId="2616" xr:uid="{027041E2-4EE4-4907-AF66-56DEDF4501A4}"/>
    <cellStyle name="Comma 16 2 4 3 2" xfId="3485" xr:uid="{235A2D3C-62BB-47BD-A98C-136E8458A97F}"/>
    <cellStyle name="Comma 16 2 4 3 2 2" xfId="19939" xr:uid="{4C8D66EA-7667-4F17-ACD5-8F018C4729DC}"/>
    <cellStyle name="Comma 16 2 4 3 3" xfId="18057" xr:uid="{CCA0C46E-0DAD-4EF5-BB87-FD5A38CA8410}"/>
    <cellStyle name="Comma 16 2 4 3 3 2" xfId="21050" xr:uid="{079E8F90-279E-43BF-B5DB-52B8FE02F774}"/>
    <cellStyle name="Comma 16 2 4 3 4" xfId="19100" xr:uid="{B698F817-8132-4DA9-82FD-E995B75E1622}"/>
    <cellStyle name="Comma 16 2 4 4" xfId="2872" xr:uid="{9C8DD4B4-B225-4B2C-B6B9-DDB05CD0B593}"/>
    <cellStyle name="Comma 16 2 4 4 2" xfId="19356" xr:uid="{4D402D86-8836-4315-95B3-649828BCFB98}"/>
    <cellStyle name="Comma 16 2 4 5" xfId="3138" xr:uid="{41CE1BD9-51B0-4B2B-905C-FA66A30C4288}"/>
    <cellStyle name="Comma 16 2 4 5 2" xfId="19612" xr:uid="{148E07AA-E57B-4129-9EAF-14C6C7B84970}"/>
    <cellStyle name="Comma 16 2 4 6" xfId="17102" xr:uid="{57428C7B-1C1D-4A32-BF9F-D0D9CF16DBA1}"/>
    <cellStyle name="Comma 16 2 4 6 2" xfId="20382" xr:uid="{D7C0CEAD-2C4C-4744-B77B-71290BD32A4A}"/>
    <cellStyle name="Comma 16 2 4 7" xfId="18432" xr:uid="{39253AA7-948B-4050-AD90-FA8E5B1E1714}"/>
    <cellStyle name="Comma 16 2 5" xfId="1587" xr:uid="{210D8DE3-FAE9-4997-BDAC-8070C221C41A}"/>
    <cellStyle name="Comma 16 2 5 2" xfId="3249" xr:uid="{4EE3AD32-EDA8-4763-9194-2047E56955EC}"/>
    <cellStyle name="Comma 16 2 5 2 2" xfId="19719" xr:uid="{C39CA732-DF5C-4DC1-BC41-B47F869DCA14}"/>
    <cellStyle name="Comma 16 2 5 3" xfId="17347" xr:uid="{A06E92B0-98CF-4D47-BFD0-C5CC19566959}"/>
    <cellStyle name="Comma 16 2 5 3 2" xfId="20554" xr:uid="{E9CF02B3-E1C3-4614-9FDD-25E0EFDCF541}"/>
    <cellStyle name="Comma 16 2 5 4" xfId="18604" xr:uid="{E886E9FD-B5AB-46CF-83DF-497C6B496285}"/>
    <cellStyle name="Comma 16 2 6" xfId="2014" xr:uid="{71375A0E-437A-4694-BA15-A4FD410010C5}"/>
    <cellStyle name="Comma 16 2 6 2" xfId="3521" xr:uid="{A8A962AF-DB56-4985-8154-361DB2DD5B4A}"/>
    <cellStyle name="Comma 16 2 6 2 2" xfId="19975" xr:uid="{145154F9-3C07-487D-B468-784FB954B924}"/>
    <cellStyle name="Comma 16 2 6 3" xfId="17723" xr:uid="{DD1F1136-6900-46FE-AE3C-05A77645205B}"/>
    <cellStyle name="Comma 16 2 6 3 2" xfId="20813" xr:uid="{1D1F79C7-2079-4610-83B5-E76E7981D2F8}"/>
    <cellStyle name="Comma 16 2 6 4" xfId="18863" xr:uid="{B43D0A93-3A8B-4520-A9CC-57F9204474B7}"/>
    <cellStyle name="Comma 16 2 7" xfId="2396" xr:uid="{37134818-5CA4-4851-83BF-C5AE5917089A}"/>
    <cellStyle name="Comma 16 2 7 2" xfId="3780" xr:uid="{74F3CBAA-9E40-4F0A-9037-BCCABEB8F5E5}"/>
    <cellStyle name="Comma 16 2 7 2 2" xfId="20234" xr:uid="{9F01AC92-7DC6-4B6A-9173-5C418E9D643E}"/>
    <cellStyle name="Comma 16 2 7 3" xfId="17826" xr:uid="{11AD8F00-B988-4548-BBD9-00F79F9A5C33}"/>
    <cellStyle name="Comma 16 2 7 3 2" xfId="20830" xr:uid="{4808120D-261A-4BA7-8914-EF06EAC835AC}"/>
    <cellStyle name="Comma 16 2 7 4" xfId="18880" xr:uid="{B4C9C2F3-5EC3-41DF-AAFE-CB068EE606B9}"/>
    <cellStyle name="Comma 16 2 8" xfId="2652" xr:uid="{B29F1FC8-4B6A-44ED-86E0-DFFBE3EB252A}"/>
    <cellStyle name="Comma 16 2 8 2" xfId="3177" xr:uid="{FA3AB116-CEA2-4310-980E-C88A976067FC}"/>
    <cellStyle name="Comma 16 2 8 2 2" xfId="19651" xr:uid="{AF3448FC-7CB9-407E-B8E3-178E53B50CA2}"/>
    <cellStyle name="Comma 16 2 8 3" xfId="16616" xr:uid="{9A98A27B-4D42-49F5-B863-5890BEED87EF}"/>
    <cellStyle name="Comma 16 2 8 3 2" xfId="20327" xr:uid="{89279B1C-62E9-4748-BFF5-C5D9995BA934}"/>
    <cellStyle name="Comma 16 2 8 4" xfId="19136" xr:uid="{3B1DF428-762F-4DA0-BC95-5D8B0FBD2A94}"/>
    <cellStyle name="Comma 16 2 9" xfId="2918" xr:uid="{A657A955-3111-4D6E-8B6C-831C9BC5EA46}"/>
    <cellStyle name="Comma 16 2 9 2" xfId="19392" xr:uid="{40505B6D-6AA9-49CA-B17C-CE238DD83325}"/>
    <cellStyle name="Comma 16 3" xfId="204" xr:uid="{26252D5E-5EC3-4095-9E72-DC9FAA908DE0}"/>
    <cellStyle name="Comma 16 4" xfId="852" xr:uid="{36C1F1BC-BB1E-4122-809C-D240F20BE1BD}"/>
    <cellStyle name="Comma 16 4 10" xfId="3217" xr:uid="{F37F9578-80CB-4500-8597-CF3A53E4EAF7}"/>
    <cellStyle name="Comma 16 4 10 2" xfId="19690" xr:uid="{13CE338E-9A34-4D2E-B021-1F436378FB30}"/>
    <cellStyle name="Comma 16 4 11" xfId="2937" xr:uid="{E1745743-5A00-45FA-A7B6-FA66865A8B7D}"/>
    <cellStyle name="Comma 16 4 11 2" xfId="19411" xr:uid="{CB60A588-15AE-4568-A8A9-BB71F1441D40}"/>
    <cellStyle name="Comma 16 4 12" xfId="17061" xr:uid="{DC5629CA-97CC-434D-8546-253C7251AC06}"/>
    <cellStyle name="Comma 16 4 12 2" xfId="20353" xr:uid="{D2A33D27-EE0F-4E4D-9763-BFC61F8D5DDE}"/>
    <cellStyle name="Comma 16 4 13" xfId="18403" xr:uid="{14A16539-C8C7-4055-BD53-E2F32211F9EB}"/>
    <cellStyle name="Comma 16 4 2" xfId="1450" xr:uid="{8DD591BB-4894-41FF-B113-2656651D3865}"/>
    <cellStyle name="Comma 16 4 2 2" xfId="1647" xr:uid="{4220F9A6-279D-45AB-8FD1-BE13F9B35012}"/>
    <cellStyle name="Comma 16 4 2 2 2" xfId="3581" xr:uid="{993A3E17-A608-4C4D-BBB8-9D10B49EEBEA}"/>
    <cellStyle name="Comma 16 4 2 2 2 2" xfId="20035" xr:uid="{7D472855-E94A-4220-9A0B-E14984D165CF}"/>
    <cellStyle name="Comma 16 4 2 2 3" xfId="17407" xr:uid="{28573EFB-600E-4AAF-BD78-97CD2104139A}"/>
    <cellStyle name="Comma 16 4 2 2 3 2" xfId="20614" xr:uid="{C3D55075-39FF-45CC-A7F1-96E69071D0E1}"/>
    <cellStyle name="Comma 16 4 2 2 4" xfId="18664" xr:uid="{AF04DE25-F1EA-4A8E-9804-E263C94498F9}"/>
    <cellStyle name="Comma 16 4 2 3" xfId="2456" xr:uid="{8C570B94-F035-4546-B2E1-1445846FD5E9}"/>
    <cellStyle name="Comma 16 4 2 3 2" xfId="3311" xr:uid="{74C1362F-9FA7-48F9-9246-5B1BD7FA9D21}"/>
    <cellStyle name="Comma 16 4 2 3 2 2" xfId="19779" xr:uid="{10582FCA-FBC0-415E-882B-79539050935B}"/>
    <cellStyle name="Comma 16 4 2 3 3" xfId="17897" xr:uid="{97B57CDC-CC0E-4E93-BC55-FFAD229AD2C5}"/>
    <cellStyle name="Comma 16 4 2 3 3 2" xfId="20890" xr:uid="{D04BA53B-7F9E-49FE-A6F3-954CCD596867}"/>
    <cellStyle name="Comma 16 4 2 3 4" xfId="18940" xr:uid="{70BEEF73-732F-4C89-AF7B-5FDCC97BC38B}"/>
    <cellStyle name="Comma 16 4 2 4" xfId="2712" xr:uid="{78CDC591-9CB2-4D8D-A19E-6270C19C47BE}"/>
    <cellStyle name="Comma 16 4 2 4 2" xfId="19196" xr:uid="{38494E0E-D68F-4CDA-9B23-9E565F5BFEE4}"/>
    <cellStyle name="Comma 16 4 2 5" xfId="2978" xr:uid="{1612821A-3B4D-40A7-8579-2B798018CE7E}"/>
    <cellStyle name="Comma 16 4 2 5 2" xfId="19452" xr:uid="{35D9048D-3AF7-4B8A-94C4-E11F7DD91CD4}"/>
    <cellStyle name="Comma 16 4 2 6" xfId="17234" xr:uid="{D1F6F6E6-F8BB-490D-8185-95EA804A4431}"/>
    <cellStyle name="Comma 16 4 2 6 2" xfId="20442" xr:uid="{A546EDDD-CD9C-4EAD-84DC-8EAECDEDDF4C}"/>
    <cellStyle name="Comma 16 4 2 7" xfId="18492" xr:uid="{D5E79172-F35E-4811-8603-20E05B7E75EE}"/>
    <cellStyle name="Comma 16 4 3" xfId="1493" xr:uid="{51A990ED-394C-4E0A-B87E-F2E09B7CA940}"/>
    <cellStyle name="Comma 16 4 3 2" xfId="1678" xr:uid="{AB063BC7-2E96-46E5-9718-EE580E42CBEC}"/>
    <cellStyle name="Comma 16 4 3 2 2" xfId="3612" xr:uid="{8014E4CB-8258-41DD-9F70-A85A136EB35F}"/>
    <cellStyle name="Comma 16 4 3 2 2 2" xfId="20066" xr:uid="{5E983BE1-728C-45D5-8EA2-A6BA288F4336}"/>
    <cellStyle name="Comma 16 4 3 2 3" xfId="17438" xr:uid="{EC79B34C-0D1B-4CF7-A0BD-1733444C7BBF}"/>
    <cellStyle name="Comma 16 4 3 2 3 2" xfId="20645" xr:uid="{050622DD-66F3-4EB1-AF72-73F1A53D6FCD}"/>
    <cellStyle name="Comma 16 4 3 2 4" xfId="18695" xr:uid="{48FE37E1-8105-4D18-B300-6E4C6C0379C5}"/>
    <cellStyle name="Comma 16 4 3 3" xfId="2487" xr:uid="{753AFA24-EE91-42AF-81AC-E6C8117C015C}"/>
    <cellStyle name="Comma 16 4 3 3 2" xfId="3343" xr:uid="{380882B6-5A71-40C5-9FAB-BE27DCD1E29D}"/>
    <cellStyle name="Comma 16 4 3 3 2 2" xfId="19810" xr:uid="{BB9D104E-1C6A-4B99-B662-2DCBCD122338}"/>
    <cellStyle name="Comma 16 4 3 3 3" xfId="17928" xr:uid="{7296A593-2D97-414D-A56A-7CC9DCE8899B}"/>
    <cellStyle name="Comma 16 4 3 3 3 2" xfId="20921" xr:uid="{2FF52634-230B-4C3D-BA89-B76B5035959F}"/>
    <cellStyle name="Comma 16 4 3 3 4" xfId="18971" xr:uid="{0204C880-F2B0-461E-8050-D581C7C3EEA5}"/>
    <cellStyle name="Comma 16 4 3 4" xfId="2743" xr:uid="{D5A28E7C-B704-4AFD-AEBD-AA490B3AE6EB}"/>
    <cellStyle name="Comma 16 4 3 4 2" xfId="19227" xr:uid="{4A56F362-6DD9-472A-B08B-A585BE2009E7}"/>
    <cellStyle name="Comma 16 4 3 5" xfId="3009" xr:uid="{49CDA82D-0DAC-4D65-84FB-5B8669AA1DAD}"/>
    <cellStyle name="Comma 16 4 3 5 2" xfId="19483" xr:uid="{3081DC08-1EB4-4D05-AF6C-E4E81CBFB673}"/>
    <cellStyle name="Comma 16 4 3 6" xfId="17266" xr:uid="{DC625259-EC2E-432F-91BE-1E8739776056}"/>
    <cellStyle name="Comma 16 4 3 6 2" xfId="20473" xr:uid="{30603C3A-AFCC-42B3-94B2-F779DD09ACB9}"/>
    <cellStyle name="Comma 16 4 3 7" xfId="18523" xr:uid="{481F1C7F-8796-44BF-B079-650631D41299}"/>
    <cellStyle name="Comma 16 4 4" xfId="1553" xr:uid="{359CB41C-3071-4C5F-988F-CB7FFB20A7A7}"/>
    <cellStyle name="Comma 16 4 4 2" xfId="1725" xr:uid="{34794632-7B23-4F79-ACC6-980985F1DCF2}"/>
    <cellStyle name="Comma 16 4 4 2 2" xfId="3659" xr:uid="{1FE93E9B-6E18-40A9-8AE0-72668FAC9178}"/>
    <cellStyle name="Comma 16 4 4 2 2 2" xfId="20113" xr:uid="{443930FE-05BB-4768-9106-2C5CEB36734C}"/>
    <cellStyle name="Comma 16 4 4 2 3" xfId="17485" xr:uid="{9EEB22DF-8B9F-4E40-B27C-A9485E81510A}"/>
    <cellStyle name="Comma 16 4 4 2 3 2" xfId="20692" xr:uid="{30BFB0ED-80D2-41E3-9ADB-E63F58CB0C76}"/>
    <cellStyle name="Comma 16 4 4 2 4" xfId="18742" xr:uid="{7C4F463D-643A-4C9F-8AF9-4E5E2D63D555}"/>
    <cellStyle name="Comma 16 4 4 3" xfId="2534" xr:uid="{065DD634-4124-42AD-9B14-ECA31B711B94}"/>
    <cellStyle name="Comma 16 4 4 3 2" xfId="3398" xr:uid="{41A0B9BD-FF53-472C-95C0-A19038B9F1A2}"/>
    <cellStyle name="Comma 16 4 4 3 2 2" xfId="19857" xr:uid="{EDCA716B-EEA0-48BF-A1F7-B519DA21F334}"/>
    <cellStyle name="Comma 16 4 4 3 3" xfId="17975" xr:uid="{2CCAFC4E-9B66-47FF-ACC3-E8D536A6300E}"/>
    <cellStyle name="Comma 16 4 4 3 3 2" xfId="20968" xr:uid="{2E0A3882-117B-4553-90F9-8EE0E368FE92}"/>
    <cellStyle name="Comma 16 4 4 3 4" xfId="19018" xr:uid="{E25FBECB-FFBC-48B7-8141-FB4C9A60A6A7}"/>
    <cellStyle name="Comma 16 4 4 4" xfId="2790" xr:uid="{F5509760-38DB-479F-BE7E-24A3E2B46B6A}"/>
    <cellStyle name="Comma 16 4 4 4 2" xfId="19274" xr:uid="{7824BA7F-9F61-4EA4-B78E-B5959C9E59D8}"/>
    <cellStyle name="Comma 16 4 4 5" xfId="3056" xr:uid="{924CB1F7-E4AC-4A1D-8758-6E0BFCA758D8}"/>
    <cellStyle name="Comma 16 4 4 5 2" xfId="19530" xr:uid="{035F6FCE-C14D-4320-ACE8-47639FA1CF29}"/>
    <cellStyle name="Comma 16 4 4 6" xfId="17313" xr:uid="{9A3529CF-54E4-4A04-9605-E6BB20EFCE17}"/>
    <cellStyle name="Comma 16 4 4 6 2" xfId="20520" xr:uid="{12BE3386-DCC0-4108-BE8E-B282C43CD0DA}"/>
    <cellStyle name="Comma 16 4 4 7" xfId="18570" xr:uid="{71F203A5-1270-4FD1-9612-6B382A3209D5}"/>
    <cellStyle name="Comma 16 4 5" xfId="1377" xr:uid="{ACD48DDD-4C8D-42DE-A022-10D3195A91EE}"/>
    <cellStyle name="Comma 16 4 5 2" xfId="1775" xr:uid="{34CD41BD-5106-477C-B1A9-B0ECBEA2B8AE}"/>
    <cellStyle name="Comma 16 4 5 2 2" xfId="3707" xr:uid="{3CF9FEBD-F69D-4605-A5AE-E3E1E9E08E79}"/>
    <cellStyle name="Comma 16 4 5 2 2 2" xfId="20161" xr:uid="{86DF2642-7DB9-43C4-BD90-2B694A3FD037}"/>
    <cellStyle name="Comma 16 4 5 2 3" xfId="17533" xr:uid="{2E16A4C3-6E66-4FCF-BA80-6D3B0BBB3041}"/>
    <cellStyle name="Comma 16 4 5 2 3 2" xfId="20740" xr:uid="{615D2A3F-B005-430B-8C89-1406BB750269}"/>
    <cellStyle name="Comma 16 4 5 2 4" xfId="18790" xr:uid="{8FEA2816-BB3B-488C-A109-082ED90E97AA}"/>
    <cellStyle name="Comma 16 4 5 3" xfId="2582" xr:uid="{44820FA3-8EF0-4A3B-B218-3B2082C9312C}"/>
    <cellStyle name="Comma 16 4 5 3 2" xfId="3447" xr:uid="{5319059A-95E0-4135-B5CA-D491EC66061F}"/>
    <cellStyle name="Comma 16 4 5 3 2 2" xfId="19905" xr:uid="{5396DBB9-B6A8-4CEA-AC3C-A88241AE4712}"/>
    <cellStyle name="Comma 16 4 5 3 3" xfId="18023" xr:uid="{0F9E96D9-0BB2-4689-932E-E03BBF26B123}"/>
    <cellStyle name="Comma 16 4 5 3 3 2" xfId="21016" xr:uid="{373088D0-F9A6-49DF-A50D-29676D6DCBFD}"/>
    <cellStyle name="Comma 16 4 5 3 4" xfId="19066" xr:uid="{79AD8D9C-1A5B-403A-B4F7-9F38DD8703B7}"/>
    <cellStyle name="Comma 16 4 5 4" xfId="2838" xr:uid="{92E81F15-3D39-422E-83B3-2B7CD82495A2}"/>
    <cellStyle name="Comma 16 4 5 4 2" xfId="19322" xr:uid="{F9190375-4A73-41EE-93E9-2DBF9A087D7B}"/>
    <cellStyle name="Comma 16 4 5 5" xfId="3104" xr:uid="{644CC754-CC36-40EF-BF11-E32C833F6E31}"/>
    <cellStyle name="Comma 16 4 5 5 2" xfId="19578" xr:uid="{F084EE60-10F3-4AB1-A1A8-65DD4DCC36B0}"/>
    <cellStyle name="Comma 16 4 5 6" xfId="17191" xr:uid="{F00D764F-8D1E-4F97-8994-D758DF9E676C}"/>
    <cellStyle name="Comma 16 4 5 6 2" xfId="20401" xr:uid="{B02FBBE9-8103-4762-8628-0275BD59DB7E}"/>
    <cellStyle name="Comma 16 4 5 7" xfId="18451" xr:uid="{161D8077-C651-416C-A32B-E1D0681F6D8A}"/>
    <cellStyle name="Comma 16 4 6" xfId="1834" xr:uid="{D1D16866-2152-4BCD-82CE-70E97069A2EE}"/>
    <cellStyle name="Comma 16 4 6 2" xfId="2635" xr:uid="{AB627A6E-25C4-48E0-ACBF-3ADCC90E8DDD}"/>
    <cellStyle name="Comma 16 4 6 2 2" xfId="3760" xr:uid="{32394187-5BF2-49F2-B232-5EA462F80594}"/>
    <cellStyle name="Comma 16 4 6 2 2 2" xfId="20214" xr:uid="{0739E1F4-F405-40F5-8650-C4018EA3818A}"/>
    <cellStyle name="Comma 16 4 6 2 3" xfId="18076" xr:uid="{967BD8BF-0C34-44A3-8A88-2744BA6789EC}"/>
    <cellStyle name="Comma 16 4 6 2 3 2" xfId="21069" xr:uid="{56B33B98-1ABF-4508-AEF1-4E74EA00572E}"/>
    <cellStyle name="Comma 16 4 6 2 4" xfId="19119" xr:uid="{42990B4B-02F7-4398-AD0B-AC875D1FB1C1}"/>
    <cellStyle name="Comma 16 4 6 3" xfId="2891" xr:uid="{FBC3BF9D-8424-48DB-A012-2D7E91A591EF}"/>
    <cellStyle name="Comma 16 4 6 3 2" xfId="3504" xr:uid="{BFE29A76-4CA9-42E9-A5B5-5104CD8B0CA8}"/>
    <cellStyle name="Comma 16 4 6 3 2 2" xfId="19958" xr:uid="{78AA3BAF-CF82-43D8-8528-7C0C00DC690A}"/>
    <cellStyle name="Comma 16 4 6 3 3" xfId="19375" xr:uid="{6AB7DE18-5137-4418-9296-D568BDA2A579}"/>
    <cellStyle name="Comma 16 4 6 4" xfId="3157" xr:uid="{AB12B96D-9379-4A1D-B3CC-DF8284A0A2CE}"/>
    <cellStyle name="Comma 16 4 6 4 2" xfId="19631" xr:uid="{AA8FFE90-BA4F-43F7-B04E-CBD2F0DA2B14}"/>
    <cellStyle name="Comma 16 4 6 5" xfId="17587" xr:uid="{DB61A936-624D-4048-85C7-4D413E4957CD}"/>
    <cellStyle name="Comma 16 4 6 5 2" xfId="20793" xr:uid="{EC85225F-7966-486F-A7E0-5C6E8F723A8A}"/>
    <cellStyle name="Comma 16 4 6 6" xfId="18843" xr:uid="{3C6A9C1D-F6EB-4AC0-A961-29F2DDC3BBCC}"/>
    <cellStyle name="Comma 16 4 7" xfId="1606" xr:uid="{8E306923-2222-48DC-A8BF-A75B5D18AA81}"/>
    <cellStyle name="Comma 16 4 7 2" xfId="3269" xr:uid="{B5B0D76B-3DD6-4673-B4C3-65F39CC6FDF0}"/>
    <cellStyle name="Comma 16 4 7 2 2" xfId="19738" xr:uid="{2D4E464B-0E24-4BBD-ADDF-9E8A16A2404C}"/>
    <cellStyle name="Comma 16 4 7 3" xfId="17366" xr:uid="{A6C3ED30-5600-4C38-B302-A08C56EB019E}"/>
    <cellStyle name="Comma 16 4 7 3 2" xfId="20573" xr:uid="{9EC47B3A-BA87-484A-94FA-5653E74C27F0}"/>
    <cellStyle name="Comma 16 4 7 4" xfId="18623" xr:uid="{324415A1-75A4-4995-B98F-41D8FEB2E6EF}"/>
    <cellStyle name="Comma 16 4 8" xfId="2415" xr:uid="{865685C7-0717-435A-A6FD-CC002D0A0C72}"/>
    <cellStyle name="Comma 16 4 8 2" xfId="3540" xr:uid="{37C0B827-40DE-4986-AADA-0FF80C86D3A5}"/>
    <cellStyle name="Comma 16 4 8 2 2" xfId="19994" xr:uid="{F1E41E51-D63C-4072-8149-AB4B8B7B6DD2}"/>
    <cellStyle name="Comma 16 4 8 3" xfId="17854" xr:uid="{5372FA4B-AF61-41AB-B635-A24C5428664E}"/>
    <cellStyle name="Comma 16 4 8 3 2" xfId="20849" xr:uid="{B276686A-DCFB-487C-BD35-4CDD39ED6938}"/>
    <cellStyle name="Comma 16 4 8 4" xfId="18899" xr:uid="{A54170ED-1EED-402E-BD22-FA5A45FE7AD4}"/>
    <cellStyle name="Comma 16 4 9" xfId="2671" xr:uid="{DC42E515-2888-4086-9B48-5A1B4EC281D2}"/>
    <cellStyle name="Comma 16 4 9 2" xfId="3819" xr:uid="{E062E1B4-4DAE-41C2-AFD8-6D3E70B062F3}"/>
    <cellStyle name="Comma 16 4 9 2 2" xfId="20273" xr:uid="{72B1C06A-0338-4F84-85D3-BA0BAD38223F}"/>
    <cellStyle name="Comma 16 4 9 3" xfId="19155" xr:uid="{E83E27DE-92DA-4B33-B8D7-7B878A0A3E07}"/>
    <cellStyle name="Comma 16 5" xfId="2013" xr:uid="{F9495B36-13CF-458F-AFBA-FCD7E0925236}"/>
    <cellStyle name="Comma 16 5 2" xfId="3793" xr:uid="{60319565-C3A0-4A7B-9B50-9AAE244D9411}"/>
    <cellStyle name="Comma 16 5 2 2" xfId="20247" xr:uid="{5B77CE4B-5B8F-477E-84DA-06224CC134FB}"/>
    <cellStyle name="Comma 16 5 3" xfId="3190" xr:uid="{9482C806-4425-473B-8212-B2FD9B312982}"/>
    <cellStyle name="Comma 16 5 3 2" xfId="19664" xr:uid="{18E85D67-0C3C-46B8-A103-3887E640FD63}"/>
    <cellStyle name="Comma 16 5 4" xfId="17722" xr:uid="{3BDB2A41-8AAB-49E4-8D5E-2789C1362A8E}"/>
    <cellStyle name="Comma 16 5 4 2" xfId="20812" xr:uid="{FB7FF560-8B48-4979-B0D9-547595E55A36}"/>
    <cellStyle name="Comma 16 5 5" xfId="18862" xr:uid="{CB1186E9-F60F-40DE-89DF-1FB313D61DA1}"/>
    <cellStyle name="Comma 16 6" xfId="3779" xr:uid="{D4BF7514-2FD2-4294-ABB6-A756C03051B2}"/>
    <cellStyle name="Comma 16 6 2" xfId="16615" xr:uid="{F35557CB-E614-45F5-BCC6-273121C3C3B5}"/>
    <cellStyle name="Comma 16 6 2 2" xfId="20326" xr:uid="{DC1F80B7-824E-431D-9BF8-80368DC72972}"/>
    <cellStyle name="Comma 16 6 3" xfId="20233" xr:uid="{702D99B7-6230-4B69-A04C-1FE5ED024BF4}"/>
    <cellStyle name="Comma 16 7" xfId="3176" xr:uid="{D8592FD0-CEA3-4550-B7F1-9C46DBB0D352}"/>
    <cellStyle name="Comma 16 7 2" xfId="19650" xr:uid="{532B8F2F-B4EA-42D3-B3D8-54AFFEFFDE98}"/>
    <cellStyle name="Comma 16 8" xfId="3853" xr:uid="{024D0C78-096D-496C-BDDF-696D57B59987}"/>
    <cellStyle name="Comma 16 8 2" xfId="20304" xr:uid="{CC9E3355-A17E-4624-94EA-DD90AD1EE424}"/>
    <cellStyle name="Comma 16 9" xfId="18377" xr:uid="{AEFDEA51-9B95-455D-8999-E0ACAD034680}"/>
    <cellStyle name="Comma 17" xfId="205" xr:uid="{14DCB230-3321-4861-ACE9-E3D6EA9137DC}"/>
    <cellStyle name="Comma 17 2" xfId="206" xr:uid="{50105650-8289-474C-A8A1-925A3185C5BF}"/>
    <cellStyle name="Comma 17 3" xfId="207" xr:uid="{E9BA8892-3E3C-4B7C-9DC0-0463586D2DD5}"/>
    <cellStyle name="Comma 18" xfId="208" xr:uid="{2305DFAE-C0B9-4A5C-B29C-C7D86510F662}"/>
    <cellStyle name="Comma 18 2" xfId="209" xr:uid="{29EBDE0F-87F3-4185-A5A8-0754610F0815}"/>
    <cellStyle name="Comma 18 3" xfId="210" xr:uid="{8DDAB0D9-3227-4D2A-8897-181C78C709E7}"/>
    <cellStyle name="Comma 19" xfId="211" xr:uid="{7A2E12E4-4E96-456C-93A4-1FC0D28376C2}"/>
    <cellStyle name="Comma 19 2" xfId="212" xr:uid="{1BD04FE3-C415-45F4-86E9-3413283727E9}"/>
    <cellStyle name="Comma 2" xfId="213" xr:uid="{7FC3CBCF-9C73-4531-8432-657D61D60761}"/>
    <cellStyle name="Comma 2 2" xfId="214" xr:uid="{7AB7D600-C357-4D45-B605-A0EF3C58614D}"/>
    <cellStyle name="Comma 2 2 2" xfId="215" xr:uid="{32DD6FBC-1FFE-4712-97F8-B4363A588478}"/>
    <cellStyle name="Comma 2 2 3" xfId="216" xr:uid="{C477AF97-1D68-4170-971C-2330A133CD47}"/>
    <cellStyle name="Comma 2 2 3 10" xfId="1816" xr:uid="{33726C67-79E5-4044-9E28-E7D966B0FB26}"/>
    <cellStyle name="Comma 2 2 3 10 2" xfId="2617" xr:uid="{8CF3F734-78F0-4FB3-B646-B673A1C082A4}"/>
    <cellStyle name="Comma 2 2 3 10 2 2" xfId="3742" xr:uid="{5E41753A-1517-4AB4-B0B1-EE83A61E4730}"/>
    <cellStyle name="Comma 2 2 3 10 2 2 2" xfId="20196" xr:uid="{E86051C2-6365-4A55-93D0-02FB5DA8148D}"/>
    <cellStyle name="Comma 2 2 3 10 2 3" xfId="18058" xr:uid="{82F21300-F3EB-4CC9-98BA-18CC8E989EC3}"/>
    <cellStyle name="Comma 2 2 3 10 2 3 2" xfId="21051" xr:uid="{D5B2EAEF-F531-48EE-ADFC-065B238B5CE4}"/>
    <cellStyle name="Comma 2 2 3 10 2 4" xfId="19101" xr:uid="{4EEFEBED-DB0D-47D5-8907-B996D67B2484}"/>
    <cellStyle name="Comma 2 2 3 10 3" xfId="2873" xr:uid="{1AEF5868-5F44-49AA-9650-5F3E809BBF92}"/>
    <cellStyle name="Comma 2 2 3 10 3 2" xfId="3486" xr:uid="{D061E538-C6A1-4261-A06F-264301B8EEBA}"/>
    <cellStyle name="Comma 2 2 3 10 3 2 2" xfId="19940" xr:uid="{05443738-B8CC-4BD1-9706-3B8BC0DB6352}"/>
    <cellStyle name="Comma 2 2 3 10 3 3" xfId="19357" xr:uid="{E29BB3A1-74D3-49E3-BBC5-53A8920EB1A2}"/>
    <cellStyle name="Comma 2 2 3 10 4" xfId="3139" xr:uid="{9685392D-B017-4AD6-899D-87CE8366EA6E}"/>
    <cellStyle name="Comma 2 2 3 10 4 2" xfId="19613" xr:uid="{DEC487B2-61DB-4614-86F6-3715573878E5}"/>
    <cellStyle name="Comma 2 2 3 10 5" xfId="17569" xr:uid="{DC5E6424-EF99-40E0-8657-9AC18DE99945}"/>
    <cellStyle name="Comma 2 2 3 10 5 2" xfId="20775" xr:uid="{24BA5A0F-7EFF-47AF-9BCC-6847380C3049}"/>
    <cellStyle name="Comma 2 2 3 10 6" xfId="18825" xr:uid="{ED5E30F1-CD8C-4A03-9976-07EE7BAC72D0}"/>
    <cellStyle name="Comma 2 2 3 11" xfId="1588" xr:uid="{ED889949-E2F0-44F8-B2DB-150F4A5A8EAB}"/>
    <cellStyle name="Comma 2 2 3 11 2" xfId="3250" xr:uid="{A91D35A6-0E57-4797-83BB-93B30C2756C9}"/>
    <cellStyle name="Comma 2 2 3 11 2 2" xfId="19720" xr:uid="{D1D57EA5-BBE7-41AD-AFDF-231EFA482437}"/>
    <cellStyle name="Comma 2 2 3 11 3" xfId="17348" xr:uid="{518AD516-0CEF-4393-9D53-AF6B49146C57}"/>
    <cellStyle name="Comma 2 2 3 11 3 2" xfId="20555" xr:uid="{3B5E4A00-8ADD-49E2-9A0E-87277D3C113B}"/>
    <cellStyle name="Comma 2 2 3 11 4" xfId="18605" xr:uid="{8222282A-5B02-4C66-A4C7-78935AA9B081}"/>
    <cellStyle name="Comma 2 2 3 12" xfId="2015" xr:uid="{8DEDC934-55E5-4772-82B8-B05FBAE6BD95}"/>
    <cellStyle name="Comma 2 2 3 12 2" xfId="3522" xr:uid="{46271BF3-A395-41DB-B78C-5D294075C78D}"/>
    <cellStyle name="Comma 2 2 3 12 2 2" xfId="19976" xr:uid="{B508C6A7-3133-49F7-BAFE-C57D8412005D}"/>
    <cellStyle name="Comma 2 2 3 12 3" xfId="17724" xr:uid="{5B1308C3-DC5E-4565-BFEE-24B5462C947D}"/>
    <cellStyle name="Comma 2 2 3 12 3 2" xfId="20814" xr:uid="{94A8815A-F184-436D-AA47-6D0BC1939270}"/>
    <cellStyle name="Comma 2 2 3 12 4" xfId="18864" xr:uid="{8942E8E7-D5D8-4BF4-A58B-9F3C60AD6513}"/>
    <cellStyle name="Comma 2 2 3 13" xfId="2397" xr:uid="{416F36BC-9D0D-472C-AB70-DEC0079EE3DF}"/>
    <cellStyle name="Comma 2 2 3 13 2" xfId="3781" xr:uid="{41140A57-C3EB-4623-8B62-22D769A9228A}"/>
    <cellStyle name="Comma 2 2 3 13 2 2" xfId="20235" xr:uid="{2DC4C18A-5184-4BC1-9733-0C197B5FD48C}"/>
    <cellStyle name="Comma 2 2 3 13 3" xfId="17827" xr:uid="{505384D7-1E22-4617-8EAB-3182A4F32428}"/>
    <cellStyle name="Comma 2 2 3 13 3 2" xfId="20831" xr:uid="{A1E9EB89-D317-48F6-85D4-2CBC7572775F}"/>
    <cellStyle name="Comma 2 2 3 13 4" xfId="18881" xr:uid="{5FF6F4E3-8663-4795-AA95-823D90B28B9E}"/>
    <cellStyle name="Comma 2 2 3 14" xfId="2653" xr:uid="{634656D7-B9E2-438E-A5F0-E57BAFE5FFD4}"/>
    <cellStyle name="Comma 2 2 3 14 2" xfId="3178" xr:uid="{1311FD0D-E125-4F74-9D46-58B8DA81058C}"/>
    <cellStyle name="Comma 2 2 3 14 2 2" xfId="19652" xr:uid="{E407D838-9DB3-47B8-BD61-A3E22D5BEB95}"/>
    <cellStyle name="Comma 2 2 3 14 3" xfId="18125" xr:uid="{E3CB6F78-401E-479D-A9E4-E19918C3555F}"/>
    <cellStyle name="Comma 2 2 3 14 3 2" xfId="21085" xr:uid="{26365469-9F7A-41B9-8222-44098F8B283F}"/>
    <cellStyle name="Comma 2 2 3 14 4" xfId="19137" xr:uid="{5632CBB8-382A-4421-8049-7F96A821D745}"/>
    <cellStyle name="Comma 2 2 3 15" xfId="2919" xr:uid="{F43FD16A-5163-491D-B6E7-B5710A0BA254}"/>
    <cellStyle name="Comma 2 2 3 15 2" xfId="18151" xr:uid="{E5A941E1-DE00-4C79-B571-7D5FBA8248AB}"/>
    <cellStyle name="Comma 2 2 3 15 2 2" xfId="21093" xr:uid="{238E8269-BE79-41C6-8B72-C0266BBDE794}"/>
    <cellStyle name="Comma 2 2 3 15 3" xfId="19393" xr:uid="{DA4C80B5-9D09-4B7B-9CD9-109234FC417D}"/>
    <cellStyle name="Comma 2 2 3 16" xfId="16617" xr:uid="{68ED0630-AF77-4C61-92B0-31CAA39378A2}"/>
    <cellStyle name="Comma 2 2 3 16 2" xfId="20328" xr:uid="{576C4353-D701-4A78-BAF3-2A4947A94EE6}"/>
    <cellStyle name="Comma 2 2 3 17" xfId="3855" xr:uid="{D20A2B8C-3D3C-4749-9B78-F47DE7311C80}"/>
    <cellStyle name="Comma 2 2 3 17 2" xfId="20306" xr:uid="{6F2E04C2-E1B9-41A0-AC51-A2242B2FB617}"/>
    <cellStyle name="Comma 2 2 3 18" xfId="18379" xr:uid="{29501C59-6490-4844-BE00-89064327D198}"/>
    <cellStyle name="Comma 2 2 3 2" xfId="822" xr:uid="{011273E0-4FB3-4313-9C58-F4025E5ADE80}"/>
    <cellStyle name="Comma 2 2 3 2 10" xfId="2661" xr:uid="{ABBF1E67-8704-4A86-A373-8F17A7C100A8}"/>
    <cellStyle name="Comma 2 2 3 2 10 2" xfId="3200" xr:uid="{3EDB4B3B-61AF-4CE0-B3B4-318FFE17E74E}"/>
    <cellStyle name="Comma 2 2 3 2 10 2 2" xfId="19674" xr:uid="{FC8E37C6-8648-41A6-A6C6-D307CEE8BF4B}"/>
    <cellStyle name="Comma 2 2 3 2 10 3" xfId="17033" xr:uid="{5EFE1E06-13C7-4B63-BF72-9FA5D3D85CE6}"/>
    <cellStyle name="Comma 2 2 3 2 10 3 2" xfId="20337" xr:uid="{6D186A6C-B0C9-45C6-9094-5A58601FADC8}"/>
    <cellStyle name="Comma 2 2 3 2 10 4" xfId="19145" xr:uid="{80A3A0F6-FCBD-4BE4-863D-5EB0CB2C3844}"/>
    <cellStyle name="Comma 2 2 3 2 11" xfId="2927" xr:uid="{2AA153F1-E4D4-47A9-9471-F85EEA3C4A00}"/>
    <cellStyle name="Comma 2 2 3 2 11 2" xfId="19401" xr:uid="{DA69339F-80D3-4AE4-99D8-A90197C2D7E3}"/>
    <cellStyle name="Comma 2 2 3 2 12" xfId="3923" xr:uid="{4C22CD47-D2AD-4671-AF62-34BF55335E27}"/>
    <cellStyle name="Comma 2 2 3 2 12 2" xfId="20315" xr:uid="{C5AB3D83-3993-473C-807F-B510175B4BBB}"/>
    <cellStyle name="Comma 2 2 3 2 13" xfId="18387" xr:uid="{DD9D1FD9-A715-4758-BF67-34084014D15E}"/>
    <cellStyle name="Comma 2 2 3 2 2" xfId="864" xr:uid="{BE501E97-8A5F-4413-B85E-C02588979931}"/>
    <cellStyle name="Comma 2 2 3 2 2 2" xfId="1435" xr:uid="{E3D3E6AD-17BA-4808-B7DE-40EB8333534C}"/>
    <cellStyle name="Comma 2 2 3 2 2 2 2" xfId="3301" xr:uid="{433F1F91-A042-48F3-BF58-2D2BAB510EEB}"/>
    <cellStyle name="Comma 2 2 3 2 2 2 2 2" xfId="19769" xr:uid="{0881DD9D-B8FC-4811-A97F-367098F38DB1}"/>
    <cellStyle name="Comma 2 2 3 2 2 2 3" xfId="17224" xr:uid="{61C346D7-7B89-4164-A4D4-39D8A69E5248}"/>
    <cellStyle name="Comma 2 2 3 2 2 2 3 2" xfId="20432" xr:uid="{E6DEE45E-6718-4C0E-8259-D55350CE70B8}"/>
    <cellStyle name="Comma 2 2 3 2 2 2 4" xfId="18482" xr:uid="{37012E54-06E9-4A31-824A-E3706E0D07B8}"/>
    <cellStyle name="Comma 2 2 3 2 2 3" xfId="1637" xr:uid="{1F44622A-9EB5-4BD4-AC9B-8F60840FC707}"/>
    <cellStyle name="Comma 2 2 3 2 2 3 2" xfId="3571" xr:uid="{A2C59F06-D70E-4E16-99C4-F98A10C1BF4D}"/>
    <cellStyle name="Comma 2 2 3 2 2 3 2 2" xfId="20025" xr:uid="{FA2D9761-DD34-4843-894A-00DAF39C612B}"/>
    <cellStyle name="Comma 2 2 3 2 2 3 3" xfId="17397" xr:uid="{2C7EC12D-1606-427A-8048-FC634774C7BE}"/>
    <cellStyle name="Comma 2 2 3 2 2 3 3 2" xfId="20604" xr:uid="{C38D622D-A528-4139-B362-49E9D72482A8}"/>
    <cellStyle name="Comma 2 2 3 2 2 3 4" xfId="18654" xr:uid="{3D116AFF-A63A-4667-83DE-07275E53E1B5}"/>
    <cellStyle name="Comma 2 2 3 2 2 4" xfId="2446" xr:uid="{20C50E5D-62B7-4108-A9F3-3C2F8C63CD85}"/>
    <cellStyle name="Comma 2 2 3 2 2 4 2" xfId="3828" xr:uid="{0683939D-515C-4F48-BD31-686D49B6D1D3}"/>
    <cellStyle name="Comma 2 2 3 2 2 4 2 2" xfId="20282" xr:uid="{0A1FF6BD-4213-4E6E-9F6B-3DFBEE347BEB}"/>
    <cellStyle name="Comma 2 2 3 2 2 4 3" xfId="17885" xr:uid="{0BDC3CC4-ED81-4CE1-8718-91A79FD31893}"/>
    <cellStyle name="Comma 2 2 3 2 2 4 3 2" xfId="20880" xr:uid="{26818FB6-A8D2-40AC-9216-C42DE62BDA8D}"/>
    <cellStyle name="Comma 2 2 3 2 2 4 4" xfId="18930" xr:uid="{4B4F603D-4C5E-47C4-96B1-9293B91354C5}"/>
    <cellStyle name="Comma 2 2 3 2 2 5" xfId="2702" xr:uid="{BF9BFFB1-5C33-4EBF-BBA6-361FC861F4E8}"/>
    <cellStyle name="Comma 2 2 3 2 2 5 2" xfId="3227" xr:uid="{28C389C9-8AAC-46E9-8098-ACF7E7F918CE}"/>
    <cellStyle name="Comma 2 2 3 2 2 5 2 2" xfId="19699" xr:uid="{10F0C887-CFC5-4976-A3E1-D08E7D0E13B1}"/>
    <cellStyle name="Comma 2 2 3 2 2 5 3" xfId="19186" xr:uid="{24C898B8-EC8A-47A1-B477-F9BF244F3A0B}"/>
    <cellStyle name="Comma 2 2 3 2 2 6" xfId="2968" xr:uid="{DEC44CE1-3326-4ECA-B29F-6363097CAD5B}"/>
    <cellStyle name="Comma 2 2 3 2 2 6 2" xfId="19442" xr:uid="{F8DFEB4A-E16B-4566-BE44-D303927093D3}"/>
    <cellStyle name="Comma 2 2 3 2 2 7" xfId="17070" xr:uid="{A53CCBCD-9433-47CA-B743-2CD0A6D3F15F}"/>
    <cellStyle name="Comma 2 2 3 2 2 7 2" xfId="20362" xr:uid="{9590B9BF-CBA8-41A4-88F3-6AE9AFA12498}"/>
    <cellStyle name="Comma 2 2 3 2 2 8" xfId="18412" xr:uid="{A695A34A-2007-48CC-99C2-10C712569C9C}"/>
    <cellStyle name="Comma 2 2 3 2 3" xfId="1495" xr:uid="{528C17E2-5D6B-4103-A23E-7FA81136C36A}"/>
    <cellStyle name="Comma 2 2 3 2 3 2" xfId="1680" xr:uid="{87818D78-0E6B-497F-8DC2-4D6CB1521F94}"/>
    <cellStyle name="Comma 2 2 3 2 3 2 2" xfId="3614" xr:uid="{EF85E7F6-1E31-44E4-894E-9E680D5652FF}"/>
    <cellStyle name="Comma 2 2 3 2 3 2 2 2" xfId="20068" xr:uid="{A94ACADB-D532-4AFB-951A-E9321B78F21D}"/>
    <cellStyle name="Comma 2 2 3 2 3 2 3" xfId="17440" xr:uid="{A317F780-9352-44DE-8C77-87D83BA5926A}"/>
    <cellStyle name="Comma 2 2 3 2 3 2 3 2" xfId="20647" xr:uid="{EC0D2789-D72A-4410-B3E6-DB400115647B}"/>
    <cellStyle name="Comma 2 2 3 2 3 2 4" xfId="18697" xr:uid="{3A2FB6F0-6F63-42CA-A1D8-879D727889C7}"/>
    <cellStyle name="Comma 2 2 3 2 3 3" xfId="2489" xr:uid="{F6D211A1-9D6C-4BAD-A527-F0D1C6859AF0}"/>
    <cellStyle name="Comma 2 2 3 2 3 3 2" xfId="3345" xr:uid="{F60CD21D-9E78-443D-88E7-E9A89D1E53BC}"/>
    <cellStyle name="Comma 2 2 3 2 3 3 2 2" xfId="19812" xr:uid="{22A79DC6-8A1B-48BA-A771-D3D34CBEDC1A}"/>
    <cellStyle name="Comma 2 2 3 2 3 3 3" xfId="17930" xr:uid="{E3A97AF9-EBAF-46E9-92DE-57F33EFEC151}"/>
    <cellStyle name="Comma 2 2 3 2 3 3 3 2" xfId="20923" xr:uid="{3CEA3C09-FF4F-43DB-9A9E-661BAA1C4CD9}"/>
    <cellStyle name="Comma 2 2 3 2 3 3 4" xfId="18973" xr:uid="{9E4DE0F9-6732-4B37-A9EC-E1877E766DE2}"/>
    <cellStyle name="Comma 2 2 3 2 3 4" xfId="2745" xr:uid="{0A650019-B0D1-46C0-83A1-9CECB90B56AA}"/>
    <cellStyle name="Comma 2 2 3 2 3 4 2" xfId="19229" xr:uid="{FA9C23F1-5692-4827-B0D3-D497426C017B}"/>
    <cellStyle name="Comma 2 2 3 2 3 5" xfId="3011" xr:uid="{B0F46685-C3F5-4F42-BE50-90555C83FD2B}"/>
    <cellStyle name="Comma 2 2 3 2 3 5 2" xfId="19485" xr:uid="{929270F7-6C30-4D42-906C-480FBC2BEBD9}"/>
    <cellStyle name="Comma 2 2 3 2 3 6" xfId="17268" xr:uid="{0C3215D5-C7D0-44CD-872B-EE5C2846D2C2}"/>
    <cellStyle name="Comma 2 2 3 2 3 6 2" xfId="20475" xr:uid="{84B858D6-8B44-4400-B36B-52A7C56A83B0}"/>
    <cellStyle name="Comma 2 2 3 2 3 7" xfId="18525" xr:uid="{BB1F8C93-2EAE-4BC5-AED5-5323A9D56A21}"/>
    <cellStyle name="Comma 2 2 3 2 4" xfId="1555" xr:uid="{CA5EFB55-A2BF-42AD-AF6D-318785A5B478}"/>
    <cellStyle name="Comma 2 2 3 2 4 2" xfId="1727" xr:uid="{3FB33BD5-A083-4F86-A475-F9E176A5DAAC}"/>
    <cellStyle name="Comma 2 2 3 2 4 2 2" xfId="3661" xr:uid="{70DD09FD-BDC6-4989-A7AC-0423731A7CE4}"/>
    <cellStyle name="Comma 2 2 3 2 4 2 2 2" xfId="20115" xr:uid="{AD18B6BE-0FF6-4A09-B11B-73EE9997E1B6}"/>
    <cellStyle name="Comma 2 2 3 2 4 2 3" xfId="17487" xr:uid="{7C3491C8-869F-456E-B647-D50C06F47111}"/>
    <cellStyle name="Comma 2 2 3 2 4 2 3 2" xfId="20694" xr:uid="{08A9827A-093F-4141-92CD-9249215A3F20}"/>
    <cellStyle name="Comma 2 2 3 2 4 2 4" xfId="18744" xr:uid="{5E9A0BCC-CC51-40BD-BE78-DFC3B64EA4BF}"/>
    <cellStyle name="Comma 2 2 3 2 4 3" xfId="2536" xr:uid="{8CFA3110-CEFC-49E4-B741-612961F1F96D}"/>
    <cellStyle name="Comma 2 2 3 2 4 3 2" xfId="3400" xr:uid="{A0A5BE5C-65EE-4710-8DC2-1A05526B19EC}"/>
    <cellStyle name="Comma 2 2 3 2 4 3 2 2" xfId="19859" xr:uid="{ACB17B70-DAF6-41F0-BB97-8ED09C336B77}"/>
    <cellStyle name="Comma 2 2 3 2 4 3 3" xfId="17977" xr:uid="{5AADA88C-FD5E-481B-BCC9-4824E3ECE0F6}"/>
    <cellStyle name="Comma 2 2 3 2 4 3 3 2" xfId="20970" xr:uid="{D69943CA-32D5-47B4-AC5B-6409891C7F62}"/>
    <cellStyle name="Comma 2 2 3 2 4 3 4" xfId="19020" xr:uid="{8A559741-F576-4E79-96D9-D9BAD5938261}"/>
    <cellStyle name="Comma 2 2 3 2 4 4" xfId="2792" xr:uid="{58742BEB-7F87-42AF-A88E-3D07ED5C82D1}"/>
    <cellStyle name="Comma 2 2 3 2 4 4 2" xfId="19276" xr:uid="{5A1078DB-920D-4856-BAA3-A92511601FCC}"/>
    <cellStyle name="Comma 2 2 3 2 4 5" xfId="3058" xr:uid="{BB4FD73C-9217-4BAD-A133-8A32BD896311}"/>
    <cellStyle name="Comma 2 2 3 2 4 5 2" xfId="19532" xr:uid="{27DBF8A2-9C77-4E3A-BB31-211DBF52D546}"/>
    <cellStyle name="Comma 2 2 3 2 4 6" xfId="17315" xr:uid="{93794CDD-E917-4DF6-AB9F-632B0867D6AF}"/>
    <cellStyle name="Comma 2 2 3 2 4 6 2" xfId="20522" xr:uid="{250577B2-EB26-4753-A538-2683A2D7EA7F}"/>
    <cellStyle name="Comma 2 2 3 2 4 7" xfId="18572" xr:uid="{5BC5DECF-EE81-4AF0-8281-56BCF8EA058A}"/>
    <cellStyle name="Comma 2 2 3 2 5" xfId="1362" xr:uid="{A282054B-35EA-4FEC-B175-DF64A8DB2C48}"/>
    <cellStyle name="Comma 2 2 3 2 5 2" xfId="1777" xr:uid="{8E22F764-0DB0-4339-A606-37793C396DBC}"/>
    <cellStyle name="Comma 2 2 3 2 5 2 2" xfId="3709" xr:uid="{E224DAFA-CACB-4CE5-A5A2-85062CF0D9A0}"/>
    <cellStyle name="Comma 2 2 3 2 5 2 2 2" xfId="20163" xr:uid="{D2F156CD-5C45-4D4A-987D-41D44DC2AAEB}"/>
    <cellStyle name="Comma 2 2 3 2 5 2 3" xfId="17535" xr:uid="{F58BCC9A-765E-45B5-84A6-4CDD1686A0E5}"/>
    <cellStyle name="Comma 2 2 3 2 5 2 3 2" xfId="20742" xr:uid="{4CBC4DD5-E58B-4F36-80D1-06F5FFE30C00}"/>
    <cellStyle name="Comma 2 2 3 2 5 2 4" xfId="18792" xr:uid="{09766CC8-C2BE-4C60-94ED-41297966CE47}"/>
    <cellStyle name="Comma 2 2 3 2 5 3" xfId="2584" xr:uid="{A0A380BA-6FCD-4CE0-B8CA-C7D3562AFE6C}"/>
    <cellStyle name="Comma 2 2 3 2 5 3 2" xfId="3449" xr:uid="{F193E522-3501-4D85-B774-89D92505B36A}"/>
    <cellStyle name="Comma 2 2 3 2 5 3 2 2" xfId="19907" xr:uid="{69051EBE-15B2-4395-9610-B5EA29D91E83}"/>
    <cellStyle name="Comma 2 2 3 2 5 3 3" xfId="18025" xr:uid="{3A0AA155-9324-42CD-A2F4-F2EB92D22630}"/>
    <cellStyle name="Comma 2 2 3 2 5 3 3 2" xfId="21018" xr:uid="{F8D45B8F-907E-4760-A74B-20BA9B3A1E7E}"/>
    <cellStyle name="Comma 2 2 3 2 5 3 4" xfId="19068" xr:uid="{A690A2C1-73A4-49A2-934A-74DFBDA8CC87}"/>
    <cellStyle name="Comma 2 2 3 2 5 4" xfId="2840" xr:uid="{84F46333-26B5-4306-9B73-0FE65C2242C9}"/>
    <cellStyle name="Comma 2 2 3 2 5 4 2" xfId="19324" xr:uid="{09315B8A-A53F-4922-BBD4-E4B943A028DC}"/>
    <cellStyle name="Comma 2 2 3 2 5 5" xfId="3106" xr:uid="{7C87C831-C26B-4020-94EB-65AB03D88BD2}"/>
    <cellStyle name="Comma 2 2 3 2 5 5 2" xfId="19580" xr:uid="{10215A8F-2DFE-4881-9904-B2CCF5C59DD9}"/>
    <cellStyle name="Comma 2 2 3 2 5 6" xfId="17181" xr:uid="{3A73FB51-D91E-46D2-8EC4-B50F120ECBD4}"/>
    <cellStyle name="Comma 2 2 3 2 5 6 2" xfId="20391" xr:uid="{C96F847E-8E2D-4B88-94C9-BC7EA362B92E}"/>
    <cellStyle name="Comma 2 2 3 2 5 7" xfId="18441" xr:uid="{939B9715-98CE-4BB4-8C6E-A101B54C2BE4}"/>
    <cellStyle name="Comma 2 2 3 2 6" xfId="1824" xr:uid="{E235EB6B-0BA5-404B-B7A4-C7464FC22F3D}"/>
    <cellStyle name="Comma 2 2 3 2 6 2" xfId="2625" xr:uid="{0BFF062F-729E-4E78-9D26-120BFEB69C4B}"/>
    <cellStyle name="Comma 2 2 3 2 6 2 2" xfId="3750" xr:uid="{8818D9F3-81E5-4AB0-A43A-9362ACFE5660}"/>
    <cellStyle name="Comma 2 2 3 2 6 2 2 2" xfId="20204" xr:uid="{CADA7EF0-CE56-4F5A-9F57-3500163A2A03}"/>
    <cellStyle name="Comma 2 2 3 2 6 2 3" xfId="18066" xr:uid="{97CCE443-D67B-4D26-97EB-53240E588DA8}"/>
    <cellStyle name="Comma 2 2 3 2 6 2 3 2" xfId="21059" xr:uid="{DCA5CD6B-ADF8-44B8-AADE-0E4305C3E59D}"/>
    <cellStyle name="Comma 2 2 3 2 6 2 4" xfId="19109" xr:uid="{E9CAB73E-F239-4E82-A7DD-96CC4A230439}"/>
    <cellStyle name="Comma 2 2 3 2 6 3" xfId="2881" xr:uid="{0EB2D536-799C-4F8E-B4AE-F648AB0B9591}"/>
    <cellStyle name="Comma 2 2 3 2 6 3 2" xfId="3494" xr:uid="{3C1892CE-2E5D-4032-B3C2-9A2446231CD5}"/>
    <cellStyle name="Comma 2 2 3 2 6 3 2 2" xfId="19948" xr:uid="{3BECD7C4-5E4B-44CF-8EF8-7F3D5389C3C9}"/>
    <cellStyle name="Comma 2 2 3 2 6 3 3" xfId="19365" xr:uid="{B7B3FBCF-E243-4368-A002-68A4498B7C21}"/>
    <cellStyle name="Comma 2 2 3 2 6 4" xfId="3147" xr:uid="{F8AA918D-BF3C-4E01-A668-C23C0B0C3A2D}"/>
    <cellStyle name="Comma 2 2 3 2 6 4 2" xfId="19621" xr:uid="{AA37FB00-FE2E-4B67-83B5-1CFB32241FBF}"/>
    <cellStyle name="Comma 2 2 3 2 6 5" xfId="17577" xr:uid="{04FFC1D5-9F96-4589-9671-02742714BECD}"/>
    <cellStyle name="Comma 2 2 3 2 6 5 2" xfId="20783" xr:uid="{F8E1F886-D017-4AA3-B90D-9B0D5AECF3B7}"/>
    <cellStyle name="Comma 2 2 3 2 6 6" xfId="18833" xr:uid="{1059CA5A-D2E4-4D70-895D-100F66E6A1B0}"/>
    <cellStyle name="Comma 2 2 3 2 7" xfId="1596" xr:uid="{77BCC1AB-644E-475E-B4A7-2D9DB7FC81AB}"/>
    <cellStyle name="Comma 2 2 3 2 7 2" xfId="3259" xr:uid="{11EDF19B-71DB-4500-A0CE-449EB926A5AA}"/>
    <cellStyle name="Comma 2 2 3 2 7 2 2" xfId="19728" xr:uid="{B5F91B7F-341F-44DA-AECC-C99D3FDFACD1}"/>
    <cellStyle name="Comma 2 2 3 2 7 3" xfId="17356" xr:uid="{29BDD61F-3A9B-4A56-8B6C-B29E7138A415}"/>
    <cellStyle name="Comma 2 2 3 2 7 3 2" xfId="20563" xr:uid="{B3BC4B36-1762-40AD-9849-C94B5EB0C79D}"/>
    <cellStyle name="Comma 2 2 3 2 7 4" xfId="18613" xr:uid="{9EA7683F-20DA-4C08-B5F1-EE802A3725C5}"/>
    <cellStyle name="Comma 2 2 3 2 8" xfId="2380" xr:uid="{39DEECED-826D-48D1-BA87-1B141257F9C6}"/>
    <cellStyle name="Comma 2 2 3 2 8 2" xfId="3530" xr:uid="{54C182A7-4551-457D-B060-5B13DB3BDA30}"/>
    <cellStyle name="Comma 2 2 3 2 8 2 2" xfId="19984" xr:uid="{C1BB9AFB-680F-474C-990F-8D6CC89AAB1A}"/>
    <cellStyle name="Comma 2 2 3 2 8 3" xfId="17816" xr:uid="{550DB5E2-0CF2-45A4-A28A-9CC04EAFCD29}"/>
    <cellStyle name="Comma 2 2 3 2 8 3 2" xfId="20822" xr:uid="{548F0597-B454-40EB-BC5A-1C2E4F1C7403}"/>
    <cellStyle name="Comma 2 2 3 2 8 4" xfId="18872" xr:uid="{B9DB8825-8CFB-42C0-A003-D51AA62CE16E}"/>
    <cellStyle name="Comma 2 2 3 2 9" xfId="2405" xr:uid="{4188E7EF-4164-4626-B338-923F8C4B6A8A}"/>
    <cellStyle name="Comma 2 2 3 2 9 2" xfId="3803" xr:uid="{15C8FF7D-6DE2-43A8-BB70-45529843BEBA}"/>
    <cellStyle name="Comma 2 2 3 2 9 2 2" xfId="20257" xr:uid="{142A51F7-6BC0-4B38-BC66-69FB1FCA785D}"/>
    <cellStyle name="Comma 2 2 3 2 9 3" xfId="17843" xr:uid="{2F40C002-2455-4F82-8B6F-466B64A507E1}"/>
    <cellStyle name="Comma 2 2 3 2 9 3 2" xfId="20839" xr:uid="{92256F23-F148-496A-B2AD-8F9841F77B0A}"/>
    <cellStyle name="Comma 2 2 3 2 9 4" xfId="18889" xr:uid="{3932C365-818F-4304-A143-3F5FEF8C1A86}"/>
    <cellStyle name="Comma 2 2 3 3" xfId="836" xr:uid="{2719A8A9-7A3D-40EB-B691-527E9253AB1F}"/>
    <cellStyle name="Comma 2 2 3 3 10" xfId="3206" xr:uid="{94D08BE5-2207-47C2-82C7-FC10AF35E2D6}"/>
    <cellStyle name="Comma 2 2 3 3 10 2" xfId="19680" xr:uid="{C63C3F79-B582-4894-9B1F-B772F97D1792}"/>
    <cellStyle name="Comma 2 2 3 3 11" xfId="2939" xr:uid="{4EFF4BC4-782C-4A76-A0D2-B5A8D39D821A}"/>
    <cellStyle name="Comma 2 2 3 3 11 2" xfId="19413" xr:uid="{D9C0FF98-EF11-4E84-8376-8DB1619DA17E}"/>
    <cellStyle name="Comma 2 2 3 3 12" xfId="17047" xr:uid="{E3AD79A0-B1D1-4F7B-9A48-352F4C0BA155}"/>
    <cellStyle name="Comma 2 2 3 3 12 2" xfId="20343" xr:uid="{DCB03D86-F607-4940-A7DE-5D976767CBC5}"/>
    <cellStyle name="Comma 2 2 3 3 13" xfId="18393" xr:uid="{C80E2CDE-2E7B-402F-9943-EAAAF5691AB7}"/>
    <cellStyle name="Comma 2 2 3 3 2" xfId="1452" xr:uid="{79874136-400A-4E81-962D-1E7D66A32C4D}"/>
    <cellStyle name="Comma 2 2 3 3 2 2" xfId="1649" xr:uid="{B56E509B-8794-4B32-8ADB-52FD502404A0}"/>
    <cellStyle name="Comma 2 2 3 3 2 2 2" xfId="3583" xr:uid="{AE9D7A24-19EC-45B8-B524-E8332B346CCC}"/>
    <cellStyle name="Comma 2 2 3 3 2 2 2 2" xfId="20037" xr:uid="{07DC8F68-726A-46A1-99E9-BE97448C1AC0}"/>
    <cellStyle name="Comma 2 2 3 3 2 2 3" xfId="17409" xr:uid="{329D265D-3979-4D0E-8858-6538238CE42B}"/>
    <cellStyle name="Comma 2 2 3 3 2 2 3 2" xfId="20616" xr:uid="{1DCF6BBE-35AF-4634-9AA6-9CB89CC22861}"/>
    <cellStyle name="Comma 2 2 3 3 2 2 4" xfId="18666" xr:uid="{E3C96C42-871B-4688-95A4-0840FB62488E}"/>
    <cellStyle name="Comma 2 2 3 3 2 3" xfId="2458" xr:uid="{E9B4C5C9-7C64-4C3F-9D34-FB477FA0AD69}"/>
    <cellStyle name="Comma 2 2 3 3 2 3 2" xfId="3313" xr:uid="{F16B6D11-113B-4818-A224-77EF7CD5B672}"/>
    <cellStyle name="Comma 2 2 3 3 2 3 2 2" xfId="19781" xr:uid="{638909FA-B569-4C51-80AD-388DB7271B4E}"/>
    <cellStyle name="Comma 2 2 3 3 2 3 3" xfId="17899" xr:uid="{CB16FD58-BA5C-4347-9191-A5C32A4D703F}"/>
    <cellStyle name="Comma 2 2 3 3 2 3 3 2" xfId="20892" xr:uid="{BE5D3923-9718-481A-9612-FE5C137AEA4D}"/>
    <cellStyle name="Comma 2 2 3 3 2 3 4" xfId="18942" xr:uid="{708DD251-281C-4B5F-9B88-6E84E2E26528}"/>
    <cellStyle name="Comma 2 2 3 3 2 4" xfId="2714" xr:uid="{56F2B961-F6AC-43DE-86AC-50A140375A07}"/>
    <cellStyle name="Comma 2 2 3 3 2 4 2" xfId="19198" xr:uid="{CEEED9A1-CD99-4249-9988-77BBA6CAFF08}"/>
    <cellStyle name="Comma 2 2 3 3 2 5" xfId="2980" xr:uid="{6CE36F2A-7E70-4C93-B9D2-383BF529A113}"/>
    <cellStyle name="Comma 2 2 3 3 2 5 2" xfId="19454" xr:uid="{3D633C3D-9AE8-4F49-8E49-78BD5C7892A9}"/>
    <cellStyle name="Comma 2 2 3 3 2 6" xfId="17236" xr:uid="{7ED8C1F8-7070-41CF-8308-20E85586F0D6}"/>
    <cellStyle name="Comma 2 2 3 3 2 6 2" xfId="20444" xr:uid="{1090D713-AB43-4D0C-B6CC-D7E50931446D}"/>
    <cellStyle name="Comma 2 2 3 3 2 7" xfId="18494" xr:uid="{9E1CEB8C-B609-4308-8429-24F38F2399F4}"/>
    <cellStyle name="Comma 2 2 3 3 3" xfId="1496" xr:uid="{22D60A19-C9B9-4A53-BAD9-4068A1C6A185}"/>
    <cellStyle name="Comma 2 2 3 3 3 2" xfId="1681" xr:uid="{7EB1EACA-64CB-464C-BA43-1AFAD899CC0A}"/>
    <cellStyle name="Comma 2 2 3 3 3 2 2" xfId="3615" xr:uid="{CCAD61AB-5270-4383-9D34-CC1D65378F1D}"/>
    <cellStyle name="Comma 2 2 3 3 3 2 2 2" xfId="20069" xr:uid="{88253293-55F4-4D11-B3EA-00981BC39A32}"/>
    <cellStyle name="Comma 2 2 3 3 3 2 3" xfId="17441" xr:uid="{B02AC161-4995-4FBE-A22B-78196A742B07}"/>
    <cellStyle name="Comma 2 2 3 3 3 2 3 2" xfId="20648" xr:uid="{BBBA3B76-8F00-4F72-9618-CD28A8A1EE77}"/>
    <cellStyle name="Comma 2 2 3 3 3 2 4" xfId="18698" xr:uid="{EF09539C-359C-43EE-9195-214ABFB7F7B3}"/>
    <cellStyle name="Comma 2 2 3 3 3 3" xfId="2490" xr:uid="{CF949F3E-5FDC-4941-9B93-7CE8AF97C01D}"/>
    <cellStyle name="Comma 2 2 3 3 3 3 2" xfId="3346" xr:uid="{EFCD6BB2-DBF2-4C64-A905-48BC34D088F4}"/>
    <cellStyle name="Comma 2 2 3 3 3 3 2 2" xfId="19813" xr:uid="{EA14BD1B-BBE7-4F2B-BF19-1FCACEAEEE5F}"/>
    <cellStyle name="Comma 2 2 3 3 3 3 3" xfId="17931" xr:uid="{55268255-9246-4086-8D7C-0E9A09E7D339}"/>
    <cellStyle name="Comma 2 2 3 3 3 3 3 2" xfId="20924" xr:uid="{0A295EBC-B0FC-41F2-A5AF-4B35C4771841}"/>
    <cellStyle name="Comma 2 2 3 3 3 3 4" xfId="18974" xr:uid="{750BA60E-935F-4A65-9837-B761EC3194E8}"/>
    <cellStyle name="Comma 2 2 3 3 3 4" xfId="2746" xr:uid="{6485EBEE-4B09-45C7-8E71-4424A3E24CE3}"/>
    <cellStyle name="Comma 2 2 3 3 3 4 2" xfId="19230" xr:uid="{38E5461E-A261-4B6F-9166-87AEA90CAFAD}"/>
    <cellStyle name="Comma 2 2 3 3 3 5" xfId="3012" xr:uid="{20A38F67-E357-490F-AF9E-B49ED2B503BC}"/>
    <cellStyle name="Comma 2 2 3 3 3 5 2" xfId="19486" xr:uid="{6C367FFF-EA8A-4F23-BCC6-6A858A5E9E78}"/>
    <cellStyle name="Comma 2 2 3 3 3 6" xfId="17269" xr:uid="{5AFF27FD-73FC-45BE-BD1E-32FFF04D47B0}"/>
    <cellStyle name="Comma 2 2 3 3 3 6 2" xfId="20476" xr:uid="{3E401DC5-6DE6-46AD-84BF-231E915330EF}"/>
    <cellStyle name="Comma 2 2 3 3 3 7" xfId="18526" xr:uid="{B7623BFC-7BE5-48CA-B195-2ABBD55B78DD}"/>
    <cellStyle name="Comma 2 2 3 3 4" xfId="1556" xr:uid="{281DABDD-6042-479A-A270-F2551D71D4AF}"/>
    <cellStyle name="Comma 2 2 3 3 4 2" xfId="1728" xr:uid="{7E3F70E7-4963-428F-B0EE-DB777CEF9240}"/>
    <cellStyle name="Comma 2 2 3 3 4 2 2" xfId="3662" xr:uid="{2A7948C6-162A-49C4-9A17-124CBF8CE216}"/>
    <cellStyle name="Comma 2 2 3 3 4 2 2 2" xfId="20116" xr:uid="{A9FA1ECB-BAF7-4CD1-BA18-1A4CAE164F9F}"/>
    <cellStyle name="Comma 2 2 3 3 4 2 3" xfId="17488" xr:uid="{907889F3-3D6E-439F-973C-5B2788F6D8AD}"/>
    <cellStyle name="Comma 2 2 3 3 4 2 3 2" xfId="20695" xr:uid="{BE57C526-F8F3-47F1-BAF8-361120D6CDF8}"/>
    <cellStyle name="Comma 2 2 3 3 4 2 4" xfId="18745" xr:uid="{B03CFE83-FBF0-43F6-B52E-D46BC71398A1}"/>
    <cellStyle name="Comma 2 2 3 3 4 3" xfId="2537" xr:uid="{A0CBE841-432F-402A-8C0F-E4AB3902E3E2}"/>
    <cellStyle name="Comma 2 2 3 3 4 3 2" xfId="3401" xr:uid="{26A8D89A-CAF0-4467-A8EB-602E51F1352B}"/>
    <cellStyle name="Comma 2 2 3 3 4 3 2 2" xfId="19860" xr:uid="{FF280834-648B-40B1-A7EC-CEACFCB2FE6D}"/>
    <cellStyle name="Comma 2 2 3 3 4 3 3" xfId="17978" xr:uid="{538EE271-BC71-4039-A08A-741DCD3AC80F}"/>
    <cellStyle name="Comma 2 2 3 3 4 3 3 2" xfId="20971" xr:uid="{ABAC42CC-A8A8-443C-8BF7-D4AB93284E75}"/>
    <cellStyle name="Comma 2 2 3 3 4 3 4" xfId="19021" xr:uid="{7CFA78CD-344F-4C98-9EB3-6B7C3E2C5E46}"/>
    <cellStyle name="Comma 2 2 3 3 4 4" xfId="2793" xr:uid="{F85EBEC9-FDD9-405F-A17F-2E6C5DD5019B}"/>
    <cellStyle name="Comma 2 2 3 3 4 4 2" xfId="19277" xr:uid="{5FF0E270-A840-4502-933D-A34519355681}"/>
    <cellStyle name="Comma 2 2 3 3 4 5" xfId="3059" xr:uid="{D0661387-B405-430E-B401-5DAB768A4CAA}"/>
    <cellStyle name="Comma 2 2 3 3 4 5 2" xfId="19533" xr:uid="{23BDF130-ACCB-4F2C-8768-AB1A6124287D}"/>
    <cellStyle name="Comma 2 2 3 3 4 6" xfId="17316" xr:uid="{57491A70-A483-4AAD-BA1F-02D49F846BCE}"/>
    <cellStyle name="Comma 2 2 3 3 4 6 2" xfId="20523" xr:uid="{1E7CAAC8-439B-4A91-AE68-12C2A7B6EFA7}"/>
    <cellStyle name="Comma 2 2 3 3 4 7" xfId="18573" xr:uid="{7D49A0FC-2A13-4949-BBED-0C9759FF2EF7}"/>
    <cellStyle name="Comma 2 2 3 3 5" xfId="1379" xr:uid="{F3575C48-24EF-48D6-A116-35BE2885217C}"/>
    <cellStyle name="Comma 2 2 3 3 5 2" xfId="1778" xr:uid="{18F8A5C1-30D5-4FE0-AAF8-CE69EF035D36}"/>
    <cellStyle name="Comma 2 2 3 3 5 2 2" xfId="3710" xr:uid="{EDFFA79E-5095-4BDD-93D4-ECE270500870}"/>
    <cellStyle name="Comma 2 2 3 3 5 2 2 2" xfId="20164" xr:uid="{C319704C-20A0-4D8F-BBA5-FAC09B0C812F}"/>
    <cellStyle name="Comma 2 2 3 3 5 2 3" xfId="17536" xr:uid="{DD124D5A-C74E-4204-A862-50D82E791DC1}"/>
    <cellStyle name="Comma 2 2 3 3 5 2 3 2" xfId="20743" xr:uid="{10573564-3848-4B9F-85ED-C401227C457F}"/>
    <cellStyle name="Comma 2 2 3 3 5 2 4" xfId="18793" xr:uid="{0B7D595B-54D2-4618-B81B-30A51354C6C0}"/>
    <cellStyle name="Comma 2 2 3 3 5 3" xfId="2585" xr:uid="{6B4C2C3C-D880-4584-8F25-594DCE740BAF}"/>
    <cellStyle name="Comma 2 2 3 3 5 3 2" xfId="3450" xr:uid="{FB238C59-38F8-4046-B661-CBA17F08FD77}"/>
    <cellStyle name="Comma 2 2 3 3 5 3 2 2" xfId="19908" xr:uid="{1DD01EA0-7C20-4F27-AAA1-2892070C4CF6}"/>
    <cellStyle name="Comma 2 2 3 3 5 3 3" xfId="18026" xr:uid="{0DDD7BD5-06B3-429D-A11A-38B4B91AE7C2}"/>
    <cellStyle name="Comma 2 2 3 3 5 3 3 2" xfId="21019" xr:uid="{BA0162F4-5018-4765-8EA2-62B51CAB80D7}"/>
    <cellStyle name="Comma 2 2 3 3 5 3 4" xfId="19069" xr:uid="{FD6E19E1-2F57-4F8F-8D6D-8B49EA01EE5A}"/>
    <cellStyle name="Comma 2 2 3 3 5 4" xfId="2841" xr:uid="{6013BECE-18F9-4009-97A4-5D396752A67C}"/>
    <cellStyle name="Comma 2 2 3 3 5 4 2" xfId="19325" xr:uid="{AD02F810-B2F0-4040-8635-49421F6C3733}"/>
    <cellStyle name="Comma 2 2 3 3 5 5" xfId="3107" xr:uid="{828A3312-FAF2-4D7E-88FC-B418D48B631B}"/>
    <cellStyle name="Comma 2 2 3 3 5 5 2" xfId="19581" xr:uid="{63BBD856-B5C8-4F7A-B9B5-ED6FE5B9CD05}"/>
    <cellStyle name="Comma 2 2 3 3 5 6" xfId="17193" xr:uid="{5A829B13-D702-4E71-83E8-BABB31EB46D5}"/>
    <cellStyle name="Comma 2 2 3 3 5 6 2" xfId="20403" xr:uid="{30A7D666-4998-49E4-B9D0-045425585168}"/>
    <cellStyle name="Comma 2 2 3 3 5 7" xfId="18453" xr:uid="{0AFE8745-377C-4333-9636-B8BF61ECA331}"/>
    <cellStyle name="Comma 2 2 3 3 6" xfId="1836" xr:uid="{501B52D3-57F0-4DA4-99E9-B067900E7663}"/>
    <cellStyle name="Comma 2 2 3 3 6 2" xfId="2637" xr:uid="{DF900614-90D8-47F9-920A-2D84A4AD6180}"/>
    <cellStyle name="Comma 2 2 3 3 6 2 2" xfId="3762" xr:uid="{A1C8010C-1710-45D1-A542-B5596A3B164E}"/>
    <cellStyle name="Comma 2 2 3 3 6 2 2 2" xfId="20216" xr:uid="{3F96A66C-8C98-4E97-B206-4818D2DE2108}"/>
    <cellStyle name="Comma 2 2 3 3 6 2 3" xfId="18078" xr:uid="{5A0CCCA1-6A67-4DEC-8E8C-E149EF0323B9}"/>
    <cellStyle name="Comma 2 2 3 3 6 2 3 2" xfId="21071" xr:uid="{143F9C0B-69B8-44DF-8274-96A7509525AB}"/>
    <cellStyle name="Comma 2 2 3 3 6 2 4" xfId="19121" xr:uid="{D744989F-CE57-499F-9776-E666E05631D3}"/>
    <cellStyle name="Comma 2 2 3 3 6 3" xfId="2893" xr:uid="{A2F31295-3E57-4644-AC3D-F68587E7525A}"/>
    <cellStyle name="Comma 2 2 3 3 6 3 2" xfId="3506" xr:uid="{A7C89CFB-0DCC-4D5E-8EEB-5C283DCFE84F}"/>
    <cellStyle name="Comma 2 2 3 3 6 3 2 2" xfId="19960" xr:uid="{B6256D3D-43E5-4858-A611-2875F1F6DF5E}"/>
    <cellStyle name="Comma 2 2 3 3 6 3 3" xfId="19377" xr:uid="{8B702CF4-C226-4981-B8D4-E1B5DDFCA40A}"/>
    <cellStyle name="Comma 2 2 3 3 6 4" xfId="3159" xr:uid="{EFEF3666-235E-4930-A907-30C071028E80}"/>
    <cellStyle name="Comma 2 2 3 3 6 4 2" xfId="19633" xr:uid="{5DEC5C4D-4555-4E20-A2FF-59ADA473BF5B}"/>
    <cellStyle name="Comma 2 2 3 3 6 5" xfId="17589" xr:uid="{3D56B75B-EF86-4273-965B-F630236185B3}"/>
    <cellStyle name="Comma 2 2 3 3 6 5 2" xfId="20795" xr:uid="{22A31D6D-7BDA-4031-9486-15668802B447}"/>
    <cellStyle name="Comma 2 2 3 3 6 6" xfId="18845" xr:uid="{9E2C4BA1-A3C3-4D98-914B-1354F95C8D2D}"/>
    <cellStyle name="Comma 2 2 3 3 7" xfId="1608" xr:uid="{68241682-9450-45BB-943F-D435C04284BF}"/>
    <cellStyle name="Comma 2 2 3 3 7 2" xfId="3271" xr:uid="{18679B9E-2A3A-4DA0-9FBB-DEA2205D3894}"/>
    <cellStyle name="Comma 2 2 3 3 7 2 2" xfId="19740" xr:uid="{3DCD9A25-D68C-4D10-BCE0-8023BB247544}"/>
    <cellStyle name="Comma 2 2 3 3 7 3" xfId="17368" xr:uid="{8ADA66EA-137B-4ACC-99E1-0489D4073F32}"/>
    <cellStyle name="Comma 2 2 3 3 7 3 2" xfId="20575" xr:uid="{69B1D2A7-0686-41E2-BF23-ACBAFDDDDA68}"/>
    <cellStyle name="Comma 2 2 3 3 7 4" xfId="18625" xr:uid="{DE3238FA-A2C2-483E-AE69-CE5F1D9C6F17}"/>
    <cellStyle name="Comma 2 2 3 3 8" xfId="2417" xr:uid="{4BF94B1A-24E7-48F9-9068-24CBAA23ABD6}"/>
    <cellStyle name="Comma 2 2 3 3 8 2" xfId="3542" xr:uid="{7E54A86F-CE2C-4489-A886-6D5C044B506D}"/>
    <cellStyle name="Comma 2 2 3 3 8 2 2" xfId="19996" xr:uid="{E2477DC9-43F3-437A-B7A0-CD427CEF8619}"/>
    <cellStyle name="Comma 2 2 3 3 8 3" xfId="17856" xr:uid="{79566F19-0BE3-4709-B2DC-9A698DF28823}"/>
    <cellStyle name="Comma 2 2 3 3 8 3 2" xfId="20851" xr:uid="{4DC4BA7B-B4E0-4ED2-B23C-108BA95B3B43}"/>
    <cellStyle name="Comma 2 2 3 3 8 4" xfId="18901" xr:uid="{E7CC80E9-B21E-47A5-AF37-AD1E8B3B49E5}"/>
    <cellStyle name="Comma 2 2 3 3 9" xfId="2673" xr:uid="{8736CE77-9513-4789-A738-024435A16A6F}"/>
    <cellStyle name="Comma 2 2 3 3 9 2" xfId="3809" xr:uid="{536D9313-4B18-4C33-9D49-0B8BFBBB0079}"/>
    <cellStyle name="Comma 2 2 3 3 9 2 2" xfId="20263" xr:uid="{03F3CEF5-8ACC-4186-AE65-9FCF57DEAC11}"/>
    <cellStyle name="Comma 2 2 3 3 9 3" xfId="19157" xr:uid="{CDAA43B5-9A69-428F-AEE6-E6A57EBB16DE}"/>
    <cellStyle name="Comma 2 2 3 4" xfId="854" xr:uid="{53E08F0C-140E-4A6A-9CE7-8D23817CADFA}"/>
    <cellStyle name="Comma 2 2 3 4 10" xfId="3219" xr:uid="{55A418A9-F5D4-4201-8996-AF218CF2DCD8}"/>
    <cellStyle name="Comma 2 2 3 4 10 2" xfId="19692" xr:uid="{C26724B1-2AD6-4ACC-828C-5306A214DC82}"/>
    <cellStyle name="Comma 2 2 3 4 11" xfId="2946" xr:uid="{14E3039F-2920-4B19-8A44-A18AC61CD252}"/>
    <cellStyle name="Comma 2 2 3 4 11 2" xfId="19420" xr:uid="{5350746D-CFBD-4CFB-B108-A24AAC659E47}"/>
    <cellStyle name="Comma 2 2 3 4 12" xfId="17063" xr:uid="{6596146E-3619-4FF4-8072-44E24032B58A}"/>
    <cellStyle name="Comma 2 2 3 4 12 2" xfId="20355" xr:uid="{B1DB9C4A-8CAD-42B6-8A32-7DA10C393F11}"/>
    <cellStyle name="Comma 2 2 3 4 13" xfId="18405" xr:uid="{91B9E6DB-3283-41C9-BD1F-438E1E9B12FF}"/>
    <cellStyle name="Comma 2 2 3 4 2" xfId="1460" xr:uid="{E7A3C0FC-7A1A-4A36-805A-36CEB446174F}"/>
    <cellStyle name="Comma 2 2 3 4 2 2" xfId="1656" xr:uid="{D58C42D4-A2FD-43BC-A888-B67A1ADB17A0}"/>
    <cellStyle name="Comma 2 2 3 4 2 2 2" xfId="3590" xr:uid="{36BB8A77-8882-4F43-B70E-D1BDCEDB1E22}"/>
    <cellStyle name="Comma 2 2 3 4 2 2 2 2" xfId="20044" xr:uid="{E8E47867-80B3-4B35-A9DD-55C49288BD71}"/>
    <cellStyle name="Comma 2 2 3 4 2 2 3" xfId="17416" xr:uid="{2FA99B68-8FF6-4495-B7F5-C1141D90F3F5}"/>
    <cellStyle name="Comma 2 2 3 4 2 2 3 2" xfId="20623" xr:uid="{27FEE2A8-9B9B-41B6-9A17-F159E5D42382}"/>
    <cellStyle name="Comma 2 2 3 4 2 2 4" xfId="18673" xr:uid="{A98472BF-40EF-4DCF-AE60-00D21E1FF309}"/>
    <cellStyle name="Comma 2 2 3 4 2 3" xfId="2465" xr:uid="{1C7A186A-A92A-45FF-BC8E-1CC5E5F5D6D4}"/>
    <cellStyle name="Comma 2 2 3 4 2 3 2" xfId="3320" xr:uid="{2ABD9A32-EBC2-4093-B5E9-AE6B980B7FC6}"/>
    <cellStyle name="Comma 2 2 3 4 2 3 2 2" xfId="19788" xr:uid="{67B7ED53-4770-4D3B-80FA-ABD2075B87D3}"/>
    <cellStyle name="Comma 2 2 3 4 2 3 3" xfId="17906" xr:uid="{82C4485C-A81A-4C99-AC08-AF3BCDE13D61}"/>
    <cellStyle name="Comma 2 2 3 4 2 3 3 2" xfId="20899" xr:uid="{A7008D6F-F98C-48D5-A391-7649F6905DCC}"/>
    <cellStyle name="Comma 2 2 3 4 2 3 4" xfId="18949" xr:uid="{3D82A9FA-206E-4499-867A-ADA10C921ED9}"/>
    <cellStyle name="Comma 2 2 3 4 2 4" xfId="2721" xr:uid="{6F3A523D-0064-43B9-9BFA-3AF999671521}"/>
    <cellStyle name="Comma 2 2 3 4 2 4 2" xfId="19205" xr:uid="{15C71208-6CF5-4F1F-A4F5-C844909CEE99}"/>
    <cellStyle name="Comma 2 2 3 4 2 5" xfId="2987" xr:uid="{EA79F516-A930-4CA6-A186-4D91D25081D9}"/>
    <cellStyle name="Comma 2 2 3 4 2 5 2" xfId="19461" xr:uid="{3DB8625B-1BDD-4E98-BD4F-869DB87FACE9}"/>
    <cellStyle name="Comma 2 2 3 4 2 6" xfId="17243" xr:uid="{8B242CD4-D0F3-4B8F-983D-198D8C4AA4A0}"/>
    <cellStyle name="Comma 2 2 3 4 2 6 2" xfId="20451" xr:uid="{BDE9E797-BF3F-4602-BDA9-3805BFBC6C90}"/>
    <cellStyle name="Comma 2 2 3 4 2 7" xfId="18501" xr:uid="{73E7DA4B-63F5-4E2E-AE58-9A094455FE32}"/>
    <cellStyle name="Comma 2 2 3 4 3" xfId="1497" xr:uid="{2C07D2A1-8F1E-4222-9ED1-F537EFB3BE95}"/>
    <cellStyle name="Comma 2 2 3 4 3 2" xfId="1682" xr:uid="{A657166F-A951-4ACA-A774-BE45B027903C}"/>
    <cellStyle name="Comma 2 2 3 4 3 2 2" xfId="3616" xr:uid="{4A33F951-7DE1-4412-8D6B-0FCB077E26B6}"/>
    <cellStyle name="Comma 2 2 3 4 3 2 2 2" xfId="20070" xr:uid="{29BC1F24-594A-45CB-BD7B-52B56C4048D8}"/>
    <cellStyle name="Comma 2 2 3 4 3 2 3" xfId="17442" xr:uid="{D2783223-1327-40E5-9406-1A0764F55CEE}"/>
    <cellStyle name="Comma 2 2 3 4 3 2 3 2" xfId="20649" xr:uid="{641E4367-A49F-47EB-9D10-759C73214BEA}"/>
    <cellStyle name="Comma 2 2 3 4 3 2 4" xfId="18699" xr:uid="{725FCA9A-EAF3-4847-AF73-8D36246C790C}"/>
    <cellStyle name="Comma 2 2 3 4 3 3" xfId="2491" xr:uid="{9A28FA06-F40C-46F6-9735-A9E2500B9FCD}"/>
    <cellStyle name="Comma 2 2 3 4 3 3 2" xfId="3347" xr:uid="{6EA17736-1A8E-4A44-9720-CF4F5E1B745A}"/>
    <cellStyle name="Comma 2 2 3 4 3 3 2 2" xfId="19814" xr:uid="{EA1EC1AF-AE91-4B36-A9D3-231B402E089F}"/>
    <cellStyle name="Comma 2 2 3 4 3 3 3" xfId="17932" xr:uid="{99FED000-7770-4082-9246-A06E2D11649B}"/>
    <cellStyle name="Comma 2 2 3 4 3 3 3 2" xfId="20925" xr:uid="{BF33ACF2-F163-4410-B04F-E7F136955D4F}"/>
    <cellStyle name="Comma 2 2 3 4 3 3 4" xfId="18975" xr:uid="{391ADA81-74E2-4534-923C-4392BA4DE35C}"/>
    <cellStyle name="Comma 2 2 3 4 3 4" xfId="2747" xr:uid="{FC77F9A3-D455-430C-A52E-B5FB7E98085B}"/>
    <cellStyle name="Comma 2 2 3 4 3 4 2" xfId="19231" xr:uid="{77830FEA-8655-4A03-965E-67B7E4837F06}"/>
    <cellStyle name="Comma 2 2 3 4 3 5" xfId="3013" xr:uid="{F971F7CE-B4B1-4229-92CA-50F9CB46EDED}"/>
    <cellStyle name="Comma 2 2 3 4 3 5 2" xfId="19487" xr:uid="{3C77F155-75A8-4C19-BD52-1F1414A64468}"/>
    <cellStyle name="Comma 2 2 3 4 3 6" xfId="17270" xr:uid="{CFCDFA25-F610-4763-9008-84F1BEB9B881}"/>
    <cellStyle name="Comma 2 2 3 4 3 6 2" xfId="20477" xr:uid="{773E77DF-BD04-40B2-9045-E61843993F61}"/>
    <cellStyle name="Comma 2 2 3 4 3 7" xfId="18527" xr:uid="{F35C013C-D904-4075-BEAD-E3FAE6DC6E4C}"/>
    <cellStyle name="Comma 2 2 3 4 4" xfId="1557" xr:uid="{6208E515-5ED2-4D0A-9E30-58ED94DE2AAB}"/>
    <cellStyle name="Comma 2 2 3 4 4 2" xfId="1729" xr:uid="{80A01977-AF34-49D3-A8C3-4571898C1329}"/>
    <cellStyle name="Comma 2 2 3 4 4 2 2" xfId="3663" xr:uid="{420E5832-F2D6-4037-9CF4-4243A7DF7817}"/>
    <cellStyle name="Comma 2 2 3 4 4 2 2 2" xfId="20117" xr:uid="{B94CF71C-DD53-4C76-A80E-87D9361D7FC2}"/>
    <cellStyle name="Comma 2 2 3 4 4 2 3" xfId="17489" xr:uid="{021470E1-F692-4939-AFAD-B9E59F9F6E08}"/>
    <cellStyle name="Comma 2 2 3 4 4 2 3 2" xfId="20696" xr:uid="{C26DFEEB-9491-4B38-9B0C-552C53896B78}"/>
    <cellStyle name="Comma 2 2 3 4 4 2 4" xfId="18746" xr:uid="{B5A5EBB7-D647-4950-B2B1-BF2357EC1588}"/>
    <cellStyle name="Comma 2 2 3 4 4 3" xfId="2538" xr:uid="{AB7DD629-36E6-409D-A203-A1F0C7AA001D}"/>
    <cellStyle name="Comma 2 2 3 4 4 3 2" xfId="3402" xr:uid="{91835C94-A249-41E7-B85B-39FC0FB41FFB}"/>
    <cellStyle name="Comma 2 2 3 4 4 3 2 2" xfId="19861" xr:uid="{8C565372-6A92-4777-9A4C-FCF3D3079C3B}"/>
    <cellStyle name="Comma 2 2 3 4 4 3 3" xfId="17979" xr:uid="{3D0AA9A6-78C8-42D6-93F0-D896174D6F46}"/>
    <cellStyle name="Comma 2 2 3 4 4 3 3 2" xfId="20972" xr:uid="{1FC56653-C956-4DCC-B913-CAF4100CDAB6}"/>
    <cellStyle name="Comma 2 2 3 4 4 3 4" xfId="19022" xr:uid="{220F174D-A4F2-42C5-8456-E8A1A4297220}"/>
    <cellStyle name="Comma 2 2 3 4 4 4" xfId="2794" xr:uid="{E10B00B1-E9F3-4520-9521-9A462EC3B443}"/>
    <cellStyle name="Comma 2 2 3 4 4 4 2" xfId="19278" xr:uid="{668804E2-9BD4-48FA-A30E-C6672569EAB9}"/>
    <cellStyle name="Comma 2 2 3 4 4 5" xfId="3060" xr:uid="{769BF8AA-AFCC-4AAC-9989-30B7EB375E60}"/>
    <cellStyle name="Comma 2 2 3 4 4 5 2" xfId="19534" xr:uid="{CFF52AE8-38C9-4521-B3BC-21712FD3E43F}"/>
    <cellStyle name="Comma 2 2 3 4 4 6" xfId="17317" xr:uid="{43498DA4-ABDD-41AE-89C9-D5F5F8ECF556}"/>
    <cellStyle name="Comma 2 2 3 4 4 6 2" xfId="20524" xr:uid="{69816AD6-0556-40A0-947C-71B676AF3C90}"/>
    <cellStyle name="Comma 2 2 3 4 4 7" xfId="18574" xr:uid="{2FD3501B-35DB-409C-ABC5-242C3B26E5D5}"/>
    <cellStyle name="Comma 2 2 3 4 5" xfId="1392" xr:uid="{A5455B3C-FB25-4E50-AEA6-07CC259A145D}"/>
    <cellStyle name="Comma 2 2 3 4 5 2" xfId="1779" xr:uid="{42498E36-7FAE-4249-A3A4-5FC08BDED6C8}"/>
    <cellStyle name="Comma 2 2 3 4 5 2 2" xfId="3711" xr:uid="{B70B71A3-0782-43E3-9411-A0BE53699134}"/>
    <cellStyle name="Comma 2 2 3 4 5 2 2 2" xfId="20165" xr:uid="{9A74CE6A-6C93-4588-B9A4-164FA997D840}"/>
    <cellStyle name="Comma 2 2 3 4 5 2 3" xfId="17537" xr:uid="{FD86EDEE-F04C-48AB-9B4B-BB3F4FE68875}"/>
    <cellStyle name="Comma 2 2 3 4 5 2 3 2" xfId="20744" xr:uid="{3FE107E8-7A11-4165-843F-5ED87840C188}"/>
    <cellStyle name="Comma 2 2 3 4 5 2 4" xfId="18794" xr:uid="{DCD1C241-0CE2-4BD3-A789-81CEFA66B519}"/>
    <cellStyle name="Comma 2 2 3 4 5 3" xfId="2586" xr:uid="{D2B3804E-050B-4B20-8626-A361F60CEF72}"/>
    <cellStyle name="Comma 2 2 3 4 5 3 2" xfId="3451" xr:uid="{2E755578-6FD4-4C8E-B857-5A3286CC2E0B}"/>
    <cellStyle name="Comma 2 2 3 4 5 3 2 2" xfId="19909" xr:uid="{377CFD27-B30B-464B-A82C-E8D52232994E}"/>
    <cellStyle name="Comma 2 2 3 4 5 3 3" xfId="18027" xr:uid="{1926A8AE-0F1D-4841-AE97-2D0565DC7714}"/>
    <cellStyle name="Comma 2 2 3 4 5 3 3 2" xfId="21020" xr:uid="{3FFBF68D-A882-465E-B690-96E338D08B99}"/>
    <cellStyle name="Comma 2 2 3 4 5 3 4" xfId="19070" xr:uid="{EA0AADF4-FFD6-4077-9D51-D8F10F081029}"/>
    <cellStyle name="Comma 2 2 3 4 5 4" xfId="2842" xr:uid="{65AF7C3F-3A61-4DEE-B0CE-696F5C2FC395}"/>
    <cellStyle name="Comma 2 2 3 4 5 4 2" xfId="19326" xr:uid="{720D6233-BC04-4A5E-8FF2-6FDA7D6ED6DB}"/>
    <cellStyle name="Comma 2 2 3 4 5 5" xfId="3108" xr:uid="{9B416FC5-632F-4CBF-A832-3D64D9C07366}"/>
    <cellStyle name="Comma 2 2 3 4 5 5 2" xfId="19582" xr:uid="{B863CC9B-E9E6-4A52-947C-B63FA29721CD}"/>
    <cellStyle name="Comma 2 2 3 4 5 6" xfId="17200" xr:uid="{832F4224-AFA7-4893-81AD-D0A717112752}"/>
    <cellStyle name="Comma 2 2 3 4 5 6 2" xfId="20410" xr:uid="{D80B4C3C-D0F7-4FAD-8062-5A389E6580E7}"/>
    <cellStyle name="Comma 2 2 3 4 5 7" xfId="18460" xr:uid="{04513E68-A12C-4368-850C-2B5733530B96}"/>
    <cellStyle name="Comma 2 2 3 4 6" xfId="1843" xr:uid="{6BE23B30-3AEA-42B7-BBFF-C0FDA90EA424}"/>
    <cellStyle name="Comma 2 2 3 4 6 2" xfId="2644" xr:uid="{54DC3053-8E53-4919-BBFC-6A2EAD40BBB0}"/>
    <cellStyle name="Comma 2 2 3 4 6 2 2" xfId="3769" xr:uid="{561AE86B-1398-42FE-B6DA-6547C8C3DCD1}"/>
    <cellStyle name="Comma 2 2 3 4 6 2 2 2" xfId="20223" xr:uid="{18DE25D4-F472-4173-AC2B-D1E4B99AED21}"/>
    <cellStyle name="Comma 2 2 3 4 6 2 3" xfId="18085" xr:uid="{8FFACCDC-1F81-4626-A280-43070B7B0F1C}"/>
    <cellStyle name="Comma 2 2 3 4 6 2 3 2" xfId="21078" xr:uid="{7051AD11-5721-4F1E-B497-24E3F60210A4}"/>
    <cellStyle name="Comma 2 2 3 4 6 2 4" xfId="19128" xr:uid="{10AED480-A31A-420F-8C30-484ACFF6DAF0}"/>
    <cellStyle name="Comma 2 2 3 4 6 3" xfId="2900" xr:uid="{F0C41DBF-572B-4DC6-A960-EB95E8C8932B}"/>
    <cellStyle name="Comma 2 2 3 4 6 3 2" xfId="3513" xr:uid="{548B91AF-8986-4943-B01E-B3B3F3B34349}"/>
    <cellStyle name="Comma 2 2 3 4 6 3 2 2" xfId="19967" xr:uid="{16A7AF5A-FF89-4BF3-BF30-87CE872A5984}"/>
    <cellStyle name="Comma 2 2 3 4 6 3 3" xfId="19384" xr:uid="{E175B54C-E023-4266-95F5-14DBA27A73BB}"/>
    <cellStyle name="Comma 2 2 3 4 6 4" xfId="3166" xr:uid="{0FC110F1-494A-4E45-921F-2FA3934EDEE6}"/>
    <cellStyle name="Comma 2 2 3 4 6 4 2" xfId="19640" xr:uid="{47E887EF-AD1D-47B3-BE76-9DF740FF7D73}"/>
    <cellStyle name="Comma 2 2 3 4 6 5" xfId="17596" xr:uid="{7BACAD9F-1524-426A-8315-46BB3356FDEB}"/>
    <cellStyle name="Comma 2 2 3 4 6 5 2" xfId="20802" xr:uid="{D1DFBC95-35E5-475E-BACA-753EB754373C}"/>
    <cellStyle name="Comma 2 2 3 4 6 6" xfId="18852" xr:uid="{4ED9C806-92ED-4AF2-9983-749BD69E64FF}"/>
    <cellStyle name="Comma 2 2 3 4 7" xfId="1615" xr:uid="{EBB47B65-E530-4140-9492-42A103318728}"/>
    <cellStyle name="Comma 2 2 3 4 7 2" xfId="3278" xr:uid="{EA219A2B-A9AC-4C59-A241-C46A19069943}"/>
    <cellStyle name="Comma 2 2 3 4 7 2 2" xfId="19747" xr:uid="{F723422C-A009-4C2C-ABCC-B11B203BE9E6}"/>
    <cellStyle name="Comma 2 2 3 4 7 3" xfId="17375" xr:uid="{552DDB5E-2706-456A-8070-CF8777735F50}"/>
    <cellStyle name="Comma 2 2 3 4 7 3 2" xfId="20582" xr:uid="{F9D316EA-21B7-4F97-A547-1F599963E95E}"/>
    <cellStyle name="Comma 2 2 3 4 7 4" xfId="18632" xr:uid="{82F82650-55DE-4213-8796-C7AEE896E5B6}"/>
    <cellStyle name="Comma 2 2 3 4 8" xfId="2424" xr:uid="{53A9E848-C738-48B7-BC6F-DB4C29F241CB}"/>
    <cellStyle name="Comma 2 2 3 4 8 2" xfId="3549" xr:uid="{4B116BD9-72F2-4CB6-92F2-89A5FD741B05}"/>
    <cellStyle name="Comma 2 2 3 4 8 2 2" xfId="20003" xr:uid="{01A950D9-5CDE-4B13-970F-05CDBD836DDF}"/>
    <cellStyle name="Comma 2 2 3 4 8 3" xfId="17863" xr:uid="{DA315B7C-DBE0-49B1-915C-DA58C4BAF793}"/>
    <cellStyle name="Comma 2 2 3 4 8 3 2" xfId="20858" xr:uid="{8FE1B4D0-0185-4EF1-9131-E85A129AF457}"/>
    <cellStyle name="Comma 2 2 3 4 8 4" xfId="18908" xr:uid="{ED70354B-0C1D-4A44-9533-32D56242C7F8}"/>
    <cellStyle name="Comma 2 2 3 4 9" xfId="2680" xr:uid="{BDE382C7-369F-4265-908F-E7135C01DFA5}"/>
    <cellStyle name="Comma 2 2 3 4 9 2" xfId="3821" xr:uid="{A02F0D57-E658-406F-9698-CC4B4B06A741}"/>
    <cellStyle name="Comma 2 2 3 4 9 2 2" xfId="20275" xr:uid="{9BAAF67D-2208-4095-B0F5-99139DC02E37}"/>
    <cellStyle name="Comma 2 2 3 4 9 3" xfId="19164" xr:uid="{C2BC625A-B9D7-45F4-B58C-D23F1E80ED57}"/>
    <cellStyle name="Comma 2 2 3 5" xfId="874" xr:uid="{892A2A79-2497-4002-B3FA-F7D71F39C7F9}"/>
    <cellStyle name="Comma 2 2 3 5 10" xfId="17077" xr:uid="{5497FEC8-3307-41B2-A73C-C06AA4903528}"/>
    <cellStyle name="Comma 2 2 3 5 10 2" xfId="20368" xr:uid="{B80DDE56-A442-4F5C-ADB1-37179B7509D6}"/>
    <cellStyle name="Comma 2 2 3 5 11" xfId="18418" xr:uid="{E8CA4B0B-02B2-437D-8F77-CB9A45043BF4}"/>
    <cellStyle name="Comma 2 2 3 5 2" xfId="1498" xr:uid="{A3B4EA04-9486-4399-8728-87D691B1AFD1}"/>
    <cellStyle name="Comma 2 2 3 5 2 2" xfId="1683" xr:uid="{5BB39CB1-96C7-4E0B-9599-AF5BC03EB0D3}"/>
    <cellStyle name="Comma 2 2 3 5 2 2 2" xfId="3617" xr:uid="{50C2C2B9-D032-4440-86DF-F372CC18090F}"/>
    <cellStyle name="Comma 2 2 3 5 2 2 2 2" xfId="20071" xr:uid="{C99253A1-ABA5-4577-AF45-B2672E022E84}"/>
    <cellStyle name="Comma 2 2 3 5 2 2 3" xfId="17443" xr:uid="{0238EBBB-6D6C-427B-8955-F5A1EE74EAE8}"/>
    <cellStyle name="Comma 2 2 3 5 2 2 3 2" xfId="20650" xr:uid="{6DBEB13E-2AD8-4D41-84FC-78FAC85D55FC}"/>
    <cellStyle name="Comma 2 2 3 5 2 2 4" xfId="18700" xr:uid="{7C7389F4-6FC8-4024-B0EF-F0C1EA06FEFA}"/>
    <cellStyle name="Comma 2 2 3 5 2 3" xfId="2492" xr:uid="{0F2C83F8-B1E7-4956-9CE3-9EF9E35AF888}"/>
    <cellStyle name="Comma 2 2 3 5 2 3 2" xfId="3348" xr:uid="{F1239B9B-C685-4C8E-A17C-202A6DDFCDAB}"/>
    <cellStyle name="Comma 2 2 3 5 2 3 2 2" xfId="19815" xr:uid="{08702AA7-8001-4B6B-BBF6-72C2439C697B}"/>
    <cellStyle name="Comma 2 2 3 5 2 3 3" xfId="17933" xr:uid="{0689EAEB-A396-4D01-A349-DF52E3F016A2}"/>
    <cellStyle name="Comma 2 2 3 5 2 3 3 2" xfId="20926" xr:uid="{3751B7BB-3D53-48D5-9306-0FFCD3498CC9}"/>
    <cellStyle name="Comma 2 2 3 5 2 3 4" xfId="18976" xr:uid="{90713C35-DC66-4985-B7D8-886C4122D644}"/>
    <cellStyle name="Comma 2 2 3 5 2 4" xfId="2748" xr:uid="{B33A364E-2E9F-42D2-88A0-ECC252F9A111}"/>
    <cellStyle name="Comma 2 2 3 5 2 4 2" xfId="19232" xr:uid="{C2E41872-A38C-4F31-BAEA-35897D5A83FF}"/>
    <cellStyle name="Comma 2 2 3 5 2 5" xfId="3014" xr:uid="{8274AABC-DCA8-48C6-A374-27FC7CEC3B4F}"/>
    <cellStyle name="Comma 2 2 3 5 2 5 2" xfId="19488" xr:uid="{6646907B-23C0-486C-9FCF-A7F68FD531B0}"/>
    <cellStyle name="Comma 2 2 3 5 2 6" xfId="17271" xr:uid="{64B2DC66-20FC-45BC-9956-04690D34E2CF}"/>
    <cellStyle name="Comma 2 2 3 5 2 6 2" xfId="20478" xr:uid="{0D49003D-610A-4E6B-A44D-15FD242C7755}"/>
    <cellStyle name="Comma 2 2 3 5 2 7" xfId="18528" xr:uid="{EA0CCC70-983A-4946-9F87-2F7F3421AED8}"/>
    <cellStyle name="Comma 2 2 3 5 3" xfId="1558" xr:uid="{CF304FF8-E46D-4AD1-A3D6-AADF02D73B89}"/>
    <cellStyle name="Comma 2 2 3 5 3 2" xfId="1730" xr:uid="{7AF3F254-F022-4CB9-9EAC-345685E4C761}"/>
    <cellStyle name="Comma 2 2 3 5 3 2 2" xfId="3664" xr:uid="{71B75C31-82D8-459D-91A5-642D799E4AB0}"/>
    <cellStyle name="Comma 2 2 3 5 3 2 2 2" xfId="20118" xr:uid="{7739249A-61CD-417C-B568-08D574A4BB06}"/>
    <cellStyle name="Comma 2 2 3 5 3 2 3" xfId="17490" xr:uid="{B5947F37-E018-429E-A888-1EFF205B9011}"/>
    <cellStyle name="Comma 2 2 3 5 3 2 3 2" xfId="20697" xr:uid="{7F491BD7-E684-416E-A5B9-7E260E5A050A}"/>
    <cellStyle name="Comma 2 2 3 5 3 2 4" xfId="18747" xr:uid="{2B831E7F-32C1-452E-B870-32A19DAB822B}"/>
    <cellStyle name="Comma 2 2 3 5 3 3" xfId="2539" xr:uid="{40B9AB13-4EE5-4024-A2F2-874C3B983115}"/>
    <cellStyle name="Comma 2 2 3 5 3 3 2" xfId="3403" xr:uid="{4B0A4AE9-C458-4C3B-A366-CED25CC64452}"/>
    <cellStyle name="Comma 2 2 3 5 3 3 2 2" xfId="19862" xr:uid="{9D4EDF50-5A79-4E13-9D9E-E9DDA475AFE4}"/>
    <cellStyle name="Comma 2 2 3 5 3 3 3" xfId="17980" xr:uid="{269E1E03-394E-4FBA-B11C-96CB36913194}"/>
    <cellStyle name="Comma 2 2 3 5 3 3 3 2" xfId="20973" xr:uid="{FD25F52E-A329-4731-88B2-6206A3CE71FC}"/>
    <cellStyle name="Comma 2 2 3 5 3 3 4" xfId="19023" xr:uid="{488B8966-E5D5-4036-9CE3-D02BB93EC884}"/>
    <cellStyle name="Comma 2 2 3 5 3 4" xfId="2795" xr:uid="{03D5E908-FB2D-486B-A706-ADFA93C76FDE}"/>
    <cellStyle name="Comma 2 2 3 5 3 4 2" xfId="19279" xr:uid="{4316E955-AA9D-4B2A-BDD5-FEA458AAEFFF}"/>
    <cellStyle name="Comma 2 2 3 5 3 5" xfId="3061" xr:uid="{3CB65ACA-EA63-43D7-8ABF-D18407861604}"/>
    <cellStyle name="Comma 2 2 3 5 3 5 2" xfId="19535" xr:uid="{BD32BB32-2638-4539-B7B3-E420CEA2FE99}"/>
    <cellStyle name="Comma 2 2 3 5 3 6" xfId="17318" xr:uid="{66A89619-6987-4F9A-AA7A-8FE749147189}"/>
    <cellStyle name="Comma 2 2 3 5 3 6 2" xfId="20525" xr:uid="{0885012B-8F46-4586-A9FF-7E480DC7F5D6}"/>
    <cellStyle name="Comma 2 2 3 5 3 7" xfId="18575" xr:uid="{C3DD7125-E156-4D4A-957D-5DC99A9E32EE}"/>
    <cellStyle name="Comma 2 2 3 5 4" xfId="1400" xr:uid="{A8C9F626-27C8-435B-9F32-CF9DDE2336ED}"/>
    <cellStyle name="Comma 2 2 3 5 4 2" xfId="1780" xr:uid="{F6130383-0B69-4607-9C4F-CDFD85D54344}"/>
    <cellStyle name="Comma 2 2 3 5 4 2 2" xfId="3712" xr:uid="{E152A1F7-CAA0-4C93-A009-A66BBA2B1417}"/>
    <cellStyle name="Comma 2 2 3 5 4 2 2 2" xfId="20166" xr:uid="{B76B0FA0-F6F8-4108-8CFB-9F8D913831CA}"/>
    <cellStyle name="Comma 2 2 3 5 4 2 3" xfId="17538" xr:uid="{BEEE61FF-7E3D-489F-91E4-8635E0676618}"/>
    <cellStyle name="Comma 2 2 3 5 4 2 3 2" xfId="20745" xr:uid="{44945830-5CAB-4FD7-BDDF-3AFDB1AB0BA8}"/>
    <cellStyle name="Comma 2 2 3 5 4 2 4" xfId="18795" xr:uid="{4133DC9E-B80D-4299-9B08-4562DA79085E}"/>
    <cellStyle name="Comma 2 2 3 5 4 3" xfId="2587" xr:uid="{6506C9F9-EFCF-4E4B-BE9A-48E957419981}"/>
    <cellStyle name="Comma 2 2 3 5 4 3 2" xfId="3452" xr:uid="{65A255FE-7680-46D3-8B41-892F8E4848E6}"/>
    <cellStyle name="Comma 2 2 3 5 4 3 2 2" xfId="19910" xr:uid="{07EDA9B6-1EF0-4457-8953-240C6FD97720}"/>
    <cellStyle name="Comma 2 2 3 5 4 3 3" xfId="18028" xr:uid="{3B437724-091D-4203-BC9C-B5C18FF08EE1}"/>
    <cellStyle name="Comma 2 2 3 5 4 3 3 2" xfId="21021" xr:uid="{BA9A2B84-C406-45E8-B068-4CDF5387240C}"/>
    <cellStyle name="Comma 2 2 3 5 4 3 4" xfId="19071" xr:uid="{4D6CE877-9FCA-47AA-A96A-C52CC9DE320D}"/>
    <cellStyle name="Comma 2 2 3 5 4 4" xfId="2843" xr:uid="{0D36FCCB-F63C-4005-B6FF-670BA96DC01E}"/>
    <cellStyle name="Comma 2 2 3 5 4 4 2" xfId="19327" xr:uid="{5C270A8F-243C-4DE0-A85B-F7EA3EC468F6}"/>
    <cellStyle name="Comma 2 2 3 5 4 5" xfId="3109" xr:uid="{2AD5DBF2-483E-4F57-8E03-8DD7584B355B}"/>
    <cellStyle name="Comma 2 2 3 5 4 5 2" xfId="19583" xr:uid="{EA115458-F227-4077-AC50-D7226F2C9EBA}"/>
    <cellStyle name="Comma 2 2 3 5 4 6" xfId="17206" xr:uid="{3EF03AF1-5B1B-48E1-A2EF-33FE98CA6D13}"/>
    <cellStyle name="Comma 2 2 3 5 4 6 2" xfId="20416" xr:uid="{7C6987E0-6DD3-4DAB-B881-CB7C99F39045}"/>
    <cellStyle name="Comma 2 2 3 5 4 7" xfId="18466" xr:uid="{6D26AA9A-FF8C-43F0-89F3-4577C515565F}"/>
    <cellStyle name="Comma 2 2 3 5 5" xfId="1621" xr:uid="{989D7B53-C1D2-4266-ABE8-E3170E2255D6}"/>
    <cellStyle name="Comma 2 2 3 5 5 2" xfId="3284" xr:uid="{B87A9775-2CDD-4F88-8A48-1DF0BFD30C7C}"/>
    <cellStyle name="Comma 2 2 3 5 5 2 2" xfId="19753" xr:uid="{6F950FAF-B935-4DB5-857A-904E3E707740}"/>
    <cellStyle name="Comma 2 2 3 5 5 3" xfId="17381" xr:uid="{4314F9B0-179C-47A5-94D4-C02654AB7E37}"/>
    <cellStyle name="Comma 2 2 3 5 5 3 2" xfId="20588" xr:uid="{EA8D6D30-2159-4040-B583-2838E67FF6F8}"/>
    <cellStyle name="Comma 2 2 3 5 5 4" xfId="18638" xr:uid="{6C2053C5-F9DA-47F0-99C7-C70E0C6B77EE}"/>
    <cellStyle name="Comma 2 2 3 5 6" xfId="2430" xr:uid="{4E18C3A8-DBB3-40C5-ADE6-E53A900CC219}"/>
    <cellStyle name="Comma 2 2 3 5 6 2" xfId="3555" xr:uid="{3EE117B1-5F94-480D-A327-607AD552EB94}"/>
    <cellStyle name="Comma 2 2 3 5 6 2 2" xfId="20009" xr:uid="{56EF79C5-6EE1-47EA-AF5A-3F5B139FB576}"/>
    <cellStyle name="Comma 2 2 3 5 6 3" xfId="17869" xr:uid="{88BB9C41-AB18-4058-B1C8-D12204828D70}"/>
    <cellStyle name="Comma 2 2 3 5 6 3 2" xfId="20864" xr:uid="{FC3C34AA-F9FB-4131-949E-7729593069DB}"/>
    <cellStyle name="Comma 2 2 3 5 6 4" xfId="18914" xr:uid="{F4301B47-E57D-49C9-A376-4924B0283D13}"/>
    <cellStyle name="Comma 2 2 3 5 7" xfId="2686" xr:uid="{4AAA3337-67F7-4748-A44E-7B52D46E5F23}"/>
    <cellStyle name="Comma 2 2 3 5 7 2" xfId="3834" xr:uid="{59EFA43B-FC23-4118-88BA-8BDE6E39346E}"/>
    <cellStyle name="Comma 2 2 3 5 7 2 2" xfId="20288" xr:uid="{72C21B5C-4AE8-4E74-9E36-D418A440EA59}"/>
    <cellStyle name="Comma 2 2 3 5 7 3" xfId="19170" xr:uid="{E5CACDBA-011D-4101-9C93-B1BCC946B19C}"/>
    <cellStyle name="Comma 2 2 3 5 8" xfId="3235" xr:uid="{6FC8709B-C14E-44B1-A817-234F0F815309}"/>
    <cellStyle name="Comma 2 2 3 5 8 2" xfId="19705" xr:uid="{2C0D9000-04EC-4118-8365-2CBBC0492AC2}"/>
    <cellStyle name="Comma 2 2 3 5 9" xfId="2952" xr:uid="{C5E9270E-C221-49C2-BF1C-54F3F8BCAB53}"/>
    <cellStyle name="Comma 2 2 3 5 9 2" xfId="19426" xr:uid="{00190F5B-2ED7-404D-B066-28B2DB5B9D86}"/>
    <cellStyle name="Comma 2 2 3 6" xfId="886" xr:uid="{82E95319-19CA-464E-BD67-F710B642BEB0}"/>
    <cellStyle name="Comma 2 2 3 6 10" xfId="17087" xr:uid="{C00A6B8D-F252-48AD-B02F-F30D4713077A}"/>
    <cellStyle name="Comma 2 2 3 6 10 2" xfId="20374" xr:uid="{5337898E-21C2-4B47-BD27-7AF2954CF278}"/>
    <cellStyle name="Comma 2 2 3 6 11" xfId="18424" xr:uid="{F43EE0B6-FA34-4702-97FA-0CF047E1E1A1}"/>
    <cellStyle name="Comma 2 2 3 6 2" xfId="1499" xr:uid="{D3FFD1FD-6F4A-458B-91C0-E182D178C9D4}"/>
    <cellStyle name="Comma 2 2 3 6 2 2" xfId="1684" xr:uid="{A1E5BF19-2932-4449-84B3-91122228EF55}"/>
    <cellStyle name="Comma 2 2 3 6 2 2 2" xfId="3618" xr:uid="{79DD56C0-8020-45EE-98B7-D5FD3DFD012B}"/>
    <cellStyle name="Comma 2 2 3 6 2 2 2 2" xfId="20072" xr:uid="{48C96234-BD71-48CE-96D7-6CD6C43AC99E}"/>
    <cellStyle name="Comma 2 2 3 6 2 2 3" xfId="17444" xr:uid="{B9BE8E3F-4E08-4383-A8EF-7DB8DB294C25}"/>
    <cellStyle name="Comma 2 2 3 6 2 2 3 2" xfId="20651" xr:uid="{D856A8CD-8A12-4468-AF9F-94EC2DEAE38C}"/>
    <cellStyle name="Comma 2 2 3 6 2 2 4" xfId="18701" xr:uid="{8FBF04C6-3EBE-4CF1-BA9F-1480638F0598}"/>
    <cellStyle name="Comma 2 2 3 6 2 3" xfId="2493" xr:uid="{E98C7FA6-6E2A-4BCB-9AE6-40B97A4B492F}"/>
    <cellStyle name="Comma 2 2 3 6 2 3 2" xfId="3349" xr:uid="{B668AC39-02C7-4FD6-A1A2-7FCA667B6E98}"/>
    <cellStyle name="Comma 2 2 3 6 2 3 2 2" xfId="19816" xr:uid="{FB688E39-FE95-4876-A5AD-29A9B22FFE9D}"/>
    <cellStyle name="Comma 2 2 3 6 2 3 3" xfId="17934" xr:uid="{7EFE173B-F080-4EE6-8CDF-46101F069BA3}"/>
    <cellStyle name="Comma 2 2 3 6 2 3 3 2" xfId="20927" xr:uid="{3669D259-50F8-4299-A53F-8380328F8DCA}"/>
    <cellStyle name="Comma 2 2 3 6 2 3 4" xfId="18977" xr:uid="{D79D9A42-52BD-48C4-B91F-A5E28D89D444}"/>
    <cellStyle name="Comma 2 2 3 6 2 4" xfId="2749" xr:uid="{55362806-B127-461D-970A-4BF8D9079177}"/>
    <cellStyle name="Comma 2 2 3 6 2 4 2" xfId="19233" xr:uid="{1C9C6665-5B0F-4026-8AC0-8D2770039C46}"/>
    <cellStyle name="Comma 2 2 3 6 2 5" xfId="3015" xr:uid="{4A0A4134-E383-4AB6-A8B2-ACAEE085EADC}"/>
    <cellStyle name="Comma 2 2 3 6 2 5 2" xfId="19489" xr:uid="{5F65E709-0B98-4996-B0F1-171F4F7548B4}"/>
    <cellStyle name="Comma 2 2 3 6 2 6" xfId="17272" xr:uid="{4628C251-F6A1-4AB3-A2BF-046AE8E4B587}"/>
    <cellStyle name="Comma 2 2 3 6 2 6 2" xfId="20479" xr:uid="{7F9B22B8-3E84-497E-BD95-62C86C628D82}"/>
    <cellStyle name="Comma 2 2 3 6 2 7" xfId="18529" xr:uid="{516D6550-145D-441E-98EA-D85A2B84BF7D}"/>
    <cellStyle name="Comma 2 2 3 6 3" xfId="1559" xr:uid="{D816A9CE-E8ED-4324-9B0D-A07916110E24}"/>
    <cellStyle name="Comma 2 2 3 6 3 2" xfId="1731" xr:uid="{6304F773-0592-4D70-940C-43BB8FDF8268}"/>
    <cellStyle name="Comma 2 2 3 6 3 2 2" xfId="3665" xr:uid="{053C977A-CEEC-4FF6-B003-52C02D66E1C8}"/>
    <cellStyle name="Comma 2 2 3 6 3 2 2 2" xfId="20119" xr:uid="{870FDAF3-151E-428F-B42D-EAC4BB0320CB}"/>
    <cellStyle name="Comma 2 2 3 6 3 2 3" xfId="17491" xr:uid="{DD715151-D715-4046-84E9-1D745FC4CF98}"/>
    <cellStyle name="Comma 2 2 3 6 3 2 3 2" xfId="20698" xr:uid="{5538D60C-6CBA-407D-B845-EF5872AAA060}"/>
    <cellStyle name="Comma 2 2 3 6 3 2 4" xfId="18748" xr:uid="{B89FFF47-A79E-4283-9305-E4C9462610C1}"/>
    <cellStyle name="Comma 2 2 3 6 3 3" xfId="2540" xr:uid="{E6BD10A9-0ACE-47BC-8924-3178E1A05B40}"/>
    <cellStyle name="Comma 2 2 3 6 3 3 2" xfId="3404" xr:uid="{F6F9F2B9-B98C-475F-81BA-3A0A489ABDDF}"/>
    <cellStyle name="Comma 2 2 3 6 3 3 2 2" xfId="19863" xr:uid="{DFBCFE08-6ACE-4D57-91DB-740CD0B44473}"/>
    <cellStyle name="Comma 2 2 3 6 3 3 3" xfId="17981" xr:uid="{D835C393-BCB9-4272-B78F-4D3FACDBBC18}"/>
    <cellStyle name="Comma 2 2 3 6 3 3 3 2" xfId="20974" xr:uid="{327D076B-3BFE-47BC-A797-30EA5AA16BCC}"/>
    <cellStyle name="Comma 2 2 3 6 3 3 4" xfId="19024" xr:uid="{687DF73A-B27A-4299-86E3-CA58E6DD6E32}"/>
    <cellStyle name="Comma 2 2 3 6 3 4" xfId="2796" xr:uid="{6393121D-0D38-4AA8-AC31-F498B1A91A00}"/>
    <cellStyle name="Comma 2 2 3 6 3 4 2" xfId="19280" xr:uid="{E67D85AD-833E-4D2C-AC39-D3D5796681A8}"/>
    <cellStyle name="Comma 2 2 3 6 3 5" xfId="3062" xr:uid="{CE175EA3-B8F2-4349-B054-28DF1AA159B5}"/>
    <cellStyle name="Comma 2 2 3 6 3 5 2" xfId="19536" xr:uid="{13A7D7EE-DACD-416F-B2CD-951903A21865}"/>
    <cellStyle name="Comma 2 2 3 6 3 6" xfId="17319" xr:uid="{A5E741A6-FD89-4DE6-933C-9A4E9C630DCD}"/>
    <cellStyle name="Comma 2 2 3 6 3 6 2" xfId="20526" xr:uid="{95E8731C-7DFC-4107-9696-D2F5F1E7E598}"/>
    <cellStyle name="Comma 2 2 3 6 3 7" xfId="18576" xr:uid="{95BF50AA-CD04-46D0-A6F7-13DAF495913F}"/>
    <cellStyle name="Comma 2 2 3 6 4" xfId="1415" xr:uid="{B2A4891E-9AF1-4E29-BC20-1AFE0A469756}"/>
    <cellStyle name="Comma 2 2 3 6 4 2" xfId="1781" xr:uid="{E90E7F52-4D6A-4FDB-A86E-10A9470F1FDC}"/>
    <cellStyle name="Comma 2 2 3 6 4 2 2" xfId="3713" xr:uid="{62EA6E3A-3FDC-41EC-979F-35FD6FEEFC1E}"/>
    <cellStyle name="Comma 2 2 3 6 4 2 2 2" xfId="20167" xr:uid="{1B86EF1F-FA6E-48B0-93ED-EB560E08593F}"/>
    <cellStyle name="Comma 2 2 3 6 4 2 3" xfId="17539" xr:uid="{8357D317-8397-4AD7-A37C-10829A473E6A}"/>
    <cellStyle name="Comma 2 2 3 6 4 2 3 2" xfId="20746" xr:uid="{3C9114DF-BF46-43D9-B2D9-15C0ECC68172}"/>
    <cellStyle name="Comma 2 2 3 6 4 2 4" xfId="18796" xr:uid="{633E3742-AE92-4CC7-B9A3-2B308F173D3C}"/>
    <cellStyle name="Comma 2 2 3 6 4 3" xfId="2588" xr:uid="{2FBBE15A-3D8B-474B-8E1F-3D63D53F36D0}"/>
    <cellStyle name="Comma 2 2 3 6 4 3 2" xfId="3453" xr:uid="{5F1F38FA-331B-474A-88DD-8A194DF408B8}"/>
    <cellStyle name="Comma 2 2 3 6 4 3 2 2" xfId="19911" xr:uid="{BE4A8C6E-FFA2-40C9-B468-C659C6A055DC}"/>
    <cellStyle name="Comma 2 2 3 6 4 3 3" xfId="18029" xr:uid="{132C9CFE-0CB9-4635-994F-51D11E69C67B}"/>
    <cellStyle name="Comma 2 2 3 6 4 3 3 2" xfId="21022" xr:uid="{FA223DAA-B42B-4AA4-BA21-5B3AB2BC1DE4}"/>
    <cellStyle name="Comma 2 2 3 6 4 3 4" xfId="19072" xr:uid="{A1788B46-E42A-49E4-9358-B02F22A5F651}"/>
    <cellStyle name="Comma 2 2 3 6 4 4" xfId="2844" xr:uid="{59519C0B-771B-4D82-8017-8EDB80E9F47E}"/>
    <cellStyle name="Comma 2 2 3 6 4 4 2" xfId="19328" xr:uid="{24D3E212-FE6B-46FE-BD22-599F955CA155}"/>
    <cellStyle name="Comma 2 2 3 6 4 5" xfId="3110" xr:uid="{16885559-2C6B-4D8C-B14B-5D1B3DF87966}"/>
    <cellStyle name="Comma 2 2 3 6 4 5 2" xfId="19584" xr:uid="{457833CF-6250-46A0-B655-8935C73AD6FF}"/>
    <cellStyle name="Comma 2 2 3 6 4 6" xfId="17216" xr:uid="{FB18EFF3-E437-4AA1-9925-F01E9C4714C8}"/>
    <cellStyle name="Comma 2 2 3 6 4 6 2" xfId="20425" xr:uid="{B90161B8-365B-4000-8B2E-1D98B16AC012}"/>
    <cellStyle name="Comma 2 2 3 6 4 7" xfId="18475" xr:uid="{B3686E0E-6F48-456C-B555-7F9E5768F23D}"/>
    <cellStyle name="Comma 2 2 3 6 5" xfId="1630" xr:uid="{F0833006-A87B-4625-9D13-60AF19FD5352}"/>
    <cellStyle name="Comma 2 2 3 6 5 2" xfId="3294" xr:uid="{12C57BD9-FCED-41A4-BC33-2FC7E3B47DA2}"/>
    <cellStyle name="Comma 2 2 3 6 5 2 2" xfId="19762" xr:uid="{5E2537E3-117D-448F-8D7E-328827BA4CD8}"/>
    <cellStyle name="Comma 2 2 3 6 5 3" xfId="17390" xr:uid="{BA8B16D3-EA57-48A4-B0F7-689E972BDD64}"/>
    <cellStyle name="Comma 2 2 3 6 5 3 2" xfId="20597" xr:uid="{F27C5D1A-A0F3-44E7-9145-23372140F493}"/>
    <cellStyle name="Comma 2 2 3 6 5 4" xfId="18647" xr:uid="{B416AC5B-0243-48D4-B763-86E6F358D41A}"/>
    <cellStyle name="Comma 2 2 3 6 6" xfId="2439" xr:uid="{E4409C0E-9160-4DBD-8D3B-892BFFA85001}"/>
    <cellStyle name="Comma 2 2 3 6 6 2" xfId="3564" xr:uid="{CB3CE3B4-9A38-480C-AA20-C75D2FBB398A}"/>
    <cellStyle name="Comma 2 2 3 6 6 2 2" xfId="20018" xr:uid="{AD1D1DB8-A19D-4E64-A76F-B8DDB6370A29}"/>
    <cellStyle name="Comma 2 2 3 6 6 3" xfId="17878" xr:uid="{C095ED73-3A3F-4FD5-A4E7-8D3CCF4A8782}"/>
    <cellStyle name="Comma 2 2 3 6 6 3 2" xfId="20873" xr:uid="{8E93916F-95D8-40CE-AAC6-6AAB49870A37}"/>
    <cellStyle name="Comma 2 2 3 6 6 4" xfId="18923" xr:uid="{4DD9FD30-B0A8-480C-A9AD-61EF3A27DD3D}"/>
    <cellStyle name="Comma 2 2 3 6 7" xfId="2695" xr:uid="{889B4CF8-CAE1-456B-80B8-8683DE5CAA58}"/>
    <cellStyle name="Comma 2 2 3 6 7 2" xfId="3840" xr:uid="{CD968427-8B48-4365-B6EB-8EF49FC0ADFF}"/>
    <cellStyle name="Comma 2 2 3 6 7 2 2" xfId="20294" xr:uid="{A3D97D0B-467F-4DE0-A22D-C41CC5A371EE}"/>
    <cellStyle name="Comma 2 2 3 6 7 3" xfId="19179" xr:uid="{A17B1508-96EC-4B9C-804A-2BD3F428CA8F}"/>
    <cellStyle name="Comma 2 2 3 6 8" xfId="3241" xr:uid="{F6F5659A-79CC-4E91-A056-B307FB092FB7}"/>
    <cellStyle name="Comma 2 2 3 6 8 2" xfId="19711" xr:uid="{8C6017AF-979A-497E-96BA-0121328033BD}"/>
    <cellStyle name="Comma 2 2 3 6 9" xfId="2961" xr:uid="{4C7469FD-0A02-4A38-BEB9-1F41867F6D2F}"/>
    <cellStyle name="Comma 2 2 3 6 9 2" xfId="19435" xr:uid="{928946F3-65A7-45FA-9F4B-EF38E84734E4}"/>
    <cellStyle name="Comma 2 2 3 7" xfId="1494" xr:uid="{3AE5D688-0FAD-48D5-9C0B-33BE89966331}"/>
    <cellStyle name="Comma 2 2 3 7 2" xfId="1679" xr:uid="{7DA16680-DEFF-40A2-988D-EE43EC3B5237}"/>
    <cellStyle name="Comma 2 2 3 7 2 2" xfId="3344" xr:uid="{416927EE-FEA8-4BCE-AEB7-9AFCD8306AEA}"/>
    <cellStyle name="Comma 2 2 3 7 2 2 2" xfId="19811" xr:uid="{E02E63DC-6C7D-477D-85B3-2A5394C34CAE}"/>
    <cellStyle name="Comma 2 2 3 7 2 3" xfId="17439" xr:uid="{BC49DF8F-B8D6-4B3B-B5DD-B51F5B4EA502}"/>
    <cellStyle name="Comma 2 2 3 7 2 3 2" xfId="20646" xr:uid="{AAA9AD4C-7CA8-4C1A-8C64-E5E490DABACE}"/>
    <cellStyle name="Comma 2 2 3 7 2 4" xfId="18696" xr:uid="{1F18C78B-3F1B-4F2F-BD8E-0B866A433E69}"/>
    <cellStyle name="Comma 2 2 3 7 3" xfId="2488" xr:uid="{D131FB7E-08F3-46F4-A030-1BAE12D17B6D}"/>
    <cellStyle name="Comma 2 2 3 7 3 2" xfId="3613" xr:uid="{56E623E4-A0DD-422E-A6EB-086F28EF6E33}"/>
    <cellStyle name="Comma 2 2 3 7 3 2 2" xfId="20067" xr:uid="{422229DF-CD88-4B1E-B9E7-676C794F0478}"/>
    <cellStyle name="Comma 2 2 3 7 3 3" xfId="17929" xr:uid="{3E01360A-E2C8-4F84-BBC0-BF1118BD16FB}"/>
    <cellStyle name="Comma 2 2 3 7 3 3 2" xfId="20922" xr:uid="{E062F3E3-CF9E-43A5-9B30-68214A1B8819}"/>
    <cellStyle name="Comma 2 2 3 7 3 4" xfId="18972" xr:uid="{A12FE4BA-DEC1-4174-92DF-00F5808A5EDB}"/>
    <cellStyle name="Comma 2 2 3 7 4" xfId="2744" xr:uid="{8946D38F-B99C-4D70-9C2F-2838FCCDCC53}"/>
    <cellStyle name="Comma 2 2 3 7 4 2" xfId="3795" xr:uid="{D3B54883-E28F-4852-997D-7D5B9616751E}"/>
    <cellStyle name="Comma 2 2 3 7 4 2 2" xfId="20249" xr:uid="{8BE91B48-6D2B-43EE-AB22-D6AC08C304A5}"/>
    <cellStyle name="Comma 2 2 3 7 4 3" xfId="19228" xr:uid="{61E13B20-228E-4F3A-B2DF-ECCE299D2BB6}"/>
    <cellStyle name="Comma 2 2 3 7 5" xfId="3192" xr:uid="{4B34D7E4-8A72-4E1F-B40B-6B7E05E7C164}"/>
    <cellStyle name="Comma 2 2 3 7 5 2" xfId="19666" xr:uid="{CC4F188D-FECB-4A0A-BC48-9754069EF4FB}"/>
    <cellStyle name="Comma 2 2 3 7 6" xfId="3010" xr:uid="{E7B30CD4-A2BF-4784-9169-317B9A0337AF}"/>
    <cellStyle name="Comma 2 2 3 7 6 2" xfId="19484" xr:uid="{F62222E0-22DA-4AFE-B5FB-95A203B36FD9}"/>
    <cellStyle name="Comma 2 2 3 7 7" xfId="17267" xr:uid="{AA71EC4F-C195-4FD4-99FC-1466AB083233}"/>
    <cellStyle name="Comma 2 2 3 7 7 2" xfId="20474" xr:uid="{7BA9A46E-7E7B-4565-A92C-1F79BDD46AE9}"/>
    <cellStyle name="Comma 2 2 3 7 8" xfId="18524" xr:uid="{A1D1530B-C3DB-48E5-A1F2-B66E945BC19E}"/>
    <cellStyle name="Comma 2 2 3 8" xfId="1554" xr:uid="{3A55EC11-656E-447E-A9D1-B568F996871B}"/>
    <cellStyle name="Comma 2 2 3 8 2" xfId="1726" xr:uid="{0EB4CA25-E186-46D9-B9B7-50FF77BFA33F}"/>
    <cellStyle name="Comma 2 2 3 8 2 2" xfId="3660" xr:uid="{0B55B4F7-493E-4752-B699-936808275FD6}"/>
    <cellStyle name="Comma 2 2 3 8 2 2 2" xfId="20114" xr:uid="{3C801147-A7AC-45FA-92F9-BC6FEFC49902}"/>
    <cellStyle name="Comma 2 2 3 8 2 3" xfId="17486" xr:uid="{5D72BEDB-C473-4AD6-A8C4-E694F5C62B5B}"/>
    <cellStyle name="Comma 2 2 3 8 2 3 2" xfId="20693" xr:uid="{F7802B01-BAE7-4955-A624-4C6DFA3AE88E}"/>
    <cellStyle name="Comma 2 2 3 8 2 4" xfId="18743" xr:uid="{1896216E-7365-40B9-8A14-FDD8D5AD0104}"/>
    <cellStyle name="Comma 2 2 3 8 3" xfId="2535" xr:uid="{35AD110D-F4BB-4EA6-B2BA-300B67C4CAA4}"/>
    <cellStyle name="Comma 2 2 3 8 3 2" xfId="3399" xr:uid="{BF595E05-DE3F-4595-9C36-4CD2440BBA34}"/>
    <cellStyle name="Comma 2 2 3 8 3 2 2" xfId="19858" xr:uid="{0108864E-A05A-486E-B138-E149F2116749}"/>
    <cellStyle name="Comma 2 2 3 8 3 3" xfId="17976" xr:uid="{A3EA68CE-0F98-41AF-8E5D-4745D3583FEC}"/>
    <cellStyle name="Comma 2 2 3 8 3 3 2" xfId="20969" xr:uid="{F0D011DE-18D0-4AE0-810F-8DB4661353F6}"/>
    <cellStyle name="Comma 2 2 3 8 3 4" xfId="19019" xr:uid="{67E14DAA-EBD0-40A6-A303-E008B93CE5EF}"/>
    <cellStyle name="Comma 2 2 3 8 4" xfId="2791" xr:uid="{7563D6CF-EE80-4474-BF89-AE5328D94B18}"/>
    <cellStyle name="Comma 2 2 3 8 4 2" xfId="19275" xr:uid="{B157B2B2-6A86-4CC5-B8D8-E013D7EBDA8B}"/>
    <cellStyle name="Comma 2 2 3 8 5" xfId="3057" xr:uid="{CC8939DB-C5CE-4C8F-900D-88BC26A3D7A6}"/>
    <cellStyle name="Comma 2 2 3 8 5 2" xfId="19531" xr:uid="{53E2882F-FEC1-4E9A-8D45-CA9C1B40C960}"/>
    <cellStyle name="Comma 2 2 3 8 6" xfId="17314" xr:uid="{A0A7DCA3-A535-4E26-809D-1B80F0CDEF27}"/>
    <cellStyle name="Comma 2 2 3 8 6 2" xfId="20521" xr:uid="{0A3ECDB8-6584-419A-A8DD-BE0991890992}"/>
    <cellStyle name="Comma 2 2 3 8 7" xfId="18571" xr:uid="{1175F2B0-6D52-4BFB-8113-414A9341E186}"/>
    <cellStyle name="Comma 2 2 3 9" xfId="915" xr:uid="{1AB01523-A3EF-4744-90A1-7FA87F53F7CC}"/>
    <cellStyle name="Comma 2 2 3 9 2" xfId="1776" xr:uid="{9FD1CBD7-B976-4B0C-BFE0-EA5B339AB5FC}"/>
    <cellStyle name="Comma 2 2 3 9 2 2" xfId="3708" xr:uid="{CA9DEE8C-66C7-458D-95A5-C420AF5382F9}"/>
    <cellStyle name="Comma 2 2 3 9 2 2 2" xfId="20162" xr:uid="{87C550D7-3875-4F57-8A5E-8C250BD6C133}"/>
    <cellStyle name="Comma 2 2 3 9 2 3" xfId="17534" xr:uid="{FD711A58-8152-4C7C-A106-735ABFD3E410}"/>
    <cellStyle name="Comma 2 2 3 9 2 3 2" xfId="20741" xr:uid="{AF5CD1C4-F773-461B-9264-46387E3E527A}"/>
    <cellStyle name="Comma 2 2 3 9 2 4" xfId="18791" xr:uid="{79BECB4C-4F54-4A00-9B45-DF602D8CDC6E}"/>
    <cellStyle name="Comma 2 2 3 9 3" xfId="2583" xr:uid="{7ED75A3B-95A7-4C7C-A932-EDF53E6E3A9F}"/>
    <cellStyle name="Comma 2 2 3 9 3 2" xfId="3448" xr:uid="{1B8B8CC5-EE11-46E0-8E3C-C4EF555D70F3}"/>
    <cellStyle name="Comma 2 2 3 9 3 2 2" xfId="19906" xr:uid="{5D4998C3-3917-4966-A5A3-B8A107FA701F}"/>
    <cellStyle name="Comma 2 2 3 9 3 3" xfId="18024" xr:uid="{27CFD6C2-AD20-428C-95A3-389A04626BBA}"/>
    <cellStyle name="Comma 2 2 3 9 3 3 2" xfId="21017" xr:uid="{705B239D-670A-4BB6-AD62-23E73FE1F088}"/>
    <cellStyle name="Comma 2 2 3 9 3 4" xfId="19067" xr:uid="{FF10A43C-69E5-4B89-A399-027AEC6C8DAA}"/>
    <cellStyle name="Comma 2 2 3 9 4" xfId="2839" xr:uid="{5FC94548-AA93-4DBC-AA4D-C36F9431B682}"/>
    <cellStyle name="Comma 2 2 3 9 4 2" xfId="19323" xr:uid="{E957EA0C-1C32-4C90-A642-31545E6EC55D}"/>
    <cellStyle name="Comma 2 2 3 9 5" xfId="3105" xr:uid="{4642C28D-80F3-46B1-982C-9087B6983906}"/>
    <cellStyle name="Comma 2 2 3 9 5 2" xfId="19579" xr:uid="{CE0D0716-E484-4E9F-AA8C-872EBF6E60C3}"/>
    <cellStyle name="Comma 2 2 3 9 6" xfId="17103" xr:uid="{79268E4C-4607-424E-8FC4-F011CCF3ED6B}"/>
    <cellStyle name="Comma 2 2 3 9 6 2" xfId="20383" xr:uid="{292FF42B-3FDB-44EE-92A7-908170ED72D3}"/>
    <cellStyle name="Comma 2 2 3 9 7" xfId="18433" xr:uid="{64611043-F646-40EA-9DDB-8A400ED46E60}"/>
    <cellStyle name="Comma 2 2 4" xfId="916" xr:uid="{F9700688-9999-490A-87D9-63083AC869F3}"/>
    <cellStyle name="Comma 2 2 4 2" xfId="17104" xr:uid="{394D03CE-EBC5-498E-BC5E-E86460E5011F}"/>
    <cellStyle name="Comma 2 2 4 3" xfId="12291" xr:uid="{FC89FF5E-8BCC-458C-AA9C-4F9208A59A0A}"/>
    <cellStyle name="Comma 2 3" xfId="217" xr:uid="{25BE3EFA-43C0-4E68-9EBC-CCEBF5B733B5}"/>
    <cellStyle name="Comma 2 3 2" xfId="218" xr:uid="{AAEBA973-7E3B-4C59-A51C-D899F6E90BF5}"/>
    <cellStyle name="Comma 2 3 3" xfId="219" xr:uid="{99D59936-502D-43B5-BD94-F8DA6A5F37F2}"/>
    <cellStyle name="Comma 2 3 3 10" xfId="1817" xr:uid="{22304C52-395B-4559-9843-41A88AC7CEA5}"/>
    <cellStyle name="Comma 2 3 3 10 2" xfId="2618" xr:uid="{DF3A8422-0CC3-4A1C-AB7D-0BDAD33EA31F}"/>
    <cellStyle name="Comma 2 3 3 10 2 2" xfId="3743" xr:uid="{69EBAB1E-5CB1-41FF-A5BD-6ADFFBC3FEB1}"/>
    <cellStyle name="Comma 2 3 3 10 2 2 2" xfId="20197" xr:uid="{7412DFA8-A5DD-4FCA-AC9D-FDE8EB83FF91}"/>
    <cellStyle name="Comma 2 3 3 10 2 3" xfId="18059" xr:uid="{39ACE3A6-B32D-48E8-A0BD-24E4C5FCACF0}"/>
    <cellStyle name="Comma 2 3 3 10 2 3 2" xfId="21052" xr:uid="{3C2C427B-9DDB-4E76-BE0C-B2727396CC92}"/>
    <cellStyle name="Comma 2 3 3 10 2 4" xfId="19102" xr:uid="{384C8A50-2BDC-446E-9742-BD0486BB9BAC}"/>
    <cellStyle name="Comma 2 3 3 10 3" xfId="2874" xr:uid="{EEBDC80D-3C44-44A0-9219-445B479783F2}"/>
    <cellStyle name="Comma 2 3 3 10 3 2" xfId="3487" xr:uid="{D0B43E91-F39D-457E-A760-FF1AB56094FA}"/>
    <cellStyle name="Comma 2 3 3 10 3 2 2" xfId="19941" xr:uid="{3DCC366F-C1E2-4003-91E6-A34A820CF347}"/>
    <cellStyle name="Comma 2 3 3 10 3 3" xfId="19358" xr:uid="{5CBF47CF-E678-43A1-B774-9EAFF13B98F1}"/>
    <cellStyle name="Comma 2 3 3 10 4" xfId="3140" xr:uid="{714C3775-F949-4310-A167-B5181CDAB151}"/>
    <cellStyle name="Comma 2 3 3 10 4 2" xfId="19614" xr:uid="{F572A0CE-A4C7-4E74-8325-156FB2217779}"/>
    <cellStyle name="Comma 2 3 3 10 5" xfId="17570" xr:uid="{0A8DC28F-B17F-4786-833E-06B5C29787C5}"/>
    <cellStyle name="Comma 2 3 3 10 5 2" xfId="20776" xr:uid="{F1E79714-2FC8-4562-B9FE-B6137E3995E8}"/>
    <cellStyle name="Comma 2 3 3 10 6" xfId="18826" xr:uid="{AFCB3EDF-6F24-4DD5-829F-6CD921DFCA8A}"/>
    <cellStyle name="Comma 2 3 3 11" xfId="1589" xr:uid="{6C82138B-A7B5-4F0A-9953-1739E9917084}"/>
    <cellStyle name="Comma 2 3 3 11 2" xfId="3251" xr:uid="{07140A0D-5183-4673-B3B2-5650786EE48A}"/>
    <cellStyle name="Comma 2 3 3 11 2 2" xfId="19721" xr:uid="{FA18DC57-5E50-4725-B054-2BE40C273260}"/>
    <cellStyle name="Comma 2 3 3 11 3" xfId="17349" xr:uid="{F3F2828D-4A83-4F09-BF06-CBB74B4CCED5}"/>
    <cellStyle name="Comma 2 3 3 11 3 2" xfId="20556" xr:uid="{46C5D6DF-B4C8-4E36-85EA-5D70D8137851}"/>
    <cellStyle name="Comma 2 3 3 11 4" xfId="18606" xr:uid="{7BC16284-30BE-4622-A862-62217018001D}"/>
    <cellStyle name="Comma 2 3 3 12" xfId="2016" xr:uid="{A35B15AA-5F22-4C0A-A9F1-06370208E8D6}"/>
    <cellStyle name="Comma 2 3 3 12 2" xfId="3523" xr:uid="{E276C027-7C40-445D-AC5E-EE8FFD5E40C8}"/>
    <cellStyle name="Comma 2 3 3 12 2 2" xfId="19977" xr:uid="{04C5C4D4-3CD6-479D-9B6D-78D6A74B1B98}"/>
    <cellStyle name="Comma 2 3 3 12 3" xfId="17725" xr:uid="{D9D86BCD-4613-47AF-8A94-1F14D288E539}"/>
    <cellStyle name="Comma 2 3 3 12 3 2" xfId="20815" xr:uid="{476730B0-F67A-4D84-A5A7-A7D0E572F69B}"/>
    <cellStyle name="Comma 2 3 3 12 4" xfId="18865" xr:uid="{8667C904-F1F0-46BE-B612-5030DBBBCD9E}"/>
    <cellStyle name="Comma 2 3 3 13" xfId="2398" xr:uid="{1C002870-B7C5-461D-A484-D0CC4886541C}"/>
    <cellStyle name="Comma 2 3 3 13 2" xfId="3782" xr:uid="{3A33FA76-660E-448B-8FAC-286ED67DA3AD}"/>
    <cellStyle name="Comma 2 3 3 13 2 2" xfId="20236" xr:uid="{BA5CF71F-1653-4E19-A04E-99739FDCE440}"/>
    <cellStyle name="Comma 2 3 3 13 3" xfId="17828" xr:uid="{35CE0CC5-C028-49CE-8BFA-8E8AD1D192A6}"/>
    <cellStyle name="Comma 2 3 3 13 3 2" xfId="20832" xr:uid="{BC99CC7F-11E7-4B42-B915-8D770E050323}"/>
    <cellStyle name="Comma 2 3 3 13 4" xfId="18882" xr:uid="{54798455-B9CD-4E99-AE0B-D788917AAF12}"/>
    <cellStyle name="Comma 2 3 3 14" xfId="2654" xr:uid="{7CBA84D3-4A38-4251-986C-AF4D9D43CF17}"/>
    <cellStyle name="Comma 2 3 3 14 2" xfId="3179" xr:uid="{F2C8FFCA-9F56-4514-B2DF-EC377562EC46}"/>
    <cellStyle name="Comma 2 3 3 14 2 2" xfId="19653" xr:uid="{7EF0D64C-9FBF-4CC5-A128-CE66EB134421}"/>
    <cellStyle name="Comma 2 3 3 14 3" xfId="18124" xr:uid="{AAB64A8C-FCFD-445F-9E04-414AEA8B6E65}"/>
    <cellStyle name="Comma 2 3 3 14 3 2" xfId="21084" xr:uid="{CF486FC6-3A61-4386-9C61-B965A004A791}"/>
    <cellStyle name="Comma 2 3 3 14 4" xfId="19138" xr:uid="{AAB3353B-CD38-4CD7-8ACC-3E102F09FD35}"/>
    <cellStyle name="Comma 2 3 3 15" xfId="2920" xr:uid="{24AA473E-29A4-4D4C-908F-849F87866B47}"/>
    <cellStyle name="Comma 2 3 3 15 2" xfId="18152" xr:uid="{59E3F5DE-2049-41D6-8BCE-14177A14DFE9}"/>
    <cellStyle name="Comma 2 3 3 15 2 2" xfId="21094" xr:uid="{51CF54BB-38B0-4E1B-BCBD-9CED2C275744}"/>
    <cellStyle name="Comma 2 3 3 15 3" xfId="19394" xr:uid="{0413EA7A-B062-4B5C-8521-67C5A8DB25B9}"/>
    <cellStyle name="Comma 2 3 3 16" xfId="16618" xr:uid="{31651F92-55A8-4951-A989-84BFB0006C03}"/>
    <cellStyle name="Comma 2 3 3 16 2" xfId="20329" xr:uid="{55E5D429-7EBC-4207-9E29-015057B7020A}"/>
    <cellStyle name="Comma 2 3 3 17" xfId="3856" xr:uid="{F10B1EBA-14C7-47CE-8570-910B3B9A6B3D}"/>
    <cellStyle name="Comma 2 3 3 17 2" xfId="20307" xr:uid="{BB3F671C-69E2-4058-96AE-4AD9D9D70E50}"/>
    <cellStyle name="Comma 2 3 3 18" xfId="18380" xr:uid="{5C64E4DE-58A4-43E8-AE70-CBFC8CAF0A2C}"/>
    <cellStyle name="Comma 2 3 3 2" xfId="823" xr:uid="{37DE4CF5-2494-4ED8-BBE7-7BDA836C32BD}"/>
    <cellStyle name="Comma 2 3 3 2 10" xfId="2662" xr:uid="{DA47F35F-6A55-40C3-A6C2-715402EAB76A}"/>
    <cellStyle name="Comma 2 3 3 2 10 2" xfId="3201" xr:uid="{B0816171-3E69-47A3-9CA5-D2BA83D427A8}"/>
    <cellStyle name="Comma 2 3 3 2 10 2 2" xfId="19675" xr:uid="{6590CCDE-F734-40EA-B5C7-66FEDD0EF6F3}"/>
    <cellStyle name="Comma 2 3 3 2 10 3" xfId="17034" xr:uid="{93AA2C6D-1E80-4535-8DB6-FEB5BA96AC66}"/>
    <cellStyle name="Comma 2 3 3 2 10 3 2" xfId="20338" xr:uid="{FC933310-546B-4287-802C-9F087F1FBD41}"/>
    <cellStyle name="Comma 2 3 3 2 10 4" xfId="19146" xr:uid="{80D5BB79-67B1-4F2F-A52C-035D7BB823DF}"/>
    <cellStyle name="Comma 2 3 3 2 11" xfId="2928" xr:uid="{E64B5B67-3F23-4680-8601-7732C08066F8}"/>
    <cellStyle name="Comma 2 3 3 2 11 2" xfId="19402" xr:uid="{51C1D320-8C65-4574-A6C4-B10C77C3027B}"/>
    <cellStyle name="Comma 2 3 3 2 12" xfId="3924" xr:uid="{E76330A3-334A-49D4-93F8-D2C2A8F2FC27}"/>
    <cellStyle name="Comma 2 3 3 2 12 2" xfId="20316" xr:uid="{1AA677C4-C0FB-4D1F-A46B-B0A6CB0EB305}"/>
    <cellStyle name="Comma 2 3 3 2 13" xfId="18388" xr:uid="{5F9799C0-47BC-4D4F-9EA0-101CAB9D8704}"/>
    <cellStyle name="Comma 2 3 3 2 2" xfId="865" xr:uid="{0E34C7FA-1730-4360-81D3-521A8C60967C}"/>
    <cellStyle name="Comma 2 3 3 2 2 2" xfId="1436" xr:uid="{8CD785F6-F5C3-4C27-84D3-AD609830AA77}"/>
    <cellStyle name="Comma 2 3 3 2 2 2 2" xfId="3302" xr:uid="{439CFF07-0943-431D-9B14-70656A94A78B}"/>
    <cellStyle name="Comma 2 3 3 2 2 2 2 2" xfId="19770" xr:uid="{52109F8C-3EDB-4980-B716-B6FB9920A488}"/>
    <cellStyle name="Comma 2 3 3 2 2 2 3" xfId="17225" xr:uid="{56FFCF36-F747-493D-80BB-E8AEE9A1CB28}"/>
    <cellStyle name="Comma 2 3 3 2 2 2 3 2" xfId="20433" xr:uid="{E0192F2A-3AA7-4C10-BB2C-48107626225C}"/>
    <cellStyle name="Comma 2 3 3 2 2 2 4" xfId="18483" xr:uid="{AED8EBE7-CA3C-4DD9-98FB-771D45A16CC9}"/>
    <cellStyle name="Comma 2 3 3 2 2 3" xfId="1638" xr:uid="{3861E026-A896-4D6E-8C86-7FD138A00EED}"/>
    <cellStyle name="Comma 2 3 3 2 2 3 2" xfId="3572" xr:uid="{04D1F57A-B40A-4ADF-B731-C6E7A64759B2}"/>
    <cellStyle name="Comma 2 3 3 2 2 3 2 2" xfId="20026" xr:uid="{17FD2520-6503-46B2-BF21-AF0C580CFDA3}"/>
    <cellStyle name="Comma 2 3 3 2 2 3 3" xfId="17398" xr:uid="{1234838F-18D5-4D35-BA0E-5AC98B7B52B0}"/>
    <cellStyle name="Comma 2 3 3 2 2 3 3 2" xfId="20605" xr:uid="{4F99B14E-58D4-4B7D-AAD7-5EAB79D977F2}"/>
    <cellStyle name="Comma 2 3 3 2 2 3 4" xfId="18655" xr:uid="{C959F871-3D3C-47E2-9AE5-36AF909ADF4B}"/>
    <cellStyle name="Comma 2 3 3 2 2 4" xfId="2447" xr:uid="{18446A10-33A9-4D4A-92E0-18927940E10F}"/>
    <cellStyle name="Comma 2 3 3 2 2 4 2" xfId="3829" xr:uid="{E65080F2-FD6D-4568-A8BF-173863CF67E4}"/>
    <cellStyle name="Comma 2 3 3 2 2 4 2 2" xfId="20283" xr:uid="{22B8B8AB-0C54-4914-AD12-587C59155002}"/>
    <cellStyle name="Comma 2 3 3 2 2 4 3" xfId="17886" xr:uid="{BF37B849-F51C-4F5C-BD6E-63449B04C849}"/>
    <cellStyle name="Comma 2 3 3 2 2 4 3 2" xfId="20881" xr:uid="{7766DDC8-3323-4196-9EED-C436A305456F}"/>
    <cellStyle name="Comma 2 3 3 2 2 4 4" xfId="18931" xr:uid="{5647A9F7-0DED-4DE1-955E-178ED82A71CD}"/>
    <cellStyle name="Comma 2 3 3 2 2 5" xfId="2703" xr:uid="{80050578-2695-4795-A558-C95238356A7D}"/>
    <cellStyle name="Comma 2 3 3 2 2 5 2" xfId="3228" xr:uid="{CC078A9A-8F2D-47A2-8734-438B29215815}"/>
    <cellStyle name="Comma 2 3 3 2 2 5 2 2" xfId="19700" xr:uid="{91523A89-C749-4B80-ACF0-B9969739B1B3}"/>
    <cellStyle name="Comma 2 3 3 2 2 5 3" xfId="19187" xr:uid="{F6D2EA69-D50E-4925-BF74-24CC7503C5E1}"/>
    <cellStyle name="Comma 2 3 3 2 2 6" xfId="2969" xr:uid="{9FEE4F03-0EB8-4A07-A3F2-E2747D934441}"/>
    <cellStyle name="Comma 2 3 3 2 2 6 2" xfId="19443" xr:uid="{878D51D3-0546-4E85-9788-EF4F97EB61FD}"/>
    <cellStyle name="Comma 2 3 3 2 2 7" xfId="17071" xr:uid="{9B2D63BE-84D4-4CCE-BA49-3199C70238F3}"/>
    <cellStyle name="Comma 2 3 3 2 2 7 2" xfId="20363" xr:uid="{070E7264-5126-41A8-B1DB-76543A815A98}"/>
    <cellStyle name="Comma 2 3 3 2 2 8" xfId="18413" xr:uid="{5E287199-50CF-4BEE-8ABC-4647AD310ACB}"/>
    <cellStyle name="Comma 2 3 3 2 3" xfId="1501" xr:uid="{D6816969-7589-4C6C-82B6-521B70A629A8}"/>
    <cellStyle name="Comma 2 3 3 2 3 2" xfId="1686" xr:uid="{296C5909-620A-43FF-B4DA-FC5E96CB8D3D}"/>
    <cellStyle name="Comma 2 3 3 2 3 2 2" xfId="3620" xr:uid="{9E44C1A5-1645-4A2C-ACED-14365D4B6D73}"/>
    <cellStyle name="Comma 2 3 3 2 3 2 2 2" xfId="20074" xr:uid="{3E74FBBB-DC3A-439B-89F3-40A0D4AD11C2}"/>
    <cellStyle name="Comma 2 3 3 2 3 2 3" xfId="17446" xr:uid="{90404D00-1D07-4FC0-BDDA-E6B4DF88F7C2}"/>
    <cellStyle name="Comma 2 3 3 2 3 2 3 2" xfId="20653" xr:uid="{EDD2CB34-A2E3-4AF1-AD3C-196D703333F3}"/>
    <cellStyle name="Comma 2 3 3 2 3 2 4" xfId="18703" xr:uid="{AC1B32E6-0625-44FE-86CA-D8117F4AD26A}"/>
    <cellStyle name="Comma 2 3 3 2 3 3" xfId="2495" xr:uid="{1E18FB7C-498B-41E2-AC5C-7923E1E00277}"/>
    <cellStyle name="Comma 2 3 3 2 3 3 2" xfId="3351" xr:uid="{E43F4CD8-7C76-4039-A80E-E0173D8279F5}"/>
    <cellStyle name="Comma 2 3 3 2 3 3 2 2" xfId="19818" xr:uid="{E93F22CE-FFBF-482D-B0F0-95820B61AD49}"/>
    <cellStyle name="Comma 2 3 3 2 3 3 3" xfId="17936" xr:uid="{F114DCBD-6E1C-4F44-AE16-7D36255335A5}"/>
    <cellStyle name="Comma 2 3 3 2 3 3 3 2" xfId="20929" xr:uid="{8B2FE89C-EB41-4AD0-9EE1-8705C9DEBE58}"/>
    <cellStyle name="Comma 2 3 3 2 3 3 4" xfId="18979" xr:uid="{FD319644-539F-4768-9DAB-BECE9F67C32A}"/>
    <cellStyle name="Comma 2 3 3 2 3 4" xfId="2751" xr:uid="{52C4687A-E47D-4785-B3EF-C48495F1AACC}"/>
    <cellStyle name="Comma 2 3 3 2 3 4 2" xfId="19235" xr:uid="{D9661B92-A96A-4924-83E4-1A92EB584C85}"/>
    <cellStyle name="Comma 2 3 3 2 3 5" xfId="3017" xr:uid="{117E45B6-1205-4B4A-B78D-75B5D91B4842}"/>
    <cellStyle name="Comma 2 3 3 2 3 5 2" xfId="19491" xr:uid="{28D94EDC-E73E-45CE-845C-2E9D3D581A74}"/>
    <cellStyle name="Comma 2 3 3 2 3 6" xfId="17274" xr:uid="{8328D526-1378-4FCA-B999-602698AF19F5}"/>
    <cellStyle name="Comma 2 3 3 2 3 6 2" xfId="20481" xr:uid="{521DAFB9-159C-4B1F-A3E0-67D927A6BF74}"/>
    <cellStyle name="Comma 2 3 3 2 3 7" xfId="18531" xr:uid="{2ED869C5-500B-4524-807D-184EBD042060}"/>
    <cellStyle name="Comma 2 3 3 2 4" xfId="1561" xr:uid="{3863F4EB-22CD-412E-96D7-7554482A23BE}"/>
    <cellStyle name="Comma 2 3 3 2 4 2" xfId="1733" xr:uid="{AB44E9B0-AD21-4121-BEF8-9269FE908668}"/>
    <cellStyle name="Comma 2 3 3 2 4 2 2" xfId="3667" xr:uid="{5A4BB373-A584-4932-A298-4D68A8E8E61A}"/>
    <cellStyle name="Comma 2 3 3 2 4 2 2 2" xfId="20121" xr:uid="{9119BDB8-EC60-4B39-BDDA-33586550F87C}"/>
    <cellStyle name="Comma 2 3 3 2 4 2 3" xfId="17493" xr:uid="{059FEBD6-5EF8-4627-BA26-83168733D0C5}"/>
    <cellStyle name="Comma 2 3 3 2 4 2 3 2" xfId="20700" xr:uid="{8B085D70-26C4-41CA-B32E-D75FAABCE618}"/>
    <cellStyle name="Comma 2 3 3 2 4 2 4" xfId="18750" xr:uid="{B459A5C6-8840-4A88-B58F-526B4AECF8C6}"/>
    <cellStyle name="Comma 2 3 3 2 4 3" xfId="2542" xr:uid="{1072B0E1-F965-44CA-B6DF-9A4669A8DA2B}"/>
    <cellStyle name="Comma 2 3 3 2 4 3 2" xfId="3406" xr:uid="{B0065D2F-E5F2-471A-9127-52F77A9D5597}"/>
    <cellStyle name="Comma 2 3 3 2 4 3 2 2" xfId="19865" xr:uid="{92C842D5-5D42-4B39-BBFE-0210080A4C98}"/>
    <cellStyle name="Comma 2 3 3 2 4 3 3" xfId="17983" xr:uid="{0E9D4E15-7B57-45DF-B8C9-26570C5C6E7F}"/>
    <cellStyle name="Comma 2 3 3 2 4 3 3 2" xfId="20976" xr:uid="{B0CFF196-FF03-436E-880C-F2B0B0B99916}"/>
    <cellStyle name="Comma 2 3 3 2 4 3 4" xfId="19026" xr:uid="{BC6B9168-15B5-486E-94CF-8801F48D1DD6}"/>
    <cellStyle name="Comma 2 3 3 2 4 4" xfId="2798" xr:uid="{20CB23B2-CBA5-44C4-9078-BCC62099DF28}"/>
    <cellStyle name="Comma 2 3 3 2 4 4 2" xfId="19282" xr:uid="{9DFE8ED3-1E6B-4AC6-B6A1-95F0D85A7C22}"/>
    <cellStyle name="Comma 2 3 3 2 4 5" xfId="3064" xr:uid="{DC506BAE-CD51-464A-8A2C-7D8412A0EABF}"/>
    <cellStyle name="Comma 2 3 3 2 4 5 2" xfId="19538" xr:uid="{D70A7179-A26A-4B0A-B41F-923B91ACFE48}"/>
    <cellStyle name="Comma 2 3 3 2 4 6" xfId="17321" xr:uid="{68448ADD-F193-4FAC-9427-CEE23527388D}"/>
    <cellStyle name="Comma 2 3 3 2 4 6 2" xfId="20528" xr:uid="{5EFE55A3-19CE-46F9-A45C-9B7994803D3B}"/>
    <cellStyle name="Comma 2 3 3 2 4 7" xfId="18578" xr:uid="{70FB2607-B7BA-4E69-B884-49B5BA68D1C2}"/>
    <cellStyle name="Comma 2 3 3 2 5" xfId="1363" xr:uid="{52F48819-FAAE-4FB6-8493-89B57A7F584A}"/>
    <cellStyle name="Comma 2 3 3 2 5 2" xfId="1783" xr:uid="{34AEDFFE-4B7F-402C-A228-A519BA31B67E}"/>
    <cellStyle name="Comma 2 3 3 2 5 2 2" xfId="3715" xr:uid="{21480794-35C7-470A-A964-9CD3F8336D02}"/>
    <cellStyle name="Comma 2 3 3 2 5 2 2 2" xfId="20169" xr:uid="{54F1047D-EA89-40DB-B297-FB6D9F5E50C7}"/>
    <cellStyle name="Comma 2 3 3 2 5 2 3" xfId="17541" xr:uid="{31494173-2707-40FF-AD25-194377F6A7D2}"/>
    <cellStyle name="Comma 2 3 3 2 5 2 3 2" xfId="20748" xr:uid="{9DE6460E-9C3A-4957-81D7-D498FEF10C66}"/>
    <cellStyle name="Comma 2 3 3 2 5 2 4" xfId="18798" xr:uid="{CE4C49F2-1859-4514-80A1-4CA0AB5F0EA9}"/>
    <cellStyle name="Comma 2 3 3 2 5 3" xfId="2590" xr:uid="{205F3177-1041-45D7-98A7-6437F974D33F}"/>
    <cellStyle name="Comma 2 3 3 2 5 3 2" xfId="3455" xr:uid="{2CABC98F-F290-4733-86B1-474A6766662A}"/>
    <cellStyle name="Comma 2 3 3 2 5 3 2 2" xfId="19913" xr:uid="{8BF9E764-3E07-4A96-8CA3-6D7A60FB2606}"/>
    <cellStyle name="Comma 2 3 3 2 5 3 3" xfId="18031" xr:uid="{2E577FA9-FCD9-417B-A018-F58B7DD88A84}"/>
    <cellStyle name="Comma 2 3 3 2 5 3 3 2" xfId="21024" xr:uid="{211DAFD0-A418-49A1-8DD1-B9117DA45121}"/>
    <cellStyle name="Comma 2 3 3 2 5 3 4" xfId="19074" xr:uid="{98BF2677-0D88-492B-93DC-773BE5B28A5E}"/>
    <cellStyle name="Comma 2 3 3 2 5 4" xfId="2846" xr:uid="{CBDF56AE-5411-4959-B2C7-4D122F7FF273}"/>
    <cellStyle name="Comma 2 3 3 2 5 4 2" xfId="19330" xr:uid="{4AF864A1-6CBA-45D1-AB24-5EED82A69C22}"/>
    <cellStyle name="Comma 2 3 3 2 5 5" xfId="3112" xr:uid="{AC862E4F-F43F-4957-BAE0-D571FD0FD465}"/>
    <cellStyle name="Comma 2 3 3 2 5 5 2" xfId="19586" xr:uid="{E588B078-3148-44F0-8F59-41A3CEF2A481}"/>
    <cellStyle name="Comma 2 3 3 2 5 6" xfId="17182" xr:uid="{C5DECA9A-01D4-4802-A443-55BE455C1BFA}"/>
    <cellStyle name="Comma 2 3 3 2 5 6 2" xfId="20392" xr:uid="{BD34489A-F725-41EC-A1D4-42905F5E27CC}"/>
    <cellStyle name="Comma 2 3 3 2 5 7" xfId="18442" xr:uid="{F86F0423-E5B0-44C9-B5FD-65B4288FCE84}"/>
    <cellStyle name="Comma 2 3 3 2 6" xfId="1825" xr:uid="{0AC11A87-7549-4BF9-9DD5-3CE0E904331B}"/>
    <cellStyle name="Comma 2 3 3 2 6 2" xfId="2626" xr:uid="{FFD035D5-4DEF-4272-944E-FA7489C6EDAC}"/>
    <cellStyle name="Comma 2 3 3 2 6 2 2" xfId="3751" xr:uid="{22448FFC-7FB4-41E8-8C61-0D1BEC7B7FA8}"/>
    <cellStyle name="Comma 2 3 3 2 6 2 2 2" xfId="20205" xr:uid="{EF6AA866-27B0-4369-9D9B-87A99E24D361}"/>
    <cellStyle name="Comma 2 3 3 2 6 2 3" xfId="18067" xr:uid="{0C5CCCDE-4CCD-40F3-9AB1-618E936914B5}"/>
    <cellStyle name="Comma 2 3 3 2 6 2 3 2" xfId="21060" xr:uid="{6283B50A-D01A-4EF3-AC49-89E4A2D1ADCF}"/>
    <cellStyle name="Comma 2 3 3 2 6 2 4" xfId="19110" xr:uid="{F5C329A7-3A59-44C0-8CB6-18F8F2807707}"/>
    <cellStyle name="Comma 2 3 3 2 6 3" xfId="2882" xr:uid="{BD17641F-E475-452B-94FF-22F1562453F2}"/>
    <cellStyle name="Comma 2 3 3 2 6 3 2" xfId="3495" xr:uid="{A1193BF6-2FAE-41CA-AF63-D15904C01115}"/>
    <cellStyle name="Comma 2 3 3 2 6 3 2 2" xfId="19949" xr:uid="{8CF9E1BC-DE73-4E16-8AFA-9211E4CBF53D}"/>
    <cellStyle name="Comma 2 3 3 2 6 3 3" xfId="19366" xr:uid="{7FBCF539-84CD-4EC5-9D35-1765B903469E}"/>
    <cellStyle name="Comma 2 3 3 2 6 4" xfId="3148" xr:uid="{49A39ABA-29CA-4F6C-85C3-660A4CD898C6}"/>
    <cellStyle name="Comma 2 3 3 2 6 4 2" xfId="19622" xr:uid="{B74C40A9-63D2-469C-A89D-B4809513B178}"/>
    <cellStyle name="Comma 2 3 3 2 6 5" xfId="17578" xr:uid="{55034A70-FD4F-4F3E-9501-AA78A36E72D4}"/>
    <cellStyle name="Comma 2 3 3 2 6 5 2" xfId="20784" xr:uid="{010A4851-CE5D-44BC-BAC4-FC535993CB24}"/>
    <cellStyle name="Comma 2 3 3 2 6 6" xfId="18834" xr:uid="{BDA7F17E-A434-42D4-B5C2-B2A398218B0C}"/>
    <cellStyle name="Comma 2 3 3 2 7" xfId="1597" xr:uid="{81AF3ED7-D561-43F1-995C-7E21EF63822F}"/>
    <cellStyle name="Comma 2 3 3 2 7 2" xfId="3260" xr:uid="{2AA0AC73-AC83-4DB3-9081-5697B128F2E8}"/>
    <cellStyle name="Comma 2 3 3 2 7 2 2" xfId="19729" xr:uid="{8B90F252-6040-420A-85C6-DEEE9F14DEB7}"/>
    <cellStyle name="Comma 2 3 3 2 7 3" xfId="17357" xr:uid="{D7349053-294F-4661-A8B1-CC018044E3C8}"/>
    <cellStyle name="Comma 2 3 3 2 7 3 2" xfId="20564" xr:uid="{2DA42546-49A5-4519-8214-B421C9637A9E}"/>
    <cellStyle name="Comma 2 3 3 2 7 4" xfId="18614" xr:uid="{8FA96B14-1630-4E0C-B3E7-8AE35225928B}"/>
    <cellStyle name="Comma 2 3 3 2 8" xfId="2381" xr:uid="{07A0B899-138B-490F-9009-E828C2098ED0}"/>
    <cellStyle name="Comma 2 3 3 2 8 2" xfId="3531" xr:uid="{6281BC88-8373-4D29-B578-D852933ED9C3}"/>
    <cellStyle name="Comma 2 3 3 2 8 2 2" xfId="19985" xr:uid="{FE1B93E1-BB1D-497B-88C1-DB6463371D84}"/>
    <cellStyle name="Comma 2 3 3 2 8 3" xfId="17817" xr:uid="{9DD8CB63-631F-4EBD-AEFF-78DAECB8A0D5}"/>
    <cellStyle name="Comma 2 3 3 2 8 3 2" xfId="20823" xr:uid="{7811B52F-8322-4F8B-B6D2-7625599F8338}"/>
    <cellStyle name="Comma 2 3 3 2 8 4" xfId="18873" xr:uid="{657F488C-DD13-4752-B154-D0B230B30FD9}"/>
    <cellStyle name="Comma 2 3 3 2 9" xfId="2406" xr:uid="{1FBE6D42-D215-4725-BB40-D9136D9302B3}"/>
    <cellStyle name="Comma 2 3 3 2 9 2" xfId="3804" xr:uid="{20A10A28-298A-4234-B6AD-F35B183A8B59}"/>
    <cellStyle name="Comma 2 3 3 2 9 2 2" xfId="20258" xr:uid="{738BCDD9-8785-4EE4-881D-D62460F5E084}"/>
    <cellStyle name="Comma 2 3 3 2 9 3" xfId="17844" xr:uid="{88279B95-448A-4A94-816E-E26454608259}"/>
    <cellStyle name="Comma 2 3 3 2 9 3 2" xfId="20840" xr:uid="{EDA3B5D1-FC4E-4B21-8E40-8B801CA219A7}"/>
    <cellStyle name="Comma 2 3 3 2 9 4" xfId="18890" xr:uid="{D0D4C2B3-9D56-4FEA-A1D1-B9BE90C65AD1}"/>
    <cellStyle name="Comma 2 3 3 3" xfId="837" xr:uid="{9EAC78FE-D8B4-4634-9494-92BA2D1FD1FC}"/>
    <cellStyle name="Comma 2 3 3 3 10" xfId="3207" xr:uid="{6CD65EAA-7D7C-4366-983D-DE9C8732F8E9}"/>
    <cellStyle name="Comma 2 3 3 3 10 2" xfId="19681" xr:uid="{E344610C-8B3A-4201-94EA-AB88FA8C0AB7}"/>
    <cellStyle name="Comma 2 3 3 3 11" xfId="2940" xr:uid="{D722651F-06F7-44D5-BE1C-7945C808982B}"/>
    <cellStyle name="Comma 2 3 3 3 11 2" xfId="19414" xr:uid="{281BE54E-DAF7-4F8B-A320-B13ADE7ABA26}"/>
    <cellStyle name="Comma 2 3 3 3 12" xfId="17048" xr:uid="{7BAAE35B-5EF7-40E7-82AF-21533266CC55}"/>
    <cellStyle name="Comma 2 3 3 3 12 2" xfId="20344" xr:uid="{996DDFA2-7B39-40D6-B669-029D9FE0BC87}"/>
    <cellStyle name="Comma 2 3 3 3 13" xfId="18394" xr:uid="{50DFDACD-9588-4565-B4BC-8C76D65E3594}"/>
    <cellStyle name="Comma 2 3 3 3 2" xfId="1453" xr:uid="{C393E174-F3D5-4426-B3C3-69142AFB761B}"/>
    <cellStyle name="Comma 2 3 3 3 2 2" xfId="1650" xr:uid="{80A417F1-7F1A-4772-90C1-FAC47A0323B6}"/>
    <cellStyle name="Comma 2 3 3 3 2 2 2" xfId="3584" xr:uid="{F145BE14-5D48-4E84-BE0A-6329C8921B94}"/>
    <cellStyle name="Comma 2 3 3 3 2 2 2 2" xfId="20038" xr:uid="{AF76B4B4-77D2-494B-853C-BC82BD60690A}"/>
    <cellStyle name="Comma 2 3 3 3 2 2 3" xfId="17410" xr:uid="{A630333D-C722-4423-9BA0-C0AA8146ED2B}"/>
    <cellStyle name="Comma 2 3 3 3 2 2 3 2" xfId="20617" xr:uid="{C956D0D2-F10A-422E-8EA6-06B526CF0803}"/>
    <cellStyle name="Comma 2 3 3 3 2 2 4" xfId="18667" xr:uid="{71C64356-7539-45E3-ADD5-0C26A030E511}"/>
    <cellStyle name="Comma 2 3 3 3 2 3" xfId="2459" xr:uid="{7105D2EF-CF6D-4C55-B828-F5B9988E892B}"/>
    <cellStyle name="Comma 2 3 3 3 2 3 2" xfId="3314" xr:uid="{BA39655B-40B7-4D5C-9DC9-EE5429057A07}"/>
    <cellStyle name="Comma 2 3 3 3 2 3 2 2" xfId="19782" xr:uid="{BF45B8C7-C4E2-4CAD-966B-88A0E8A8A042}"/>
    <cellStyle name="Comma 2 3 3 3 2 3 3" xfId="17900" xr:uid="{AC808BE7-3499-4A4A-84DD-BAAA141A164D}"/>
    <cellStyle name="Comma 2 3 3 3 2 3 3 2" xfId="20893" xr:uid="{8237B7B9-2047-4338-BD00-B457C2FEEDC8}"/>
    <cellStyle name="Comma 2 3 3 3 2 3 4" xfId="18943" xr:uid="{4E708706-838E-47A2-8E2D-F5A7F73001B7}"/>
    <cellStyle name="Comma 2 3 3 3 2 4" xfId="2715" xr:uid="{F7161516-7F4D-40F2-A452-F08116373B2A}"/>
    <cellStyle name="Comma 2 3 3 3 2 4 2" xfId="19199" xr:uid="{B4732DEF-02E3-4355-99FA-9C387418ED31}"/>
    <cellStyle name="Comma 2 3 3 3 2 5" xfId="2981" xr:uid="{F4EEE762-882D-4DEA-A030-09749EA481F9}"/>
    <cellStyle name="Comma 2 3 3 3 2 5 2" xfId="19455" xr:uid="{C2D38C20-8F48-4CFD-9643-1BBC342641D9}"/>
    <cellStyle name="Comma 2 3 3 3 2 6" xfId="17237" xr:uid="{452FB56C-12F5-4B4B-8137-174610FA4D99}"/>
    <cellStyle name="Comma 2 3 3 3 2 6 2" xfId="20445" xr:uid="{5D4C512D-FEC0-4EF1-B41B-D0131B19B6EF}"/>
    <cellStyle name="Comma 2 3 3 3 2 7" xfId="18495" xr:uid="{F7E742DB-E71A-49D9-94B3-F8E0755FC3F2}"/>
    <cellStyle name="Comma 2 3 3 3 3" xfId="1502" xr:uid="{C9BF6247-5585-417D-AF66-596957FCB934}"/>
    <cellStyle name="Comma 2 3 3 3 3 2" xfId="1687" xr:uid="{9C91C968-3848-4C0D-8AAF-CFA48E8D034C}"/>
    <cellStyle name="Comma 2 3 3 3 3 2 2" xfId="3621" xr:uid="{81312F75-4725-484D-95BB-74EB895A12A4}"/>
    <cellStyle name="Comma 2 3 3 3 3 2 2 2" xfId="20075" xr:uid="{78FE2F9C-C0C5-4C10-B425-872BAF3D682C}"/>
    <cellStyle name="Comma 2 3 3 3 3 2 3" xfId="17447" xr:uid="{04710651-7B83-4E64-BFA6-BE68162AFF13}"/>
    <cellStyle name="Comma 2 3 3 3 3 2 3 2" xfId="20654" xr:uid="{7E4E2FD9-61BA-4FBA-AE1C-E81F9EF56A61}"/>
    <cellStyle name="Comma 2 3 3 3 3 2 4" xfId="18704" xr:uid="{3930E8C5-997A-4CAC-A242-7860F3B0B188}"/>
    <cellStyle name="Comma 2 3 3 3 3 3" xfId="2496" xr:uid="{24CAAEFA-738E-40C3-B492-75D030382F87}"/>
    <cellStyle name="Comma 2 3 3 3 3 3 2" xfId="3352" xr:uid="{22B07E0F-96B7-4318-B465-8D0C14C1A6EA}"/>
    <cellStyle name="Comma 2 3 3 3 3 3 2 2" xfId="19819" xr:uid="{B38EC7B4-00DF-48DD-B6E7-C36A7CA5EF3F}"/>
    <cellStyle name="Comma 2 3 3 3 3 3 3" xfId="17937" xr:uid="{7F20CA6B-1795-429C-94C4-A8B8E3C25FA7}"/>
    <cellStyle name="Comma 2 3 3 3 3 3 3 2" xfId="20930" xr:uid="{5A0C30E2-98E2-4686-86CA-EF4FE283F3C5}"/>
    <cellStyle name="Comma 2 3 3 3 3 3 4" xfId="18980" xr:uid="{F568C196-2FD5-423C-A327-B20C59735C0B}"/>
    <cellStyle name="Comma 2 3 3 3 3 4" xfId="2752" xr:uid="{2D2A5A86-57F5-42B7-8781-1C3E3AC5AA6E}"/>
    <cellStyle name="Comma 2 3 3 3 3 4 2" xfId="19236" xr:uid="{24A4AD8B-39CE-43D4-93A0-507B2C373D82}"/>
    <cellStyle name="Comma 2 3 3 3 3 5" xfId="3018" xr:uid="{EF76195E-224B-4642-9B2A-2725A3567204}"/>
    <cellStyle name="Comma 2 3 3 3 3 5 2" xfId="19492" xr:uid="{4FF8EEF4-573C-4104-B55E-89897F736753}"/>
    <cellStyle name="Comma 2 3 3 3 3 6" xfId="17275" xr:uid="{2A7ED1E7-5FD1-45F5-AEA8-6FD5128C9C4C}"/>
    <cellStyle name="Comma 2 3 3 3 3 6 2" xfId="20482" xr:uid="{2575598F-EC29-41F1-A53F-8801EB04858C}"/>
    <cellStyle name="Comma 2 3 3 3 3 7" xfId="18532" xr:uid="{2B21FCE9-5444-479F-B744-3E5137564962}"/>
    <cellStyle name="Comma 2 3 3 3 4" xfId="1562" xr:uid="{057B0B0F-47B5-4555-BE1C-35A8EDB0883B}"/>
    <cellStyle name="Comma 2 3 3 3 4 2" xfId="1734" xr:uid="{51915053-C429-47D0-A9C6-5328AB0F6F4F}"/>
    <cellStyle name="Comma 2 3 3 3 4 2 2" xfId="3668" xr:uid="{678246AA-9A56-475F-AC3C-FF24A5244A7B}"/>
    <cellStyle name="Comma 2 3 3 3 4 2 2 2" xfId="20122" xr:uid="{7B1A8F8C-90DF-4CAD-86D8-AAC138B482AA}"/>
    <cellStyle name="Comma 2 3 3 3 4 2 3" xfId="17494" xr:uid="{1B2E8B61-4D01-49A3-A6FB-60523AFF4929}"/>
    <cellStyle name="Comma 2 3 3 3 4 2 3 2" xfId="20701" xr:uid="{FC0A94ED-7EAF-46C9-B3AE-3BE722FE9EDB}"/>
    <cellStyle name="Comma 2 3 3 3 4 2 4" xfId="18751" xr:uid="{72E5FDD9-87F8-4BA1-B0D9-F20172113D9B}"/>
    <cellStyle name="Comma 2 3 3 3 4 3" xfId="2543" xr:uid="{D045C723-28FA-481F-BE3C-F6E6A20BA680}"/>
    <cellStyle name="Comma 2 3 3 3 4 3 2" xfId="3407" xr:uid="{CD36D50D-1F76-42EC-BE0A-31C1736DDA7C}"/>
    <cellStyle name="Comma 2 3 3 3 4 3 2 2" xfId="19866" xr:uid="{CDDC3E41-9B0D-40BC-A7CF-4865C09EDACE}"/>
    <cellStyle name="Comma 2 3 3 3 4 3 3" xfId="17984" xr:uid="{15D313FA-EBD9-42AE-9D31-2D0FDAE985D2}"/>
    <cellStyle name="Comma 2 3 3 3 4 3 3 2" xfId="20977" xr:uid="{56B773E0-DCEB-413E-940B-0F366B872A42}"/>
    <cellStyle name="Comma 2 3 3 3 4 3 4" xfId="19027" xr:uid="{154D6A7A-7629-43F4-B98A-DB42A54D35A2}"/>
    <cellStyle name="Comma 2 3 3 3 4 4" xfId="2799" xr:uid="{13F5960A-0E13-453A-8F78-6E19D6104AB1}"/>
    <cellStyle name="Comma 2 3 3 3 4 4 2" xfId="19283" xr:uid="{5BB68D90-FC1A-4389-A512-B276BCE5C7C7}"/>
    <cellStyle name="Comma 2 3 3 3 4 5" xfId="3065" xr:uid="{199B1E64-5990-479B-81D8-58276B54351D}"/>
    <cellStyle name="Comma 2 3 3 3 4 5 2" xfId="19539" xr:uid="{B5799D93-0F3A-4B41-ADF6-AFB767294C64}"/>
    <cellStyle name="Comma 2 3 3 3 4 6" xfId="17322" xr:uid="{4ACA5A3C-6083-4868-9B3B-52156CFBEF0C}"/>
    <cellStyle name="Comma 2 3 3 3 4 6 2" xfId="20529" xr:uid="{95D31B95-EDDA-4384-8308-17952D2E910F}"/>
    <cellStyle name="Comma 2 3 3 3 4 7" xfId="18579" xr:uid="{1A897E6F-F513-4B54-B98A-D7F4E17850F8}"/>
    <cellStyle name="Comma 2 3 3 3 5" xfId="1380" xr:uid="{91AB2FD0-B104-4418-8B38-ACAB06162F7C}"/>
    <cellStyle name="Comma 2 3 3 3 5 2" xfId="1784" xr:uid="{83B7C6D8-5EF2-4ECB-B484-150FBA70A460}"/>
    <cellStyle name="Comma 2 3 3 3 5 2 2" xfId="3716" xr:uid="{F7235C1F-F28B-4CC7-8C74-84FEFE1427D5}"/>
    <cellStyle name="Comma 2 3 3 3 5 2 2 2" xfId="20170" xr:uid="{217AFEF5-A31F-459F-9A89-309E648897DD}"/>
    <cellStyle name="Comma 2 3 3 3 5 2 3" xfId="17542" xr:uid="{E30D8EEE-B70D-43E6-B7DE-4107FE8C8CAA}"/>
    <cellStyle name="Comma 2 3 3 3 5 2 3 2" xfId="20749" xr:uid="{D8976FEB-F900-432E-9904-A7FB792BBD1D}"/>
    <cellStyle name="Comma 2 3 3 3 5 2 4" xfId="18799" xr:uid="{20FE92FE-EEC2-4221-BCD1-8C92F2233620}"/>
    <cellStyle name="Comma 2 3 3 3 5 3" xfId="2591" xr:uid="{166AE943-DDA8-4F1A-8499-B717588DCE47}"/>
    <cellStyle name="Comma 2 3 3 3 5 3 2" xfId="3456" xr:uid="{F425EE27-5F2B-40FA-B082-8BB56EA16744}"/>
    <cellStyle name="Comma 2 3 3 3 5 3 2 2" xfId="19914" xr:uid="{268F8C0C-A659-4F78-B7D2-49DB236AFC49}"/>
    <cellStyle name="Comma 2 3 3 3 5 3 3" xfId="18032" xr:uid="{5C99B502-FCF7-41DF-AA28-4471674C78BE}"/>
    <cellStyle name="Comma 2 3 3 3 5 3 3 2" xfId="21025" xr:uid="{F4854AE7-A8FD-4046-99BE-F0DD42F70A69}"/>
    <cellStyle name="Comma 2 3 3 3 5 3 4" xfId="19075" xr:uid="{FB7D2A86-8870-4B7C-ADB1-76C9E7D68DC7}"/>
    <cellStyle name="Comma 2 3 3 3 5 4" xfId="2847" xr:uid="{3E44F774-DA71-41AE-9C44-B58DBEAF1A22}"/>
    <cellStyle name="Comma 2 3 3 3 5 4 2" xfId="19331" xr:uid="{6BC4C2F8-90D7-4FC4-AEEB-B6BFD6E29544}"/>
    <cellStyle name="Comma 2 3 3 3 5 5" xfId="3113" xr:uid="{B6E7B909-DEBF-4A34-9E5D-0D84B534BD8C}"/>
    <cellStyle name="Comma 2 3 3 3 5 5 2" xfId="19587" xr:uid="{6805884D-5418-40BF-8BE5-1C92C1BBA67C}"/>
    <cellStyle name="Comma 2 3 3 3 5 6" xfId="17194" xr:uid="{66BB44CC-C335-4DD7-80CA-61BE1F7F2360}"/>
    <cellStyle name="Comma 2 3 3 3 5 6 2" xfId="20404" xr:uid="{45CDDD68-C529-485A-8432-2E5861D8D026}"/>
    <cellStyle name="Comma 2 3 3 3 5 7" xfId="18454" xr:uid="{5D0D549C-381B-49D4-AEF3-4CD464660EFC}"/>
    <cellStyle name="Comma 2 3 3 3 6" xfId="1837" xr:uid="{F3B4D15C-9392-4E39-9D34-615C670DB298}"/>
    <cellStyle name="Comma 2 3 3 3 6 2" xfId="2638" xr:uid="{D0157EA3-4FA1-4608-B708-8AC7F7BB0FB2}"/>
    <cellStyle name="Comma 2 3 3 3 6 2 2" xfId="3763" xr:uid="{82FF98D5-4865-480A-B982-C99230FF6AEE}"/>
    <cellStyle name="Comma 2 3 3 3 6 2 2 2" xfId="20217" xr:uid="{ECFF4A35-C1AA-4A08-8347-A89D56DFDCB1}"/>
    <cellStyle name="Comma 2 3 3 3 6 2 3" xfId="18079" xr:uid="{B7241B19-9176-4148-A458-ED6441F462C2}"/>
    <cellStyle name="Comma 2 3 3 3 6 2 3 2" xfId="21072" xr:uid="{8E2E5F8E-DA79-4CDA-8577-DA4836EADBA8}"/>
    <cellStyle name="Comma 2 3 3 3 6 2 4" xfId="19122" xr:uid="{02FA425E-A919-459B-82E1-FC9709CA8F0B}"/>
    <cellStyle name="Comma 2 3 3 3 6 3" xfId="2894" xr:uid="{B8AEBE77-DAE4-4B78-BBC0-F1EC7F4720BC}"/>
    <cellStyle name="Comma 2 3 3 3 6 3 2" xfId="3507" xr:uid="{1E84A6B2-16BC-46EB-8F65-78DA73EC67A9}"/>
    <cellStyle name="Comma 2 3 3 3 6 3 2 2" xfId="19961" xr:uid="{BE73ABE1-49D2-4ABD-859A-B58F0A3C698B}"/>
    <cellStyle name="Comma 2 3 3 3 6 3 3" xfId="19378" xr:uid="{CE7DF30E-83FA-4E89-B6F2-3437994AE198}"/>
    <cellStyle name="Comma 2 3 3 3 6 4" xfId="3160" xr:uid="{ED5B9AA8-7E3A-4074-ACE8-312E63366B2A}"/>
    <cellStyle name="Comma 2 3 3 3 6 4 2" xfId="19634" xr:uid="{90FA2847-84A7-4703-BBBB-7C433A774B40}"/>
    <cellStyle name="Comma 2 3 3 3 6 5" xfId="17590" xr:uid="{6CD91EA5-066D-475B-BEC7-506D868BEC27}"/>
    <cellStyle name="Comma 2 3 3 3 6 5 2" xfId="20796" xr:uid="{41AE2F29-C437-4CB6-8D99-8BC94C08411E}"/>
    <cellStyle name="Comma 2 3 3 3 6 6" xfId="18846" xr:uid="{692D1A02-BBCB-4657-AEEF-197254F6866C}"/>
    <cellStyle name="Comma 2 3 3 3 7" xfId="1609" xr:uid="{2C9E0808-24E8-4B1E-8A8C-515919237B94}"/>
    <cellStyle name="Comma 2 3 3 3 7 2" xfId="3272" xr:uid="{5B6131E4-15B5-4E1F-948B-4C6858F73F2A}"/>
    <cellStyle name="Comma 2 3 3 3 7 2 2" xfId="19741" xr:uid="{87E1B49C-0DAC-4576-9BF3-615709CE92E5}"/>
    <cellStyle name="Comma 2 3 3 3 7 3" xfId="17369" xr:uid="{37DF9B59-C9AE-41B8-9432-F7FC76D9EEAE}"/>
    <cellStyle name="Comma 2 3 3 3 7 3 2" xfId="20576" xr:uid="{5D630FC2-7696-4DC9-80B5-7CDFC29DEE67}"/>
    <cellStyle name="Comma 2 3 3 3 7 4" xfId="18626" xr:uid="{D1250802-DD47-4E04-8105-7F2861E7674C}"/>
    <cellStyle name="Comma 2 3 3 3 8" xfId="2418" xr:uid="{DC094404-159E-420B-B56B-775B5AFFFF22}"/>
    <cellStyle name="Comma 2 3 3 3 8 2" xfId="3543" xr:uid="{1710C09F-6934-4B8C-8064-8FE9724772DA}"/>
    <cellStyle name="Comma 2 3 3 3 8 2 2" xfId="19997" xr:uid="{037738CE-47F0-45D2-9FE6-CC38735CCDD1}"/>
    <cellStyle name="Comma 2 3 3 3 8 3" xfId="17857" xr:uid="{297809F8-73C8-4DAD-9159-255D6D22A9A8}"/>
    <cellStyle name="Comma 2 3 3 3 8 3 2" xfId="20852" xr:uid="{46FA8C18-FC1C-43AD-B229-17BD1FD287B0}"/>
    <cellStyle name="Comma 2 3 3 3 8 4" xfId="18902" xr:uid="{00BC987A-44E0-4806-A846-7C21AB1C0E4D}"/>
    <cellStyle name="Comma 2 3 3 3 9" xfId="2674" xr:uid="{2C667497-0D62-4842-963C-00BF4A0B8695}"/>
    <cellStyle name="Comma 2 3 3 3 9 2" xfId="3810" xr:uid="{057B5491-B39F-4695-A1C6-8CB946BE5F95}"/>
    <cellStyle name="Comma 2 3 3 3 9 2 2" xfId="20264" xr:uid="{B6595EAE-73B8-4BD8-9219-E3E4C00C53A8}"/>
    <cellStyle name="Comma 2 3 3 3 9 3" xfId="19158" xr:uid="{ECC52F71-806E-4A8E-924E-29E9F0701976}"/>
    <cellStyle name="Comma 2 3 3 4" xfId="855" xr:uid="{AC3E8777-2E1A-43CD-9E01-FADA03B8E9F1}"/>
    <cellStyle name="Comma 2 3 3 4 10" xfId="3220" xr:uid="{DCCE1259-AAAF-4A05-A76A-680E079F0705}"/>
    <cellStyle name="Comma 2 3 3 4 10 2" xfId="19693" xr:uid="{AA841B31-FE64-43FA-8B4D-F9FE2210CC46}"/>
    <cellStyle name="Comma 2 3 3 4 11" xfId="2947" xr:uid="{77CAFFCF-EB40-4DA8-9C21-F06DD3E79FA6}"/>
    <cellStyle name="Comma 2 3 3 4 11 2" xfId="19421" xr:uid="{91FD49AB-E3C0-4CEF-A8F4-279E05D5ED3C}"/>
    <cellStyle name="Comma 2 3 3 4 12" xfId="17064" xr:uid="{FA621D5F-F5F0-4096-9B31-E5E4F002116C}"/>
    <cellStyle name="Comma 2 3 3 4 12 2" xfId="20356" xr:uid="{8B2DA853-81F0-4180-A00C-1B24AE542AED}"/>
    <cellStyle name="Comma 2 3 3 4 13" xfId="18406" xr:uid="{7439F4C2-71B6-46EF-9148-0698A0A51B88}"/>
    <cellStyle name="Comma 2 3 3 4 2" xfId="1461" xr:uid="{5B90FEB5-9BD9-455F-BF24-CF846672A31D}"/>
    <cellStyle name="Comma 2 3 3 4 2 2" xfId="1657" xr:uid="{CB3822D6-09DB-4703-BCEF-70B1FA36584F}"/>
    <cellStyle name="Comma 2 3 3 4 2 2 2" xfId="3591" xr:uid="{B63A54FF-5FE4-4771-AF7B-1F10FF63B459}"/>
    <cellStyle name="Comma 2 3 3 4 2 2 2 2" xfId="20045" xr:uid="{383737AB-27F9-4ED7-8202-B4984A61E87D}"/>
    <cellStyle name="Comma 2 3 3 4 2 2 3" xfId="17417" xr:uid="{19E998D0-03F8-49CD-A4C7-9D8D8483802D}"/>
    <cellStyle name="Comma 2 3 3 4 2 2 3 2" xfId="20624" xr:uid="{655BE5B3-C740-4B44-925C-2534B98F15CE}"/>
    <cellStyle name="Comma 2 3 3 4 2 2 4" xfId="18674" xr:uid="{76D25214-C70B-4140-A810-13F00FBBE94E}"/>
    <cellStyle name="Comma 2 3 3 4 2 3" xfId="2466" xr:uid="{1DAD497F-7CE3-4850-83B3-48FA4D2ECBEB}"/>
    <cellStyle name="Comma 2 3 3 4 2 3 2" xfId="3321" xr:uid="{73A05B47-BF6E-41B1-9F24-E018C268EAD4}"/>
    <cellStyle name="Comma 2 3 3 4 2 3 2 2" xfId="19789" xr:uid="{957D05F6-ACC8-4C58-B4AE-F9CF039B267B}"/>
    <cellStyle name="Comma 2 3 3 4 2 3 3" xfId="17907" xr:uid="{27A6F961-BF87-49DD-AEF3-E74F66B9213A}"/>
    <cellStyle name="Comma 2 3 3 4 2 3 3 2" xfId="20900" xr:uid="{C825301F-BA5F-4067-89E7-9371189BE9F4}"/>
    <cellStyle name="Comma 2 3 3 4 2 3 4" xfId="18950" xr:uid="{39ADA061-9D61-4625-A8B6-028FA4F6D5BE}"/>
    <cellStyle name="Comma 2 3 3 4 2 4" xfId="2722" xr:uid="{07C7BBD3-7482-43A5-B97C-9628CFD480F5}"/>
    <cellStyle name="Comma 2 3 3 4 2 4 2" xfId="19206" xr:uid="{8653068D-3F2C-4D07-9EB4-E77E067B63F3}"/>
    <cellStyle name="Comma 2 3 3 4 2 5" xfId="2988" xr:uid="{9FD720E8-EF2B-42BF-AAB2-65203D6E39B8}"/>
    <cellStyle name="Comma 2 3 3 4 2 5 2" xfId="19462" xr:uid="{8AC43EE8-020A-4B6A-9A52-DB085001A022}"/>
    <cellStyle name="Comma 2 3 3 4 2 6" xfId="17244" xr:uid="{E2DED74E-91F2-44DD-9EF5-0507A40A0FD8}"/>
    <cellStyle name="Comma 2 3 3 4 2 6 2" xfId="20452" xr:uid="{1F2C2A12-67B2-46A0-8730-4EE24312066E}"/>
    <cellStyle name="Comma 2 3 3 4 2 7" xfId="18502" xr:uid="{C2FA9A66-2C2B-4D73-BE71-36E042A1E3A3}"/>
    <cellStyle name="Comma 2 3 3 4 3" xfId="1503" xr:uid="{65EE99B2-A9E9-4CC6-8DA6-0CA9631D0251}"/>
    <cellStyle name="Comma 2 3 3 4 3 2" xfId="1688" xr:uid="{2E585474-6B20-48A1-BA73-350DA745C909}"/>
    <cellStyle name="Comma 2 3 3 4 3 2 2" xfId="3622" xr:uid="{319A59F3-C187-469A-B180-E54630E46255}"/>
    <cellStyle name="Comma 2 3 3 4 3 2 2 2" xfId="20076" xr:uid="{36967BD0-FBA9-4D4C-B568-79C65F1DA807}"/>
    <cellStyle name="Comma 2 3 3 4 3 2 3" xfId="17448" xr:uid="{9D935AD9-AA51-40B0-B021-3E51E05A0BC3}"/>
    <cellStyle name="Comma 2 3 3 4 3 2 3 2" xfId="20655" xr:uid="{DEBBA352-DAAC-444E-A969-46FE44B3AD46}"/>
    <cellStyle name="Comma 2 3 3 4 3 2 4" xfId="18705" xr:uid="{50A3D0DB-3B86-4167-8E97-8E1179F10FD9}"/>
    <cellStyle name="Comma 2 3 3 4 3 3" xfId="2497" xr:uid="{36AE8EF1-F90E-4B28-BCD1-E57BE51E7972}"/>
    <cellStyle name="Comma 2 3 3 4 3 3 2" xfId="3353" xr:uid="{FD7ACE0C-2801-4D05-9B7D-449342AFAC98}"/>
    <cellStyle name="Comma 2 3 3 4 3 3 2 2" xfId="19820" xr:uid="{6C0C1F73-28C3-4203-849D-0BD0BD4C0D11}"/>
    <cellStyle name="Comma 2 3 3 4 3 3 3" xfId="17938" xr:uid="{7A133C8A-AEF3-4420-9598-A3AA79D34BD8}"/>
    <cellStyle name="Comma 2 3 3 4 3 3 3 2" xfId="20931" xr:uid="{19C1EE11-7629-43CD-A76D-8C8C0D85CBD2}"/>
    <cellStyle name="Comma 2 3 3 4 3 3 4" xfId="18981" xr:uid="{EC65E341-F69D-4730-9801-F39771732114}"/>
    <cellStyle name="Comma 2 3 3 4 3 4" xfId="2753" xr:uid="{0B4C61F0-D447-477B-B3D2-1718ABC1061E}"/>
    <cellStyle name="Comma 2 3 3 4 3 4 2" xfId="19237" xr:uid="{28B1EF15-6A08-4BA9-AAC0-C9A589ED2DD1}"/>
    <cellStyle name="Comma 2 3 3 4 3 5" xfId="3019" xr:uid="{960ED5F0-DDEA-4A8F-8622-288E729BD085}"/>
    <cellStyle name="Comma 2 3 3 4 3 5 2" xfId="19493" xr:uid="{CAAD2200-3A53-41EF-A1D6-BDDB5A633744}"/>
    <cellStyle name="Comma 2 3 3 4 3 6" xfId="17276" xr:uid="{4E866C71-934D-468A-B0B5-79FA336982E6}"/>
    <cellStyle name="Comma 2 3 3 4 3 6 2" xfId="20483" xr:uid="{EB2DF8E9-2518-43BF-9FC4-D29BAFBA2600}"/>
    <cellStyle name="Comma 2 3 3 4 3 7" xfId="18533" xr:uid="{A27D1E6E-6A86-413B-A4FA-4FF9279A67CF}"/>
    <cellStyle name="Comma 2 3 3 4 4" xfId="1563" xr:uid="{197C6EBB-7B21-41BC-9530-70123949D9EA}"/>
    <cellStyle name="Comma 2 3 3 4 4 2" xfId="1735" xr:uid="{EA543018-768D-41BA-A489-352538D1C621}"/>
    <cellStyle name="Comma 2 3 3 4 4 2 2" xfId="3669" xr:uid="{34E5F0FD-DE0B-48DD-8D09-4ECEFADC397F}"/>
    <cellStyle name="Comma 2 3 3 4 4 2 2 2" xfId="20123" xr:uid="{9EFCA32E-DB60-4526-8DB2-B6C306D9744F}"/>
    <cellStyle name="Comma 2 3 3 4 4 2 3" xfId="17495" xr:uid="{AAFEE1B2-BB3D-4816-92A7-710C1B218F47}"/>
    <cellStyle name="Comma 2 3 3 4 4 2 3 2" xfId="20702" xr:uid="{FD0A775D-6D31-4589-A4F1-FAFE05114CCA}"/>
    <cellStyle name="Comma 2 3 3 4 4 2 4" xfId="18752" xr:uid="{7E63FD51-9D0F-4996-9160-A9691A2D7493}"/>
    <cellStyle name="Comma 2 3 3 4 4 3" xfId="2544" xr:uid="{EE57D7AD-0E79-4E13-BBB0-BEF9ED6800FA}"/>
    <cellStyle name="Comma 2 3 3 4 4 3 2" xfId="3408" xr:uid="{914BBD0F-17E4-409F-B80B-6F5C66F5EFED}"/>
    <cellStyle name="Comma 2 3 3 4 4 3 2 2" xfId="19867" xr:uid="{DD3B1586-BBE4-468F-BC62-2901042A5A9E}"/>
    <cellStyle name="Comma 2 3 3 4 4 3 3" xfId="17985" xr:uid="{EB19C54D-FB27-4870-B79A-F59D082BFE36}"/>
    <cellStyle name="Comma 2 3 3 4 4 3 3 2" xfId="20978" xr:uid="{D9C3F6A2-BB31-4A1E-81AD-41D0122A8993}"/>
    <cellStyle name="Comma 2 3 3 4 4 3 4" xfId="19028" xr:uid="{54B4E25D-BC21-40CB-99FD-957A4231AAD4}"/>
    <cellStyle name="Comma 2 3 3 4 4 4" xfId="2800" xr:uid="{63C50CD9-0076-4181-B25B-70E5CA0F97EA}"/>
    <cellStyle name="Comma 2 3 3 4 4 4 2" xfId="19284" xr:uid="{95B4F32A-95C2-4525-A29A-514D9298BA58}"/>
    <cellStyle name="Comma 2 3 3 4 4 5" xfId="3066" xr:uid="{D27A3F5E-917F-465B-93DD-9167C560FF21}"/>
    <cellStyle name="Comma 2 3 3 4 4 5 2" xfId="19540" xr:uid="{37EEDF60-AC84-415C-BF80-3AC7360DCEF7}"/>
    <cellStyle name="Comma 2 3 3 4 4 6" xfId="17323" xr:uid="{7F241B73-22DC-4D0D-BD17-E3F23870B5F9}"/>
    <cellStyle name="Comma 2 3 3 4 4 6 2" xfId="20530" xr:uid="{213EDD1E-EBEF-4E51-8F78-65AA51D87B3A}"/>
    <cellStyle name="Comma 2 3 3 4 4 7" xfId="18580" xr:uid="{63B25310-A31C-40D3-A090-EA4DE4956F58}"/>
    <cellStyle name="Comma 2 3 3 4 5" xfId="1393" xr:uid="{44CB3BEF-3B93-4EF9-9C1D-2504E7E5DCBF}"/>
    <cellStyle name="Comma 2 3 3 4 5 2" xfId="1785" xr:uid="{F2608B60-AD8B-40CD-A187-8B3ADA487BBE}"/>
    <cellStyle name="Comma 2 3 3 4 5 2 2" xfId="3717" xr:uid="{5A06E8FB-0B09-4585-9394-241A14C94B47}"/>
    <cellStyle name="Comma 2 3 3 4 5 2 2 2" xfId="20171" xr:uid="{074DE5A5-3E21-4483-980A-821A46038498}"/>
    <cellStyle name="Comma 2 3 3 4 5 2 3" xfId="17543" xr:uid="{9303D058-0572-4052-875D-4455412A551D}"/>
    <cellStyle name="Comma 2 3 3 4 5 2 3 2" xfId="20750" xr:uid="{328A5C89-8799-45EE-8676-8D51ADF329CB}"/>
    <cellStyle name="Comma 2 3 3 4 5 2 4" xfId="18800" xr:uid="{134C05E5-0F87-4AFD-BD19-A68F79C1AEA6}"/>
    <cellStyle name="Comma 2 3 3 4 5 3" xfId="2592" xr:uid="{044053EF-507E-434B-8932-A4EADE07A8FC}"/>
    <cellStyle name="Comma 2 3 3 4 5 3 2" xfId="3457" xr:uid="{2AFAEAF3-8972-4EE7-9F46-F7FAE83E056D}"/>
    <cellStyle name="Comma 2 3 3 4 5 3 2 2" xfId="19915" xr:uid="{6DB90389-578D-4C01-A7A0-7110AB1D826C}"/>
    <cellStyle name="Comma 2 3 3 4 5 3 3" xfId="18033" xr:uid="{F29CDA37-ACD4-44B8-96C3-58CBD658BC38}"/>
    <cellStyle name="Comma 2 3 3 4 5 3 3 2" xfId="21026" xr:uid="{6FF9E79D-0345-483A-AF1D-5ED5D8858943}"/>
    <cellStyle name="Comma 2 3 3 4 5 3 4" xfId="19076" xr:uid="{FF523B27-EA25-4F6B-9730-AFF2FCE5BA87}"/>
    <cellStyle name="Comma 2 3 3 4 5 4" xfId="2848" xr:uid="{8A76B4FF-4B9C-444E-BB95-D347DAE9C70B}"/>
    <cellStyle name="Comma 2 3 3 4 5 4 2" xfId="19332" xr:uid="{0751011E-6959-4AA4-A647-63684EDC1133}"/>
    <cellStyle name="Comma 2 3 3 4 5 5" xfId="3114" xr:uid="{2E5FBB7E-8412-4B63-9CF1-0CD44E166F8A}"/>
    <cellStyle name="Comma 2 3 3 4 5 5 2" xfId="19588" xr:uid="{6EB1FCAF-7CE9-4258-843B-E2145D90B847}"/>
    <cellStyle name="Comma 2 3 3 4 5 6" xfId="17201" xr:uid="{BEE05947-1DF5-41CF-9173-AAD894695504}"/>
    <cellStyle name="Comma 2 3 3 4 5 6 2" xfId="20411" xr:uid="{C86AF6F9-BBFA-410B-963E-353221F42E0F}"/>
    <cellStyle name="Comma 2 3 3 4 5 7" xfId="18461" xr:uid="{88155B26-669B-4D29-8003-4F8B99221E97}"/>
    <cellStyle name="Comma 2 3 3 4 6" xfId="1844" xr:uid="{569986E2-FCC6-492E-8F5C-2402AED63FCC}"/>
    <cellStyle name="Comma 2 3 3 4 6 2" xfId="2645" xr:uid="{3D7880DE-F64E-46A7-BB71-59F47D8A75B8}"/>
    <cellStyle name="Comma 2 3 3 4 6 2 2" xfId="3770" xr:uid="{17DC5C67-58CF-4ABD-90BD-28565E14B5C3}"/>
    <cellStyle name="Comma 2 3 3 4 6 2 2 2" xfId="20224" xr:uid="{6FE80B7C-18E6-484B-BDDF-5CD488685AA6}"/>
    <cellStyle name="Comma 2 3 3 4 6 2 3" xfId="18086" xr:uid="{56E153B5-86A4-4424-91E1-28D84542B827}"/>
    <cellStyle name="Comma 2 3 3 4 6 2 3 2" xfId="21079" xr:uid="{8A0FA67D-498E-4DB5-AEEF-F87A0D33FD6D}"/>
    <cellStyle name="Comma 2 3 3 4 6 2 4" xfId="19129" xr:uid="{A2BEA324-C9F9-46B6-A679-18764F8B095B}"/>
    <cellStyle name="Comma 2 3 3 4 6 3" xfId="2901" xr:uid="{5FC3C16F-8D02-4A63-92BD-CC65501FCB64}"/>
    <cellStyle name="Comma 2 3 3 4 6 3 2" xfId="3514" xr:uid="{C66BBBBA-341D-4948-A4AB-FDBA7B0D8956}"/>
    <cellStyle name="Comma 2 3 3 4 6 3 2 2" xfId="19968" xr:uid="{8F6405F5-EE56-4B07-8867-63F997381B3E}"/>
    <cellStyle name="Comma 2 3 3 4 6 3 3" xfId="19385" xr:uid="{DA7B48CF-9D2D-4320-8CD8-C45693CEB9D8}"/>
    <cellStyle name="Comma 2 3 3 4 6 4" xfId="3167" xr:uid="{AAC30647-73DF-48FC-9B26-E358D04959CE}"/>
    <cellStyle name="Comma 2 3 3 4 6 4 2" xfId="19641" xr:uid="{60DCB396-2F78-4826-B6B2-E8FCE889D256}"/>
    <cellStyle name="Comma 2 3 3 4 6 5" xfId="17597" xr:uid="{C0A33FCA-BD29-4A2F-A807-4E7800E5B510}"/>
    <cellStyle name="Comma 2 3 3 4 6 5 2" xfId="20803" xr:uid="{B6813BE6-34FB-409E-ACE9-3DF2DCBB1F7A}"/>
    <cellStyle name="Comma 2 3 3 4 6 6" xfId="18853" xr:uid="{43132248-8768-4600-9DE1-89836AAC9EC9}"/>
    <cellStyle name="Comma 2 3 3 4 7" xfId="1616" xr:uid="{06307629-29F2-47DA-9317-778F21AE177F}"/>
    <cellStyle name="Comma 2 3 3 4 7 2" xfId="3279" xr:uid="{5AB0357E-1ABC-4694-AC44-E86A37C41C87}"/>
    <cellStyle name="Comma 2 3 3 4 7 2 2" xfId="19748" xr:uid="{A27469F8-C275-49E6-8FD4-708917C1B026}"/>
    <cellStyle name="Comma 2 3 3 4 7 3" xfId="17376" xr:uid="{A7977160-BD97-4766-8629-A147D2737E86}"/>
    <cellStyle name="Comma 2 3 3 4 7 3 2" xfId="20583" xr:uid="{0561CC2F-5945-4652-8DEC-1091390B9F3C}"/>
    <cellStyle name="Comma 2 3 3 4 7 4" xfId="18633" xr:uid="{50181637-FF64-403A-8EED-7FADE1779748}"/>
    <cellStyle name="Comma 2 3 3 4 8" xfId="2425" xr:uid="{202EB612-D317-4CB7-BDAD-606C69F11F16}"/>
    <cellStyle name="Comma 2 3 3 4 8 2" xfId="3550" xr:uid="{15294025-0DFA-4C9C-A2EC-652878C7CAF5}"/>
    <cellStyle name="Comma 2 3 3 4 8 2 2" xfId="20004" xr:uid="{E6E56F16-9D89-422D-AAD1-63A6FCD633F8}"/>
    <cellStyle name="Comma 2 3 3 4 8 3" xfId="17864" xr:uid="{64A861EF-AAEA-47D9-84CF-808FD8BE0336}"/>
    <cellStyle name="Comma 2 3 3 4 8 3 2" xfId="20859" xr:uid="{CAFC7A04-3221-4051-9A38-16B1FDA72C6E}"/>
    <cellStyle name="Comma 2 3 3 4 8 4" xfId="18909" xr:uid="{435009F6-0CCC-461B-BD36-8638A39F4CA2}"/>
    <cellStyle name="Comma 2 3 3 4 9" xfId="2681" xr:uid="{5C8FBE42-CB39-45C6-B224-050BEF457BEB}"/>
    <cellStyle name="Comma 2 3 3 4 9 2" xfId="3822" xr:uid="{5B827CE1-89D1-4681-B8B6-26FD5320413D}"/>
    <cellStyle name="Comma 2 3 3 4 9 2 2" xfId="20276" xr:uid="{9580475B-976E-4545-924A-E72852B591FB}"/>
    <cellStyle name="Comma 2 3 3 4 9 3" xfId="19165" xr:uid="{4BE33C79-1E83-40CF-907C-A9C3276517A6}"/>
    <cellStyle name="Comma 2 3 3 5" xfId="875" xr:uid="{8A4D7DBE-7E47-4D97-BEEF-386971903B84}"/>
    <cellStyle name="Comma 2 3 3 5 10" xfId="17078" xr:uid="{A540B238-7028-4654-B687-3B4800C87B79}"/>
    <cellStyle name="Comma 2 3 3 5 10 2" xfId="20369" xr:uid="{30630C0B-D801-48F3-98F6-51F26D629A3C}"/>
    <cellStyle name="Comma 2 3 3 5 11" xfId="18419" xr:uid="{1CD0E7C2-7131-4F93-98DE-299E9DC8F613}"/>
    <cellStyle name="Comma 2 3 3 5 2" xfId="1504" xr:uid="{28AB5C0E-153B-43D4-B516-6F6CD911B5E8}"/>
    <cellStyle name="Comma 2 3 3 5 2 2" xfId="1689" xr:uid="{FC0F4C66-DA2B-43AE-BD8F-79B46909B56F}"/>
    <cellStyle name="Comma 2 3 3 5 2 2 2" xfId="3623" xr:uid="{F7A42E2D-DD16-413C-91C5-B048AADBD53D}"/>
    <cellStyle name="Comma 2 3 3 5 2 2 2 2" xfId="20077" xr:uid="{B213D88E-3D10-4A42-8B9B-7BBDCB504959}"/>
    <cellStyle name="Comma 2 3 3 5 2 2 3" xfId="17449" xr:uid="{18DF61AF-959C-4B75-8D51-AE23D0B98D66}"/>
    <cellStyle name="Comma 2 3 3 5 2 2 3 2" xfId="20656" xr:uid="{0FE3EFD7-338C-49B6-8039-6C74C5272F07}"/>
    <cellStyle name="Comma 2 3 3 5 2 2 4" xfId="18706" xr:uid="{1174CBF9-0B9E-4180-96C9-BE03A415332B}"/>
    <cellStyle name="Comma 2 3 3 5 2 3" xfId="2498" xr:uid="{DED7B5CE-505B-47F9-BC45-E8F72729665F}"/>
    <cellStyle name="Comma 2 3 3 5 2 3 2" xfId="3354" xr:uid="{D229B766-F404-4EC1-ABE5-19FF9E26B68F}"/>
    <cellStyle name="Comma 2 3 3 5 2 3 2 2" xfId="19821" xr:uid="{0D864ADF-44B7-42B8-84AE-2FB840A08116}"/>
    <cellStyle name="Comma 2 3 3 5 2 3 3" xfId="17939" xr:uid="{57FC9BFC-C166-465B-8609-C4E255E76CA5}"/>
    <cellStyle name="Comma 2 3 3 5 2 3 3 2" xfId="20932" xr:uid="{391CE781-2F4D-4507-B7E4-A73EA1D9E9E8}"/>
    <cellStyle name="Comma 2 3 3 5 2 3 4" xfId="18982" xr:uid="{2B83D4B7-57FF-4542-9ECA-1B5ED8C8A7C9}"/>
    <cellStyle name="Comma 2 3 3 5 2 4" xfId="2754" xr:uid="{2D9B67C9-A2FD-4840-B937-885C150AF0AC}"/>
    <cellStyle name="Comma 2 3 3 5 2 4 2" xfId="19238" xr:uid="{438AD696-933C-40C5-9B3E-379D00CF4D2F}"/>
    <cellStyle name="Comma 2 3 3 5 2 5" xfId="3020" xr:uid="{D755FDF0-7B04-4934-BA83-EFF63400FBE6}"/>
    <cellStyle name="Comma 2 3 3 5 2 5 2" xfId="19494" xr:uid="{240162AF-F917-4361-A673-5F35017CCF6F}"/>
    <cellStyle name="Comma 2 3 3 5 2 6" xfId="17277" xr:uid="{C38EA0EB-B449-4B90-8367-F6CDCC86EEF0}"/>
    <cellStyle name="Comma 2 3 3 5 2 6 2" xfId="20484" xr:uid="{7BA3BAA9-917D-4E9F-AC26-DB5AE4B34B76}"/>
    <cellStyle name="Comma 2 3 3 5 2 7" xfId="18534" xr:uid="{722C4CA5-2786-4283-A67E-1FF0CAB8CA6F}"/>
    <cellStyle name="Comma 2 3 3 5 3" xfId="1564" xr:uid="{69E439E1-68F7-45F3-B504-058457971D1B}"/>
    <cellStyle name="Comma 2 3 3 5 3 2" xfId="1736" xr:uid="{55D094FF-6B0C-4B31-9627-658D5BF6DFCF}"/>
    <cellStyle name="Comma 2 3 3 5 3 2 2" xfId="3670" xr:uid="{97377B7F-7EC9-496E-80CB-0E65F248F31F}"/>
    <cellStyle name="Comma 2 3 3 5 3 2 2 2" xfId="20124" xr:uid="{DA4C030E-221F-4619-85F6-59CA5A981FC1}"/>
    <cellStyle name="Comma 2 3 3 5 3 2 3" xfId="17496" xr:uid="{2CBE4A1D-06BB-493D-BF4B-E2511B23995C}"/>
    <cellStyle name="Comma 2 3 3 5 3 2 3 2" xfId="20703" xr:uid="{AC3DD76E-66C8-4E72-9F8C-A53C4D061D80}"/>
    <cellStyle name="Comma 2 3 3 5 3 2 4" xfId="18753" xr:uid="{120CCC1E-379B-4B4D-A164-8C5B1EA2A6EF}"/>
    <cellStyle name="Comma 2 3 3 5 3 3" xfId="2545" xr:uid="{DBA90B3D-1F1E-4B35-9647-35BF7447CC26}"/>
    <cellStyle name="Comma 2 3 3 5 3 3 2" xfId="3409" xr:uid="{3ECD89B5-C1A7-4611-933F-256C85FB5247}"/>
    <cellStyle name="Comma 2 3 3 5 3 3 2 2" xfId="19868" xr:uid="{9D6F0EE4-B436-4151-AACA-EFE764403C3D}"/>
    <cellStyle name="Comma 2 3 3 5 3 3 3" xfId="17986" xr:uid="{63B4286D-95E2-44CC-B463-C5FBE3423BFF}"/>
    <cellStyle name="Comma 2 3 3 5 3 3 3 2" xfId="20979" xr:uid="{6B9E9D51-71FF-4B1F-B506-7A815C4DAD12}"/>
    <cellStyle name="Comma 2 3 3 5 3 3 4" xfId="19029" xr:uid="{6860168E-EE45-4A62-B5DE-2B0A790C3412}"/>
    <cellStyle name="Comma 2 3 3 5 3 4" xfId="2801" xr:uid="{F6F706C0-631D-4038-AC50-8EAF8D8B3856}"/>
    <cellStyle name="Comma 2 3 3 5 3 4 2" xfId="19285" xr:uid="{66F3EAFF-FAA8-4956-BEDA-18A0ECDC7B41}"/>
    <cellStyle name="Comma 2 3 3 5 3 5" xfId="3067" xr:uid="{6DB19AB2-F331-4488-9FE9-EA82E912CA2F}"/>
    <cellStyle name="Comma 2 3 3 5 3 5 2" xfId="19541" xr:uid="{16B93CD8-88A7-4886-9000-8B93AED3373F}"/>
    <cellStyle name="Comma 2 3 3 5 3 6" xfId="17324" xr:uid="{31F0EA03-DC7D-4889-BB63-32D7C25EBAF5}"/>
    <cellStyle name="Comma 2 3 3 5 3 6 2" xfId="20531" xr:uid="{C782C9D7-3FAA-4FCE-B74D-DAFD93974B12}"/>
    <cellStyle name="Comma 2 3 3 5 3 7" xfId="18581" xr:uid="{6A794D29-4B4E-44BD-AF6C-74609ECC4D43}"/>
    <cellStyle name="Comma 2 3 3 5 4" xfId="1401" xr:uid="{C5605791-D04B-49FE-B609-46B397907C51}"/>
    <cellStyle name="Comma 2 3 3 5 4 2" xfId="1786" xr:uid="{BEE480FD-6791-4355-9143-523607B25BB6}"/>
    <cellStyle name="Comma 2 3 3 5 4 2 2" xfId="3718" xr:uid="{51390E0D-B93F-4904-A40D-0137AE7271AE}"/>
    <cellStyle name="Comma 2 3 3 5 4 2 2 2" xfId="20172" xr:uid="{8FFEDA9B-3FC8-43E8-B388-580994ADB3CB}"/>
    <cellStyle name="Comma 2 3 3 5 4 2 3" xfId="17544" xr:uid="{021B5DCC-BD27-41B2-A63F-326D94A6BF3C}"/>
    <cellStyle name="Comma 2 3 3 5 4 2 3 2" xfId="20751" xr:uid="{C1F1018E-6A58-4AF3-B9A4-C1FA8B09118F}"/>
    <cellStyle name="Comma 2 3 3 5 4 2 4" xfId="18801" xr:uid="{63608D0D-F62C-480D-9C3B-C41BFA02E78F}"/>
    <cellStyle name="Comma 2 3 3 5 4 3" xfId="2593" xr:uid="{E78FEB7D-A06F-4AE6-900B-838706131B80}"/>
    <cellStyle name="Comma 2 3 3 5 4 3 2" xfId="3458" xr:uid="{7F424BE2-35B7-47DC-8830-EEEFE140568B}"/>
    <cellStyle name="Comma 2 3 3 5 4 3 2 2" xfId="19916" xr:uid="{EAD67379-D22E-45D3-ACBA-4C16FE7CC0B6}"/>
    <cellStyle name="Comma 2 3 3 5 4 3 3" xfId="18034" xr:uid="{6852CF43-CE57-4164-A55E-5556BCD57365}"/>
    <cellStyle name="Comma 2 3 3 5 4 3 3 2" xfId="21027" xr:uid="{D33FA2CD-77EE-4D0E-B189-A5EF3A28944A}"/>
    <cellStyle name="Comma 2 3 3 5 4 3 4" xfId="19077" xr:uid="{FA7F4EAE-F45F-4B31-8B0B-5101E4700759}"/>
    <cellStyle name="Comma 2 3 3 5 4 4" xfId="2849" xr:uid="{B3FC400D-0B4C-4842-812F-C1740556B599}"/>
    <cellStyle name="Comma 2 3 3 5 4 4 2" xfId="19333" xr:uid="{63D76763-10D8-4E78-A407-7C54D6767899}"/>
    <cellStyle name="Comma 2 3 3 5 4 5" xfId="3115" xr:uid="{5FDCCFD0-D27F-4250-8EE4-306D72208021}"/>
    <cellStyle name="Comma 2 3 3 5 4 5 2" xfId="19589" xr:uid="{56AD7EF5-8DE8-4218-AD21-69C506DE7525}"/>
    <cellStyle name="Comma 2 3 3 5 4 6" xfId="17207" xr:uid="{568226A4-CFE6-4A43-B7A2-BF28EC27D04F}"/>
    <cellStyle name="Comma 2 3 3 5 4 6 2" xfId="20417" xr:uid="{9BE38EF8-AEBF-42E7-9DEB-6C5CBB8DF324}"/>
    <cellStyle name="Comma 2 3 3 5 4 7" xfId="18467" xr:uid="{32EC3A1C-3DC6-4A8B-A860-8F1A90C1323D}"/>
    <cellStyle name="Comma 2 3 3 5 5" xfId="1622" xr:uid="{EF0134EB-D692-40B7-98A1-49AEA3A44878}"/>
    <cellStyle name="Comma 2 3 3 5 5 2" xfId="3285" xr:uid="{8633BF9C-8887-4C17-A542-F459E61EFF74}"/>
    <cellStyle name="Comma 2 3 3 5 5 2 2" xfId="19754" xr:uid="{673428AF-5F86-487D-A5A2-8E9B6BF3896F}"/>
    <cellStyle name="Comma 2 3 3 5 5 3" xfId="17382" xr:uid="{6600EB77-40BE-4716-BB14-2FF7A7830BF7}"/>
    <cellStyle name="Comma 2 3 3 5 5 3 2" xfId="20589" xr:uid="{C2E76585-F2BA-4044-8A29-2C8D3E2043E2}"/>
    <cellStyle name="Comma 2 3 3 5 5 4" xfId="18639" xr:uid="{D24C58A4-2D27-4BC1-A2F5-B74105768087}"/>
    <cellStyle name="Comma 2 3 3 5 6" xfId="2431" xr:uid="{EC96F22C-A53C-47C2-A305-A5835E3A9BA3}"/>
    <cellStyle name="Comma 2 3 3 5 6 2" xfId="3556" xr:uid="{BBC79D66-4CF9-4881-ABE4-877F67209611}"/>
    <cellStyle name="Comma 2 3 3 5 6 2 2" xfId="20010" xr:uid="{DBFB9E4E-FBC4-4801-AFF5-784F4C78F987}"/>
    <cellStyle name="Comma 2 3 3 5 6 3" xfId="17870" xr:uid="{5E95080A-13AE-4602-8CAA-A0EB0DC99790}"/>
    <cellStyle name="Comma 2 3 3 5 6 3 2" xfId="20865" xr:uid="{D73211A9-7A73-481F-8BCF-A8E822A63073}"/>
    <cellStyle name="Comma 2 3 3 5 6 4" xfId="18915" xr:uid="{997FB9F8-580F-4AD9-A676-C5E7804FFBAE}"/>
    <cellStyle name="Comma 2 3 3 5 7" xfId="2687" xr:uid="{33EFA2AA-890C-41A9-8B55-53BF3F322199}"/>
    <cellStyle name="Comma 2 3 3 5 7 2" xfId="3835" xr:uid="{F6AEA68F-EC55-4A4B-A3FF-F71604F27216}"/>
    <cellStyle name="Comma 2 3 3 5 7 2 2" xfId="20289" xr:uid="{DE8FECC0-CA9B-42FA-BCF0-644A97755028}"/>
    <cellStyle name="Comma 2 3 3 5 7 3" xfId="19171" xr:uid="{647E1609-D336-431D-AEDA-8490FA1441C8}"/>
    <cellStyle name="Comma 2 3 3 5 8" xfId="3236" xr:uid="{6241DCA6-70D2-477A-8E89-731C6EF955B6}"/>
    <cellStyle name="Comma 2 3 3 5 8 2" xfId="19706" xr:uid="{E9E4819D-D7FD-470B-9D58-0B53DF50E2E3}"/>
    <cellStyle name="Comma 2 3 3 5 9" xfId="2953" xr:uid="{6FA63FC1-A0D9-40ED-B002-F9192F828795}"/>
    <cellStyle name="Comma 2 3 3 5 9 2" xfId="19427" xr:uid="{A283B7AE-212F-4CEE-990E-A3F2FB66E27A}"/>
    <cellStyle name="Comma 2 3 3 6" xfId="887" xr:uid="{1639F7AD-0AD1-4AC5-B1FB-AAB713BE9504}"/>
    <cellStyle name="Comma 2 3 3 6 10" xfId="17088" xr:uid="{1F3EF7AA-B952-49DD-A6EC-686AB4436A00}"/>
    <cellStyle name="Comma 2 3 3 6 10 2" xfId="20375" xr:uid="{DC2BA5E7-1A0E-4866-9A9B-CCEA0E55E22B}"/>
    <cellStyle name="Comma 2 3 3 6 11" xfId="18425" xr:uid="{491EB41F-69B9-4FBA-BD98-3213CB084B59}"/>
    <cellStyle name="Comma 2 3 3 6 2" xfId="1505" xr:uid="{B445336C-DC06-4FB1-BA33-81854321C9A0}"/>
    <cellStyle name="Comma 2 3 3 6 2 2" xfId="1690" xr:uid="{0398A931-78B4-4299-835D-414BF086D21E}"/>
    <cellStyle name="Comma 2 3 3 6 2 2 2" xfId="3624" xr:uid="{468D971B-00BA-45B1-9144-03C7E37BA762}"/>
    <cellStyle name="Comma 2 3 3 6 2 2 2 2" xfId="20078" xr:uid="{746F6E17-1AD1-4C67-B02D-BFC262BC0690}"/>
    <cellStyle name="Comma 2 3 3 6 2 2 3" xfId="17450" xr:uid="{106B42D4-A46C-470E-99F2-0386EEA06B5F}"/>
    <cellStyle name="Comma 2 3 3 6 2 2 3 2" xfId="20657" xr:uid="{67E81A5F-9E65-442A-9203-AC594BC22847}"/>
    <cellStyle name="Comma 2 3 3 6 2 2 4" xfId="18707" xr:uid="{DF22B61E-CD1A-4F3B-BDF0-D1D4968D55C2}"/>
    <cellStyle name="Comma 2 3 3 6 2 3" xfId="2499" xr:uid="{81DBF351-7B2E-47BB-AAEE-396274E480E6}"/>
    <cellStyle name="Comma 2 3 3 6 2 3 2" xfId="3355" xr:uid="{4A330831-57E7-4A6F-8A1B-C47953C4BA48}"/>
    <cellStyle name="Comma 2 3 3 6 2 3 2 2" xfId="19822" xr:uid="{C303CA6F-7CE5-475F-86FB-C7AFC3B6C800}"/>
    <cellStyle name="Comma 2 3 3 6 2 3 3" xfId="17940" xr:uid="{111BB4C0-4533-4DBF-B668-0C3A0B04B042}"/>
    <cellStyle name="Comma 2 3 3 6 2 3 3 2" xfId="20933" xr:uid="{BF7BE73B-E5A9-4606-94BA-744E73BCB102}"/>
    <cellStyle name="Comma 2 3 3 6 2 3 4" xfId="18983" xr:uid="{9AEA6640-EDE2-452C-88B8-D9AEDC772426}"/>
    <cellStyle name="Comma 2 3 3 6 2 4" xfId="2755" xr:uid="{7D7C7616-8FE2-4983-9987-6BA94F27C58B}"/>
    <cellStyle name="Comma 2 3 3 6 2 4 2" xfId="19239" xr:uid="{C042BA0D-007C-4AFE-83C6-959191DA93F6}"/>
    <cellStyle name="Comma 2 3 3 6 2 5" xfId="3021" xr:uid="{203583F9-0966-4105-83AC-EE8364532C9A}"/>
    <cellStyle name="Comma 2 3 3 6 2 5 2" xfId="19495" xr:uid="{1012052D-4527-4376-AA61-872058FD89A2}"/>
    <cellStyle name="Comma 2 3 3 6 2 6" xfId="17278" xr:uid="{32656066-EAFD-414F-98CB-BB3FBF360CB9}"/>
    <cellStyle name="Comma 2 3 3 6 2 6 2" xfId="20485" xr:uid="{E3455576-9A95-41C2-8AAD-42DF3DF1CBBE}"/>
    <cellStyle name="Comma 2 3 3 6 2 7" xfId="18535" xr:uid="{FEB34C17-6D3D-466E-9127-C2FD6574B329}"/>
    <cellStyle name="Comma 2 3 3 6 3" xfId="1565" xr:uid="{239985B7-BF08-403D-B915-F8DAB1437D9E}"/>
    <cellStyle name="Comma 2 3 3 6 3 2" xfId="1737" xr:uid="{D31F3DAA-BF40-489B-A942-D82C76F623D6}"/>
    <cellStyle name="Comma 2 3 3 6 3 2 2" xfId="3671" xr:uid="{7D1E6977-E408-49CE-993E-184B276D8366}"/>
    <cellStyle name="Comma 2 3 3 6 3 2 2 2" xfId="20125" xr:uid="{8A030794-8DE2-4E18-B8F9-05FFC49A3E97}"/>
    <cellStyle name="Comma 2 3 3 6 3 2 3" xfId="17497" xr:uid="{AD2D9E88-1425-4001-B39D-079F6DB9385E}"/>
    <cellStyle name="Comma 2 3 3 6 3 2 3 2" xfId="20704" xr:uid="{92923004-9A10-4132-BCC8-F0D6CADF070A}"/>
    <cellStyle name="Comma 2 3 3 6 3 2 4" xfId="18754" xr:uid="{F05FE582-E748-4AF7-AAF2-346AEB09DE7B}"/>
    <cellStyle name="Comma 2 3 3 6 3 3" xfId="2546" xr:uid="{8DF99845-5518-4B9F-BF03-3DDF7FFB029F}"/>
    <cellStyle name="Comma 2 3 3 6 3 3 2" xfId="3410" xr:uid="{6EDC1541-5DD0-4EDA-949B-651AF81267E0}"/>
    <cellStyle name="Comma 2 3 3 6 3 3 2 2" xfId="19869" xr:uid="{D51A514C-9B9B-4989-83AF-CE2E28652262}"/>
    <cellStyle name="Comma 2 3 3 6 3 3 3" xfId="17987" xr:uid="{D813A19C-7115-49C8-A9D0-ABF99AA38064}"/>
    <cellStyle name="Comma 2 3 3 6 3 3 3 2" xfId="20980" xr:uid="{6B758326-71A9-4954-BB16-0BDD4DBFBF43}"/>
    <cellStyle name="Comma 2 3 3 6 3 3 4" xfId="19030" xr:uid="{1F6FC940-17EA-4877-968D-5FAC4E845B9C}"/>
    <cellStyle name="Comma 2 3 3 6 3 4" xfId="2802" xr:uid="{CEFDFE73-C624-4B47-841D-720AB481A7BC}"/>
    <cellStyle name="Comma 2 3 3 6 3 4 2" xfId="19286" xr:uid="{44837B70-FC8F-4DC9-81B9-63CDC199658E}"/>
    <cellStyle name="Comma 2 3 3 6 3 5" xfId="3068" xr:uid="{AF487E1F-4F2C-41F5-A29A-AE4865312094}"/>
    <cellStyle name="Comma 2 3 3 6 3 5 2" xfId="19542" xr:uid="{65DBA987-E1B7-495E-BAC6-9EB4A8818124}"/>
    <cellStyle name="Comma 2 3 3 6 3 6" xfId="17325" xr:uid="{AFCFFE55-4513-4492-949E-8F025600A3F3}"/>
    <cellStyle name="Comma 2 3 3 6 3 6 2" xfId="20532" xr:uid="{AF8375BC-FC49-4817-BFC8-FF84C422EB10}"/>
    <cellStyle name="Comma 2 3 3 6 3 7" xfId="18582" xr:uid="{AE77BC82-CC87-42D8-8409-3D55F2E591AB}"/>
    <cellStyle name="Comma 2 3 3 6 4" xfId="1416" xr:uid="{D65DE4D8-84D8-46F5-9ADC-9F5AACC68969}"/>
    <cellStyle name="Comma 2 3 3 6 4 2" xfId="1787" xr:uid="{97DC5CD8-730D-489F-9387-455A05491121}"/>
    <cellStyle name="Comma 2 3 3 6 4 2 2" xfId="3719" xr:uid="{2AFCE5B6-2CFD-4BED-B7A6-F9587BA258B5}"/>
    <cellStyle name="Comma 2 3 3 6 4 2 2 2" xfId="20173" xr:uid="{38FB592B-330B-4FCD-857F-140C0057FFE3}"/>
    <cellStyle name="Comma 2 3 3 6 4 2 3" xfId="17545" xr:uid="{3998BBAB-D634-4597-88B9-7BFAA33AB361}"/>
    <cellStyle name="Comma 2 3 3 6 4 2 3 2" xfId="20752" xr:uid="{ECBD009E-3D67-44F3-BD26-2E88C4463AB2}"/>
    <cellStyle name="Comma 2 3 3 6 4 2 4" xfId="18802" xr:uid="{5ED34858-515A-4DC7-A62F-FC4CAB1DE24D}"/>
    <cellStyle name="Comma 2 3 3 6 4 3" xfId="2594" xr:uid="{074405DB-9D08-452C-9204-07498E297066}"/>
    <cellStyle name="Comma 2 3 3 6 4 3 2" xfId="3459" xr:uid="{51F646F0-1914-4808-84F7-77EA95757FB8}"/>
    <cellStyle name="Comma 2 3 3 6 4 3 2 2" xfId="19917" xr:uid="{47BFC309-B260-4283-985D-35F6CBCB882E}"/>
    <cellStyle name="Comma 2 3 3 6 4 3 3" xfId="18035" xr:uid="{CA025AF4-35E4-4B70-8D29-14DE14A52387}"/>
    <cellStyle name="Comma 2 3 3 6 4 3 3 2" xfId="21028" xr:uid="{9F1AEE81-FAFF-46D4-8EEB-B9FC0FBCE818}"/>
    <cellStyle name="Comma 2 3 3 6 4 3 4" xfId="19078" xr:uid="{7E799BC9-FE11-46D9-9BD2-D42FDFA6D1F7}"/>
    <cellStyle name="Comma 2 3 3 6 4 4" xfId="2850" xr:uid="{F3278CEB-957C-49DA-BFB6-761F309DE21A}"/>
    <cellStyle name="Comma 2 3 3 6 4 4 2" xfId="19334" xr:uid="{0AC9B678-54BF-49C8-8EA7-4C751AEECBA3}"/>
    <cellStyle name="Comma 2 3 3 6 4 5" xfId="3116" xr:uid="{5DC478E7-7662-4604-8589-0CA384F3348D}"/>
    <cellStyle name="Comma 2 3 3 6 4 5 2" xfId="19590" xr:uid="{2005AC0C-9397-41D0-8E6F-C4F2B049C50D}"/>
    <cellStyle name="Comma 2 3 3 6 4 6" xfId="17217" xr:uid="{8E9CA0A1-909A-4D94-86C2-BAF5437B44F4}"/>
    <cellStyle name="Comma 2 3 3 6 4 6 2" xfId="20426" xr:uid="{036AAE4D-3102-43F6-B90D-D47C5F31C1A4}"/>
    <cellStyle name="Comma 2 3 3 6 4 7" xfId="18476" xr:uid="{1F429A45-6CA8-467A-B484-4D349E46C3AB}"/>
    <cellStyle name="Comma 2 3 3 6 5" xfId="1631" xr:uid="{F2282CD6-226E-4444-B4BA-6E00C9B8E47B}"/>
    <cellStyle name="Comma 2 3 3 6 5 2" xfId="3295" xr:uid="{580DA338-1076-4A3D-8A5D-7DB6371BD2B5}"/>
    <cellStyle name="Comma 2 3 3 6 5 2 2" xfId="19763" xr:uid="{076AA360-9D1A-4116-A0E1-019CE1230DC8}"/>
    <cellStyle name="Comma 2 3 3 6 5 3" xfId="17391" xr:uid="{6D5332E3-A84C-41DF-A89D-27FA2AA46085}"/>
    <cellStyle name="Comma 2 3 3 6 5 3 2" xfId="20598" xr:uid="{E78F9B6A-D225-4F9E-8F56-BBF4C6A92873}"/>
    <cellStyle name="Comma 2 3 3 6 5 4" xfId="18648" xr:uid="{7E80FE02-5AF0-47BE-B506-490EF2B785DD}"/>
    <cellStyle name="Comma 2 3 3 6 6" xfId="2440" xr:uid="{7F00E7EC-9614-43C0-BB3E-C263C82D5491}"/>
    <cellStyle name="Comma 2 3 3 6 6 2" xfId="3565" xr:uid="{0BC54729-C351-4A7D-84E0-FA7B81DE6989}"/>
    <cellStyle name="Comma 2 3 3 6 6 2 2" xfId="20019" xr:uid="{8EC0543E-AE21-422F-B14E-8DB778AD2FD7}"/>
    <cellStyle name="Comma 2 3 3 6 6 3" xfId="17879" xr:uid="{3A5D40E4-07A4-401C-9021-0D45ABD7996C}"/>
    <cellStyle name="Comma 2 3 3 6 6 3 2" xfId="20874" xr:uid="{6F9FF6DA-626F-4C22-B453-B70ADFD47A70}"/>
    <cellStyle name="Comma 2 3 3 6 6 4" xfId="18924" xr:uid="{F636931D-B59F-46C9-AD90-E0C4BA3D7939}"/>
    <cellStyle name="Comma 2 3 3 6 7" xfId="2696" xr:uid="{7460F05C-11BB-4B72-8135-F15796602AB5}"/>
    <cellStyle name="Comma 2 3 3 6 7 2" xfId="3841" xr:uid="{7F74A61C-9F14-4DED-9A05-6C7B55F0D8F5}"/>
    <cellStyle name="Comma 2 3 3 6 7 2 2" xfId="20295" xr:uid="{6E715641-670F-4B42-8386-BB30D0C7ABF7}"/>
    <cellStyle name="Comma 2 3 3 6 7 3" xfId="19180" xr:uid="{04F2A26D-85D8-4C4A-BD3F-C5185565EAEB}"/>
    <cellStyle name="Comma 2 3 3 6 8" xfId="3242" xr:uid="{9F87A4E4-E182-455A-8DCA-39523FF37406}"/>
    <cellStyle name="Comma 2 3 3 6 8 2" xfId="19712" xr:uid="{30DDDDF8-1BF3-4482-BA63-C6B326079BA9}"/>
    <cellStyle name="Comma 2 3 3 6 9" xfId="2962" xr:uid="{93F03009-B85C-4C46-839E-1A920F3A6590}"/>
    <cellStyle name="Comma 2 3 3 6 9 2" xfId="19436" xr:uid="{39F2B478-B42D-4C92-9431-E4ECBE412291}"/>
    <cellStyle name="Comma 2 3 3 7" xfId="1500" xr:uid="{C2CAA3D3-65E3-486E-A539-B87C6B6BAF0F}"/>
    <cellStyle name="Comma 2 3 3 7 2" xfId="1685" xr:uid="{764FBA4C-C3AB-46BA-B6B2-2B2AEC193883}"/>
    <cellStyle name="Comma 2 3 3 7 2 2" xfId="3350" xr:uid="{2FF41A0C-535F-4F70-8541-CACD7D4D3DE8}"/>
    <cellStyle name="Comma 2 3 3 7 2 2 2" xfId="19817" xr:uid="{92C83846-AB0A-476A-B572-4656FEF93468}"/>
    <cellStyle name="Comma 2 3 3 7 2 3" xfId="17445" xr:uid="{A210446F-624D-4B5B-9E58-CDE0C2BB5A69}"/>
    <cellStyle name="Comma 2 3 3 7 2 3 2" xfId="20652" xr:uid="{EE06CDD6-C67F-4ABE-9DE8-F65B87010E5E}"/>
    <cellStyle name="Comma 2 3 3 7 2 4" xfId="18702" xr:uid="{1E513517-00C9-4619-B9CA-3D895EEB6493}"/>
    <cellStyle name="Comma 2 3 3 7 3" xfId="2494" xr:uid="{D3EFF254-2595-4E68-AF47-57A2A0316738}"/>
    <cellStyle name="Comma 2 3 3 7 3 2" xfId="3619" xr:uid="{D82651F7-AE05-4CDD-ABF1-76D4A18BB7BF}"/>
    <cellStyle name="Comma 2 3 3 7 3 2 2" xfId="20073" xr:uid="{0E34D9A2-7607-418E-946C-EC96D8A42526}"/>
    <cellStyle name="Comma 2 3 3 7 3 3" xfId="17935" xr:uid="{4E314400-1A2C-4356-BBA9-E40E8DDBF3E4}"/>
    <cellStyle name="Comma 2 3 3 7 3 3 2" xfId="20928" xr:uid="{E1883AF7-09D8-47AA-AFAF-A2B242461992}"/>
    <cellStyle name="Comma 2 3 3 7 3 4" xfId="18978" xr:uid="{931A3E31-F56E-420B-9C37-025E5CBE71E2}"/>
    <cellStyle name="Comma 2 3 3 7 4" xfId="2750" xr:uid="{B1C3297E-CFFB-4C0D-AC1D-AA340A6B129B}"/>
    <cellStyle name="Comma 2 3 3 7 4 2" xfId="3796" xr:uid="{B9B67FF1-5D20-457D-8E06-18788D4211C9}"/>
    <cellStyle name="Comma 2 3 3 7 4 2 2" xfId="20250" xr:uid="{95BDF906-F4F7-415A-B838-FDBD2CC80F43}"/>
    <cellStyle name="Comma 2 3 3 7 4 3" xfId="19234" xr:uid="{BBFE9C9B-EFB3-4F00-AC9B-E4486B6FEFC7}"/>
    <cellStyle name="Comma 2 3 3 7 5" xfId="3193" xr:uid="{C3759241-2956-43FA-9A66-59415B6159D4}"/>
    <cellStyle name="Comma 2 3 3 7 5 2" xfId="19667" xr:uid="{C070C72F-39F2-4670-9F22-439346FF0CD4}"/>
    <cellStyle name="Comma 2 3 3 7 6" xfId="3016" xr:uid="{E40B9099-9685-44A8-B112-03F3FA2FBECF}"/>
    <cellStyle name="Comma 2 3 3 7 6 2" xfId="19490" xr:uid="{8A662653-F220-458D-8FDC-49EA170650BA}"/>
    <cellStyle name="Comma 2 3 3 7 7" xfId="17273" xr:uid="{45E0759A-0701-4C16-812A-65CF27987CF5}"/>
    <cellStyle name="Comma 2 3 3 7 7 2" xfId="20480" xr:uid="{D72784A5-34EC-448E-A611-9405E6CE7BC2}"/>
    <cellStyle name="Comma 2 3 3 7 8" xfId="18530" xr:uid="{3307507F-C621-4402-A640-9A8301F1F7AF}"/>
    <cellStyle name="Comma 2 3 3 8" xfId="1560" xr:uid="{BB57E46B-6FD8-4E48-9AA0-BE4B48B29683}"/>
    <cellStyle name="Comma 2 3 3 8 2" xfId="1732" xr:uid="{1AFC0FBB-2E50-4902-974B-FF72BC2713EA}"/>
    <cellStyle name="Comma 2 3 3 8 2 2" xfId="3666" xr:uid="{AEF38D40-6146-4D5E-9144-0659034D5C1E}"/>
    <cellStyle name="Comma 2 3 3 8 2 2 2" xfId="20120" xr:uid="{397064BE-637A-44F8-9A46-62EB17A51070}"/>
    <cellStyle name="Comma 2 3 3 8 2 3" xfId="17492" xr:uid="{4D48DF03-09C0-4C67-A2F7-804C83911EB8}"/>
    <cellStyle name="Comma 2 3 3 8 2 3 2" xfId="20699" xr:uid="{E2116AC5-EBBD-42F8-B4B3-59A3051E9EE6}"/>
    <cellStyle name="Comma 2 3 3 8 2 4" xfId="18749" xr:uid="{4D40A063-DA5D-416D-929B-52190C65DA35}"/>
    <cellStyle name="Comma 2 3 3 8 3" xfId="2541" xr:uid="{8EC065AF-AE7D-42AA-845B-50315F2BE968}"/>
    <cellStyle name="Comma 2 3 3 8 3 2" xfId="3405" xr:uid="{0B10CD13-DC57-44F1-BB25-DD5E80A16CE3}"/>
    <cellStyle name="Comma 2 3 3 8 3 2 2" xfId="19864" xr:uid="{9B431915-F584-4A76-95B4-340ACA57AED3}"/>
    <cellStyle name="Comma 2 3 3 8 3 3" xfId="17982" xr:uid="{322760B7-D006-4560-B9F7-08DEA5705909}"/>
    <cellStyle name="Comma 2 3 3 8 3 3 2" xfId="20975" xr:uid="{A1B4ACFB-2153-4714-BD63-8D55BDE97C00}"/>
    <cellStyle name="Comma 2 3 3 8 3 4" xfId="19025" xr:uid="{ED3029FD-A0F9-41B3-9D7F-C9296A09A88D}"/>
    <cellStyle name="Comma 2 3 3 8 4" xfId="2797" xr:uid="{6617A7D1-E05E-4B00-BD92-5FE370F3FA3A}"/>
    <cellStyle name="Comma 2 3 3 8 4 2" xfId="19281" xr:uid="{C4996798-760E-4521-A848-27ADBB56E2A9}"/>
    <cellStyle name="Comma 2 3 3 8 5" xfId="3063" xr:uid="{69A052D5-D559-4059-8CA7-B04F435AF737}"/>
    <cellStyle name="Comma 2 3 3 8 5 2" xfId="19537" xr:uid="{BE487C34-9BFB-404F-8FA5-47E988E74A9E}"/>
    <cellStyle name="Comma 2 3 3 8 6" xfId="17320" xr:uid="{90A7B238-AD3C-4136-B283-EC52D1499B7F}"/>
    <cellStyle name="Comma 2 3 3 8 6 2" xfId="20527" xr:uid="{11A1B544-0A35-4DD2-BD92-B315B4430924}"/>
    <cellStyle name="Comma 2 3 3 8 7" xfId="18577" xr:uid="{4923F7D6-8B0E-40B5-90EC-E055749B1B77}"/>
    <cellStyle name="Comma 2 3 3 9" xfId="917" xr:uid="{A5EE9356-13C1-4FBE-8BB7-A7788810AE6F}"/>
    <cellStyle name="Comma 2 3 3 9 2" xfId="1782" xr:uid="{9D70F197-FD3D-4720-8508-4FF795219BC1}"/>
    <cellStyle name="Comma 2 3 3 9 2 2" xfId="3714" xr:uid="{712F1930-7FCD-42C1-9860-979D48C9C6BE}"/>
    <cellStyle name="Comma 2 3 3 9 2 2 2" xfId="20168" xr:uid="{5316E115-8DF4-442D-A2C0-9289FC753B39}"/>
    <cellStyle name="Comma 2 3 3 9 2 3" xfId="17540" xr:uid="{F0BA08F9-BB2C-473B-BA1D-6D8C3A3D9BA3}"/>
    <cellStyle name="Comma 2 3 3 9 2 3 2" xfId="20747" xr:uid="{96A69AD1-DC49-4D62-9938-FA8039761128}"/>
    <cellStyle name="Comma 2 3 3 9 2 4" xfId="18797" xr:uid="{C7385F0B-4365-4493-8CDB-44F9D785A524}"/>
    <cellStyle name="Comma 2 3 3 9 3" xfId="2589" xr:uid="{D961CDEA-A84C-4047-9097-F66C64A6C5BE}"/>
    <cellStyle name="Comma 2 3 3 9 3 2" xfId="3454" xr:uid="{442CC02F-16D3-42B8-9067-49CCDF73BF5F}"/>
    <cellStyle name="Comma 2 3 3 9 3 2 2" xfId="19912" xr:uid="{C684B1AA-074F-4D24-995B-C3944CA9ECFE}"/>
    <cellStyle name="Comma 2 3 3 9 3 3" xfId="18030" xr:uid="{7E9F40F0-9F6D-47F4-AC9A-999A0B742591}"/>
    <cellStyle name="Comma 2 3 3 9 3 3 2" xfId="21023" xr:uid="{99BF00E9-2E29-4338-8E4F-0445C4AB04A0}"/>
    <cellStyle name="Comma 2 3 3 9 3 4" xfId="19073" xr:uid="{54DE7C7A-473C-4591-8A74-6F373A21D96A}"/>
    <cellStyle name="Comma 2 3 3 9 4" xfId="2845" xr:uid="{59D110CD-F1EE-407D-BA16-5449ADC1DA24}"/>
    <cellStyle name="Comma 2 3 3 9 4 2" xfId="19329" xr:uid="{16F37B12-9129-44C0-B68D-9B291F163F95}"/>
    <cellStyle name="Comma 2 3 3 9 5" xfId="3111" xr:uid="{E4C9EF46-1DB2-490A-AE64-64A19E99DDB5}"/>
    <cellStyle name="Comma 2 3 3 9 5 2" xfId="19585" xr:uid="{98218451-66ED-45DF-91CD-CB60288C0D63}"/>
    <cellStyle name="Comma 2 3 3 9 6" xfId="17105" xr:uid="{09C82C78-6D6F-4147-8550-D34404C8FB97}"/>
    <cellStyle name="Comma 2 3 3 9 6 2" xfId="20384" xr:uid="{CB1F2F8C-A7BD-4B55-9D1E-BA2572D5D5C4}"/>
    <cellStyle name="Comma 2 3 3 9 7" xfId="18434" xr:uid="{4C7B881F-273C-4EC5-A8D2-54493A7CA8CB}"/>
    <cellStyle name="Comma 2 3 4" xfId="918" xr:uid="{D0C3C7D4-286D-4DD8-B0AF-183D50F31720}"/>
    <cellStyle name="Comma 2 3 4 2" xfId="17106" xr:uid="{DB2152C4-3023-4E70-B65D-A3C214FE3578}"/>
    <cellStyle name="Comma 2 3 4 3" xfId="15825" xr:uid="{6BE85DD0-0E8A-4CCE-982C-C9E0CECE1145}"/>
    <cellStyle name="Comma 2 4" xfId="220" xr:uid="{E062BAFF-E2FC-4C3B-B9A2-8D710374E876}"/>
    <cellStyle name="Comma 2 4 2" xfId="221" xr:uid="{D100F454-B82B-4194-B6D3-68B43ED46497}"/>
    <cellStyle name="Comma 2 4 3" xfId="919" xr:uid="{460C28F3-1828-487E-9E1F-DEB7DB731A01}"/>
    <cellStyle name="Comma 2 4 3 2" xfId="17107" xr:uid="{2AC5F3A1-5E14-4ABB-AD5E-76DE6C3363C3}"/>
    <cellStyle name="Comma 2 4 3 3" xfId="15826" xr:uid="{0DA127CB-88C4-46BB-B564-D2BDA265C3E3}"/>
    <cellStyle name="Comma 2 5" xfId="222" xr:uid="{9ED5B98A-CA83-49EE-A1E5-2E4786678C00}"/>
    <cellStyle name="Comma 2 5 2" xfId="15827" xr:uid="{81B74376-4BDC-4667-A10B-C16C5730E789}"/>
    <cellStyle name="Comma 2 6" xfId="223" xr:uid="{FE2920FF-4040-4AC0-B8CF-82A4A0D7F415}"/>
    <cellStyle name="Comma 2 6 2" xfId="224" xr:uid="{DC99447C-315E-49EB-A210-A1CF98FDC427}"/>
    <cellStyle name="Comma 2 6 3" xfId="225" xr:uid="{5A553F7E-7986-4447-BCE3-64F358288713}"/>
    <cellStyle name="Comma 2 6 4" xfId="226" xr:uid="{ECC21015-C3B5-471B-97AF-3FADDD0E6630}"/>
    <cellStyle name="Comma 2 7" xfId="227" xr:uid="{E613D441-7BB5-4385-AE00-D9F3E1F58A6B}"/>
    <cellStyle name="Comma 2 7 2" xfId="228" xr:uid="{66263EF8-8D86-497E-B39D-74F5AD9DDBA4}"/>
    <cellStyle name="Comma 2 7 3" xfId="229" xr:uid="{2F4133DC-E352-4D0A-8928-6C7BB0B0244D}"/>
    <cellStyle name="Comma 2 8" xfId="230" xr:uid="{5C99A1D9-B335-4C73-AB72-0A824C2DF28E}"/>
    <cellStyle name="Comma 2 8 10" xfId="1818" xr:uid="{5BEE6D85-A75B-449F-9F79-9F0382A5E3A9}"/>
    <cellStyle name="Comma 2 8 10 2" xfId="2619" xr:uid="{8D4FF8C5-E8C0-4DFB-B27E-5340090E4BFA}"/>
    <cellStyle name="Comma 2 8 10 2 2" xfId="3744" xr:uid="{55960EAA-4439-4D58-8A7C-634EC7B8A3D6}"/>
    <cellStyle name="Comma 2 8 10 2 2 2" xfId="20198" xr:uid="{267CA656-8A4B-4254-A857-68DEC4BF07C1}"/>
    <cellStyle name="Comma 2 8 10 2 3" xfId="18060" xr:uid="{6D3A35EE-C7A0-40C0-9EF7-2E4DFF785D2F}"/>
    <cellStyle name="Comma 2 8 10 2 3 2" xfId="21053" xr:uid="{88CD9AF9-0E6E-42C0-A81A-877778F241FE}"/>
    <cellStyle name="Comma 2 8 10 2 4" xfId="19103" xr:uid="{7B67F881-C0C9-4693-8E86-6947E22F73EE}"/>
    <cellStyle name="Comma 2 8 10 3" xfId="2875" xr:uid="{96E474B7-0EAE-4E21-BFFD-F47232111F53}"/>
    <cellStyle name="Comma 2 8 10 3 2" xfId="3488" xr:uid="{86F248CC-61BD-4E5D-80CF-662DF9565E7A}"/>
    <cellStyle name="Comma 2 8 10 3 2 2" xfId="19942" xr:uid="{29E5D39B-B605-4BE9-AF2E-255A2F529A7B}"/>
    <cellStyle name="Comma 2 8 10 3 3" xfId="19359" xr:uid="{C4C88B00-996F-44E5-A488-AA77D91BCAD6}"/>
    <cellStyle name="Comma 2 8 10 4" xfId="3141" xr:uid="{FE77538E-1ECA-4BAB-95C2-BAA0819AC54C}"/>
    <cellStyle name="Comma 2 8 10 4 2" xfId="19615" xr:uid="{01A77152-AB6E-4B7C-9711-416A01689C15}"/>
    <cellStyle name="Comma 2 8 10 5" xfId="17571" xr:uid="{743C52F0-0187-4735-9907-A1022F2BF282}"/>
    <cellStyle name="Comma 2 8 10 5 2" xfId="20777" xr:uid="{777F160D-63CB-44C9-A347-A4BA538424D8}"/>
    <cellStyle name="Comma 2 8 10 6" xfId="18827" xr:uid="{840F5095-B846-4F82-9ACE-6956A7DCB99E}"/>
    <cellStyle name="Comma 2 8 11" xfId="1590" xr:uid="{0B10BA83-7067-43D0-9DFA-4F61A84A9081}"/>
    <cellStyle name="Comma 2 8 11 2" xfId="3252" xr:uid="{8FF194D7-38FA-4EAC-B8F0-8E9FEA8FE487}"/>
    <cellStyle name="Comma 2 8 11 2 2" xfId="19722" xr:uid="{DC4AFFD6-78F7-43DF-884C-14EE3BF2DACD}"/>
    <cellStyle name="Comma 2 8 11 3" xfId="17350" xr:uid="{3F41AA36-E851-46F6-B39A-1D20E01E8616}"/>
    <cellStyle name="Comma 2 8 11 3 2" xfId="20557" xr:uid="{F85FE76B-2B7F-4A16-8CFA-23D04CA229F7}"/>
    <cellStyle name="Comma 2 8 11 4" xfId="18607" xr:uid="{420B77D3-AA9D-4D93-BA0F-12E6129B3B2B}"/>
    <cellStyle name="Comma 2 8 12" xfId="2017" xr:uid="{4605ED0A-5DC7-47E6-BA69-311ACF15E0B7}"/>
    <cellStyle name="Comma 2 8 12 2" xfId="3524" xr:uid="{DD1620C9-F953-4E85-9E7F-1E1084FE6AA7}"/>
    <cellStyle name="Comma 2 8 12 2 2" xfId="19978" xr:uid="{02490DB8-6814-4C12-801D-EC6021C609B3}"/>
    <cellStyle name="Comma 2 8 12 3" xfId="17726" xr:uid="{0D58FFBB-6C77-4D4D-AF1F-81216049C170}"/>
    <cellStyle name="Comma 2 8 12 3 2" xfId="20816" xr:uid="{489009E1-4711-4572-AA09-B0EC06C70873}"/>
    <cellStyle name="Comma 2 8 12 4" xfId="18866" xr:uid="{4DA3E5A1-1FB7-46B5-B5CC-DA486E2F8523}"/>
    <cellStyle name="Comma 2 8 13" xfId="2399" xr:uid="{70981247-A2CB-4CB2-B687-4963CFEE18A5}"/>
    <cellStyle name="Comma 2 8 13 2" xfId="3783" xr:uid="{C42FA81A-D62E-451B-B5DF-4E181152E7F8}"/>
    <cellStyle name="Comma 2 8 13 2 2" xfId="20237" xr:uid="{361151B3-1AB1-422C-8338-0BB3C3373A81}"/>
    <cellStyle name="Comma 2 8 13 3" xfId="17829" xr:uid="{CBD451FD-3EBA-4256-9226-E45CE60BEF58}"/>
    <cellStyle name="Comma 2 8 13 3 2" xfId="20833" xr:uid="{FFEF39AC-F96F-4DE9-A228-CD9C6AEADDA9}"/>
    <cellStyle name="Comma 2 8 13 4" xfId="18883" xr:uid="{B00DD215-E344-4558-BC12-A433C26EF079}"/>
    <cellStyle name="Comma 2 8 14" xfId="2655" xr:uid="{823DA777-BAA6-4B67-8CD3-E228F2CFD923}"/>
    <cellStyle name="Comma 2 8 14 2" xfId="3180" xr:uid="{0EE67F01-8CF9-483E-9F3E-F1D4B0540542}"/>
    <cellStyle name="Comma 2 8 14 2 2" xfId="19654" xr:uid="{76801100-8913-4DF4-A4B8-678E270DA2B3}"/>
    <cellStyle name="Comma 2 8 14 3" xfId="18123" xr:uid="{F5E2D35D-B5F1-4FC8-BC4F-1F2D1FAEBB81}"/>
    <cellStyle name="Comma 2 8 14 3 2" xfId="21083" xr:uid="{7F82546E-CC73-49E9-9FE2-FDF7C3E78418}"/>
    <cellStyle name="Comma 2 8 14 4" xfId="19139" xr:uid="{BA921DFE-595F-47DC-BBF3-E2CDE0454F85}"/>
    <cellStyle name="Comma 2 8 15" xfId="2921" xr:uid="{EDF6CB42-BFA4-4EE1-A441-CA473EC522CE}"/>
    <cellStyle name="Comma 2 8 15 2" xfId="18153" xr:uid="{FD898947-EDDA-4412-9E9E-FCCA50459B0D}"/>
    <cellStyle name="Comma 2 8 15 2 2" xfId="21095" xr:uid="{C0236B09-E4DD-4E8F-A79E-4D2E87A673E9}"/>
    <cellStyle name="Comma 2 8 15 3" xfId="19395" xr:uid="{58A6CA4D-D045-4158-8C2B-3CACEC2D6613}"/>
    <cellStyle name="Comma 2 8 16" xfId="16619" xr:uid="{886A568B-CAF0-44F3-A571-9E10DA4297D7}"/>
    <cellStyle name="Comma 2 8 16 2" xfId="20330" xr:uid="{A04846FA-CFF7-4E69-A3EC-89EE6B3614C8}"/>
    <cellStyle name="Comma 2 8 17" xfId="3857" xr:uid="{4A0842B1-B953-475A-BB53-FA28F7B5640C}"/>
    <cellStyle name="Comma 2 8 17 2" xfId="20308" xr:uid="{E274D056-6259-4EB8-9BAE-04117AB97830}"/>
    <cellStyle name="Comma 2 8 18" xfId="18381" xr:uid="{C9039C34-27A2-420F-BF42-DCCF58B52005}"/>
    <cellStyle name="Comma 2 8 2" xfId="824" xr:uid="{4C34AEF5-80E0-478B-9967-E01FEFAC5304}"/>
    <cellStyle name="Comma 2 8 2 10" xfId="2663" xr:uid="{45AD9161-AD98-4F23-8C76-E85AA4F0B0A9}"/>
    <cellStyle name="Comma 2 8 2 10 2" xfId="3202" xr:uid="{EF9296C5-E7A5-48F4-BA62-C970E2A1513E}"/>
    <cellStyle name="Comma 2 8 2 10 2 2" xfId="19676" xr:uid="{446DBF43-1FAD-48F9-B44C-603A6D8E6A53}"/>
    <cellStyle name="Comma 2 8 2 10 3" xfId="17035" xr:uid="{123B91CE-5061-46A0-9079-E6BBA7F96942}"/>
    <cellStyle name="Comma 2 8 2 10 3 2" xfId="20339" xr:uid="{D5019369-A9AD-43CF-AA6C-BCFADAE7806D}"/>
    <cellStyle name="Comma 2 8 2 10 4" xfId="19147" xr:uid="{49367953-9D9C-45FB-8F58-ED0AAC385B6D}"/>
    <cellStyle name="Comma 2 8 2 11" xfId="2929" xr:uid="{34183C9C-28B5-4357-94F5-CB33E1F15E94}"/>
    <cellStyle name="Comma 2 8 2 11 2" xfId="19403" xr:uid="{CE4E709E-7F5B-4D76-9025-C786BEE8DB40}"/>
    <cellStyle name="Comma 2 8 2 12" xfId="3925" xr:uid="{98AB9C9A-250B-4B1E-8EB0-F810CC777EC8}"/>
    <cellStyle name="Comma 2 8 2 12 2" xfId="20317" xr:uid="{4EBB6910-EFD0-4D47-9B39-B798EE5CF428}"/>
    <cellStyle name="Comma 2 8 2 13" xfId="18389" xr:uid="{40E1519B-D5B4-4D0E-94C7-5E80FCDAC2F1}"/>
    <cellStyle name="Comma 2 8 2 2" xfId="866" xr:uid="{D40E1795-8706-4646-A4CB-1CB63DD259A3}"/>
    <cellStyle name="Comma 2 8 2 2 2" xfId="1437" xr:uid="{C6A5537C-EC1A-4C52-AE76-92B5E10D4464}"/>
    <cellStyle name="Comma 2 8 2 2 2 2" xfId="3303" xr:uid="{02425A5E-0054-4D6B-B38C-D77F9F2E3112}"/>
    <cellStyle name="Comma 2 8 2 2 2 2 2" xfId="19771" xr:uid="{CD5C7DB3-FB12-489D-BAB6-B37F34B65855}"/>
    <cellStyle name="Comma 2 8 2 2 2 3" xfId="17226" xr:uid="{BF8DC306-CA4B-4BB9-8C7C-B831FECC5B50}"/>
    <cellStyle name="Comma 2 8 2 2 2 3 2" xfId="20434" xr:uid="{3304CD16-5D39-413E-BD35-5274E7702D5D}"/>
    <cellStyle name="Comma 2 8 2 2 2 4" xfId="18484" xr:uid="{39AE0845-8C2F-495E-9EE1-A442C58641FE}"/>
    <cellStyle name="Comma 2 8 2 2 3" xfId="1639" xr:uid="{932E252E-BE94-485F-9619-1D58A41E9EAC}"/>
    <cellStyle name="Comma 2 8 2 2 3 2" xfId="3573" xr:uid="{C1A0BD48-51F2-41D2-B337-F6D8695C2BAE}"/>
    <cellStyle name="Comma 2 8 2 2 3 2 2" xfId="20027" xr:uid="{3F95F9DA-9325-4E75-8796-9A4DA125E1A0}"/>
    <cellStyle name="Comma 2 8 2 2 3 3" xfId="17399" xr:uid="{447D77BD-6C2F-445B-AAE6-314E0DDD281F}"/>
    <cellStyle name="Comma 2 8 2 2 3 3 2" xfId="20606" xr:uid="{1F06AC3A-0E75-4616-878F-60F9A1AE80B4}"/>
    <cellStyle name="Comma 2 8 2 2 3 4" xfId="18656" xr:uid="{12CC988F-E494-4081-8B32-3095419C4493}"/>
    <cellStyle name="Comma 2 8 2 2 4" xfId="2448" xr:uid="{6D6FF576-6077-4ACE-8E92-10F47A31FB6F}"/>
    <cellStyle name="Comma 2 8 2 2 4 2" xfId="3830" xr:uid="{E082F782-C099-4C73-A0C7-E5B633A11879}"/>
    <cellStyle name="Comma 2 8 2 2 4 2 2" xfId="20284" xr:uid="{190DABCA-8EDD-442B-B505-56B803F0C0DF}"/>
    <cellStyle name="Comma 2 8 2 2 4 3" xfId="17887" xr:uid="{E0E9A5F4-9FAD-4551-A883-F34B06853BCD}"/>
    <cellStyle name="Comma 2 8 2 2 4 3 2" xfId="20882" xr:uid="{C9309318-C31A-406C-AA87-1D86473B5B06}"/>
    <cellStyle name="Comma 2 8 2 2 4 4" xfId="18932" xr:uid="{58838203-AC7F-4FB6-AC4D-DDBD3FB5A74C}"/>
    <cellStyle name="Comma 2 8 2 2 5" xfId="2704" xr:uid="{D84AEC9F-1E6C-4128-B954-698E1D99FEE0}"/>
    <cellStyle name="Comma 2 8 2 2 5 2" xfId="3229" xr:uid="{335494AA-6EAD-491A-8DB0-026D8B6F1694}"/>
    <cellStyle name="Comma 2 8 2 2 5 2 2" xfId="19701" xr:uid="{2C747AA6-E528-4DCD-B67E-8F98620169D0}"/>
    <cellStyle name="Comma 2 8 2 2 5 3" xfId="19188" xr:uid="{9A95A956-54E3-4CF1-885D-75FDCEED5955}"/>
    <cellStyle name="Comma 2 8 2 2 6" xfId="2970" xr:uid="{5A2B2137-9629-4031-B2F1-32C9DEE98BDB}"/>
    <cellStyle name="Comma 2 8 2 2 6 2" xfId="19444" xr:uid="{064CE483-5E2E-4C12-BC64-45345E8CE903}"/>
    <cellStyle name="Comma 2 8 2 2 7" xfId="17072" xr:uid="{C5E273E0-8171-4CE7-94CC-01D6637EA515}"/>
    <cellStyle name="Comma 2 8 2 2 7 2" xfId="20364" xr:uid="{9AE30754-1ED9-49BF-AB11-7704C7B55118}"/>
    <cellStyle name="Comma 2 8 2 2 8" xfId="18414" xr:uid="{5E9D2DAC-271A-4427-816F-79B52E7C7903}"/>
    <cellStyle name="Comma 2 8 2 3" xfId="1507" xr:uid="{C8BE8BFC-50F1-4205-8DBE-116832F983B7}"/>
    <cellStyle name="Comma 2 8 2 3 2" xfId="1692" xr:uid="{3A33F7F6-6875-44B0-86E3-835C352DA107}"/>
    <cellStyle name="Comma 2 8 2 3 2 2" xfId="3626" xr:uid="{6BA22BBD-A59B-4C65-AB6D-22612B15D01B}"/>
    <cellStyle name="Comma 2 8 2 3 2 2 2" xfId="20080" xr:uid="{F6996373-194F-4A54-816C-7F814B19CD33}"/>
    <cellStyle name="Comma 2 8 2 3 2 3" xfId="17452" xr:uid="{AC0B403A-7A5F-4768-A35F-D342C8C7E71D}"/>
    <cellStyle name="Comma 2 8 2 3 2 3 2" xfId="20659" xr:uid="{435FC2FA-97F8-4CAB-B92A-2D9713E05FA8}"/>
    <cellStyle name="Comma 2 8 2 3 2 4" xfId="18709" xr:uid="{3FCE54DD-A0FA-4C44-9FF7-B1277264E127}"/>
    <cellStyle name="Comma 2 8 2 3 3" xfId="2501" xr:uid="{B2418588-441E-412B-9D68-6520F341DB31}"/>
    <cellStyle name="Comma 2 8 2 3 3 2" xfId="3357" xr:uid="{17D1D321-EE46-45F3-9D9F-955068D25B11}"/>
    <cellStyle name="Comma 2 8 2 3 3 2 2" xfId="19824" xr:uid="{28F9E703-DA1D-461D-B5A7-341A39FE4B06}"/>
    <cellStyle name="Comma 2 8 2 3 3 3" xfId="17942" xr:uid="{5D55747D-3B0D-4B21-9ADB-A25EFC7E4B6A}"/>
    <cellStyle name="Comma 2 8 2 3 3 3 2" xfId="20935" xr:uid="{D74C3711-8EE4-4C34-956E-B797129D28F1}"/>
    <cellStyle name="Comma 2 8 2 3 3 4" xfId="18985" xr:uid="{49E98391-8130-4FFB-ABFF-B52222138B62}"/>
    <cellStyle name="Comma 2 8 2 3 4" xfId="2757" xr:uid="{B3922763-E8A4-428A-AF79-D6C580AAD5B4}"/>
    <cellStyle name="Comma 2 8 2 3 4 2" xfId="19241" xr:uid="{77DFD1B0-DED7-4655-99A8-57948147227E}"/>
    <cellStyle name="Comma 2 8 2 3 5" xfId="3023" xr:uid="{5C9BE6C6-1169-4EA0-9225-9DAE6BFC4A0D}"/>
    <cellStyle name="Comma 2 8 2 3 5 2" xfId="19497" xr:uid="{87B43B5B-C2CB-4AFD-B929-44734716FFEA}"/>
    <cellStyle name="Comma 2 8 2 3 6" xfId="17280" xr:uid="{3FFDB070-3D3D-4798-8B7A-DFA8AA400177}"/>
    <cellStyle name="Comma 2 8 2 3 6 2" xfId="20487" xr:uid="{D5F3A4E0-A263-4CBD-B59E-30426D1E74F7}"/>
    <cellStyle name="Comma 2 8 2 3 7" xfId="18537" xr:uid="{99563529-CDA0-4625-9F8A-E2B66B384393}"/>
    <cellStyle name="Comma 2 8 2 4" xfId="1567" xr:uid="{3391691B-F755-498C-B680-C3843B674CE7}"/>
    <cellStyle name="Comma 2 8 2 4 2" xfId="1739" xr:uid="{06ABC519-DBCE-4A27-A13F-4D825C71D33B}"/>
    <cellStyle name="Comma 2 8 2 4 2 2" xfId="3673" xr:uid="{77AAC73A-BBEF-4CF0-8CBF-316BB885FD6C}"/>
    <cellStyle name="Comma 2 8 2 4 2 2 2" xfId="20127" xr:uid="{75BD0DBB-E0FB-4CEF-8F73-C0327F8C68D4}"/>
    <cellStyle name="Comma 2 8 2 4 2 3" xfId="17499" xr:uid="{783AC3CD-EF87-4075-9827-13ED1BAD1D05}"/>
    <cellStyle name="Comma 2 8 2 4 2 3 2" xfId="20706" xr:uid="{6816DC20-0EB5-452D-9CFC-081D2FC0747D}"/>
    <cellStyle name="Comma 2 8 2 4 2 4" xfId="18756" xr:uid="{46FB8D9E-47A0-49BA-AE1F-CE99419FEECE}"/>
    <cellStyle name="Comma 2 8 2 4 3" xfId="2548" xr:uid="{515E6038-097E-4412-AA62-9CB0D5099BAA}"/>
    <cellStyle name="Comma 2 8 2 4 3 2" xfId="3412" xr:uid="{8C459386-A9EA-4798-B6AB-B5401CD99CDB}"/>
    <cellStyle name="Comma 2 8 2 4 3 2 2" xfId="19871" xr:uid="{7DDEC94B-CE40-4519-AB38-E6406B7F774E}"/>
    <cellStyle name="Comma 2 8 2 4 3 3" xfId="17989" xr:uid="{086F2359-986C-4C68-9B4B-E98E3FE9839C}"/>
    <cellStyle name="Comma 2 8 2 4 3 3 2" xfId="20982" xr:uid="{72FDC2B8-2533-477F-B745-5C434AC914E4}"/>
    <cellStyle name="Comma 2 8 2 4 3 4" xfId="19032" xr:uid="{597B7EBD-9BF2-4BF0-80EE-BC261F295D27}"/>
    <cellStyle name="Comma 2 8 2 4 4" xfId="2804" xr:uid="{9384461A-8953-491A-8A3B-80F652334B9B}"/>
    <cellStyle name="Comma 2 8 2 4 4 2" xfId="19288" xr:uid="{E63ADBBD-6F9E-4F62-B7D8-B98DB9A94322}"/>
    <cellStyle name="Comma 2 8 2 4 5" xfId="3070" xr:uid="{B5E1F758-7DE5-482B-ABB1-2E186E40D386}"/>
    <cellStyle name="Comma 2 8 2 4 5 2" xfId="19544" xr:uid="{CB4BBB11-3D56-42AF-A4D2-1D07C73C4FDC}"/>
    <cellStyle name="Comma 2 8 2 4 6" xfId="17327" xr:uid="{FCF27A7C-A1BC-4262-821C-63316267A912}"/>
    <cellStyle name="Comma 2 8 2 4 6 2" xfId="20534" xr:uid="{57FA2E17-3522-4383-BC86-20757396767A}"/>
    <cellStyle name="Comma 2 8 2 4 7" xfId="18584" xr:uid="{14226A2A-E174-4C1A-9BFB-8E697CC43F14}"/>
    <cellStyle name="Comma 2 8 2 5" xfId="1364" xr:uid="{D9591389-B113-4C4D-BA2D-48918C516A9D}"/>
    <cellStyle name="Comma 2 8 2 5 2" xfId="1789" xr:uid="{1B59F3A5-0170-47B6-9295-E899BD31AA03}"/>
    <cellStyle name="Comma 2 8 2 5 2 2" xfId="3721" xr:uid="{2A6374EF-D2B0-4509-8B0C-8CA85FCC28B7}"/>
    <cellStyle name="Comma 2 8 2 5 2 2 2" xfId="20175" xr:uid="{56BC3570-D992-4F52-921F-26DBADA0527C}"/>
    <cellStyle name="Comma 2 8 2 5 2 3" xfId="17547" xr:uid="{ECF33EA6-8D89-4C2E-8D6D-667743AF8C7A}"/>
    <cellStyle name="Comma 2 8 2 5 2 3 2" xfId="20754" xr:uid="{94BD89E5-3303-4522-84E0-9CEB8FC5A79E}"/>
    <cellStyle name="Comma 2 8 2 5 2 4" xfId="18804" xr:uid="{6CBF70FD-D7E7-45ED-AE11-773699B2C854}"/>
    <cellStyle name="Comma 2 8 2 5 3" xfId="2596" xr:uid="{424D24B2-0F18-4FBA-908E-127E76642997}"/>
    <cellStyle name="Comma 2 8 2 5 3 2" xfId="3461" xr:uid="{78ECC4FF-DA9F-40F3-8294-1A5F9B12A314}"/>
    <cellStyle name="Comma 2 8 2 5 3 2 2" xfId="19919" xr:uid="{379A5EA2-5267-4F0E-954C-065EE950A7CE}"/>
    <cellStyle name="Comma 2 8 2 5 3 3" xfId="18037" xr:uid="{E353AFA2-4223-4970-8A33-2D64A0EDFA75}"/>
    <cellStyle name="Comma 2 8 2 5 3 3 2" xfId="21030" xr:uid="{E67A0CDB-592A-41E6-9C28-0C90C5227D49}"/>
    <cellStyle name="Comma 2 8 2 5 3 4" xfId="19080" xr:uid="{ECA41DD1-CC28-46AB-BCB8-88B61ADAA51B}"/>
    <cellStyle name="Comma 2 8 2 5 4" xfId="2852" xr:uid="{EB07B4BD-3FCF-4FFB-A0A3-742E9A6BA5E2}"/>
    <cellStyle name="Comma 2 8 2 5 4 2" xfId="19336" xr:uid="{04E8252C-B736-42A3-BA7C-2C9F62B8818F}"/>
    <cellStyle name="Comma 2 8 2 5 5" xfId="3118" xr:uid="{A0513D58-F659-4C07-9F2E-8C62AC8BD61C}"/>
    <cellStyle name="Comma 2 8 2 5 5 2" xfId="19592" xr:uid="{B77B8D36-DB32-4B01-9274-93878A330670}"/>
    <cellStyle name="Comma 2 8 2 5 6" xfId="17183" xr:uid="{8340643C-8A42-4EA6-B5DA-4FDD1884A622}"/>
    <cellStyle name="Comma 2 8 2 5 6 2" xfId="20393" xr:uid="{550A17F4-046B-4BA2-B2EF-6DCF72F9A863}"/>
    <cellStyle name="Comma 2 8 2 5 7" xfId="18443" xr:uid="{8329729A-3BEA-4AC8-93FC-FC395B6A1E9A}"/>
    <cellStyle name="Comma 2 8 2 6" xfId="1826" xr:uid="{D6DBB373-37E6-42FC-9A03-1A079EA29608}"/>
    <cellStyle name="Comma 2 8 2 6 2" xfId="2627" xr:uid="{560EFDED-6D58-483B-9062-C0E20042AFF0}"/>
    <cellStyle name="Comma 2 8 2 6 2 2" xfId="3752" xr:uid="{E0042DAD-A923-4580-B521-58FF29A09856}"/>
    <cellStyle name="Comma 2 8 2 6 2 2 2" xfId="20206" xr:uid="{0D8B9138-2304-4ABA-B1F3-A73212412D82}"/>
    <cellStyle name="Comma 2 8 2 6 2 3" xfId="18068" xr:uid="{3C1E1431-4A7C-4553-9B88-EA9696296079}"/>
    <cellStyle name="Comma 2 8 2 6 2 3 2" xfId="21061" xr:uid="{FBEEA1F0-E82A-4BBE-BABE-FE406391CFE8}"/>
    <cellStyle name="Comma 2 8 2 6 2 4" xfId="19111" xr:uid="{CC3F0F8B-9471-46B3-A5F1-9A67D46F4DD9}"/>
    <cellStyle name="Comma 2 8 2 6 3" xfId="2883" xr:uid="{71116EA2-F105-4906-A46A-7790B01671A0}"/>
    <cellStyle name="Comma 2 8 2 6 3 2" xfId="3496" xr:uid="{B577C998-E3A5-4C04-ACBC-77A4BB6E401B}"/>
    <cellStyle name="Comma 2 8 2 6 3 2 2" xfId="19950" xr:uid="{831CD4E5-6916-41B6-A95F-BA68FA6322C0}"/>
    <cellStyle name="Comma 2 8 2 6 3 3" xfId="19367" xr:uid="{E2C5E6F2-034F-455E-8B30-4241AF239E74}"/>
    <cellStyle name="Comma 2 8 2 6 4" xfId="3149" xr:uid="{A8892A52-5C82-4623-BFCB-525DEA595AE3}"/>
    <cellStyle name="Comma 2 8 2 6 4 2" xfId="19623" xr:uid="{F3C4B9D7-AAA6-4CA2-BA6D-E288637ED8A8}"/>
    <cellStyle name="Comma 2 8 2 6 5" xfId="17579" xr:uid="{37A38A4D-1BF4-4C6D-99E1-B189D894C998}"/>
    <cellStyle name="Comma 2 8 2 6 5 2" xfId="20785" xr:uid="{FDCAA3D5-4E33-4C77-A431-8D40A330BC68}"/>
    <cellStyle name="Comma 2 8 2 6 6" xfId="18835" xr:uid="{798FFB53-0298-4A87-A579-6E67464FD3B0}"/>
    <cellStyle name="Comma 2 8 2 7" xfId="1598" xr:uid="{CF463B18-0C66-4D95-92C4-631F017D3F58}"/>
    <cellStyle name="Comma 2 8 2 7 2" xfId="3261" xr:uid="{CFDDD886-D79F-4416-B4F1-4F4A96F781DE}"/>
    <cellStyle name="Comma 2 8 2 7 2 2" xfId="19730" xr:uid="{28523404-CA6A-4B3E-95F8-D8ABAE62CD47}"/>
    <cellStyle name="Comma 2 8 2 7 3" xfId="17358" xr:uid="{DA6CD7E4-0FC0-4FF0-BA2D-D4DD3975B2B0}"/>
    <cellStyle name="Comma 2 8 2 7 3 2" xfId="20565" xr:uid="{9045844E-92E2-4432-A28C-D1DAA2854D4F}"/>
    <cellStyle name="Comma 2 8 2 7 4" xfId="18615" xr:uid="{B94EF34A-D1F1-4E4A-B70A-7E6A59DDEB41}"/>
    <cellStyle name="Comma 2 8 2 8" xfId="2382" xr:uid="{D281508B-E292-445B-95F6-0A5A9652575C}"/>
    <cellStyle name="Comma 2 8 2 8 2" xfId="3532" xr:uid="{1EC2501B-7C20-4E84-AD3E-C9BC76C7D3C6}"/>
    <cellStyle name="Comma 2 8 2 8 2 2" xfId="19986" xr:uid="{3386D6E0-A8D3-476D-AEAA-1CF750F1A453}"/>
    <cellStyle name="Comma 2 8 2 8 3" xfId="17818" xr:uid="{153BFBCC-C37F-45DE-A05A-6EB174AD02E8}"/>
    <cellStyle name="Comma 2 8 2 8 3 2" xfId="20824" xr:uid="{0EAD2EF8-D51B-45EB-8B2E-4FF147B0AC90}"/>
    <cellStyle name="Comma 2 8 2 8 4" xfId="18874" xr:uid="{CEF5C153-B125-48D8-B062-DA7FB61318C1}"/>
    <cellStyle name="Comma 2 8 2 9" xfId="2407" xr:uid="{CD0117D4-774A-4013-A2F5-466BC147C1EB}"/>
    <cellStyle name="Comma 2 8 2 9 2" xfId="3805" xr:uid="{3E6811ED-56DE-4FA5-BA8F-34524B7AFD50}"/>
    <cellStyle name="Comma 2 8 2 9 2 2" xfId="20259" xr:uid="{46B7C369-B06C-4606-A7CE-6091C3DC5C26}"/>
    <cellStyle name="Comma 2 8 2 9 3" xfId="17845" xr:uid="{DD370DEB-B768-4E47-A25E-1F13E189911F}"/>
    <cellStyle name="Comma 2 8 2 9 3 2" xfId="20841" xr:uid="{7DB918FE-2BD6-4617-BC77-56D40B87D575}"/>
    <cellStyle name="Comma 2 8 2 9 4" xfId="18891" xr:uid="{ADC38AD9-BCD6-4066-9358-DD50A2716EA6}"/>
    <cellStyle name="Comma 2 8 3" xfId="838" xr:uid="{B67CD848-0F52-4D4A-BD6D-97436F1615A7}"/>
    <cellStyle name="Comma 2 8 3 10" xfId="3208" xr:uid="{3AB3A02A-FBE9-450D-A7F8-590B474688F2}"/>
    <cellStyle name="Comma 2 8 3 10 2" xfId="19682" xr:uid="{E58233B6-878B-4A3F-9113-D7E8A9A875F6}"/>
    <cellStyle name="Comma 2 8 3 11" xfId="2941" xr:uid="{9A92C56E-EB29-415B-B7EE-4A5D5BE682B2}"/>
    <cellStyle name="Comma 2 8 3 11 2" xfId="19415" xr:uid="{C31871FC-7A28-4809-AE9C-90A6B63FA916}"/>
    <cellStyle name="Comma 2 8 3 12" xfId="17049" xr:uid="{8C6D776C-B341-4A23-BACE-92861A27271F}"/>
    <cellStyle name="Comma 2 8 3 12 2" xfId="20345" xr:uid="{20459028-A1ED-44FE-A158-29AEC14ADACF}"/>
    <cellStyle name="Comma 2 8 3 13" xfId="18395" xr:uid="{57F17F5D-4404-4F59-A6BC-2D05123921EB}"/>
    <cellStyle name="Comma 2 8 3 2" xfId="1454" xr:uid="{D1DB33EB-13F0-4313-9FB3-7DF890D83ED3}"/>
    <cellStyle name="Comma 2 8 3 2 2" xfId="1651" xr:uid="{AB27A108-7D2B-47FA-B348-FDDE717B8BB2}"/>
    <cellStyle name="Comma 2 8 3 2 2 2" xfId="3585" xr:uid="{B8A034E0-DC8D-466C-8F0B-5EDE88575BC0}"/>
    <cellStyle name="Comma 2 8 3 2 2 2 2" xfId="20039" xr:uid="{2719A38D-8990-414C-926A-505BF4B7DF84}"/>
    <cellStyle name="Comma 2 8 3 2 2 3" xfId="17411" xr:uid="{208F2F1F-492F-420F-93A5-A1B8728C83C6}"/>
    <cellStyle name="Comma 2 8 3 2 2 3 2" xfId="20618" xr:uid="{959DF505-F262-4AA6-822D-ACCF109E8FC1}"/>
    <cellStyle name="Comma 2 8 3 2 2 4" xfId="18668" xr:uid="{095BB0EF-CE65-4303-AB1C-FE371020B3AC}"/>
    <cellStyle name="Comma 2 8 3 2 3" xfId="2460" xr:uid="{98CCCFEB-E58B-4F5A-B192-40676FAE7CFD}"/>
    <cellStyle name="Comma 2 8 3 2 3 2" xfId="3315" xr:uid="{088B5D4A-0717-4F3C-9DD9-B4C480A6564B}"/>
    <cellStyle name="Comma 2 8 3 2 3 2 2" xfId="19783" xr:uid="{FD89CEC6-06EE-48BD-83DE-0A8C6CA076C8}"/>
    <cellStyle name="Comma 2 8 3 2 3 3" xfId="17901" xr:uid="{8DA9D5DA-3968-434D-ABE8-9C9D45737C22}"/>
    <cellStyle name="Comma 2 8 3 2 3 3 2" xfId="20894" xr:uid="{615E71D6-80DF-49D9-BA76-AC41DD16274F}"/>
    <cellStyle name="Comma 2 8 3 2 3 4" xfId="18944" xr:uid="{2BFCC174-924B-47B9-92A8-41E0DB743C76}"/>
    <cellStyle name="Comma 2 8 3 2 4" xfId="2716" xr:uid="{27326D1E-305F-4E02-8835-F1832C918266}"/>
    <cellStyle name="Comma 2 8 3 2 4 2" xfId="19200" xr:uid="{9CFFD3B3-9AAF-41F7-BC46-9C7499157903}"/>
    <cellStyle name="Comma 2 8 3 2 5" xfId="2982" xr:uid="{B7341BE6-420B-4A6F-BEB2-FF8395B40656}"/>
    <cellStyle name="Comma 2 8 3 2 5 2" xfId="19456" xr:uid="{5BB22A81-9093-4A3D-8A10-907430D92894}"/>
    <cellStyle name="Comma 2 8 3 2 6" xfId="17238" xr:uid="{4AD8BDC6-323B-4E72-9479-2E5EFDF96DE7}"/>
    <cellStyle name="Comma 2 8 3 2 6 2" xfId="20446" xr:uid="{F1CAF6BC-F137-4060-9DD5-2F320B6557B1}"/>
    <cellStyle name="Comma 2 8 3 2 7" xfId="18496" xr:uid="{7566FC0A-C3A3-45D7-A32E-84F33CA4C59B}"/>
    <cellStyle name="Comma 2 8 3 3" xfId="1508" xr:uid="{61D8C240-2F1F-4981-A6E7-CFEC77366579}"/>
    <cellStyle name="Comma 2 8 3 3 2" xfId="1693" xr:uid="{528ABEED-5CFA-4071-998B-C21F3BBC3FC6}"/>
    <cellStyle name="Comma 2 8 3 3 2 2" xfId="3627" xr:uid="{1EAEACB5-6828-4E64-87F8-6B7365BDBD56}"/>
    <cellStyle name="Comma 2 8 3 3 2 2 2" xfId="20081" xr:uid="{D16B2FF3-A4ED-438A-9CDE-DFEC9C33E0A6}"/>
    <cellStyle name="Comma 2 8 3 3 2 3" xfId="17453" xr:uid="{BF6423C7-8E84-4DC2-B804-10945E20A478}"/>
    <cellStyle name="Comma 2 8 3 3 2 3 2" xfId="20660" xr:uid="{8FF96C1F-83D2-4177-B3F3-1F30EB542A42}"/>
    <cellStyle name="Comma 2 8 3 3 2 4" xfId="18710" xr:uid="{84DA99E9-3DD9-4085-8732-9FE7D2E4C193}"/>
    <cellStyle name="Comma 2 8 3 3 3" xfId="2502" xr:uid="{61107108-CF9D-4D59-93AE-9EEE53DA3081}"/>
    <cellStyle name="Comma 2 8 3 3 3 2" xfId="3358" xr:uid="{B1EB5F0E-790A-46BA-A37B-B7D5CABA32DE}"/>
    <cellStyle name="Comma 2 8 3 3 3 2 2" xfId="19825" xr:uid="{193EE513-0FB6-46BE-A856-B56C5781B443}"/>
    <cellStyle name="Comma 2 8 3 3 3 3" xfId="17943" xr:uid="{5577B5CC-2057-41B8-9961-7E281C82C608}"/>
    <cellStyle name="Comma 2 8 3 3 3 3 2" xfId="20936" xr:uid="{698FD8D7-FFA5-4186-AEB9-4DD41580E063}"/>
    <cellStyle name="Comma 2 8 3 3 3 4" xfId="18986" xr:uid="{C2B530B3-5690-4A2B-9EB8-B62AC6C8D09D}"/>
    <cellStyle name="Comma 2 8 3 3 4" xfId="2758" xr:uid="{84A73747-5D90-4B49-9FFC-B1084A886E59}"/>
    <cellStyle name="Comma 2 8 3 3 4 2" xfId="19242" xr:uid="{893751BB-5948-43F3-AC5D-15C94142EAFD}"/>
    <cellStyle name="Comma 2 8 3 3 5" xfId="3024" xr:uid="{7C76B33B-E16E-4E99-B46A-F0948C5814DF}"/>
    <cellStyle name="Comma 2 8 3 3 5 2" xfId="19498" xr:uid="{7106B9F3-19E4-4797-A260-35D8615EDF14}"/>
    <cellStyle name="Comma 2 8 3 3 6" xfId="17281" xr:uid="{FD7BECE6-3F15-4C36-AD7C-9574FF4F75C0}"/>
    <cellStyle name="Comma 2 8 3 3 6 2" xfId="20488" xr:uid="{41ABAC6A-ECC3-43AB-8F17-D9ACD7B4E615}"/>
    <cellStyle name="Comma 2 8 3 3 7" xfId="18538" xr:uid="{676BD35B-FF50-439E-96A4-3B44D9E84C3F}"/>
    <cellStyle name="Comma 2 8 3 4" xfId="1568" xr:uid="{B2F23051-6E56-4108-961F-31A24FFD3474}"/>
    <cellStyle name="Comma 2 8 3 4 2" xfId="1740" xr:uid="{49125964-C5EB-4FB9-89E1-B35845CE1C62}"/>
    <cellStyle name="Comma 2 8 3 4 2 2" xfId="3674" xr:uid="{C2953ED4-DF12-47F0-9175-210ADC04F1A6}"/>
    <cellStyle name="Comma 2 8 3 4 2 2 2" xfId="20128" xr:uid="{78945297-571B-4A42-A913-FB9E11A2D658}"/>
    <cellStyle name="Comma 2 8 3 4 2 3" xfId="17500" xr:uid="{EF5C5A8D-1F08-460E-9DA4-AF2B102645B0}"/>
    <cellStyle name="Comma 2 8 3 4 2 3 2" xfId="20707" xr:uid="{7E9EB8FF-9271-4E18-8414-AD92726C4F78}"/>
    <cellStyle name="Comma 2 8 3 4 2 4" xfId="18757" xr:uid="{4E6F5FF7-BF23-4567-97B9-94FFF9C83093}"/>
    <cellStyle name="Comma 2 8 3 4 3" xfId="2549" xr:uid="{F41157BE-0AC8-4B78-BEB7-00C13CD846DB}"/>
    <cellStyle name="Comma 2 8 3 4 3 2" xfId="3413" xr:uid="{FD9071E1-9A69-46B3-B400-2F50C1944A4F}"/>
    <cellStyle name="Comma 2 8 3 4 3 2 2" xfId="19872" xr:uid="{47EC0E6B-1610-4C4B-8D57-842767753162}"/>
    <cellStyle name="Comma 2 8 3 4 3 3" xfId="17990" xr:uid="{5F4F06F3-CE7A-466D-ACDB-AAADC801A763}"/>
    <cellStyle name="Comma 2 8 3 4 3 3 2" xfId="20983" xr:uid="{FCCFDD67-B206-40A4-A9DC-1A133456DB0E}"/>
    <cellStyle name="Comma 2 8 3 4 3 4" xfId="19033" xr:uid="{579DA04C-E401-4DF8-A6E8-567299EB8C3B}"/>
    <cellStyle name="Comma 2 8 3 4 4" xfId="2805" xr:uid="{0087434B-B564-4305-B562-3F997977F379}"/>
    <cellStyle name="Comma 2 8 3 4 4 2" xfId="19289" xr:uid="{E44FDCD6-0F83-4E5A-9189-96549F93A836}"/>
    <cellStyle name="Comma 2 8 3 4 5" xfId="3071" xr:uid="{C43A3A44-9A5B-46FE-81D2-AA0096AFF018}"/>
    <cellStyle name="Comma 2 8 3 4 5 2" xfId="19545" xr:uid="{1742AF87-B2F5-4E41-8B66-D7F353523629}"/>
    <cellStyle name="Comma 2 8 3 4 6" xfId="17328" xr:uid="{F7FBA2A2-C576-4F7A-9A89-C6E469265882}"/>
    <cellStyle name="Comma 2 8 3 4 6 2" xfId="20535" xr:uid="{A9B599BA-9E41-4650-9767-7D8775EE4557}"/>
    <cellStyle name="Comma 2 8 3 4 7" xfId="18585" xr:uid="{2F276242-37A0-48B7-96FF-DC5E14F78451}"/>
    <cellStyle name="Comma 2 8 3 5" xfId="1381" xr:uid="{37B92FF8-6085-428A-9F40-53B38EFABC83}"/>
    <cellStyle name="Comma 2 8 3 5 2" xfId="1790" xr:uid="{6551CA70-0FA0-4BCB-8332-92DE3AB1FFCC}"/>
    <cellStyle name="Comma 2 8 3 5 2 2" xfId="3722" xr:uid="{B4F5C237-E0F0-45AD-9099-7DA505526604}"/>
    <cellStyle name="Comma 2 8 3 5 2 2 2" xfId="20176" xr:uid="{0AC28C37-6F48-449E-A98B-2A9D0F66BED2}"/>
    <cellStyle name="Comma 2 8 3 5 2 3" xfId="17548" xr:uid="{572A3DBC-B74F-4211-9349-B3D85D224FFF}"/>
    <cellStyle name="Comma 2 8 3 5 2 3 2" xfId="20755" xr:uid="{427D417E-A67D-4922-9E10-3D1F79727FDD}"/>
    <cellStyle name="Comma 2 8 3 5 2 4" xfId="18805" xr:uid="{2ED61B79-0F64-485D-AAB0-F397EE70301F}"/>
    <cellStyle name="Comma 2 8 3 5 3" xfId="2597" xr:uid="{5825AE4F-31D7-4B0E-AD7A-C798F710F0EE}"/>
    <cellStyle name="Comma 2 8 3 5 3 2" xfId="3462" xr:uid="{D99AEB9B-3959-4F06-B1CD-B17D675ED9E8}"/>
    <cellStyle name="Comma 2 8 3 5 3 2 2" xfId="19920" xr:uid="{B02A1A8F-7408-4F95-A410-2C1358D18314}"/>
    <cellStyle name="Comma 2 8 3 5 3 3" xfId="18038" xr:uid="{AFF09938-259D-4D33-9308-8C3E40A5C28A}"/>
    <cellStyle name="Comma 2 8 3 5 3 3 2" xfId="21031" xr:uid="{A8B738E7-E22E-4E76-A699-0C7507BCDCB5}"/>
    <cellStyle name="Comma 2 8 3 5 3 4" xfId="19081" xr:uid="{6405C71E-135D-49B7-B178-C6A9802EF6FE}"/>
    <cellStyle name="Comma 2 8 3 5 4" xfId="2853" xr:uid="{2FEA8FE4-545D-4F5D-A6FD-A652E1942E1D}"/>
    <cellStyle name="Comma 2 8 3 5 4 2" xfId="19337" xr:uid="{4F2E2BAF-826B-4845-8807-4D299F06CDB1}"/>
    <cellStyle name="Comma 2 8 3 5 5" xfId="3119" xr:uid="{F6ABBEFE-0D89-4D90-847A-F33506A3BEDC}"/>
    <cellStyle name="Comma 2 8 3 5 5 2" xfId="19593" xr:uid="{C1989ECA-E2EE-4D1A-AD7F-E26BD63D433C}"/>
    <cellStyle name="Comma 2 8 3 5 6" xfId="17195" xr:uid="{016DC44F-5AC9-4EDC-8A2A-445C078947E7}"/>
    <cellStyle name="Comma 2 8 3 5 6 2" xfId="20405" xr:uid="{B330F698-8D9E-465E-A7FC-6628245F7C5D}"/>
    <cellStyle name="Comma 2 8 3 5 7" xfId="18455" xr:uid="{E520996F-F728-47E2-8963-5371CF5DBE71}"/>
    <cellStyle name="Comma 2 8 3 6" xfId="1838" xr:uid="{C94D8B8A-36D6-4ACC-A30F-E70DAABA8DF7}"/>
    <cellStyle name="Comma 2 8 3 6 2" xfId="2639" xr:uid="{F9C9517E-65D1-4E3F-95CD-E650CF530A83}"/>
    <cellStyle name="Comma 2 8 3 6 2 2" xfId="3764" xr:uid="{CE59A85C-E19D-4C3C-8F0E-02031BAF0F57}"/>
    <cellStyle name="Comma 2 8 3 6 2 2 2" xfId="20218" xr:uid="{274779CC-F725-4BF4-A559-212391634CA3}"/>
    <cellStyle name="Comma 2 8 3 6 2 3" xfId="18080" xr:uid="{A4D2AC4A-3194-433B-B684-9543730CBAD8}"/>
    <cellStyle name="Comma 2 8 3 6 2 3 2" xfId="21073" xr:uid="{94AECFDF-FCD1-4441-A944-A33C3577BF5B}"/>
    <cellStyle name="Comma 2 8 3 6 2 4" xfId="19123" xr:uid="{B5630F8C-630D-43CB-BEFB-2EFD16574EC4}"/>
    <cellStyle name="Comma 2 8 3 6 3" xfId="2895" xr:uid="{4ABC9662-EB13-4DB4-855A-DDEDFAC3FF27}"/>
    <cellStyle name="Comma 2 8 3 6 3 2" xfId="3508" xr:uid="{6B5AEC47-F454-4ACE-B766-2DACC95C4AF4}"/>
    <cellStyle name="Comma 2 8 3 6 3 2 2" xfId="19962" xr:uid="{17C4895C-3751-443C-8E30-B6BC925B025C}"/>
    <cellStyle name="Comma 2 8 3 6 3 3" xfId="19379" xr:uid="{6A4F47F0-B3BF-4DF8-8EFD-F8067EFF78D6}"/>
    <cellStyle name="Comma 2 8 3 6 4" xfId="3161" xr:uid="{184AE1A3-91D6-45DC-98D5-B17B361F63FD}"/>
    <cellStyle name="Comma 2 8 3 6 4 2" xfId="19635" xr:uid="{358F121B-51AC-4F13-AE9A-909410BD3368}"/>
    <cellStyle name="Comma 2 8 3 6 5" xfId="17591" xr:uid="{5673DA95-B9B5-47D1-AA91-A6667CE9FF0D}"/>
    <cellStyle name="Comma 2 8 3 6 5 2" xfId="20797" xr:uid="{AACB2C6E-BFD8-4C93-9F52-B2CF9AB747E2}"/>
    <cellStyle name="Comma 2 8 3 6 6" xfId="18847" xr:uid="{50F7314F-15C7-43EF-A293-2FB34F4C2678}"/>
    <cellStyle name="Comma 2 8 3 7" xfId="1610" xr:uid="{3684E4B5-E17E-4704-AA3B-138B49F96391}"/>
    <cellStyle name="Comma 2 8 3 7 2" xfId="3273" xr:uid="{F02B5644-8A18-44AB-AB58-821D423E16E7}"/>
    <cellStyle name="Comma 2 8 3 7 2 2" xfId="19742" xr:uid="{138DB34A-B6A1-4EB6-92F0-22394C78C12B}"/>
    <cellStyle name="Comma 2 8 3 7 3" xfId="17370" xr:uid="{102C5267-2F39-4087-98C1-2E2B8D50CB6C}"/>
    <cellStyle name="Comma 2 8 3 7 3 2" xfId="20577" xr:uid="{7F2178B6-2997-4676-82F1-94C2A4F0DFFF}"/>
    <cellStyle name="Comma 2 8 3 7 4" xfId="18627" xr:uid="{E7E986EE-972D-4FD2-9B89-DCEBE181461B}"/>
    <cellStyle name="Comma 2 8 3 8" xfId="2419" xr:uid="{0B8064F4-9053-49F2-BDB4-7D6C91E039F3}"/>
    <cellStyle name="Comma 2 8 3 8 2" xfId="3544" xr:uid="{7D67DA38-3F51-4108-BA9A-8CF233C6FF9B}"/>
    <cellStyle name="Comma 2 8 3 8 2 2" xfId="19998" xr:uid="{89FE0AE4-A3B4-4511-8E96-0F024C17A2B0}"/>
    <cellStyle name="Comma 2 8 3 8 3" xfId="17858" xr:uid="{C50E636C-B6B6-4D27-9134-71E4544ECEFA}"/>
    <cellStyle name="Comma 2 8 3 8 3 2" xfId="20853" xr:uid="{969A7AA8-CE0A-4A30-BF51-4FD1166AB637}"/>
    <cellStyle name="Comma 2 8 3 8 4" xfId="18903" xr:uid="{FD2AE178-D93E-43BA-83C9-5A968FC6A40D}"/>
    <cellStyle name="Comma 2 8 3 9" xfId="2675" xr:uid="{E66347A1-438C-4702-9D12-B6C6F60E8946}"/>
    <cellStyle name="Comma 2 8 3 9 2" xfId="3811" xr:uid="{D2E6579D-882E-4A85-96D3-A3E73F67A79A}"/>
    <cellStyle name="Comma 2 8 3 9 2 2" xfId="20265" xr:uid="{BE24D567-1FD8-443D-86C1-DCA504E0087D}"/>
    <cellStyle name="Comma 2 8 3 9 3" xfId="19159" xr:uid="{1D8800E6-8C94-44FC-884B-65FEF98982D2}"/>
    <cellStyle name="Comma 2 8 4" xfId="856" xr:uid="{B1B56C5D-5F46-402A-8AD4-41F2F3C03E23}"/>
    <cellStyle name="Comma 2 8 4 10" xfId="3221" xr:uid="{93845FDE-9ED6-4CD8-AA89-F0C9C3F7DAE1}"/>
    <cellStyle name="Comma 2 8 4 10 2" xfId="19694" xr:uid="{CA7F3B53-3687-4F26-86CF-4A41889EDCFA}"/>
    <cellStyle name="Comma 2 8 4 11" xfId="2948" xr:uid="{34DCF446-88BD-464A-AF85-1AC1C6F21DD9}"/>
    <cellStyle name="Comma 2 8 4 11 2" xfId="19422" xr:uid="{1C10654A-B819-41B0-B7E9-A6060728BCCD}"/>
    <cellStyle name="Comma 2 8 4 12" xfId="17065" xr:uid="{52057487-6E6B-40BF-8C32-7D9C2D8F42A9}"/>
    <cellStyle name="Comma 2 8 4 12 2" xfId="20357" xr:uid="{1BA34A48-22C9-46AB-B451-97863069D6FA}"/>
    <cellStyle name="Comma 2 8 4 13" xfId="18407" xr:uid="{64F15E14-D1B7-4C09-820B-D28C49257367}"/>
    <cellStyle name="Comma 2 8 4 2" xfId="1462" xr:uid="{A2109BCC-FA62-4810-8455-CA169D74F74F}"/>
    <cellStyle name="Comma 2 8 4 2 2" xfId="1658" xr:uid="{86984A07-549D-484F-9B5C-EA345D5F0B04}"/>
    <cellStyle name="Comma 2 8 4 2 2 2" xfId="3592" xr:uid="{18A1EA71-33A9-4260-9425-CEDD956A91E5}"/>
    <cellStyle name="Comma 2 8 4 2 2 2 2" xfId="20046" xr:uid="{92092358-1BB8-41E7-BBA4-AF342A8CFA12}"/>
    <cellStyle name="Comma 2 8 4 2 2 3" xfId="17418" xr:uid="{DDDD9179-152B-4035-8A40-6877A6E19A76}"/>
    <cellStyle name="Comma 2 8 4 2 2 3 2" xfId="20625" xr:uid="{6CE1B144-2C45-4A7A-A1F0-D77CF96503EA}"/>
    <cellStyle name="Comma 2 8 4 2 2 4" xfId="18675" xr:uid="{CEA84962-C0E2-434E-BD53-D3F3CE9CBC09}"/>
    <cellStyle name="Comma 2 8 4 2 3" xfId="2467" xr:uid="{0705B718-CA5C-42AE-8327-AAF02ABBAE21}"/>
    <cellStyle name="Comma 2 8 4 2 3 2" xfId="3322" xr:uid="{86C8F2F9-41A0-47ED-970F-8AE76F09BE62}"/>
    <cellStyle name="Comma 2 8 4 2 3 2 2" xfId="19790" xr:uid="{845F0105-C413-4E22-8CFC-102B165B51E6}"/>
    <cellStyle name="Comma 2 8 4 2 3 3" xfId="17908" xr:uid="{2C1CC404-6B4B-417E-A020-2B5D65A7F998}"/>
    <cellStyle name="Comma 2 8 4 2 3 3 2" xfId="20901" xr:uid="{4E1FA2FB-BEB9-46D2-9FC6-9CD1E71F06B2}"/>
    <cellStyle name="Comma 2 8 4 2 3 4" xfId="18951" xr:uid="{5927820C-D06C-4218-AEC5-BCF2FBF628F3}"/>
    <cellStyle name="Comma 2 8 4 2 4" xfId="2723" xr:uid="{D1349273-8172-4280-939F-DD21074B4CC2}"/>
    <cellStyle name="Comma 2 8 4 2 4 2" xfId="19207" xr:uid="{417E5D6D-1BC0-450C-AF9D-CEF3F9154ACC}"/>
    <cellStyle name="Comma 2 8 4 2 5" xfId="2989" xr:uid="{7689BC19-8EFC-4192-8806-EDC0C45E0F70}"/>
    <cellStyle name="Comma 2 8 4 2 5 2" xfId="19463" xr:uid="{303AD609-AE45-44D7-AFFB-7A9204B7C018}"/>
    <cellStyle name="Comma 2 8 4 2 6" xfId="17245" xr:uid="{80669132-CC6D-41EF-8BE3-9E8238831517}"/>
    <cellStyle name="Comma 2 8 4 2 6 2" xfId="20453" xr:uid="{CF8EC73D-1DBC-4906-91D3-790562BD94C0}"/>
    <cellStyle name="Comma 2 8 4 2 7" xfId="18503" xr:uid="{15B2F600-CF90-4685-87B5-228F5653C611}"/>
    <cellStyle name="Comma 2 8 4 3" xfId="1509" xr:uid="{0C6AC0DF-6F7F-4CCA-ACFF-1BA7FD368F6B}"/>
    <cellStyle name="Comma 2 8 4 3 2" xfId="1694" xr:uid="{49EAE00E-E1B5-4B8B-B30A-D562D4E61AEC}"/>
    <cellStyle name="Comma 2 8 4 3 2 2" xfId="3628" xr:uid="{762B2128-8EF4-49FF-9955-6C09C886060D}"/>
    <cellStyle name="Comma 2 8 4 3 2 2 2" xfId="20082" xr:uid="{3F16C27B-0E39-4D2C-A783-52F50F74B534}"/>
    <cellStyle name="Comma 2 8 4 3 2 3" xfId="17454" xr:uid="{49BA6378-C8D1-4BF7-A843-03F23502F9F8}"/>
    <cellStyle name="Comma 2 8 4 3 2 3 2" xfId="20661" xr:uid="{DD04B5C0-B7EF-4B63-99EE-37C795D46DA5}"/>
    <cellStyle name="Comma 2 8 4 3 2 4" xfId="18711" xr:uid="{302ACC54-EAB2-4153-8160-9ED440CCD802}"/>
    <cellStyle name="Comma 2 8 4 3 3" xfId="2503" xr:uid="{7239581A-A719-4E26-AD3A-CBBF4F56E9C2}"/>
    <cellStyle name="Comma 2 8 4 3 3 2" xfId="3359" xr:uid="{9D6B8109-11E8-458E-A97D-F56D00B2F882}"/>
    <cellStyle name="Comma 2 8 4 3 3 2 2" xfId="19826" xr:uid="{504EF577-3453-4789-ABAD-6D6A761CDC66}"/>
    <cellStyle name="Comma 2 8 4 3 3 3" xfId="17944" xr:uid="{678A19B5-16AA-44DE-AB90-719B8680109F}"/>
    <cellStyle name="Comma 2 8 4 3 3 3 2" xfId="20937" xr:uid="{C6B716EE-8B25-4941-8617-32DF6F7306E2}"/>
    <cellStyle name="Comma 2 8 4 3 3 4" xfId="18987" xr:uid="{B9B40E09-0B82-4246-9A0B-BEEE7BA8A02C}"/>
    <cellStyle name="Comma 2 8 4 3 4" xfId="2759" xr:uid="{6734CDA8-85E7-4283-B6D0-67014F466B3C}"/>
    <cellStyle name="Comma 2 8 4 3 4 2" xfId="19243" xr:uid="{37EDBBBF-2BA3-447D-8579-D7FD4D799DB8}"/>
    <cellStyle name="Comma 2 8 4 3 5" xfId="3025" xr:uid="{9D3D9C9A-37DD-48A3-BE51-BC43B173D8ED}"/>
    <cellStyle name="Comma 2 8 4 3 5 2" xfId="19499" xr:uid="{99A09197-4D39-409F-80E7-5B150B7B4A25}"/>
    <cellStyle name="Comma 2 8 4 3 6" xfId="17282" xr:uid="{30BB2DFA-C1AD-4B82-A2D5-C58758EEF2D3}"/>
    <cellStyle name="Comma 2 8 4 3 6 2" xfId="20489" xr:uid="{CFD127F8-9939-4395-812B-5F86519FE14A}"/>
    <cellStyle name="Comma 2 8 4 3 7" xfId="18539" xr:uid="{2E6539F0-7969-477F-8656-66F2307742E3}"/>
    <cellStyle name="Comma 2 8 4 4" xfId="1569" xr:uid="{37B559E2-EAA1-4F07-A6EE-4847CD7829F2}"/>
    <cellStyle name="Comma 2 8 4 4 2" xfId="1741" xr:uid="{6E52EB65-C8D7-489F-B46D-DD2EF10E9EC2}"/>
    <cellStyle name="Comma 2 8 4 4 2 2" xfId="3675" xr:uid="{2D0F3F1C-2D9F-4C60-AE1D-9CF1C4C5BCA2}"/>
    <cellStyle name="Comma 2 8 4 4 2 2 2" xfId="20129" xr:uid="{AA2DDAAC-7915-4517-A02C-8F268775527A}"/>
    <cellStyle name="Comma 2 8 4 4 2 3" xfId="17501" xr:uid="{1C1B471E-2B85-4908-BBC9-6192281F53CC}"/>
    <cellStyle name="Comma 2 8 4 4 2 3 2" xfId="20708" xr:uid="{A849FDA5-C990-48ED-99D0-446E979538CC}"/>
    <cellStyle name="Comma 2 8 4 4 2 4" xfId="18758" xr:uid="{0F9FCBF9-D88E-4ACD-AB10-E8B45346F46B}"/>
    <cellStyle name="Comma 2 8 4 4 3" xfId="2550" xr:uid="{7CC25659-A51F-40CE-BD44-9066E87D2C7A}"/>
    <cellStyle name="Comma 2 8 4 4 3 2" xfId="3414" xr:uid="{92C75903-C453-40F6-9617-A39BFBEB8BE4}"/>
    <cellStyle name="Comma 2 8 4 4 3 2 2" xfId="19873" xr:uid="{A0B2EFA4-1AB6-41E2-95E1-8C6E3DD946E3}"/>
    <cellStyle name="Comma 2 8 4 4 3 3" xfId="17991" xr:uid="{923D8152-EA5D-4CE7-86E4-FC54ABF040A0}"/>
    <cellStyle name="Comma 2 8 4 4 3 3 2" xfId="20984" xr:uid="{B2AFD1A1-408D-409E-ADE1-3AED4B1E4BD8}"/>
    <cellStyle name="Comma 2 8 4 4 3 4" xfId="19034" xr:uid="{33A0B675-0FB6-404D-A907-E23CB06FEDA1}"/>
    <cellStyle name="Comma 2 8 4 4 4" xfId="2806" xr:uid="{DD79507B-6D65-4073-91E9-ED84B2361FD8}"/>
    <cellStyle name="Comma 2 8 4 4 4 2" xfId="19290" xr:uid="{17F6FDB1-C5F3-45F6-8705-C7E6B399C30F}"/>
    <cellStyle name="Comma 2 8 4 4 5" xfId="3072" xr:uid="{5391471D-2964-49EA-B036-17D4A818CC59}"/>
    <cellStyle name="Comma 2 8 4 4 5 2" xfId="19546" xr:uid="{3B44EF88-89DF-433F-AFE3-D5F74215F117}"/>
    <cellStyle name="Comma 2 8 4 4 6" xfId="17329" xr:uid="{FE985D16-1997-4865-8A7C-1A08011760DC}"/>
    <cellStyle name="Comma 2 8 4 4 6 2" xfId="20536" xr:uid="{9D63C45C-79A3-4375-AB36-75BD2E661206}"/>
    <cellStyle name="Comma 2 8 4 4 7" xfId="18586" xr:uid="{6AE3B1A9-5DF4-4D9F-BDB9-2BABAC366498}"/>
    <cellStyle name="Comma 2 8 4 5" xfId="1394" xr:uid="{68A9CB35-90B1-40CB-B0A9-2AE342B20783}"/>
    <cellStyle name="Comma 2 8 4 5 2" xfId="1791" xr:uid="{32F48E62-E7DB-4217-B284-027B853ED1FE}"/>
    <cellStyle name="Comma 2 8 4 5 2 2" xfId="3723" xr:uid="{077CD1FC-38B9-4ADF-86BB-801E1C9B821D}"/>
    <cellStyle name="Comma 2 8 4 5 2 2 2" xfId="20177" xr:uid="{FE81D633-819C-4890-99CA-32BBA7A5754F}"/>
    <cellStyle name="Comma 2 8 4 5 2 3" xfId="17549" xr:uid="{19A03488-8F97-4BFE-BFD6-81039E1614CF}"/>
    <cellStyle name="Comma 2 8 4 5 2 3 2" xfId="20756" xr:uid="{54FD62F6-7FC8-4FC8-B918-F5AD75EF408D}"/>
    <cellStyle name="Comma 2 8 4 5 2 4" xfId="18806" xr:uid="{DFC86396-FDFB-46B0-A6E8-E20703671ACD}"/>
    <cellStyle name="Comma 2 8 4 5 3" xfId="2598" xr:uid="{C2D90234-E92B-4005-BAB8-75B7B2C60404}"/>
    <cellStyle name="Comma 2 8 4 5 3 2" xfId="3463" xr:uid="{64DB32CD-7B4A-4728-898B-6B7BB494E012}"/>
    <cellStyle name="Comma 2 8 4 5 3 2 2" xfId="19921" xr:uid="{4DFE5259-65B0-4FED-A9B0-3192441F2C92}"/>
    <cellStyle name="Comma 2 8 4 5 3 3" xfId="18039" xr:uid="{EA354307-17F5-4D31-AF0A-B88B5DB826BA}"/>
    <cellStyle name="Comma 2 8 4 5 3 3 2" xfId="21032" xr:uid="{022D71A8-374A-4362-A011-591B0170E248}"/>
    <cellStyle name="Comma 2 8 4 5 3 4" xfId="19082" xr:uid="{8069FA4B-8DC6-4023-BC59-C757F0FF27A6}"/>
    <cellStyle name="Comma 2 8 4 5 4" xfId="2854" xr:uid="{6F37031C-0B4C-4717-BFDF-8F928790D93F}"/>
    <cellStyle name="Comma 2 8 4 5 4 2" xfId="19338" xr:uid="{EF9DCDFF-403F-4682-A318-C5573124A2E7}"/>
    <cellStyle name="Comma 2 8 4 5 5" xfId="3120" xr:uid="{20908B85-D726-4CBE-9367-F6AAD016AC5D}"/>
    <cellStyle name="Comma 2 8 4 5 5 2" xfId="19594" xr:uid="{BE67FD74-B17F-442F-B1BF-F1D7AA45939A}"/>
    <cellStyle name="Comma 2 8 4 5 6" xfId="17202" xr:uid="{C2913D0A-9423-49EF-9A63-746FBC2FA4AD}"/>
    <cellStyle name="Comma 2 8 4 5 6 2" xfId="20412" xr:uid="{32A7C82F-F2B2-4F83-9533-CFB1F1D60541}"/>
    <cellStyle name="Comma 2 8 4 5 7" xfId="18462" xr:uid="{13D5C4F6-5E48-4F1E-8AA8-D56C6635CA19}"/>
    <cellStyle name="Comma 2 8 4 6" xfId="1845" xr:uid="{ED7AEFDC-07E5-4808-81A9-CDBC8EB06E0A}"/>
    <cellStyle name="Comma 2 8 4 6 2" xfId="2646" xr:uid="{8F1012BE-2A4E-4916-A739-D5EB133987D9}"/>
    <cellStyle name="Comma 2 8 4 6 2 2" xfId="3771" xr:uid="{D22A3D2B-FDE7-4996-9C4F-0AC7AA05A0BA}"/>
    <cellStyle name="Comma 2 8 4 6 2 2 2" xfId="20225" xr:uid="{12C68B96-8AAA-407E-8E47-8517A2EDF394}"/>
    <cellStyle name="Comma 2 8 4 6 2 3" xfId="18087" xr:uid="{131BC814-DE5B-4FE8-94D4-8C467752E640}"/>
    <cellStyle name="Comma 2 8 4 6 2 3 2" xfId="21080" xr:uid="{1B66CC01-EDB8-47B0-9353-368B12569DCB}"/>
    <cellStyle name="Comma 2 8 4 6 2 4" xfId="19130" xr:uid="{D3997641-D9A2-469A-86D2-5C17F6B30DD9}"/>
    <cellStyle name="Comma 2 8 4 6 3" xfId="2902" xr:uid="{CC67D13E-E31F-433E-8901-99F964CB7178}"/>
    <cellStyle name="Comma 2 8 4 6 3 2" xfId="3515" xr:uid="{30C761D3-F324-4777-B9D0-29BC2CC3C1DA}"/>
    <cellStyle name="Comma 2 8 4 6 3 2 2" xfId="19969" xr:uid="{2EAC6B40-6D87-44D4-952A-1A99A241A8FE}"/>
    <cellStyle name="Comma 2 8 4 6 3 3" xfId="19386" xr:uid="{E7F85553-9E32-4BBC-AEF9-C12FF98A1214}"/>
    <cellStyle name="Comma 2 8 4 6 4" xfId="3168" xr:uid="{9AE7C521-8B28-4AB9-8DB9-3DD25D88D0AB}"/>
    <cellStyle name="Comma 2 8 4 6 4 2" xfId="19642" xr:uid="{6849873C-BA84-4DB7-95B3-12570721CBA9}"/>
    <cellStyle name="Comma 2 8 4 6 5" xfId="17598" xr:uid="{AA20DBA5-F9BC-4144-B20B-A44A479B7A4B}"/>
    <cellStyle name="Comma 2 8 4 6 5 2" xfId="20804" xr:uid="{413EC781-A8FA-49E7-8444-4F2F4EC861D1}"/>
    <cellStyle name="Comma 2 8 4 6 6" xfId="18854" xr:uid="{C294079F-A617-4309-82EE-B6BEBE88B6FA}"/>
    <cellStyle name="Comma 2 8 4 7" xfId="1617" xr:uid="{B3489F41-1562-4C94-B38A-B630285A42FF}"/>
    <cellStyle name="Comma 2 8 4 7 2" xfId="3280" xr:uid="{C6E43FFF-A228-4DCA-B3FE-EF5C0F5E0172}"/>
    <cellStyle name="Comma 2 8 4 7 2 2" xfId="19749" xr:uid="{837A85B2-2AF5-4FCB-A3A8-84CC7FA263EE}"/>
    <cellStyle name="Comma 2 8 4 7 3" xfId="17377" xr:uid="{97E2B53A-E06C-4604-89C0-68029EB77D85}"/>
    <cellStyle name="Comma 2 8 4 7 3 2" xfId="20584" xr:uid="{40245CF9-A85A-40F5-9F59-9ABBE0A118C8}"/>
    <cellStyle name="Comma 2 8 4 7 4" xfId="18634" xr:uid="{9AF73CED-25E7-4C84-9DC7-4149FCC9E446}"/>
    <cellStyle name="Comma 2 8 4 8" xfId="2426" xr:uid="{90DEC3AC-3077-40EB-99B5-6866617E4DA1}"/>
    <cellStyle name="Comma 2 8 4 8 2" xfId="3551" xr:uid="{E9D2E239-3D2B-409E-99EC-8C0CEF086C02}"/>
    <cellStyle name="Comma 2 8 4 8 2 2" xfId="20005" xr:uid="{F22584EC-0344-44EE-AC6E-FB56B7F8D2D1}"/>
    <cellStyle name="Comma 2 8 4 8 3" xfId="17865" xr:uid="{2EF61BC8-3175-4C90-8206-0CBAACA3CCE9}"/>
    <cellStyle name="Comma 2 8 4 8 3 2" xfId="20860" xr:uid="{24452EAA-4C0B-45AE-A203-4353F967ADE3}"/>
    <cellStyle name="Comma 2 8 4 8 4" xfId="18910" xr:uid="{EF6F3C2E-70C0-4E1F-B9F9-465E6BA1FF45}"/>
    <cellStyle name="Comma 2 8 4 9" xfId="2682" xr:uid="{9F423280-3C36-43EF-9777-C38C0A10FD8E}"/>
    <cellStyle name="Comma 2 8 4 9 2" xfId="3823" xr:uid="{82185E75-6454-4D6B-BA3F-3661C0FB95C4}"/>
    <cellStyle name="Comma 2 8 4 9 2 2" xfId="20277" xr:uid="{938761E5-BD4B-4688-AF69-A460EB1CFD5A}"/>
    <cellStyle name="Comma 2 8 4 9 3" xfId="19166" xr:uid="{52AA5315-980D-4908-A0AC-A2491DCD6D0A}"/>
    <cellStyle name="Comma 2 8 5" xfId="876" xr:uid="{A40142D3-7766-4158-BD31-9665F05610B6}"/>
    <cellStyle name="Comma 2 8 5 10" xfId="17079" xr:uid="{E5C19F7F-4D77-4E28-8430-E1BD8D4C7FA0}"/>
    <cellStyle name="Comma 2 8 5 10 2" xfId="20370" xr:uid="{763DACCA-D004-4A56-822C-F950B6585C09}"/>
    <cellStyle name="Comma 2 8 5 11" xfId="18420" xr:uid="{D0E17281-807C-4C92-9FA5-D9471132284C}"/>
    <cellStyle name="Comma 2 8 5 2" xfId="1510" xr:uid="{0AD798E1-5D44-4FD0-8D0B-F1E88C990004}"/>
    <cellStyle name="Comma 2 8 5 2 2" xfId="1695" xr:uid="{F0AB836F-7A2E-4DAD-912C-A9C3BADE0CDD}"/>
    <cellStyle name="Comma 2 8 5 2 2 2" xfId="3629" xr:uid="{062D2F02-102F-4807-B12B-10DF90E0B595}"/>
    <cellStyle name="Comma 2 8 5 2 2 2 2" xfId="20083" xr:uid="{0AB2E574-5262-434D-8038-B3EFCB5527AB}"/>
    <cellStyle name="Comma 2 8 5 2 2 3" xfId="17455" xr:uid="{CFDCD9F1-0957-4D32-B901-4E1C2AD4F6FD}"/>
    <cellStyle name="Comma 2 8 5 2 2 3 2" xfId="20662" xr:uid="{DEE99924-8FC2-43BA-ABD3-C8E3038E2C49}"/>
    <cellStyle name="Comma 2 8 5 2 2 4" xfId="18712" xr:uid="{FFEC1A41-375D-425A-A389-03E3752089E4}"/>
    <cellStyle name="Comma 2 8 5 2 3" xfId="2504" xr:uid="{D6370217-4836-4718-8871-2AE6D5B751C4}"/>
    <cellStyle name="Comma 2 8 5 2 3 2" xfId="3360" xr:uid="{BEB681B3-9444-48BF-A26C-A6E9C6AF75D6}"/>
    <cellStyle name="Comma 2 8 5 2 3 2 2" xfId="19827" xr:uid="{2124D0B7-8A36-41C1-8206-7B65D34B916F}"/>
    <cellStyle name="Comma 2 8 5 2 3 3" xfId="17945" xr:uid="{8927C9E1-7A32-4155-8963-3E081D33B7A5}"/>
    <cellStyle name="Comma 2 8 5 2 3 3 2" xfId="20938" xr:uid="{C86478DB-F2D6-4717-8C36-AE69EBC01366}"/>
    <cellStyle name="Comma 2 8 5 2 3 4" xfId="18988" xr:uid="{2ADBD919-6F50-4DE4-BE70-430FAF4C0BBA}"/>
    <cellStyle name="Comma 2 8 5 2 4" xfId="2760" xr:uid="{56A4C10C-4233-4B01-A9F7-6D475E221EDA}"/>
    <cellStyle name="Comma 2 8 5 2 4 2" xfId="19244" xr:uid="{239DE2BA-A5DA-4EE8-BFDA-DA8A7054BBEE}"/>
    <cellStyle name="Comma 2 8 5 2 5" xfId="3026" xr:uid="{61BD5F11-8CA8-45F9-8541-B53C21D57DEC}"/>
    <cellStyle name="Comma 2 8 5 2 5 2" xfId="19500" xr:uid="{7DFF3360-B5F0-4451-A71F-B8FA3C1F4FCB}"/>
    <cellStyle name="Comma 2 8 5 2 6" xfId="17283" xr:uid="{04CCE337-A710-4044-A38F-665E60F536A0}"/>
    <cellStyle name="Comma 2 8 5 2 6 2" xfId="20490" xr:uid="{C03758AF-5867-4896-B543-D1CFDCDA8F8A}"/>
    <cellStyle name="Comma 2 8 5 2 7" xfId="18540" xr:uid="{476B93D1-F054-498C-A816-6BF69CF11B17}"/>
    <cellStyle name="Comma 2 8 5 3" xfId="1570" xr:uid="{3256DDA3-BDF4-4CCF-A1B1-E4D0BB8B216E}"/>
    <cellStyle name="Comma 2 8 5 3 2" xfId="1742" xr:uid="{75779F22-6102-4D8C-985C-2B70FC0C6768}"/>
    <cellStyle name="Comma 2 8 5 3 2 2" xfId="3676" xr:uid="{7308C411-4009-4FF7-8FD3-3ECF2CE3670A}"/>
    <cellStyle name="Comma 2 8 5 3 2 2 2" xfId="20130" xr:uid="{B9D6D6F3-9BB7-4AB3-B046-F0B6701CFDFF}"/>
    <cellStyle name="Comma 2 8 5 3 2 3" xfId="17502" xr:uid="{F7D0B4FD-BFE3-4977-86CD-EC0D5D1143CD}"/>
    <cellStyle name="Comma 2 8 5 3 2 3 2" xfId="20709" xr:uid="{1CE7CFFD-F542-44DD-BB05-AE17FF5A9F52}"/>
    <cellStyle name="Comma 2 8 5 3 2 4" xfId="18759" xr:uid="{7B6D710B-D75B-43AF-9502-8266DC3337A2}"/>
    <cellStyle name="Comma 2 8 5 3 3" xfId="2551" xr:uid="{339CEF24-C3B1-468B-8B93-90C459F3AC8D}"/>
    <cellStyle name="Comma 2 8 5 3 3 2" xfId="3415" xr:uid="{A920E250-DA08-4BF4-BE86-3EBDFB64C09C}"/>
    <cellStyle name="Comma 2 8 5 3 3 2 2" xfId="19874" xr:uid="{DF732F04-A9CE-4A53-BC75-689C525A7C3C}"/>
    <cellStyle name="Comma 2 8 5 3 3 3" xfId="17992" xr:uid="{22FD82EF-3DC5-43F7-9F8C-F15EE85C9998}"/>
    <cellStyle name="Comma 2 8 5 3 3 3 2" xfId="20985" xr:uid="{95053F3B-B562-49FF-A39E-531F137F3691}"/>
    <cellStyle name="Comma 2 8 5 3 3 4" xfId="19035" xr:uid="{1DDE7AC1-B8D3-423C-A8C6-EAD11E15C5D4}"/>
    <cellStyle name="Comma 2 8 5 3 4" xfId="2807" xr:uid="{AEF9A660-13C1-47AF-B9DE-6220044C811C}"/>
    <cellStyle name="Comma 2 8 5 3 4 2" xfId="19291" xr:uid="{7745428E-B6D7-4B6B-B66F-67262BAF4AB9}"/>
    <cellStyle name="Comma 2 8 5 3 5" xfId="3073" xr:uid="{F1829563-28DF-43B4-B7E7-62D81931CE58}"/>
    <cellStyle name="Comma 2 8 5 3 5 2" xfId="19547" xr:uid="{6650A758-AC76-4A7E-8F84-D1F6F35242AD}"/>
    <cellStyle name="Comma 2 8 5 3 6" xfId="17330" xr:uid="{D722F8EB-48CD-4334-8FE9-C1080EF73EBA}"/>
    <cellStyle name="Comma 2 8 5 3 6 2" xfId="20537" xr:uid="{02408A17-397E-4599-BF7E-2685D4879856}"/>
    <cellStyle name="Comma 2 8 5 3 7" xfId="18587" xr:uid="{549040B5-14C9-488E-9FF7-494BA6ED40B5}"/>
    <cellStyle name="Comma 2 8 5 4" xfId="1402" xr:uid="{F8071A16-8DE4-4383-B663-68AE8E4FD37B}"/>
    <cellStyle name="Comma 2 8 5 4 2" xfId="1792" xr:uid="{0176918B-30B2-4281-97FE-CB121DA09C0A}"/>
    <cellStyle name="Comma 2 8 5 4 2 2" xfId="3724" xr:uid="{C49C6F26-F6FE-40F5-9413-1453DE708260}"/>
    <cellStyle name="Comma 2 8 5 4 2 2 2" xfId="20178" xr:uid="{C10B7425-010C-4882-885B-EAD65ED02F5F}"/>
    <cellStyle name="Comma 2 8 5 4 2 3" xfId="17550" xr:uid="{E89D04E7-FA7E-4F22-8484-BC59AF057107}"/>
    <cellStyle name="Comma 2 8 5 4 2 3 2" xfId="20757" xr:uid="{67FD52E7-4E45-405B-9D55-D397C052F301}"/>
    <cellStyle name="Comma 2 8 5 4 2 4" xfId="18807" xr:uid="{BFC163BB-A3ED-45CB-8423-C8F79466DBAE}"/>
    <cellStyle name="Comma 2 8 5 4 3" xfId="2599" xr:uid="{7510E474-195C-4106-8CA7-ABCC683CA3E4}"/>
    <cellStyle name="Comma 2 8 5 4 3 2" xfId="3464" xr:uid="{5DFFA22C-5928-40DB-B82E-135A77A4AA5F}"/>
    <cellStyle name="Comma 2 8 5 4 3 2 2" xfId="19922" xr:uid="{DAA2F0E0-DDCD-4458-8943-9369E890CC68}"/>
    <cellStyle name="Comma 2 8 5 4 3 3" xfId="18040" xr:uid="{EE0D1037-4CD4-483F-8446-D3F2ED7F5C59}"/>
    <cellStyle name="Comma 2 8 5 4 3 3 2" xfId="21033" xr:uid="{DBA09FB9-97FA-4CBF-9BE8-57787FABF6C9}"/>
    <cellStyle name="Comma 2 8 5 4 3 4" xfId="19083" xr:uid="{B39BD579-13B8-4D94-9BAC-8726236A73E6}"/>
    <cellStyle name="Comma 2 8 5 4 4" xfId="2855" xr:uid="{74441A91-85CC-4889-B6B7-2909A79CAAF3}"/>
    <cellStyle name="Comma 2 8 5 4 4 2" xfId="19339" xr:uid="{4DBDAD40-07F2-42AC-8AC9-1E8204D8A500}"/>
    <cellStyle name="Comma 2 8 5 4 5" xfId="3121" xr:uid="{3B1D7A10-F3B7-43C4-AAB9-18C8349CD0A7}"/>
    <cellStyle name="Comma 2 8 5 4 5 2" xfId="19595" xr:uid="{6816DAAE-5414-4C17-AB05-9A1B2F223BF6}"/>
    <cellStyle name="Comma 2 8 5 4 6" xfId="17208" xr:uid="{4C7C12B8-0F8B-4F79-9F3A-9441FFBDB34A}"/>
    <cellStyle name="Comma 2 8 5 4 6 2" xfId="20418" xr:uid="{783E84AF-4986-4247-9597-52CE902C0C71}"/>
    <cellStyle name="Comma 2 8 5 4 7" xfId="18468" xr:uid="{06638721-44A2-4EEC-ACE5-92C2FC6B7FD5}"/>
    <cellStyle name="Comma 2 8 5 5" xfId="1623" xr:uid="{39951110-C098-4B71-A7D8-83242EE279F8}"/>
    <cellStyle name="Comma 2 8 5 5 2" xfId="3286" xr:uid="{4682FEB8-BA8B-4C13-8E5E-406747BAE56C}"/>
    <cellStyle name="Comma 2 8 5 5 2 2" xfId="19755" xr:uid="{1F4AEC61-E8B1-434D-A034-4BE55C9CB935}"/>
    <cellStyle name="Comma 2 8 5 5 3" xfId="17383" xr:uid="{93E47C83-C5F0-4EC8-9B5F-85C345997A1E}"/>
    <cellStyle name="Comma 2 8 5 5 3 2" xfId="20590" xr:uid="{D30C6628-10AB-4C33-97A4-E4B4924CA569}"/>
    <cellStyle name="Comma 2 8 5 5 4" xfId="18640" xr:uid="{FCE6DAE7-7B6B-4CD0-B7BB-2921E809C837}"/>
    <cellStyle name="Comma 2 8 5 6" xfId="2432" xr:uid="{D9627B09-6B17-4752-83CC-2EA239736B1F}"/>
    <cellStyle name="Comma 2 8 5 6 2" xfId="3557" xr:uid="{17E2F87C-32FB-415D-BC1C-E1F984638660}"/>
    <cellStyle name="Comma 2 8 5 6 2 2" xfId="20011" xr:uid="{A520F709-70EC-4411-BD68-57CA2E615E9B}"/>
    <cellStyle name="Comma 2 8 5 6 3" xfId="17871" xr:uid="{929BA402-3700-4EB2-AE98-6338C630F2A0}"/>
    <cellStyle name="Comma 2 8 5 6 3 2" xfId="20866" xr:uid="{A3EBACDA-0A7C-49A9-861D-0E742A2F3D4D}"/>
    <cellStyle name="Comma 2 8 5 6 4" xfId="18916" xr:uid="{7A813F5B-AB69-4762-9156-A5349A500446}"/>
    <cellStyle name="Comma 2 8 5 7" xfId="2688" xr:uid="{E788CBC0-5B12-4C4A-8CDF-EBE6BC2AE407}"/>
    <cellStyle name="Comma 2 8 5 7 2" xfId="3836" xr:uid="{6DB9E34E-663A-4AD6-8DCC-C2367F2EE912}"/>
    <cellStyle name="Comma 2 8 5 7 2 2" xfId="20290" xr:uid="{68643123-1233-4128-9BC5-53805EC672F4}"/>
    <cellStyle name="Comma 2 8 5 7 3" xfId="19172" xr:uid="{D3E3CE46-B518-4873-8D53-39D1A2124E39}"/>
    <cellStyle name="Comma 2 8 5 8" xfId="3237" xr:uid="{4C6FC37B-B2A1-4CC0-BA63-996F52983B34}"/>
    <cellStyle name="Comma 2 8 5 8 2" xfId="19707" xr:uid="{9DBAD74F-EBCB-49AB-876C-5BAE0345F1D7}"/>
    <cellStyle name="Comma 2 8 5 9" xfId="2954" xr:uid="{E162E71F-DFA1-4590-9529-9333B926FE5E}"/>
    <cellStyle name="Comma 2 8 5 9 2" xfId="19428" xr:uid="{C4FAB6E2-9D76-4C56-9D9B-0F6D5B90943B}"/>
    <cellStyle name="Comma 2 8 6" xfId="888" xr:uid="{7353F69B-FC0E-4170-B365-78E57900557B}"/>
    <cellStyle name="Comma 2 8 6 10" xfId="17089" xr:uid="{854DCF2E-DD26-48E8-BE45-C5D30503E3FA}"/>
    <cellStyle name="Comma 2 8 6 10 2" xfId="20376" xr:uid="{448E12F4-623D-40D5-BFA0-D2970F855864}"/>
    <cellStyle name="Comma 2 8 6 11" xfId="18426" xr:uid="{B002CCCE-A9C8-4FFD-AF97-4949E11B9C08}"/>
    <cellStyle name="Comma 2 8 6 2" xfId="1511" xr:uid="{066F08A7-91E9-4C8D-871E-6A0A15DA8BB0}"/>
    <cellStyle name="Comma 2 8 6 2 2" xfId="1696" xr:uid="{C9FDBB96-A5E5-4026-AE57-FFB215067345}"/>
    <cellStyle name="Comma 2 8 6 2 2 2" xfId="3630" xr:uid="{557539CB-6E95-4E10-8D5C-5F194F4E1DC5}"/>
    <cellStyle name="Comma 2 8 6 2 2 2 2" xfId="20084" xr:uid="{DC08E522-A231-41D1-B166-C85AD19FEBE9}"/>
    <cellStyle name="Comma 2 8 6 2 2 3" xfId="17456" xr:uid="{195B6BC7-8D46-443A-9712-C8845C9F1373}"/>
    <cellStyle name="Comma 2 8 6 2 2 3 2" xfId="20663" xr:uid="{70AD15C6-61F5-4B85-9ABD-13D0749BE1A0}"/>
    <cellStyle name="Comma 2 8 6 2 2 4" xfId="18713" xr:uid="{3219F7AC-3B1B-4C72-892D-8C32E695A708}"/>
    <cellStyle name="Comma 2 8 6 2 3" xfId="2505" xr:uid="{A5CE1E75-6672-4CBB-AB53-CABE5E57C68C}"/>
    <cellStyle name="Comma 2 8 6 2 3 2" xfId="3361" xr:uid="{E962BF62-0F0C-4470-9A0A-C8D602B211E4}"/>
    <cellStyle name="Comma 2 8 6 2 3 2 2" xfId="19828" xr:uid="{7076FE0A-706D-494C-A17C-B04EED466B66}"/>
    <cellStyle name="Comma 2 8 6 2 3 3" xfId="17946" xr:uid="{4CCD3145-7E70-4467-BCFF-8E1C0BDEB7E6}"/>
    <cellStyle name="Comma 2 8 6 2 3 3 2" xfId="20939" xr:uid="{584884AB-F972-4365-94CF-38CA31D05627}"/>
    <cellStyle name="Comma 2 8 6 2 3 4" xfId="18989" xr:uid="{4A8B607D-D97A-42CD-8D4E-089011A66E29}"/>
    <cellStyle name="Comma 2 8 6 2 4" xfId="2761" xr:uid="{87DA2B02-37CB-450B-AB13-D4ED330C0693}"/>
    <cellStyle name="Comma 2 8 6 2 4 2" xfId="19245" xr:uid="{4C6EB2FF-7D81-4AAB-8A5B-0C7D662A4889}"/>
    <cellStyle name="Comma 2 8 6 2 5" xfId="3027" xr:uid="{0A9B3D97-E7BD-4F56-9FE6-4DAAE3570FF3}"/>
    <cellStyle name="Comma 2 8 6 2 5 2" xfId="19501" xr:uid="{90706ECD-19AE-4F2A-AEB7-A6061665C0B8}"/>
    <cellStyle name="Comma 2 8 6 2 6" xfId="17284" xr:uid="{E7F379DB-89ED-4DBD-9C84-E8403FA467DD}"/>
    <cellStyle name="Comma 2 8 6 2 6 2" xfId="20491" xr:uid="{A29A5380-69C2-4CC0-90C7-EB68E9781478}"/>
    <cellStyle name="Comma 2 8 6 2 7" xfId="18541" xr:uid="{AFA9391C-3432-4393-912E-1D609E92C9BE}"/>
    <cellStyle name="Comma 2 8 6 3" xfId="1571" xr:uid="{B60F8578-04C8-437D-BD29-B7B58646A325}"/>
    <cellStyle name="Comma 2 8 6 3 2" xfId="1743" xr:uid="{239BFAEE-05E9-4C7D-ADC5-56D88BE578EA}"/>
    <cellStyle name="Comma 2 8 6 3 2 2" xfId="3677" xr:uid="{DCB143F6-E93D-48A8-AC17-92FEBBF4E66F}"/>
    <cellStyle name="Comma 2 8 6 3 2 2 2" xfId="20131" xr:uid="{D565BE27-8E13-45DB-8244-342D683975C9}"/>
    <cellStyle name="Comma 2 8 6 3 2 3" xfId="17503" xr:uid="{82CE3085-8FBE-493A-AEE2-653CD0C0E708}"/>
    <cellStyle name="Comma 2 8 6 3 2 3 2" xfId="20710" xr:uid="{50DEB50F-B782-40A5-97BC-553AA7B94462}"/>
    <cellStyle name="Comma 2 8 6 3 2 4" xfId="18760" xr:uid="{2EC6A025-B83D-475A-A98C-5FFED97962CF}"/>
    <cellStyle name="Comma 2 8 6 3 3" xfId="2552" xr:uid="{CC792498-12A2-4A2A-80E4-4ABAA252F70B}"/>
    <cellStyle name="Comma 2 8 6 3 3 2" xfId="3416" xr:uid="{B38E3332-A368-4194-A473-7C52CC226699}"/>
    <cellStyle name="Comma 2 8 6 3 3 2 2" xfId="19875" xr:uid="{1E796168-AF68-4E97-B79C-E4A3A0DFEAE1}"/>
    <cellStyle name="Comma 2 8 6 3 3 3" xfId="17993" xr:uid="{8AEA4F36-25D7-4D10-88F6-D328A4A1F323}"/>
    <cellStyle name="Comma 2 8 6 3 3 3 2" xfId="20986" xr:uid="{FE5706CA-B75B-4E12-BB05-763296C5A817}"/>
    <cellStyle name="Comma 2 8 6 3 3 4" xfId="19036" xr:uid="{1ACBAF4A-0713-4FB2-A2EE-71176D33324C}"/>
    <cellStyle name="Comma 2 8 6 3 4" xfId="2808" xr:uid="{ADE922CF-E112-4B32-95C9-AAD74FF2808F}"/>
    <cellStyle name="Comma 2 8 6 3 4 2" xfId="19292" xr:uid="{B0F015C9-CB41-4039-9749-F973AFD619DB}"/>
    <cellStyle name="Comma 2 8 6 3 5" xfId="3074" xr:uid="{2534B348-9A05-4885-B350-04D1F697115E}"/>
    <cellStyle name="Comma 2 8 6 3 5 2" xfId="19548" xr:uid="{17749BE0-8F81-4533-BD35-4BB92A5AD168}"/>
    <cellStyle name="Comma 2 8 6 3 6" xfId="17331" xr:uid="{31034A1E-4099-49AB-B95B-F4EACD321768}"/>
    <cellStyle name="Comma 2 8 6 3 6 2" xfId="20538" xr:uid="{A8EE5DC8-DE1A-4670-B52E-08E2D04E5C9B}"/>
    <cellStyle name="Comma 2 8 6 3 7" xfId="18588" xr:uid="{0751C4FC-B7A3-404C-A230-117C463DCBD3}"/>
    <cellStyle name="Comma 2 8 6 4" xfId="1417" xr:uid="{A9DEDBD2-4C9A-4529-9F77-549EDF2C7C3B}"/>
    <cellStyle name="Comma 2 8 6 4 2" xfId="1793" xr:uid="{DF7CA91F-1A61-4EE6-9E03-F911A4C5C4F6}"/>
    <cellStyle name="Comma 2 8 6 4 2 2" xfId="3725" xr:uid="{24D49A3F-C8B2-477A-B661-13214AADFD7A}"/>
    <cellStyle name="Comma 2 8 6 4 2 2 2" xfId="20179" xr:uid="{0DF790F1-44F2-4ACD-8131-90E90BD66C77}"/>
    <cellStyle name="Comma 2 8 6 4 2 3" xfId="17551" xr:uid="{FCB7499E-2080-493D-B760-208560AB26C4}"/>
    <cellStyle name="Comma 2 8 6 4 2 3 2" xfId="20758" xr:uid="{E7924153-32DA-41B1-8EA4-2A2215995340}"/>
    <cellStyle name="Comma 2 8 6 4 2 4" xfId="18808" xr:uid="{72200D5A-C3FE-4439-BBBA-7D3342F0354F}"/>
    <cellStyle name="Comma 2 8 6 4 3" xfId="2600" xr:uid="{006EC54F-977C-4F0B-8272-D7784E0B7666}"/>
    <cellStyle name="Comma 2 8 6 4 3 2" xfId="3465" xr:uid="{29A365A1-E942-4644-B868-27DE714EACBB}"/>
    <cellStyle name="Comma 2 8 6 4 3 2 2" xfId="19923" xr:uid="{B8593AD1-57C4-4382-BE82-3BDA79D9883A}"/>
    <cellStyle name="Comma 2 8 6 4 3 3" xfId="18041" xr:uid="{80F95873-A9D8-4E5D-B77A-60AABDC569BA}"/>
    <cellStyle name="Comma 2 8 6 4 3 3 2" xfId="21034" xr:uid="{F0FBF243-4E83-4B19-9E45-1563C80437A2}"/>
    <cellStyle name="Comma 2 8 6 4 3 4" xfId="19084" xr:uid="{52244C28-DA77-448E-8D20-25A15E1BD122}"/>
    <cellStyle name="Comma 2 8 6 4 4" xfId="2856" xr:uid="{84491414-99D6-4EDD-92E6-F731F6AE547D}"/>
    <cellStyle name="Comma 2 8 6 4 4 2" xfId="19340" xr:uid="{12653A64-B452-44A7-84BF-3B996FA93095}"/>
    <cellStyle name="Comma 2 8 6 4 5" xfId="3122" xr:uid="{090F6D96-98C2-4EFA-9D21-90969B4DA73F}"/>
    <cellStyle name="Comma 2 8 6 4 5 2" xfId="19596" xr:uid="{78CB112F-2398-40A2-AE12-6BBBE1CAF8A1}"/>
    <cellStyle name="Comma 2 8 6 4 6" xfId="17218" xr:uid="{F49B5CF6-7C52-46B4-A934-47FC93D1CC1E}"/>
    <cellStyle name="Comma 2 8 6 4 6 2" xfId="20427" xr:uid="{D35EDD8F-6F95-431B-BEA6-EF28CA3A2A7A}"/>
    <cellStyle name="Comma 2 8 6 4 7" xfId="18477" xr:uid="{22502246-BB87-464C-87A0-DBC5F81EE3D9}"/>
    <cellStyle name="Comma 2 8 6 5" xfId="1632" xr:uid="{A79724D6-8FD2-4595-9D1E-2BA8F307D6D6}"/>
    <cellStyle name="Comma 2 8 6 5 2" xfId="3296" xr:uid="{98BAC977-2BEF-4174-9187-53CA629F940E}"/>
    <cellStyle name="Comma 2 8 6 5 2 2" xfId="19764" xr:uid="{C99F65E2-176F-4964-A6F8-6DEA23CEFC85}"/>
    <cellStyle name="Comma 2 8 6 5 3" xfId="17392" xr:uid="{77DDA2D7-FCA2-469F-AECD-9878B3C15E6C}"/>
    <cellStyle name="Comma 2 8 6 5 3 2" xfId="20599" xr:uid="{1DEC1BD3-4249-4D91-A243-7A8FD3ECDB9A}"/>
    <cellStyle name="Comma 2 8 6 5 4" xfId="18649" xr:uid="{082B43C5-D237-4975-8586-F88EF1EF4BFD}"/>
    <cellStyle name="Comma 2 8 6 6" xfId="2441" xr:uid="{2A87C2CB-F63A-4F86-B0E1-1B765BCB0814}"/>
    <cellStyle name="Comma 2 8 6 6 2" xfId="3566" xr:uid="{11B7FA48-EEC1-4948-92C9-FF254A2A978C}"/>
    <cellStyle name="Comma 2 8 6 6 2 2" xfId="20020" xr:uid="{42EC3A36-63F3-4CFC-A5F7-803BBC994DF3}"/>
    <cellStyle name="Comma 2 8 6 6 3" xfId="17880" xr:uid="{4A18C96F-3F84-476A-AA29-BFED4B2299B8}"/>
    <cellStyle name="Comma 2 8 6 6 3 2" xfId="20875" xr:uid="{63D7D2F7-29B5-468E-BDF3-8F150908B9CA}"/>
    <cellStyle name="Comma 2 8 6 6 4" xfId="18925" xr:uid="{9F2F2C0F-235F-4409-9E3B-276CB8B0E23A}"/>
    <cellStyle name="Comma 2 8 6 7" xfId="2697" xr:uid="{A4722FB6-8716-4904-8996-110C914D751E}"/>
    <cellStyle name="Comma 2 8 6 7 2" xfId="3842" xr:uid="{99D8D549-F3CB-46B7-9AF2-72CCD880BCDA}"/>
    <cellStyle name="Comma 2 8 6 7 2 2" xfId="20296" xr:uid="{51EAEB07-D376-4947-90DD-116A8A315A5B}"/>
    <cellStyle name="Comma 2 8 6 7 3" xfId="19181" xr:uid="{F0B328EA-1271-4D4B-B1FD-F96B3CC26985}"/>
    <cellStyle name="Comma 2 8 6 8" xfId="3243" xr:uid="{CE57C5CF-3656-416D-9E8C-981442A1D114}"/>
    <cellStyle name="Comma 2 8 6 8 2" xfId="19713" xr:uid="{DF70D312-52BA-4CE2-A125-5444288AA8EF}"/>
    <cellStyle name="Comma 2 8 6 9" xfId="2963" xr:uid="{F5D4A816-B0BE-4F0E-8361-AEA5ECFC3048}"/>
    <cellStyle name="Comma 2 8 6 9 2" xfId="19437" xr:uid="{EDAC54CF-0DEF-443E-9376-253839F50D57}"/>
    <cellStyle name="Comma 2 8 7" xfId="1506" xr:uid="{607D6113-6849-4008-96A3-8B0F87A81855}"/>
    <cellStyle name="Comma 2 8 7 2" xfId="1691" xr:uid="{5DC0666F-49B9-4269-8366-698F87326066}"/>
    <cellStyle name="Comma 2 8 7 2 2" xfId="3356" xr:uid="{D2F0868B-6399-44DD-B9B7-8FFC643CA646}"/>
    <cellStyle name="Comma 2 8 7 2 2 2" xfId="19823" xr:uid="{528C76C2-9FB8-469B-A246-74C15B4B92D6}"/>
    <cellStyle name="Comma 2 8 7 2 3" xfId="17451" xr:uid="{F3BFA338-DC9D-4D9D-876C-2EF77F334611}"/>
    <cellStyle name="Comma 2 8 7 2 3 2" xfId="20658" xr:uid="{1D8B9A3A-109A-41AD-A70D-92A01B5AACCD}"/>
    <cellStyle name="Comma 2 8 7 2 4" xfId="18708" xr:uid="{BC928010-6F48-4463-AB34-79D7164A48F3}"/>
    <cellStyle name="Comma 2 8 7 3" xfId="2500" xr:uid="{8A32CA61-E51A-4430-BE6B-C0DA0F7FFA0E}"/>
    <cellStyle name="Comma 2 8 7 3 2" xfId="3625" xr:uid="{610DEE21-03A4-4CB7-A0EE-392CF5B642E3}"/>
    <cellStyle name="Comma 2 8 7 3 2 2" xfId="20079" xr:uid="{7A585379-278E-45F6-8C79-5C1B463CD45E}"/>
    <cellStyle name="Comma 2 8 7 3 3" xfId="17941" xr:uid="{62B7A6F9-4531-4237-B809-EC462E10F8F1}"/>
    <cellStyle name="Comma 2 8 7 3 3 2" xfId="20934" xr:uid="{D1E76F10-97F1-409F-929F-278A42EEA524}"/>
    <cellStyle name="Comma 2 8 7 3 4" xfId="18984" xr:uid="{8917D318-E1F7-466A-B6AD-952CFA942103}"/>
    <cellStyle name="Comma 2 8 7 4" xfId="2756" xr:uid="{C4396FA6-671D-44E8-98EF-FCB8246AB9FA}"/>
    <cellStyle name="Comma 2 8 7 4 2" xfId="3797" xr:uid="{5B168989-FE8D-437B-8863-C9C4F576EE7E}"/>
    <cellStyle name="Comma 2 8 7 4 2 2" xfId="20251" xr:uid="{26D5BC75-0869-4742-AFA9-BD0BAAAA8069}"/>
    <cellStyle name="Comma 2 8 7 4 3" xfId="19240" xr:uid="{53DECE8A-E910-449D-A361-1526EABAE627}"/>
    <cellStyle name="Comma 2 8 7 5" xfId="3194" xr:uid="{C04C2BDD-588E-4792-B84C-B102E109768C}"/>
    <cellStyle name="Comma 2 8 7 5 2" xfId="19668" xr:uid="{7603B87E-21AB-4A57-B256-4A7A32C17768}"/>
    <cellStyle name="Comma 2 8 7 6" xfId="3022" xr:uid="{D03E3114-7640-4ACC-8EEB-220AB3AFCE93}"/>
    <cellStyle name="Comma 2 8 7 6 2" xfId="19496" xr:uid="{17F605EB-EDDA-4EDC-B0A6-C27225CE9841}"/>
    <cellStyle name="Comma 2 8 7 7" xfId="17279" xr:uid="{257F50EA-164B-4F0E-AD8B-E189704C9BC0}"/>
    <cellStyle name="Comma 2 8 7 7 2" xfId="20486" xr:uid="{F9D7EBF8-4956-48A1-A2E9-61EE01422AD9}"/>
    <cellStyle name="Comma 2 8 7 8" xfId="18536" xr:uid="{5170E848-57B8-436C-9FD3-46DC7CC25D8B}"/>
    <cellStyle name="Comma 2 8 8" xfId="1566" xr:uid="{6E6133F0-CF23-4516-A195-3344C50676BF}"/>
    <cellStyle name="Comma 2 8 8 2" xfId="1738" xr:uid="{5A089B54-265B-4DEB-8F62-52729E8F06B6}"/>
    <cellStyle name="Comma 2 8 8 2 2" xfId="3672" xr:uid="{F2D449E9-69BE-4FED-89D7-A8EE218D7C80}"/>
    <cellStyle name="Comma 2 8 8 2 2 2" xfId="20126" xr:uid="{F1179255-18D5-45B8-956D-C4FE32E9D045}"/>
    <cellStyle name="Comma 2 8 8 2 3" xfId="17498" xr:uid="{8FF7BE23-48E7-4E05-A3D3-1FBE261A4C96}"/>
    <cellStyle name="Comma 2 8 8 2 3 2" xfId="20705" xr:uid="{BB12447A-6139-445E-82BA-596A7B9D7FBF}"/>
    <cellStyle name="Comma 2 8 8 2 4" xfId="18755" xr:uid="{ECD52FC7-62BE-426D-AF33-08BDA39BA627}"/>
    <cellStyle name="Comma 2 8 8 3" xfId="2547" xr:uid="{1FA1B4B3-C4FF-453B-953A-5C37A27AA6ED}"/>
    <cellStyle name="Comma 2 8 8 3 2" xfId="3411" xr:uid="{62E5EB78-6C13-49E8-999E-7D1DCFB6D8D3}"/>
    <cellStyle name="Comma 2 8 8 3 2 2" xfId="19870" xr:uid="{FF39E261-5D54-4816-B07E-EB3DA74691E8}"/>
    <cellStyle name="Comma 2 8 8 3 3" xfId="17988" xr:uid="{36ED3A85-30B3-4801-8EFE-E154EA0AC99D}"/>
    <cellStyle name="Comma 2 8 8 3 3 2" xfId="20981" xr:uid="{6081EFB5-ECC2-47B4-91AA-5BDC42CA3EDA}"/>
    <cellStyle name="Comma 2 8 8 3 4" xfId="19031" xr:uid="{B008F74B-2615-4249-9EA8-3EF4186AF492}"/>
    <cellStyle name="Comma 2 8 8 4" xfId="2803" xr:uid="{5E93AED0-2AB2-45C5-B710-FFDC0E9D645F}"/>
    <cellStyle name="Comma 2 8 8 4 2" xfId="19287" xr:uid="{9FE518F2-718A-4BA1-BA28-1F6B647F3ECC}"/>
    <cellStyle name="Comma 2 8 8 5" xfId="3069" xr:uid="{9615F674-27BE-4A40-93B8-42677F3004DE}"/>
    <cellStyle name="Comma 2 8 8 5 2" xfId="19543" xr:uid="{73A3431B-926C-4FC2-B9E7-86C59819915B}"/>
    <cellStyle name="Comma 2 8 8 6" xfId="17326" xr:uid="{DF3E4891-8FAE-466E-AB65-049BFB5455E4}"/>
    <cellStyle name="Comma 2 8 8 6 2" xfId="20533" xr:uid="{C5A39DAC-082D-4ADA-A3E8-F3C1ED7F3D78}"/>
    <cellStyle name="Comma 2 8 8 7" xfId="18583" xr:uid="{B7286525-5601-46BF-A748-1BCDA9A94C83}"/>
    <cellStyle name="Comma 2 8 9" xfId="920" xr:uid="{355EDE02-CAAA-43B7-9315-85FE30A56444}"/>
    <cellStyle name="Comma 2 8 9 2" xfId="1788" xr:uid="{3CEA700D-3BC5-4AB5-99DA-A29A26AA9489}"/>
    <cellStyle name="Comma 2 8 9 2 2" xfId="3720" xr:uid="{94ED2FA7-8180-422E-AFCB-35C1D6D6B6BD}"/>
    <cellStyle name="Comma 2 8 9 2 2 2" xfId="20174" xr:uid="{122BF92C-455A-4B3F-B36C-42E4A88B764A}"/>
    <cellStyle name="Comma 2 8 9 2 3" xfId="17546" xr:uid="{2AAAAF73-4F9F-42D8-A5F1-61BDFFDFA20F}"/>
    <cellStyle name="Comma 2 8 9 2 3 2" xfId="20753" xr:uid="{A827E395-DDFB-4E03-9E81-D9B5F6A25FA6}"/>
    <cellStyle name="Comma 2 8 9 2 4" xfId="18803" xr:uid="{B0661B93-48ED-4C91-BBC5-D78468F531A3}"/>
    <cellStyle name="Comma 2 8 9 3" xfId="2595" xr:uid="{58A6CEA2-D976-44F7-A893-69769C347A3E}"/>
    <cellStyle name="Comma 2 8 9 3 2" xfId="3460" xr:uid="{7F55C690-BDE9-4A59-88DC-8F2524322AE0}"/>
    <cellStyle name="Comma 2 8 9 3 2 2" xfId="19918" xr:uid="{6B9EF1E9-95ED-475A-9910-C1C86F9920A4}"/>
    <cellStyle name="Comma 2 8 9 3 3" xfId="18036" xr:uid="{B81B90BD-9070-4BCE-86E9-5BEFDD1289CF}"/>
    <cellStyle name="Comma 2 8 9 3 3 2" xfId="21029" xr:uid="{F50D0E71-F59E-4B7A-ADF2-F1431F13C4D6}"/>
    <cellStyle name="Comma 2 8 9 3 4" xfId="19079" xr:uid="{37F7D77F-F1C1-4FDB-870B-2BE76BDC73EB}"/>
    <cellStyle name="Comma 2 8 9 4" xfId="2851" xr:uid="{312B44E1-84F3-4DB6-95B0-3AA1BC8A9AD4}"/>
    <cellStyle name="Comma 2 8 9 4 2" xfId="19335" xr:uid="{A5940216-8011-4C85-9272-E78431B84663}"/>
    <cellStyle name="Comma 2 8 9 5" xfId="3117" xr:uid="{956ED736-6D53-4D5C-8AF3-F95D2234D9E0}"/>
    <cellStyle name="Comma 2 8 9 5 2" xfId="19591" xr:uid="{8D3A87E8-1A98-4F4C-84DA-1B003CAAA7D5}"/>
    <cellStyle name="Comma 2 8 9 6" xfId="17108" xr:uid="{42B70402-8183-4343-9C7D-965275EB4FE0}"/>
    <cellStyle name="Comma 2 8 9 6 2" xfId="20385" xr:uid="{FE7614D2-3162-4498-BA6F-5A5205C407E3}"/>
    <cellStyle name="Comma 2 8 9 7" xfId="18435" xr:uid="{6C6EE95D-2182-44D2-9A43-3581E7BCC402}"/>
    <cellStyle name="Comma 2 9" xfId="231" xr:uid="{9386D3D3-1E94-44A0-AC6C-6326099DDCB8}"/>
    <cellStyle name="Comma 2 9 2" xfId="18122" xr:uid="{C148260D-73A8-4A6F-9E3E-52A418FBBF19}"/>
    <cellStyle name="Comma 2_Item Activity INPUT" xfId="15828" xr:uid="{FF561749-2A95-455A-BDE6-2F65FBC3C300}"/>
    <cellStyle name="Comma 20" xfId="232" xr:uid="{972C65C0-7B30-422E-B0E7-D1B7A6B8C394}"/>
    <cellStyle name="Comma 20 2" xfId="233" xr:uid="{FFC275A6-ED0F-4682-BE91-3A0DABC71962}"/>
    <cellStyle name="Comma 20 3" xfId="921" xr:uid="{1C8733F0-03E0-4E0D-AFC2-A8A54FEF0AE0}"/>
    <cellStyle name="Comma 21" xfId="234" xr:uid="{D5E405D4-23E0-46AA-9292-9A4D373D75A4}"/>
    <cellStyle name="Comma 21 2" xfId="235" xr:uid="{71CD354D-BF2B-4DE3-984F-B4736EFE26BF}"/>
    <cellStyle name="Comma 22" xfId="236" xr:uid="{20145F5B-E053-4D1C-B5E0-0F0255EABD53}"/>
    <cellStyle name="Comma 22 2" xfId="237" xr:uid="{04BF40CC-F2CD-46DB-9B7C-484A1EE8BDBD}"/>
    <cellStyle name="Comma 23" xfId="238" xr:uid="{FF4577ED-7F3B-4019-8D3B-0EFD0EB224C3}"/>
    <cellStyle name="Comma 23 2" xfId="239" xr:uid="{29189FB6-6DEE-4D27-A7BE-9DB39BD22900}"/>
    <cellStyle name="Comma 23 3" xfId="922" xr:uid="{AF71BFC7-F512-4E39-9B06-46E5C328C6E0}"/>
    <cellStyle name="Comma 24" xfId="240" xr:uid="{9FDE23CC-9D07-4A66-A803-5114D24E4CBA}"/>
    <cellStyle name="Comma 24 2" xfId="241" xr:uid="{31380197-1795-4A08-9B41-80513209A457}"/>
    <cellStyle name="Comma 25" xfId="242" xr:uid="{6DADE9FC-2919-4A2E-AF6A-F330C57662C1}"/>
    <cellStyle name="Comma 25 2" xfId="243" xr:uid="{48553DE8-9C2C-4C33-A680-C1323231C456}"/>
    <cellStyle name="Comma 26" xfId="244" xr:uid="{37733329-E18D-41E6-BDF7-2A61D41ED262}"/>
    <cellStyle name="Comma 26 2" xfId="245" xr:uid="{4DAD852E-41D3-4F63-9D8B-4B8D251496BA}"/>
    <cellStyle name="Comma 27" xfId="246" xr:uid="{77CB492D-4F1E-4C02-A2D6-23A26398AE9E}"/>
    <cellStyle name="Comma 27 2" xfId="247" xr:uid="{A12907AD-8871-432E-BC40-2B9680BDED5E}"/>
    <cellStyle name="Comma 28" xfId="248" xr:uid="{942E457E-680D-4322-A154-59E2D1D83DD2}"/>
    <cellStyle name="Comma 28 2" xfId="249" xr:uid="{07F18DE2-E2A5-4189-B6E0-33D857162393}"/>
    <cellStyle name="Comma 29" xfId="250" xr:uid="{D89431D5-479A-41FC-BEA3-18DC0685C932}"/>
    <cellStyle name="Comma 29 2" xfId="251" xr:uid="{C25907E5-ABF1-4FEF-ADE3-A018AB472917}"/>
    <cellStyle name="Comma 29 3" xfId="18121" xr:uid="{17F455E2-127B-46A0-A65C-C17BA88DA7A6}"/>
    <cellStyle name="Comma 3" xfId="252" xr:uid="{2D9B11AE-1CE3-414A-949F-E03320C1D439}"/>
    <cellStyle name="Comma 3 2" xfId="253" xr:uid="{86D80B21-AEBB-4254-91A7-7FD6756F6F0D}"/>
    <cellStyle name="Comma 3 2 2" xfId="254" xr:uid="{F150F150-A2FB-43A8-BA6E-CFB14AFF4980}"/>
    <cellStyle name="Comma 3 2 2 2" xfId="12295" xr:uid="{77758DAD-456F-41E9-89D6-A30D53E34EF1}"/>
    <cellStyle name="Comma 3 2 2 3" xfId="12294" xr:uid="{D3CFAA31-7DC7-41E3-9FD0-EF6D82F9735B}"/>
    <cellStyle name="Comma 3 2 2_Working Capital Current" xfId="15829" xr:uid="{F514D281-080A-4D33-8E08-FBA341E69F55}"/>
    <cellStyle name="Comma 3 2 3" xfId="923" xr:uid="{AA9E4FD1-AA8C-443A-A104-159148A56606}"/>
    <cellStyle name="Comma 3 2 3 2" xfId="17109" xr:uid="{FC301FD1-7D87-41A6-BF2D-B97C38C4340E}"/>
    <cellStyle name="Comma 3 2 3 3" xfId="12296" xr:uid="{BB67873E-815B-4CFF-B766-6D0A9A79AF0F}"/>
    <cellStyle name="Comma 3 2 4" xfId="924" xr:uid="{F0EA2B0C-AEB0-4822-AFAE-958B4C2BDC2D}"/>
    <cellStyle name="Comma 3 2 4 2" xfId="17110" xr:uid="{B585ECEE-DB46-43A3-83FC-E392643028F5}"/>
    <cellStyle name="Comma 3 2 4 3" xfId="12297" xr:uid="{DB84A5F5-0389-49DA-B118-FE613831AF33}"/>
    <cellStyle name="Comma 3 2 5" xfId="925" xr:uid="{0DCD3124-7EE9-49B8-863B-D5D959D9965B}"/>
    <cellStyle name="Comma 3 2 5 2" xfId="17111" xr:uid="{1F7C1AD9-DFED-46DC-80D4-C80714C30370}"/>
    <cellStyle name="Comma 3 2 5 3" xfId="12293" xr:uid="{245D9305-8185-4F72-B5C2-7EA8E01AB16F}"/>
    <cellStyle name="Comma 3 2_Working Capital Current" xfId="15830" xr:uid="{B25B8F19-32B6-4725-90C6-BD5C4F7EB49F}"/>
    <cellStyle name="Comma 3 3" xfId="255" xr:uid="{BB160B56-D832-4CA9-98EE-EA0B2EDD3E33}"/>
    <cellStyle name="Comma 3 3 2" xfId="256" xr:uid="{64243C8A-1995-420B-9395-BB1A23577510}"/>
    <cellStyle name="Comma 3 3 2 10" xfId="3858" xr:uid="{40842DB9-B360-4029-A0BB-3396700E16EF}"/>
    <cellStyle name="Comma 3 3 2 10 2" xfId="20309" xr:uid="{998ECD9B-858E-4B33-8AB2-E05FAC37C44A}"/>
    <cellStyle name="Comma 3 3 2 11" xfId="18382" xr:uid="{6FAA4EBB-C4FF-4EF1-8C02-B1386FC7DE39}"/>
    <cellStyle name="Comma 3 3 2 2" xfId="857" xr:uid="{CA32ADA8-58D1-4DC0-A5FE-0FE55EE48D5A}"/>
    <cellStyle name="Comma 3 3 2 2 10" xfId="3222" xr:uid="{34014279-32DB-4315-BE02-C8689FC5C91F}"/>
    <cellStyle name="Comma 3 3 2 2 10 2" xfId="19695" xr:uid="{FFC10B8E-9774-4186-B90D-07E33DDE0E20}"/>
    <cellStyle name="Comma 3 3 2 2 11" xfId="2942" xr:uid="{8D43FF6A-DBD5-4E46-8A93-C6E7E1C298CD}"/>
    <cellStyle name="Comma 3 3 2 2 11 2" xfId="19416" xr:uid="{2563F3E5-A79E-48E2-BA78-F637566DF665}"/>
    <cellStyle name="Comma 3 3 2 2 12" xfId="12299" xr:uid="{037FDA3A-AE13-41BD-B33D-A29BD24B0ECE}"/>
    <cellStyle name="Comma 3 3 2 2 13" xfId="18408" xr:uid="{F68E875B-D6C9-43C9-B573-BF7869468824}"/>
    <cellStyle name="Comma 3 3 2 2 2" xfId="1455" xr:uid="{1E147D0B-CD00-4726-945D-ED80972FB66A}"/>
    <cellStyle name="Comma 3 3 2 2 2 2" xfId="1652" xr:uid="{695A00BB-8100-4C41-8A74-E38606213261}"/>
    <cellStyle name="Comma 3 3 2 2 2 2 2" xfId="3586" xr:uid="{C3FE1789-F5C8-4443-9E4A-BFA6ACEB582D}"/>
    <cellStyle name="Comma 3 3 2 2 2 2 2 2" xfId="20040" xr:uid="{CBE366B6-1A6F-4A97-81D9-59620FDEF0E5}"/>
    <cellStyle name="Comma 3 3 2 2 2 2 3" xfId="17412" xr:uid="{2D59C198-7030-47FB-A050-20E43A403687}"/>
    <cellStyle name="Comma 3 3 2 2 2 2 3 2" xfId="20619" xr:uid="{58894511-4D74-46D1-93CF-8819F4249240}"/>
    <cellStyle name="Comma 3 3 2 2 2 2 4" xfId="18669" xr:uid="{FC583B92-CAD5-4D37-A50E-A24062ADF936}"/>
    <cellStyle name="Comma 3 3 2 2 2 3" xfId="2461" xr:uid="{4DC48FB0-54F3-4985-BBAB-7C045A26704A}"/>
    <cellStyle name="Comma 3 3 2 2 2 3 2" xfId="3316" xr:uid="{F5034663-F534-4E3A-A435-D6D17D811980}"/>
    <cellStyle name="Comma 3 3 2 2 2 3 2 2" xfId="19784" xr:uid="{80794B18-2E2D-40B1-A0A5-4D64E2185327}"/>
    <cellStyle name="Comma 3 3 2 2 2 3 3" xfId="17902" xr:uid="{15411B9E-5473-4636-920F-439012492CF0}"/>
    <cellStyle name="Comma 3 3 2 2 2 3 3 2" xfId="20895" xr:uid="{4446EAF0-CBE3-468D-BCD3-A32028424D0A}"/>
    <cellStyle name="Comma 3 3 2 2 2 3 4" xfId="18945" xr:uid="{7F490AEA-BFBB-4CAC-AF1F-DC04E96D57F4}"/>
    <cellStyle name="Comma 3 3 2 2 2 4" xfId="2717" xr:uid="{68D6AFA7-BDDA-4D45-AC95-FC34D3473BF9}"/>
    <cellStyle name="Comma 3 3 2 2 2 4 2" xfId="19201" xr:uid="{5171D586-9E39-4E56-B1FA-46BB74B74BD4}"/>
    <cellStyle name="Comma 3 3 2 2 2 5" xfId="2983" xr:uid="{E55739EF-F4A3-4D88-9251-ECFC6EB71FF9}"/>
    <cellStyle name="Comma 3 3 2 2 2 5 2" xfId="19457" xr:uid="{F086A5E6-9885-43B1-BB88-9FD33FF15468}"/>
    <cellStyle name="Comma 3 3 2 2 2 6" xfId="17239" xr:uid="{45172AA6-B71C-43C1-A39E-1532AF605024}"/>
    <cellStyle name="Comma 3 3 2 2 2 6 2" xfId="20447" xr:uid="{D2B2222A-CB39-488A-B320-68439D0286F4}"/>
    <cellStyle name="Comma 3 3 2 2 2 7" xfId="18497" xr:uid="{7846F81B-427C-4E1A-863C-0521B09AF976}"/>
    <cellStyle name="Comma 3 3 2 2 3" xfId="1512" xr:uid="{54C16456-8716-4E9F-8370-5A04B88F957C}"/>
    <cellStyle name="Comma 3 3 2 2 3 2" xfId="1697" xr:uid="{09F31FEF-0CA5-4A8E-A4FC-3EAA081F58B5}"/>
    <cellStyle name="Comma 3 3 2 2 3 2 2" xfId="3631" xr:uid="{12EA5E8B-76FA-4F1A-AA33-1CD1BE23095A}"/>
    <cellStyle name="Comma 3 3 2 2 3 2 2 2" xfId="20085" xr:uid="{54EAFDA4-12C7-4D61-8360-7776B82D173F}"/>
    <cellStyle name="Comma 3 3 2 2 3 2 3" xfId="17457" xr:uid="{2A067A40-92FC-400F-9D77-CE6AA426A7B1}"/>
    <cellStyle name="Comma 3 3 2 2 3 2 3 2" xfId="20664" xr:uid="{74F83634-8BBF-4730-A920-895E48EA875D}"/>
    <cellStyle name="Comma 3 3 2 2 3 2 4" xfId="18714" xr:uid="{8AAE73A3-BAC3-47A8-83D0-AD79E12B728B}"/>
    <cellStyle name="Comma 3 3 2 2 3 3" xfId="2506" xr:uid="{5CE13602-6F15-45C4-969D-137007124036}"/>
    <cellStyle name="Comma 3 3 2 2 3 3 2" xfId="3362" xr:uid="{139C6814-5A4B-495E-ADD9-21F67DAA23F0}"/>
    <cellStyle name="Comma 3 3 2 2 3 3 2 2" xfId="19829" xr:uid="{DD64CC14-F95E-433D-847F-C062D130008E}"/>
    <cellStyle name="Comma 3 3 2 2 3 3 3" xfId="17947" xr:uid="{EC203EC4-9F9E-4F27-AAE2-2A173AF11136}"/>
    <cellStyle name="Comma 3 3 2 2 3 3 3 2" xfId="20940" xr:uid="{5ABB03BA-3110-4CCE-B8F1-AFF1F9F29937}"/>
    <cellStyle name="Comma 3 3 2 2 3 3 4" xfId="18990" xr:uid="{7324C14C-045C-45BE-9F3F-994A051C0D43}"/>
    <cellStyle name="Comma 3 3 2 2 3 4" xfId="2762" xr:uid="{88EC3C04-C8E4-4FED-A1BB-8BC2E3E9515C}"/>
    <cellStyle name="Comma 3 3 2 2 3 4 2" xfId="19246" xr:uid="{7430B0D1-5444-44C2-B52E-0E79F4B9F295}"/>
    <cellStyle name="Comma 3 3 2 2 3 5" xfId="3028" xr:uid="{1F98450E-3F06-412F-ADA0-B4F5BFE04E18}"/>
    <cellStyle name="Comma 3 3 2 2 3 5 2" xfId="19502" xr:uid="{D36A6C39-4CBD-424E-A7F4-9DED6B42C11F}"/>
    <cellStyle name="Comma 3 3 2 2 3 6" xfId="17285" xr:uid="{6B2E5699-A783-41E2-A779-D61378F633C6}"/>
    <cellStyle name="Comma 3 3 2 2 3 6 2" xfId="20492" xr:uid="{46E43CC4-3459-4EF8-8E92-54AB0F586399}"/>
    <cellStyle name="Comma 3 3 2 2 3 7" xfId="18542" xr:uid="{2FD3E6D6-68CE-4C8C-B576-ED6A3B663AC4}"/>
    <cellStyle name="Comma 3 3 2 2 4" xfId="1572" xr:uid="{6506B98F-51E6-49EE-AD61-E995687FD8CE}"/>
    <cellStyle name="Comma 3 3 2 2 4 2" xfId="1744" xr:uid="{39DF8BC6-968B-4240-905B-F37C8CABA24F}"/>
    <cellStyle name="Comma 3 3 2 2 4 2 2" xfId="3678" xr:uid="{9D55A9D4-7694-4134-9D6C-9F444C87CE41}"/>
    <cellStyle name="Comma 3 3 2 2 4 2 2 2" xfId="20132" xr:uid="{866E3683-6D49-4BD9-93E6-17A7D75788D5}"/>
    <cellStyle name="Comma 3 3 2 2 4 2 3" xfId="17504" xr:uid="{EE970B4B-1934-45D6-96CD-252E148039CB}"/>
    <cellStyle name="Comma 3 3 2 2 4 2 3 2" xfId="20711" xr:uid="{E5C0C6BE-0D43-4B25-B0A8-CBE7ADB5B741}"/>
    <cellStyle name="Comma 3 3 2 2 4 2 4" xfId="18761" xr:uid="{7FF0BDC3-3476-4B03-A3DD-5FFD20D2AEF3}"/>
    <cellStyle name="Comma 3 3 2 2 4 3" xfId="2553" xr:uid="{E4069723-292E-4928-9B80-DDB3A75637B3}"/>
    <cellStyle name="Comma 3 3 2 2 4 3 2" xfId="3417" xr:uid="{C9AE319F-076E-4F59-A640-8BC9C84F3623}"/>
    <cellStyle name="Comma 3 3 2 2 4 3 2 2" xfId="19876" xr:uid="{074B46EA-4029-4F45-B996-2E9528F79D47}"/>
    <cellStyle name="Comma 3 3 2 2 4 3 3" xfId="17994" xr:uid="{BE3031BA-4593-4175-AA64-DC7C9656EC0D}"/>
    <cellStyle name="Comma 3 3 2 2 4 3 3 2" xfId="20987" xr:uid="{26F6618B-7472-47D3-A557-ECF42BF92BBA}"/>
    <cellStyle name="Comma 3 3 2 2 4 3 4" xfId="19037" xr:uid="{0FDF2ACB-AF2B-45A0-A663-54B102E68448}"/>
    <cellStyle name="Comma 3 3 2 2 4 4" xfId="2809" xr:uid="{3FB8EC96-BAA2-47B7-8B14-796240EEFAC0}"/>
    <cellStyle name="Comma 3 3 2 2 4 4 2" xfId="19293" xr:uid="{232809DA-6EC1-4744-950C-75F8EA7D5D49}"/>
    <cellStyle name="Comma 3 3 2 2 4 5" xfId="3075" xr:uid="{CA99E8FE-F9B0-444C-BFF1-D42014410B66}"/>
    <cellStyle name="Comma 3 3 2 2 4 5 2" xfId="19549" xr:uid="{63D90F02-107B-4B7E-8DC1-C52B8DCB51A2}"/>
    <cellStyle name="Comma 3 3 2 2 4 6" xfId="17332" xr:uid="{C5F6601F-0B46-4E0C-BF61-AED14DAA1073}"/>
    <cellStyle name="Comma 3 3 2 2 4 6 2" xfId="20539" xr:uid="{23428278-6E57-4000-B3EC-3CE7DCF44BA6}"/>
    <cellStyle name="Comma 3 3 2 2 4 7" xfId="18589" xr:uid="{481EFABB-FED8-45FB-BB06-8C664F6E5968}"/>
    <cellStyle name="Comma 3 3 2 2 5" xfId="1382" xr:uid="{A47D8EBF-5DEF-498E-A09A-78393BA3E57D}"/>
    <cellStyle name="Comma 3 3 2 2 5 2" xfId="1794" xr:uid="{695431FE-4287-4DAE-A15B-B7AD69E775B1}"/>
    <cellStyle name="Comma 3 3 2 2 5 2 2" xfId="3726" xr:uid="{EF3615EE-1A71-43A8-96BE-83E32A78AA69}"/>
    <cellStyle name="Comma 3 3 2 2 5 2 2 2" xfId="20180" xr:uid="{661A6CC7-5956-4F73-BDFF-684B76EA0996}"/>
    <cellStyle name="Comma 3 3 2 2 5 2 3" xfId="17552" xr:uid="{DB5ABE57-A922-4A8B-A3E5-DC83D9426A51}"/>
    <cellStyle name="Comma 3 3 2 2 5 2 3 2" xfId="20759" xr:uid="{BB36994F-BBD0-4707-B13A-C424CDBE3BCF}"/>
    <cellStyle name="Comma 3 3 2 2 5 2 4" xfId="18809" xr:uid="{8780287D-14E7-4B05-82D2-8F9E159229CE}"/>
    <cellStyle name="Comma 3 3 2 2 5 3" xfId="2601" xr:uid="{45CC451C-44C6-4DB9-977F-17F3743264DB}"/>
    <cellStyle name="Comma 3 3 2 2 5 3 2" xfId="3466" xr:uid="{C9130FFF-4B8E-4165-8859-F2903AD0CC1A}"/>
    <cellStyle name="Comma 3 3 2 2 5 3 2 2" xfId="19924" xr:uid="{D384908E-2B2D-4068-A9DA-4BB7725530EC}"/>
    <cellStyle name="Comma 3 3 2 2 5 3 3" xfId="18042" xr:uid="{0F7E1240-1312-435A-8E9D-1638AE645C5B}"/>
    <cellStyle name="Comma 3 3 2 2 5 3 3 2" xfId="21035" xr:uid="{2063155F-9C7C-4B99-866D-49D3029816FE}"/>
    <cellStyle name="Comma 3 3 2 2 5 3 4" xfId="19085" xr:uid="{EEF2290A-2F7E-47B2-9BA5-6C8A7236A2D6}"/>
    <cellStyle name="Comma 3 3 2 2 5 4" xfId="2857" xr:uid="{7F108545-4AD1-439A-871B-1AAB46B783F7}"/>
    <cellStyle name="Comma 3 3 2 2 5 4 2" xfId="19341" xr:uid="{11965F0A-4356-4470-B205-E5C95978182F}"/>
    <cellStyle name="Comma 3 3 2 2 5 5" xfId="3123" xr:uid="{6B0E958D-0026-4562-AB31-E1249112F942}"/>
    <cellStyle name="Comma 3 3 2 2 5 5 2" xfId="19597" xr:uid="{B06A8C11-9C6D-4EFA-8495-9B4E986D79BE}"/>
    <cellStyle name="Comma 3 3 2 2 5 6" xfId="17196" xr:uid="{D6B445E4-EDE8-45A4-AFD2-2C090BA7A20F}"/>
    <cellStyle name="Comma 3 3 2 2 5 6 2" xfId="20406" xr:uid="{59AC8376-BE42-4003-8B59-02C589506E3C}"/>
    <cellStyle name="Comma 3 3 2 2 5 7" xfId="18456" xr:uid="{EEF70B72-7B5B-4745-B0A2-89CBE9F1933A}"/>
    <cellStyle name="Comma 3 3 2 2 6" xfId="1839" xr:uid="{145A1463-D8BA-4131-9B84-58791762A5CA}"/>
    <cellStyle name="Comma 3 3 2 2 6 2" xfId="2640" xr:uid="{7407B897-9FA0-4B41-9BA7-3F9289D3FD40}"/>
    <cellStyle name="Comma 3 3 2 2 6 2 2" xfId="3765" xr:uid="{1DCD7D61-1C48-40F3-B6A5-8AAB8259A7B5}"/>
    <cellStyle name="Comma 3 3 2 2 6 2 2 2" xfId="20219" xr:uid="{8323A7AD-93F7-4518-81CB-437D56B31059}"/>
    <cellStyle name="Comma 3 3 2 2 6 2 3" xfId="18081" xr:uid="{2F92B60E-1673-44A4-84D1-4EFE76F4547A}"/>
    <cellStyle name="Comma 3 3 2 2 6 2 3 2" xfId="21074" xr:uid="{E2D41B85-0E2A-4A66-982B-C2C7265A7687}"/>
    <cellStyle name="Comma 3 3 2 2 6 2 4" xfId="19124" xr:uid="{0F6DB76F-F15F-4BAE-B931-99B39BB4AA8A}"/>
    <cellStyle name="Comma 3 3 2 2 6 3" xfId="2896" xr:uid="{5BEFA896-2DA4-4EDA-805C-B64AEB78B65F}"/>
    <cellStyle name="Comma 3 3 2 2 6 3 2" xfId="3509" xr:uid="{839DDD52-3450-4F0F-A1FE-7E74D9A38D53}"/>
    <cellStyle name="Comma 3 3 2 2 6 3 2 2" xfId="19963" xr:uid="{D7523F90-AC10-4859-AF80-BE51EDA478CD}"/>
    <cellStyle name="Comma 3 3 2 2 6 3 3" xfId="19380" xr:uid="{BEFE1992-EFE7-4C77-AB0F-F2EF5FFF2466}"/>
    <cellStyle name="Comma 3 3 2 2 6 4" xfId="3162" xr:uid="{74683846-486B-46A4-B225-80E9407A59D0}"/>
    <cellStyle name="Comma 3 3 2 2 6 4 2" xfId="19636" xr:uid="{C0485442-9645-433C-8673-2D04150E11E7}"/>
    <cellStyle name="Comma 3 3 2 2 6 5" xfId="17592" xr:uid="{03CDACC4-7BE4-4748-8054-154DE395336C}"/>
    <cellStyle name="Comma 3 3 2 2 6 5 2" xfId="20798" xr:uid="{5440B4A5-AF3C-48AE-A50E-AB8124A37CA9}"/>
    <cellStyle name="Comma 3 3 2 2 6 6" xfId="18848" xr:uid="{AA05BF40-3F32-4407-A075-E83535B91E92}"/>
    <cellStyle name="Comma 3 3 2 2 7" xfId="1611" xr:uid="{1570BF28-61E5-465A-A2CB-51BE41BB466A}"/>
    <cellStyle name="Comma 3 3 2 2 7 2" xfId="3274" xr:uid="{251CDB0C-F26F-4066-ADEA-D43544262B94}"/>
    <cellStyle name="Comma 3 3 2 2 7 2 2" xfId="19743" xr:uid="{9CD0A0A6-7E88-455D-A028-06D9C5C3397D}"/>
    <cellStyle name="Comma 3 3 2 2 7 3" xfId="17371" xr:uid="{6B9F32CB-07F1-4309-96C1-15A25D486404}"/>
    <cellStyle name="Comma 3 3 2 2 7 3 2" xfId="20578" xr:uid="{83F895E6-79CB-4662-B93F-E7464CD0C4A6}"/>
    <cellStyle name="Comma 3 3 2 2 7 4" xfId="18628" xr:uid="{6BBCB3A8-BFD3-4B2D-BC3B-97982745F302}"/>
    <cellStyle name="Comma 3 3 2 2 8" xfId="2420" xr:uid="{954277BA-1DF4-44B3-9026-D6CC2F6A2878}"/>
    <cellStyle name="Comma 3 3 2 2 8 2" xfId="3545" xr:uid="{0397615C-C81A-4F4B-808B-35AB3655AF87}"/>
    <cellStyle name="Comma 3 3 2 2 8 2 2" xfId="19999" xr:uid="{8105776A-24F4-418A-A3D3-788302E41FE5}"/>
    <cellStyle name="Comma 3 3 2 2 8 3" xfId="17859" xr:uid="{5791484C-F9B9-489C-8B8C-EE5BCD517D4A}"/>
    <cellStyle name="Comma 3 3 2 2 8 3 2" xfId="20854" xr:uid="{003E0806-B71E-4661-88D6-A2FFE24A66EA}"/>
    <cellStyle name="Comma 3 3 2 2 8 4" xfId="18904" xr:uid="{C2A5CE52-CDFA-4F35-9D5F-3D8E03A6C4D8}"/>
    <cellStyle name="Comma 3 3 2 2 9" xfId="2676" xr:uid="{5352E01D-3044-423A-A3D4-497DED56E9D3}"/>
    <cellStyle name="Comma 3 3 2 2 9 2" xfId="3824" xr:uid="{D7A18B1D-122B-40A4-8FEE-7593F57B2864}"/>
    <cellStyle name="Comma 3 3 2 2 9 2 2" xfId="20278" xr:uid="{9C7E7ACA-F273-4243-9876-8724E5554B10}"/>
    <cellStyle name="Comma 3 3 2 2 9 3" xfId="17066" xr:uid="{37B579F6-D62D-46A1-AE6D-BF2452BA55EC}"/>
    <cellStyle name="Comma 3 3 2 2 9 3 2" xfId="20358" xr:uid="{42C0747C-26F7-4FF0-A2DE-E3ADD5A84234}"/>
    <cellStyle name="Comma 3 3 2 2 9 4" xfId="19160" xr:uid="{1391F148-2814-4BD7-9390-6BEB8AF31923}"/>
    <cellStyle name="Comma 3 3 2 3" xfId="1418" xr:uid="{A45D6EAF-AE4B-4AA6-AA0B-859CB66F7767}"/>
    <cellStyle name="Comma 3 3 2 3 10" xfId="17219" xr:uid="{9CCF01CA-A73E-411E-B556-24100CC85568}"/>
    <cellStyle name="Comma 3 3 2 3 10 2" xfId="20428" xr:uid="{6BEECAC6-FF1A-4744-B6F0-3B103CA8F045}"/>
    <cellStyle name="Comma 3 3 2 3 11" xfId="18478" xr:uid="{0D0705B3-AB21-4EC9-A6F4-DF7795E931C7}"/>
    <cellStyle name="Comma 3 3 2 3 2" xfId="1513" xr:uid="{2B7FBED9-A1C2-4D0F-B67B-B30E036B2405}"/>
    <cellStyle name="Comma 3 3 2 3 2 2" xfId="1698" xr:uid="{8D4081E4-82C8-4AC3-8FB0-F21FF252BF76}"/>
    <cellStyle name="Comma 3 3 2 3 2 2 2" xfId="3632" xr:uid="{8C95E0EF-100A-4AB9-86F9-C865F28FF205}"/>
    <cellStyle name="Comma 3 3 2 3 2 2 2 2" xfId="20086" xr:uid="{527ACC0E-212C-4D64-AF4F-3E6EDF7DCDC6}"/>
    <cellStyle name="Comma 3 3 2 3 2 2 3" xfId="17458" xr:uid="{F71DA22C-ECA7-4C47-8292-6E0AD434F17E}"/>
    <cellStyle name="Comma 3 3 2 3 2 2 3 2" xfId="20665" xr:uid="{3733A976-08DC-4661-958A-284CCB469044}"/>
    <cellStyle name="Comma 3 3 2 3 2 2 4" xfId="18715" xr:uid="{096FE8AF-92B0-4F62-A212-D9A30C5B2EB3}"/>
    <cellStyle name="Comma 3 3 2 3 2 3" xfId="2507" xr:uid="{681F03B3-BD15-4DAF-BA4C-2DA6B47ADEC5}"/>
    <cellStyle name="Comma 3 3 2 3 2 3 2" xfId="3363" xr:uid="{C1D1420F-3DFA-4FED-82E5-603674C3671D}"/>
    <cellStyle name="Comma 3 3 2 3 2 3 2 2" xfId="19830" xr:uid="{56F18E91-74DD-4691-9EB1-79602D9E6B08}"/>
    <cellStyle name="Comma 3 3 2 3 2 3 3" xfId="17948" xr:uid="{88F1CD2B-A9DD-4585-9858-3FF446EEDFB3}"/>
    <cellStyle name="Comma 3 3 2 3 2 3 3 2" xfId="20941" xr:uid="{FC407C8D-E17A-4B29-AF7E-E867B0ACF4E0}"/>
    <cellStyle name="Comma 3 3 2 3 2 3 4" xfId="18991" xr:uid="{4F249516-2B68-4F01-956F-58064032222C}"/>
    <cellStyle name="Comma 3 3 2 3 2 4" xfId="2763" xr:uid="{E8531582-358D-4E4F-A3B2-92187A3A8EF8}"/>
    <cellStyle name="Comma 3 3 2 3 2 4 2" xfId="19247" xr:uid="{0253DCAD-0611-4567-B883-0308AF95F3D3}"/>
    <cellStyle name="Comma 3 3 2 3 2 5" xfId="3029" xr:uid="{A89FBFF2-7BC4-4889-ABE6-71DFD8235174}"/>
    <cellStyle name="Comma 3 3 2 3 2 5 2" xfId="19503" xr:uid="{22260720-4DBA-4642-9F80-A2C3D3CEFF21}"/>
    <cellStyle name="Comma 3 3 2 3 2 6" xfId="17286" xr:uid="{A50EF721-E166-4262-9325-BB6958E63494}"/>
    <cellStyle name="Comma 3 3 2 3 2 6 2" xfId="20493" xr:uid="{907985D5-6B2E-4349-8B3A-980A067DF0C4}"/>
    <cellStyle name="Comma 3 3 2 3 2 7" xfId="18543" xr:uid="{7260B835-08AC-4D5F-A7F9-8596692F6DFC}"/>
    <cellStyle name="Comma 3 3 2 3 3" xfId="1573" xr:uid="{FF485E22-C511-41B0-92DC-CAB7A4ADA4AC}"/>
    <cellStyle name="Comma 3 3 2 3 3 2" xfId="1745" xr:uid="{F4A31EEB-D1ED-469A-BF41-C216DF88FFBE}"/>
    <cellStyle name="Comma 3 3 2 3 3 2 2" xfId="3679" xr:uid="{ABA6F80F-D01D-4BCF-91A3-6FD55D5EE0B5}"/>
    <cellStyle name="Comma 3 3 2 3 3 2 2 2" xfId="20133" xr:uid="{A5EE671B-823A-4DEE-B0D9-186AF2A10CBF}"/>
    <cellStyle name="Comma 3 3 2 3 3 2 3" xfId="17505" xr:uid="{B5AB29E9-8D6C-4C30-8754-B5CCB826E22A}"/>
    <cellStyle name="Comma 3 3 2 3 3 2 3 2" xfId="20712" xr:uid="{0A1C13D3-BC9B-4D85-8DAE-FB1F98016A5B}"/>
    <cellStyle name="Comma 3 3 2 3 3 2 4" xfId="18762" xr:uid="{AF312000-EFBC-48F6-8E10-932FC8A328DD}"/>
    <cellStyle name="Comma 3 3 2 3 3 3" xfId="2554" xr:uid="{A1901C4C-C055-444C-92DB-5484A8D39F87}"/>
    <cellStyle name="Comma 3 3 2 3 3 3 2" xfId="3418" xr:uid="{4205AE96-2794-43C0-8B0C-A9ED1FBFAE70}"/>
    <cellStyle name="Comma 3 3 2 3 3 3 2 2" xfId="19877" xr:uid="{7E6F0315-EFDF-4975-AE3D-B6F973EDAF17}"/>
    <cellStyle name="Comma 3 3 2 3 3 3 3" xfId="17995" xr:uid="{E9C9921C-307E-4E4C-AC39-F7FE30DCFA54}"/>
    <cellStyle name="Comma 3 3 2 3 3 3 3 2" xfId="20988" xr:uid="{0AB58991-A5E7-4AE0-838A-FFABB0564FA1}"/>
    <cellStyle name="Comma 3 3 2 3 3 3 4" xfId="19038" xr:uid="{8C6A9025-FF5D-4B61-A1C0-4106E5E7E260}"/>
    <cellStyle name="Comma 3 3 2 3 3 4" xfId="2810" xr:uid="{070581E0-2875-495E-A919-EF73A0125FC4}"/>
    <cellStyle name="Comma 3 3 2 3 3 4 2" xfId="19294" xr:uid="{C59F5C32-E035-444C-A7D7-40D7505B13A0}"/>
    <cellStyle name="Comma 3 3 2 3 3 5" xfId="3076" xr:uid="{FF191AA7-E1FE-4DC8-B84B-FEFA41D73BFC}"/>
    <cellStyle name="Comma 3 3 2 3 3 5 2" xfId="19550" xr:uid="{7A653EF3-BC54-4C39-A414-5641C3C7CC4E}"/>
    <cellStyle name="Comma 3 3 2 3 3 6" xfId="17333" xr:uid="{A38BA769-2457-4B77-9C5E-192A3F3DD92F}"/>
    <cellStyle name="Comma 3 3 2 3 3 6 2" xfId="20540" xr:uid="{DA2D4288-7FFE-4740-804D-4D2C0689009D}"/>
    <cellStyle name="Comma 3 3 2 3 3 7" xfId="18590" xr:uid="{ABDD2DB6-3512-45F6-B1E0-DB0C4FE840F0}"/>
    <cellStyle name="Comma 3 3 2 3 4" xfId="1795" xr:uid="{06BA3A60-42AA-405F-8CC4-95E0EAC0167A}"/>
    <cellStyle name="Comma 3 3 2 3 4 2" xfId="2602" xr:uid="{F5E63FB8-FDDC-48CF-B82D-2CB95271F550}"/>
    <cellStyle name="Comma 3 3 2 3 4 2 2" xfId="3727" xr:uid="{875B9342-61B8-4A42-ABC0-74150036ADFC}"/>
    <cellStyle name="Comma 3 3 2 3 4 2 2 2" xfId="20181" xr:uid="{B2E0566F-9F31-472E-AD74-C8FC44964BE8}"/>
    <cellStyle name="Comma 3 3 2 3 4 2 3" xfId="18043" xr:uid="{8EEB2840-EC09-4BA5-A3F9-4D97DA9014D2}"/>
    <cellStyle name="Comma 3 3 2 3 4 2 3 2" xfId="21036" xr:uid="{B0DC8D8D-82BB-4F0D-B9E4-5DAA9AF674F6}"/>
    <cellStyle name="Comma 3 3 2 3 4 2 4" xfId="19086" xr:uid="{F01672B4-3F14-4948-92D1-D7B588ED58F8}"/>
    <cellStyle name="Comma 3 3 2 3 4 3" xfId="2858" xr:uid="{870838E5-C1C6-4B20-A0C3-BB59ABDB80C0}"/>
    <cellStyle name="Comma 3 3 2 3 4 3 2" xfId="3467" xr:uid="{4F7BA27B-CA20-46AD-95B9-53845F0A8067}"/>
    <cellStyle name="Comma 3 3 2 3 4 3 2 2" xfId="19925" xr:uid="{8FF88FA0-6C3A-4ED4-8DC8-234D7D0A6161}"/>
    <cellStyle name="Comma 3 3 2 3 4 3 3" xfId="19342" xr:uid="{204B61B7-462B-4D9D-A7C5-37583B3B7D55}"/>
    <cellStyle name="Comma 3 3 2 3 4 4" xfId="3124" xr:uid="{798F0E58-2800-4B35-8BD9-CE4FE4AF7A58}"/>
    <cellStyle name="Comma 3 3 2 3 4 4 2" xfId="19598" xr:uid="{8272F343-585F-4B04-BEC8-BB7F707DBC6A}"/>
    <cellStyle name="Comma 3 3 2 3 4 5" xfId="17553" xr:uid="{A4B26318-899E-4C99-B417-6B9A0CC67269}"/>
    <cellStyle name="Comma 3 3 2 3 4 5 2" xfId="20760" xr:uid="{64139AAB-B4A5-4B96-9863-C941C14C8B99}"/>
    <cellStyle name="Comma 3 3 2 3 4 6" xfId="18810" xr:uid="{47B198B2-13B0-4955-B8F9-0A4B62D3E704}"/>
    <cellStyle name="Comma 3 3 2 3 5" xfId="1633" xr:uid="{83F9D431-90CD-4B59-A208-12D8455A5529}"/>
    <cellStyle name="Comma 3 3 2 3 5 2" xfId="3297" xr:uid="{25190630-5EE3-421C-838D-458F645CF6BD}"/>
    <cellStyle name="Comma 3 3 2 3 5 2 2" xfId="19765" xr:uid="{7FF60758-9D5A-42E7-9938-E284F53E5B6D}"/>
    <cellStyle name="Comma 3 3 2 3 5 3" xfId="17393" xr:uid="{C6DBC499-BB42-4802-9723-59998C3EEDB4}"/>
    <cellStyle name="Comma 3 3 2 3 5 3 2" xfId="20600" xr:uid="{4AF088FE-8EE5-4417-BA50-37D938EB9E05}"/>
    <cellStyle name="Comma 3 3 2 3 5 4" xfId="18650" xr:uid="{B0968835-E30B-4240-AC03-739D1BC15B91}"/>
    <cellStyle name="Comma 3 3 2 3 6" xfId="2442" xr:uid="{2071A76D-7EB4-42F0-9A38-F6A8128C2AAC}"/>
    <cellStyle name="Comma 3 3 2 3 6 2" xfId="3567" xr:uid="{3A604163-3C5C-4DA9-9E89-E3C695BDC744}"/>
    <cellStyle name="Comma 3 3 2 3 6 2 2" xfId="20021" xr:uid="{A32A6CA6-38CF-429C-BCC9-124ABF76BCD8}"/>
    <cellStyle name="Comma 3 3 2 3 6 3" xfId="17881" xr:uid="{CE548672-4CBA-4FEF-B48F-43F0224A2DE9}"/>
    <cellStyle name="Comma 3 3 2 3 6 3 2" xfId="20876" xr:uid="{C0FC9685-CA41-4184-9EFB-955133640EB1}"/>
    <cellStyle name="Comma 3 3 2 3 6 4" xfId="18926" xr:uid="{562E9B13-3566-49AE-9921-E73B50FB546F}"/>
    <cellStyle name="Comma 3 3 2 3 7" xfId="2698" xr:uid="{9A83FDDB-BE91-4C3D-BEF6-4FFA0F84DE46}"/>
    <cellStyle name="Comma 3 3 2 3 7 2" xfId="3798" xr:uid="{BDB11425-346B-4B5E-97AB-5F77A8B9B01A}"/>
    <cellStyle name="Comma 3 3 2 3 7 2 2" xfId="20252" xr:uid="{DDFBDC3E-2DCF-4AB4-B029-0336F99DC45B}"/>
    <cellStyle name="Comma 3 3 2 3 7 3" xfId="19182" xr:uid="{F4A10C14-70B6-4F95-A510-B5BC4E2502C1}"/>
    <cellStyle name="Comma 3 3 2 3 8" xfId="3195" xr:uid="{C4A8A807-A2EB-4D99-BE05-9206AD77CE3B}"/>
    <cellStyle name="Comma 3 3 2 3 8 2" xfId="19669" xr:uid="{1E391BD8-3E8D-487A-89A8-A94FAD7FCBA1}"/>
    <cellStyle name="Comma 3 3 2 3 9" xfId="2964" xr:uid="{60FEB4CD-0020-4B59-A614-92EF2FF22E96}"/>
    <cellStyle name="Comma 3 3 2 3 9 2" xfId="19438" xr:uid="{E04C64FE-96F3-4509-8140-840A0BF2D5FD}"/>
    <cellStyle name="Comma 3 3 2 4" xfId="926" xr:uid="{41CB42CB-894E-4602-B7B2-96668CEFB96F}"/>
    <cellStyle name="Comma 3 3 2 4 2" xfId="1819" xr:uid="{D1BE430F-D580-4B92-80C9-7CB448481B92}"/>
    <cellStyle name="Comma 3 3 2 4 2 2" xfId="3745" xr:uid="{85DAF6B3-164D-4AE8-A606-F782D72C2566}"/>
    <cellStyle name="Comma 3 3 2 4 2 2 2" xfId="20199" xr:uid="{CD4A2F08-487D-4A58-B2CC-2A30ED0F0556}"/>
    <cellStyle name="Comma 3 3 2 4 2 3" xfId="17572" xr:uid="{8C1B6551-F4B2-41AD-B47D-7BB54F9BDDEA}"/>
    <cellStyle name="Comma 3 3 2 4 2 3 2" xfId="20778" xr:uid="{47ABBD15-EFCA-465A-8C64-9984A2D129CB}"/>
    <cellStyle name="Comma 3 3 2 4 2 4" xfId="18828" xr:uid="{2DC34519-CC31-4067-A2FF-DBC12E70795C}"/>
    <cellStyle name="Comma 3 3 2 4 3" xfId="2620" xr:uid="{659046D0-1C54-4844-A4C0-4168F6B7FA5F}"/>
    <cellStyle name="Comma 3 3 2 4 3 2" xfId="3489" xr:uid="{D346A556-0058-41D5-B5B4-6BCF03A91551}"/>
    <cellStyle name="Comma 3 3 2 4 3 2 2" xfId="19943" xr:uid="{C8EEB963-4118-4FE9-964E-7B3BB9BC4CCB}"/>
    <cellStyle name="Comma 3 3 2 4 3 3" xfId="18061" xr:uid="{8CB540E0-62C0-48F9-B279-45AFDDDEFD0C}"/>
    <cellStyle name="Comma 3 3 2 4 3 3 2" xfId="21054" xr:uid="{B2760885-DD31-4BB0-A146-1407733A5839}"/>
    <cellStyle name="Comma 3 3 2 4 3 4" xfId="19104" xr:uid="{0BBABCA1-EB4C-4F7F-B7C6-CB585E782827}"/>
    <cellStyle name="Comma 3 3 2 4 4" xfId="2876" xr:uid="{B30DB36D-C6DD-4297-82EE-C1FC0F24FAEC}"/>
    <cellStyle name="Comma 3 3 2 4 4 2" xfId="19360" xr:uid="{8E5695CF-B97F-4404-A902-1015FA09E6CC}"/>
    <cellStyle name="Comma 3 3 2 4 5" xfId="3142" xr:uid="{FEF20460-F823-4B3F-AD73-4C823AEE4CD7}"/>
    <cellStyle name="Comma 3 3 2 4 5 2" xfId="19616" xr:uid="{E2FB39F2-A2EC-4A3A-870B-9934E04A315F}"/>
    <cellStyle name="Comma 3 3 2 4 6" xfId="17112" xr:uid="{53A96225-BDE2-42ED-B098-FD080386AC97}"/>
    <cellStyle name="Comma 3 3 2 4 6 2" xfId="20386" xr:uid="{D1DD5E10-AAF9-4C90-9CF6-D953032BD727}"/>
    <cellStyle name="Comma 3 3 2 4 7" xfId="18436" xr:uid="{D6F90EDE-C987-4BF3-8746-B10F79842A1F}"/>
    <cellStyle name="Comma 3 3 2 5" xfId="1591" xr:uid="{DB8A26D9-9FDC-4A32-9FD9-866C683BB565}"/>
    <cellStyle name="Comma 3 3 2 5 2" xfId="3253" xr:uid="{62CE4F41-6EB2-4502-B65D-22B0EAC15178}"/>
    <cellStyle name="Comma 3 3 2 5 2 2" xfId="19723" xr:uid="{D12E41E3-A6AC-410B-822E-71C56C0AFDA1}"/>
    <cellStyle name="Comma 3 3 2 5 3" xfId="17351" xr:uid="{DF537159-A49E-4AD7-BA2D-8418782B0AFF}"/>
    <cellStyle name="Comma 3 3 2 5 3 2" xfId="20558" xr:uid="{71E6AAB7-43AF-4A9B-B34E-177596D82E29}"/>
    <cellStyle name="Comma 3 3 2 5 4" xfId="18608" xr:uid="{B36C86E2-5D43-4F9F-A8B7-4B3DC4F6D835}"/>
    <cellStyle name="Comma 3 3 2 6" xfId="2018" xr:uid="{8E28743B-30C6-4292-9428-29022D4EEFF2}"/>
    <cellStyle name="Comma 3 3 2 6 2" xfId="3525" xr:uid="{C52B817B-8DEB-4ADB-85D0-415BB2A249F4}"/>
    <cellStyle name="Comma 3 3 2 6 2 2" xfId="19979" xr:uid="{A8D0A002-BBA7-454E-BF56-821159F3F53E}"/>
    <cellStyle name="Comma 3 3 2 6 3" xfId="17727" xr:uid="{7F01CDC2-408C-4837-98BE-78ED158A6BDB}"/>
    <cellStyle name="Comma 3 3 2 6 3 2" xfId="20817" xr:uid="{9EAAF2B8-81F7-4079-BD8E-FB2595E4F4E8}"/>
    <cellStyle name="Comma 3 3 2 6 4" xfId="18867" xr:uid="{000B7534-CD76-44A8-848E-FC9C5818C912}"/>
    <cellStyle name="Comma 3 3 2 7" xfId="2400" xr:uid="{DAFE4F79-4C59-41C2-A484-6C177E663EEC}"/>
    <cellStyle name="Comma 3 3 2 7 2" xfId="3784" xr:uid="{63188AE6-6001-427D-B9DA-714A80470900}"/>
    <cellStyle name="Comma 3 3 2 7 2 2" xfId="20238" xr:uid="{E27D75A4-BB5A-40A3-82E9-D52DAE48FAF6}"/>
    <cellStyle name="Comma 3 3 2 7 3" xfId="17830" xr:uid="{CC2C7E68-509B-4731-ADB4-D3D43739DE0B}"/>
    <cellStyle name="Comma 3 3 2 7 3 2" xfId="20834" xr:uid="{B4BE7515-DC0C-4726-B157-FAF7ACA595A2}"/>
    <cellStyle name="Comma 3 3 2 7 4" xfId="18884" xr:uid="{23A60860-A272-448B-BFD9-A4750174CAC1}"/>
    <cellStyle name="Comma 3 3 2 8" xfId="2656" xr:uid="{0B18978D-7BDA-41E6-B1BB-DADB45580B7D}"/>
    <cellStyle name="Comma 3 3 2 8 2" xfId="3181" xr:uid="{148D597E-360F-4EF3-80B8-C6A9443D59C1}"/>
    <cellStyle name="Comma 3 3 2 8 2 2" xfId="19655" xr:uid="{7C1EAD9A-B50E-4F80-B4F5-F469216CB9BE}"/>
    <cellStyle name="Comma 3 3 2 8 3" xfId="16620" xr:uid="{14820D34-E69D-4D4D-9D58-5FE66F7E928E}"/>
    <cellStyle name="Comma 3 3 2 8 3 2" xfId="20331" xr:uid="{F500BB2B-D4C6-44C1-98B5-CD7839E2290C}"/>
    <cellStyle name="Comma 3 3 2 8 4" xfId="19140" xr:uid="{9A20EE80-DFA8-4A8B-A0CF-5DD2706C62BB}"/>
    <cellStyle name="Comma 3 3 2 9" xfId="2922" xr:uid="{0D10964F-D13B-43BB-92C8-56BE0F4C5ADC}"/>
    <cellStyle name="Comma 3 3 2 9 2" xfId="19396" xr:uid="{B77A93EE-44BC-47DE-9138-8082EB37652D}"/>
    <cellStyle name="Comma 3 3 3" xfId="927" xr:uid="{BE090EDA-77E2-49D4-B15C-487E48736506}"/>
    <cellStyle name="Comma 3 3 3 2" xfId="17113" xr:uid="{B1082147-14B2-4833-A42D-1C1C7A72F70C}"/>
    <cellStyle name="Comma 3 3 3 3" xfId="12298" xr:uid="{9C6A3EA3-A140-48BA-B38E-DA5D87AC1B7D}"/>
    <cellStyle name="Comma 3 3 4" xfId="928" xr:uid="{F39AFB08-1ACC-4004-8C25-893FD4E3F072}"/>
    <cellStyle name="Comma 3 3_Working Capital Current" xfId="15831" xr:uid="{F7A1127F-15B1-49E7-B480-3B3426A2483A}"/>
    <cellStyle name="Comma 3 4" xfId="257" xr:uid="{252DA038-C22C-4F64-9340-D8E4CAE0720A}"/>
    <cellStyle name="Comma 3 4 2" xfId="12300" xr:uid="{3B7C5C53-334E-49C3-A716-8ED1DA932AFD}"/>
    <cellStyle name="Comma 3 5" xfId="258" xr:uid="{A9E70DAC-985C-40EA-9994-E1DC0561C2B1}"/>
    <cellStyle name="Comma 3 5 2" xfId="12301" xr:uid="{4BBAB963-54C5-42AE-B2C6-19984DB4EAC9}"/>
    <cellStyle name="Comma 3 6" xfId="259" xr:uid="{4C71D2DC-7D38-4149-8807-AE899A6731AD}"/>
    <cellStyle name="Comma 3 7" xfId="260" xr:uid="{9529638B-3B36-4038-A531-EC9F7FE03581}"/>
    <cellStyle name="Comma 3 7 2" xfId="261" xr:uid="{7AB88CD5-8D64-4A0E-87D4-FABFD006CD5A}"/>
    <cellStyle name="Comma 3 8" xfId="929" xr:uid="{AD763114-FAF7-40CD-9722-75E615B46A35}"/>
    <cellStyle name="Comma 3 8 2" xfId="18120" xr:uid="{F9F8B134-67BB-4C03-8BA0-4A7FF61C2F97}"/>
    <cellStyle name="Comma 3 8 3" xfId="17114" xr:uid="{6D44EA7C-80EC-4C93-96A2-8C5A31016C72}"/>
    <cellStyle name="Comma 3 8 4" xfId="12292" xr:uid="{E4B21F32-9918-4912-BDE3-D609358402F9}"/>
    <cellStyle name="Comma 3_Working Capital Current" xfId="15832" xr:uid="{39189FB0-4906-4808-B641-356BC482352F}"/>
    <cellStyle name="Comma 30" xfId="262" xr:uid="{7ED071A9-7D80-45C5-A11F-0967261FA2DC}"/>
    <cellStyle name="Comma 30 2" xfId="263" xr:uid="{C39D7CC4-503B-42FF-9185-67796572784F}"/>
    <cellStyle name="Comma 31" xfId="264" xr:uid="{462F4084-BDB7-4BC8-8B18-22EC9E392569}"/>
    <cellStyle name="Comma 31 2" xfId="265" xr:uid="{10FAFB81-6052-479A-AACD-73FB56AE5589}"/>
    <cellStyle name="Comma 31 3" xfId="266" xr:uid="{4EC8DA0B-98F6-4D42-8526-2F8DD6BC4ACA}"/>
    <cellStyle name="Comma 32" xfId="267" xr:uid="{0D67D996-0E97-416C-AFFD-6266D934A5E3}"/>
    <cellStyle name="Comma 32 2" xfId="268" xr:uid="{87DF7171-2C19-44DB-8DCE-E6B7D63B85FA}"/>
    <cellStyle name="Comma 33" xfId="269" xr:uid="{43107ADF-0979-42D8-9F3B-6531B9064C0D}"/>
    <cellStyle name="Comma 33 2" xfId="270" xr:uid="{68EE5C09-359A-4AD0-B00A-3DE502471038}"/>
    <cellStyle name="Comma 33 3" xfId="271" xr:uid="{A88BE13C-537F-49FE-964F-55BD8EFA99D5}"/>
    <cellStyle name="Comma 34" xfId="272" xr:uid="{31168519-5F77-4902-AD9D-CE70178A5BAB}"/>
    <cellStyle name="Comma 34 2" xfId="273" xr:uid="{CA41359D-3A32-4A9E-A6E8-BCC47F4D6337}"/>
    <cellStyle name="Comma 35" xfId="274" xr:uid="{4F1435A2-0FFE-49EE-ACC4-3223160FF8E8}"/>
    <cellStyle name="Comma 35 2" xfId="930" xr:uid="{F01CC762-A1B4-489C-84AB-6CC75BD51EC7}"/>
    <cellStyle name="Comma 36" xfId="275" xr:uid="{1C34EE53-906D-4B7A-93F2-09A6D6A46E74}"/>
    <cellStyle name="Comma 36 2" xfId="276" xr:uid="{09667DA5-2E28-45CC-BA67-D016312F55B4}"/>
    <cellStyle name="Comma 37" xfId="179" xr:uid="{B1541CF3-DEAC-4A8B-820F-F0E57D445BEA}"/>
    <cellStyle name="Comma 37 2" xfId="846" xr:uid="{E5E02648-216B-464F-B3BD-239D0CA1F61C}"/>
    <cellStyle name="Comma 37 3" xfId="1371" xr:uid="{1927173C-49CF-4E51-8AD9-8D8FF5AB9110}"/>
    <cellStyle name="Comma 37 3 2" xfId="1444" xr:uid="{36A761F4-D61F-4A44-8C21-AA9C9A979AD1}"/>
    <cellStyle name="Comma 37 4" xfId="16609" xr:uid="{723F68B8-BAFE-4F7E-89FC-3AD7A87102EF}"/>
    <cellStyle name="Comma 38" xfId="819" xr:uid="{9AB3B923-E3D3-49EE-97E0-909AC782290B}"/>
    <cellStyle name="Comma 38 2" xfId="861" xr:uid="{8785E77B-9EBE-4B86-A31A-0CA14D867413}"/>
    <cellStyle name="Comma 38 3" xfId="17030" xr:uid="{BF46C098-DEE9-4E22-928E-64B541027FFC}"/>
    <cellStyle name="Comma 39" xfId="833" xr:uid="{015833EF-A90E-4460-A827-74D77A1F51E0}"/>
    <cellStyle name="Comma 39 2" xfId="932" xr:uid="{7C4C5A21-B476-4F89-81E8-5591DCCFD7D6}"/>
    <cellStyle name="Comma 39 3" xfId="931" xr:uid="{67DA7E52-025F-4635-9CE2-D2EC8522A013}"/>
    <cellStyle name="Comma 39 4" xfId="17044" xr:uid="{332EEB42-6FCF-49CC-8003-74DADAB76BFA}"/>
    <cellStyle name="Comma 4" xfId="277" xr:uid="{8C8E356A-2322-4757-BF0A-927BF64A92C0}"/>
    <cellStyle name="Comma 4 2" xfId="278" xr:uid="{A0CA92D2-DA6F-4BAB-BB49-57A6F103AA60}"/>
    <cellStyle name="Comma 4 2 2" xfId="279" xr:uid="{A3AA4335-9AA2-45D3-BECC-FFAE734F14C2}"/>
    <cellStyle name="Comma 4 2 2 2" xfId="12305" xr:uid="{AF716AEF-BAA7-442F-A497-540CAAB4DBAD}"/>
    <cellStyle name="Comma 4 2 2 3" xfId="12304" xr:uid="{64E13765-CF75-4AD3-9C70-CCA46814742F}"/>
    <cellStyle name="Comma 4 2 2_Working Capital Current" xfId="15833" xr:uid="{4C6F1A48-C17A-493C-AA14-4D56882FDEA6}"/>
    <cellStyle name="Comma 4 2 3" xfId="933" xr:uid="{AC0A3E95-3AB4-4998-AD61-FABCED238C1B}"/>
    <cellStyle name="Comma 4 2 3 2" xfId="17115" xr:uid="{90E5228E-CC7E-447B-8F74-68A03D4B172F}"/>
    <cellStyle name="Comma 4 2 3 3" xfId="12306" xr:uid="{1DCDB2A1-2C4D-48C6-B20F-7C7C9D2FAA24}"/>
    <cellStyle name="Comma 4 2 4" xfId="934" xr:uid="{D1370A89-9AF8-47C9-98C2-C3AE24884592}"/>
    <cellStyle name="Comma 4 2 4 2" xfId="17116" xr:uid="{F22F468C-008B-46B2-8136-F4E9F0B02DCD}"/>
    <cellStyle name="Comma 4 2 4 3" xfId="12307" xr:uid="{DAB5F826-9C1A-479E-A3A0-D8B614DC7615}"/>
    <cellStyle name="Comma 4 2 5" xfId="12303" xr:uid="{84508E0E-5DFB-478F-9DA7-6AD95ED5CFA9}"/>
    <cellStyle name="Comma 4 2_Working Capital Current" xfId="15834" xr:uid="{A5D3EB32-13D5-4EBC-84B3-3D59C84FEBB6}"/>
    <cellStyle name="Comma 4 3" xfId="280" xr:uid="{4BDE22A7-EE0E-401C-9BB1-998461A105E2}"/>
    <cellStyle name="Comma 4 3 2" xfId="281" xr:uid="{3915A739-039C-4AD6-80BE-4359724D4426}"/>
    <cellStyle name="Comma 4 3 2 2" xfId="12309" xr:uid="{EE0AA568-01BB-44D0-BCAD-517C5E6D91A6}"/>
    <cellStyle name="Comma 4 3 3" xfId="12308" xr:uid="{F933DB11-6EE1-4E79-B723-85E4E4B6B8E7}"/>
    <cellStyle name="Comma 4 3_Working Capital Current" xfId="15835" xr:uid="{924E697B-C989-4D00-8F9A-BB82CC2E88F2}"/>
    <cellStyle name="Comma 4 4" xfId="282" xr:uid="{F51740B3-0BF3-4166-8B53-62939F123E99}"/>
    <cellStyle name="Comma 4 4 2" xfId="12310" xr:uid="{121FA3EE-E8BE-4FBF-8816-423954FC4250}"/>
    <cellStyle name="Comma 4 5" xfId="283" xr:uid="{BDF43F00-FED0-4A87-894A-0BF1E2219469}"/>
    <cellStyle name="Comma 4 5 2" xfId="12311" xr:uid="{550F543D-0D0C-4F77-BB61-0923AE5DBF34}"/>
    <cellStyle name="Comma 4 6" xfId="284" xr:uid="{6607F3AC-1A31-4546-BF47-A27B51EC7391}"/>
    <cellStyle name="Comma 4 6 10" xfId="1820" xr:uid="{EE8CFB42-2D1F-4942-9AFA-6DFD26565288}"/>
    <cellStyle name="Comma 4 6 10 2" xfId="2621" xr:uid="{B588BEE3-8BF2-43D9-8BA7-0A33555C6571}"/>
    <cellStyle name="Comma 4 6 10 2 2" xfId="3746" xr:uid="{7ECAA2D2-41C6-4C6B-9163-D36C9A7D0504}"/>
    <cellStyle name="Comma 4 6 10 2 2 2" xfId="20200" xr:uid="{F066CFCB-0121-4D45-8179-2E918CC9ECCA}"/>
    <cellStyle name="Comma 4 6 10 2 3" xfId="18062" xr:uid="{62DD6DF9-26E8-4C49-BDA4-096A491227A6}"/>
    <cellStyle name="Comma 4 6 10 2 3 2" xfId="21055" xr:uid="{A03AE07A-685B-4CAE-A8A8-E86B395F490C}"/>
    <cellStyle name="Comma 4 6 10 2 4" xfId="19105" xr:uid="{A23F2A77-1E98-4F3D-A7FC-069879C510E5}"/>
    <cellStyle name="Comma 4 6 10 3" xfId="2877" xr:uid="{F7EEA068-CED0-4FD2-B2AF-C9D8750BDC64}"/>
    <cellStyle name="Comma 4 6 10 3 2" xfId="3490" xr:uid="{996E33FC-FE6A-49A4-BE52-4A5154264EE8}"/>
    <cellStyle name="Comma 4 6 10 3 2 2" xfId="19944" xr:uid="{BB525B46-8F32-4E2E-9A63-27AB1371E315}"/>
    <cellStyle name="Comma 4 6 10 3 3" xfId="19361" xr:uid="{7BF5890E-A6A5-468A-9989-F049AADDAF9B}"/>
    <cellStyle name="Comma 4 6 10 4" xfId="3143" xr:uid="{A823A3C0-B774-417C-BC55-D9572581B658}"/>
    <cellStyle name="Comma 4 6 10 4 2" xfId="19617" xr:uid="{218C2275-8ABA-4AC8-8C6E-34712572BE66}"/>
    <cellStyle name="Comma 4 6 10 5" xfId="17573" xr:uid="{AEBA1624-CCC2-49A8-A6A6-C7631C2EB32C}"/>
    <cellStyle name="Comma 4 6 10 5 2" xfId="20779" xr:uid="{9891FB2F-D50E-4F8D-86D5-1816CB95F006}"/>
    <cellStyle name="Comma 4 6 10 6" xfId="18829" xr:uid="{73EA647B-6D01-4EAD-AB78-1BC1D3C83C15}"/>
    <cellStyle name="Comma 4 6 11" xfId="1592" xr:uid="{91C4ADB0-6EE0-484D-94EB-240D238139E7}"/>
    <cellStyle name="Comma 4 6 11 2" xfId="3254" xr:uid="{7DA97E18-2B87-4319-B3F4-A4BF92313557}"/>
    <cellStyle name="Comma 4 6 11 2 2" xfId="19724" xr:uid="{8B9478A1-896C-4F05-8B26-8DD77179EAE2}"/>
    <cellStyle name="Comma 4 6 11 3" xfId="17352" xr:uid="{88F4A2E0-F565-4C09-AD46-AA6632F0B767}"/>
    <cellStyle name="Comma 4 6 11 3 2" xfId="20559" xr:uid="{725094B1-CA0F-43C7-8256-123FDE03490A}"/>
    <cellStyle name="Comma 4 6 11 4" xfId="18609" xr:uid="{CA028F1A-0DBA-4EF2-93B2-759C70EF2BC9}"/>
    <cellStyle name="Comma 4 6 12" xfId="2019" xr:uid="{55F70826-6C0D-43D3-AFBE-1DAAF120249E}"/>
    <cellStyle name="Comma 4 6 12 2" xfId="3526" xr:uid="{A016C65A-319F-47FF-8CF1-67A3FB2EB3D2}"/>
    <cellStyle name="Comma 4 6 12 2 2" xfId="19980" xr:uid="{255C3361-62F1-471C-92FD-8DB0003F2521}"/>
    <cellStyle name="Comma 4 6 12 3" xfId="17728" xr:uid="{91C26534-2D07-40E7-8A8C-222EFAEF901B}"/>
    <cellStyle name="Comma 4 6 12 3 2" xfId="20818" xr:uid="{A2E7FE32-D602-4EE1-BBF5-FBBFF0BB2B71}"/>
    <cellStyle name="Comma 4 6 12 4" xfId="18868" xr:uid="{A35D2D8A-309E-48A3-85D8-8C4E656A6F75}"/>
    <cellStyle name="Comma 4 6 13" xfId="2401" xr:uid="{67D76E02-A3F4-4CCD-9F4B-C60250E75C17}"/>
    <cellStyle name="Comma 4 6 13 2" xfId="3785" xr:uid="{335FC283-189C-43AB-8FFB-742DF4EDC16E}"/>
    <cellStyle name="Comma 4 6 13 2 2" xfId="20239" xr:uid="{8689FFB7-F0C8-4484-9089-7FCE2D952672}"/>
    <cellStyle name="Comma 4 6 13 3" xfId="17831" xr:uid="{EF2C862B-8764-477B-81B7-829BC512265B}"/>
    <cellStyle name="Comma 4 6 13 3 2" xfId="20835" xr:uid="{C7721B6F-0F11-484D-97AD-7030BEE62336}"/>
    <cellStyle name="Comma 4 6 13 4" xfId="18885" xr:uid="{43C14D25-0770-4235-80D7-0574F886EB54}"/>
    <cellStyle name="Comma 4 6 14" xfId="2657" xr:uid="{352E4238-8667-404E-8AA4-9FC51D76E2D6}"/>
    <cellStyle name="Comma 4 6 14 2" xfId="3182" xr:uid="{AED1A3EB-D622-4895-BF92-B7921AE55BAE}"/>
    <cellStyle name="Comma 4 6 14 2 2" xfId="19656" xr:uid="{FA739F62-6AB6-4458-86C8-BA7880275A31}"/>
    <cellStyle name="Comma 4 6 14 3" xfId="18119" xr:uid="{41513FEC-7689-4CF7-929C-85381616CB4D}"/>
    <cellStyle name="Comma 4 6 14 3 2" xfId="21082" xr:uid="{6752A5AF-B50A-4E1E-B4B8-8559394F381D}"/>
    <cellStyle name="Comma 4 6 14 4" xfId="19141" xr:uid="{8FDBC89B-5625-450E-85CE-F1415712533D}"/>
    <cellStyle name="Comma 4 6 15" xfId="2923" xr:uid="{CF7EE721-6693-4CCF-9677-82C83AEC61DD}"/>
    <cellStyle name="Comma 4 6 15 2" xfId="18154" xr:uid="{4BD8929B-3095-41C2-9227-190F6CBD48F7}"/>
    <cellStyle name="Comma 4 6 15 2 2" xfId="21096" xr:uid="{0C38D818-3CC4-4252-B851-E9C2DB366549}"/>
    <cellStyle name="Comma 4 6 15 3" xfId="19397" xr:uid="{947F893D-0ED0-41EA-8DD9-F57CCE062EBA}"/>
    <cellStyle name="Comma 4 6 16" xfId="16621" xr:uid="{ED6EE0EE-0F0C-4FF0-9356-0E1232254A92}"/>
    <cellStyle name="Comma 4 6 16 2" xfId="20332" xr:uid="{5B52F264-6F73-41E0-8E71-B3AA95E70DF6}"/>
    <cellStyle name="Comma 4 6 17" xfId="3859" xr:uid="{28B7C2C6-6986-46ED-9663-792B49832192}"/>
    <cellStyle name="Comma 4 6 17 2" xfId="20310" xr:uid="{63A3CAC6-689B-4538-81B2-EB427CBFA969}"/>
    <cellStyle name="Comma 4 6 18" xfId="18383" xr:uid="{5A6341D0-FBEC-4D20-9AC9-C5121818E9F1}"/>
    <cellStyle name="Comma 4 6 2" xfId="825" xr:uid="{E859D408-AE41-4E6B-ADA2-B4ED7FD52D2F}"/>
    <cellStyle name="Comma 4 6 2 10" xfId="2664" xr:uid="{EC8F5F97-50B3-46D0-9CDC-67F6970FB4EE}"/>
    <cellStyle name="Comma 4 6 2 10 2" xfId="3203" xr:uid="{FB817E79-13EA-4631-A0A6-4F14B557735A}"/>
    <cellStyle name="Comma 4 6 2 10 2 2" xfId="19677" xr:uid="{4D73DA66-A4DB-47DA-A5E7-36AA2C783424}"/>
    <cellStyle name="Comma 4 6 2 10 3" xfId="17036" xr:uid="{DA462F4A-D7DA-4DE9-AB6B-DD4930DF24B4}"/>
    <cellStyle name="Comma 4 6 2 10 3 2" xfId="20340" xr:uid="{5A8A24BF-DE4A-476E-95CC-AFAAA344797E}"/>
    <cellStyle name="Comma 4 6 2 10 4" xfId="19148" xr:uid="{12690CD1-F19E-4F43-AB34-71132682CE15}"/>
    <cellStyle name="Comma 4 6 2 11" xfId="2930" xr:uid="{96C9FED6-B4B7-4A61-BF63-A31C70C0C8A7}"/>
    <cellStyle name="Comma 4 6 2 11 2" xfId="19404" xr:uid="{3A5F6424-1F40-4D46-99DA-42C4D0DE41BE}"/>
    <cellStyle name="Comma 4 6 2 12" xfId="3926" xr:uid="{7D79C76C-F2B4-448D-AAC4-BF1EF60A0506}"/>
    <cellStyle name="Comma 4 6 2 12 2" xfId="20318" xr:uid="{12622E64-BF7A-47D7-8CE6-935D0D3D24D7}"/>
    <cellStyle name="Comma 4 6 2 13" xfId="18390" xr:uid="{7944A8D9-C4B7-4E0E-A278-7380D1408452}"/>
    <cellStyle name="Comma 4 6 2 2" xfId="867" xr:uid="{6CE2FB26-D93C-42EF-822D-598EF6E39E40}"/>
    <cellStyle name="Comma 4 6 2 2 2" xfId="1438" xr:uid="{7B74BCD7-D063-4848-9DD3-863A0BDD399B}"/>
    <cellStyle name="Comma 4 6 2 2 2 2" xfId="3304" xr:uid="{7CFA0811-2096-44FB-B148-A9B25CAACBC0}"/>
    <cellStyle name="Comma 4 6 2 2 2 2 2" xfId="19772" xr:uid="{AF1D70FD-EA60-45DE-B409-2152EE5656C0}"/>
    <cellStyle name="Comma 4 6 2 2 2 3" xfId="17227" xr:uid="{21D28DC3-959B-436C-BB4A-E9B24D33E514}"/>
    <cellStyle name="Comma 4 6 2 2 2 3 2" xfId="20435" xr:uid="{915F9531-7548-4404-ACB6-6087C4CC56BD}"/>
    <cellStyle name="Comma 4 6 2 2 2 4" xfId="18485" xr:uid="{274D9B8D-6EBD-4060-8A55-A643CE99C94B}"/>
    <cellStyle name="Comma 4 6 2 2 3" xfId="1640" xr:uid="{46339754-9FB3-4894-B375-F412858B4426}"/>
    <cellStyle name="Comma 4 6 2 2 3 2" xfId="3574" xr:uid="{FE6A1729-23F3-4DB3-A5B4-B5F18F80ADE1}"/>
    <cellStyle name="Comma 4 6 2 2 3 2 2" xfId="20028" xr:uid="{891F473D-9AEE-49F4-B2BD-3CCB9AE39066}"/>
    <cellStyle name="Comma 4 6 2 2 3 3" xfId="17400" xr:uid="{2BE3B213-88FD-4F04-A982-1FBE114905E0}"/>
    <cellStyle name="Comma 4 6 2 2 3 3 2" xfId="20607" xr:uid="{6A3AF4EC-2618-4628-A641-3FF9B5EBA828}"/>
    <cellStyle name="Comma 4 6 2 2 3 4" xfId="18657" xr:uid="{6700E349-45FA-4CA7-ADE4-17C8E649BFF0}"/>
    <cellStyle name="Comma 4 6 2 2 4" xfId="2449" xr:uid="{3152349F-8B9E-43D3-9550-E8BD224DA578}"/>
    <cellStyle name="Comma 4 6 2 2 4 2" xfId="3831" xr:uid="{2CEDEA0E-9BEA-447E-9C63-26FD5EFEA5C3}"/>
    <cellStyle name="Comma 4 6 2 2 4 2 2" xfId="20285" xr:uid="{09A2A363-5A67-4B0A-BE29-B41C8A0772E0}"/>
    <cellStyle name="Comma 4 6 2 2 4 3" xfId="17888" xr:uid="{FB34979B-FCD8-47C3-BE5A-655153C1B4D8}"/>
    <cellStyle name="Comma 4 6 2 2 4 3 2" xfId="20883" xr:uid="{99CA7A22-0BDC-4248-9149-A756A3EDE06C}"/>
    <cellStyle name="Comma 4 6 2 2 4 4" xfId="18933" xr:uid="{5D56D97A-576D-4188-A29F-9C2E8891E6C0}"/>
    <cellStyle name="Comma 4 6 2 2 5" xfId="2705" xr:uid="{6F7C6F11-0DFF-4D8F-B891-91F03078C4A9}"/>
    <cellStyle name="Comma 4 6 2 2 5 2" xfId="3230" xr:uid="{F9E8C067-7A68-4F21-BEE8-9122F3AC2FBD}"/>
    <cellStyle name="Comma 4 6 2 2 5 2 2" xfId="19702" xr:uid="{1A109F9B-5D92-4D00-B4D6-765786E9C5A1}"/>
    <cellStyle name="Comma 4 6 2 2 5 3" xfId="19189" xr:uid="{164A50F0-042D-47B8-AAF6-D0B6E3CEC5EC}"/>
    <cellStyle name="Comma 4 6 2 2 6" xfId="2971" xr:uid="{A0C93B56-293F-44C1-8908-48619719711A}"/>
    <cellStyle name="Comma 4 6 2 2 6 2" xfId="19445" xr:uid="{82CEFD56-5792-4C4E-A2B1-9AAFE5C3D050}"/>
    <cellStyle name="Comma 4 6 2 2 7" xfId="17073" xr:uid="{10860F10-5EB0-4632-B34B-1F15909EDEE8}"/>
    <cellStyle name="Comma 4 6 2 2 7 2" xfId="20365" xr:uid="{BFD6297C-1413-4FCD-A3B7-90643871035D}"/>
    <cellStyle name="Comma 4 6 2 2 8" xfId="18415" xr:uid="{957E4E21-7C00-4B29-9D3D-78D9DD30CEAD}"/>
    <cellStyle name="Comma 4 6 2 3" xfId="1515" xr:uid="{CEE547D4-7083-4EF1-9AED-8A0E0BCC365F}"/>
    <cellStyle name="Comma 4 6 2 3 2" xfId="1700" xr:uid="{557443B8-BC1A-409F-A9FD-93D2ED42EBF9}"/>
    <cellStyle name="Comma 4 6 2 3 2 2" xfId="3634" xr:uid="{FF436CAF-7390-4E07-A1AB-02D957ECFF67}"/>
    <cellStyle name="Comma 4 6 2 3 2 2 2" xfId="20088" xr:uid="{4F7A42D0-EEA9-4E8E-B4B1-6E160B56066C}"/>
    <cellStyle name="Comma 4 6 2 3 2 3" xfId="17460" xr:uid="{38385F74-192B-424E-A811-D82C397D7CC6}"/>
    <cellStyle name="Comma 4 6 2 3 2 3 2" xfId="20667" xr:uid="{5AD4D016-1AA6-4753-AC01-C47C6691A367}"/>
    <cellStyle name="Comma 4 6 2 3 2 4" xfId="18717" xr:uid="{559B1429-CE29-46EE-9E02-ABF2D62F8684}"/>
    <cellStyle name="Comma 4 6 2 3 3" xfId="2509" xr:uid="{70BB1858-691D-4975-968D-B0AD21A63F25}"/>
    <cellStyle name="Comma 4 6 2 3 3 2" xfId="3365" xr:uid="{2B675717-222E-452C-BB79-EB50228C260E}"/>
    <cellStyle name="Comma 4 6 2 3 3 2 2" xfId="19832" xr:uid="{5E38AD5D-C44D-4ACC-8538-F670B6176C66}"/>
    <cellStyle name="Comma 4 6 2 3 3 3" xfId="17950" xr:uid="{E4A7E7A4-6B38-4C18-9B8C-CD7592C908FF}"/>
    <cellStyle name="Comma 4 6 2 3 3 3 2" xfId="20943" xr:uid="{42BC9ECB-09AD-4CE2-A42D-09BBFAE7EF52}"/>
    <cellStyle name="Comma 4 6 2 3 3 4" xfId="18993" xr:uid="{DDB12EF4-6051-474C-9603-51105492D368}"/>
    <cellStyle name="Comma 4 6 2 3 4" xfId="2765" xr:uid="{FD56E7D2-6CAD-4345-BBC5-3786087B469F}"/>
    <cellStyle name="Comma 4 6 2 3 4 2" xfId="19249" xr:uid="{6C38D805-B3EC-4375-AD97-74336E3F338F}"/>
    <cellStyle name="Comma 4 6 2 3 5" xfId="3031" xr:uid="{7995D8E8-F81C-4B55-88F0-D1B3FED2D2EE}"/>
    <cellStyle name="Comma 4 6 2 3 5 2" xfId="19505" xr:uid="{30A3E9D3-9D73-4404-B43E-5EEA311A964F}"/>
    <cellStyle name="Comma 4 6 2 3 6" xfId="17288" xr:uid="{8539A0F7-A4A7-49BD-A13C-3B9982BEEAA0}"/>
    <cellStyle name="Comma 4 6 2 3 6 2" xfId="20495" xr:uid="{1C522986-4519-4BE6-85CD-579D5C6E4A56}"/>
    <cellStyle name="Comma 4 6 2 3 7" xfId="18545" xr:uid="{137F033E-0185-40F8-9D54-C85983854C8B}"/>
    <cellStyle name="Comma 4 6 2 4" xfId="1575" xr:uid="{FA973727-AEAA-4593-8B36-248D92C6FF85}"/>
    <cellStyle name="Comma 4 6 2 4 2" xfId="1747" xr:uid="{80FCA88E-0206-4700-844D-6264FB6BD347}"/>
    <cellStyle name="Comma 4 6 2 4 2 2" xfId="3681" xr:uid="{F6B89A76-3E08-4AFA-B733-10A982BAE1C7}"/>
    <cellStyle name="Comma 4 6 2 4 2 2 2" xfId="20135" xr:uid="{7840D1AD-8536-4D73-8BC1-8248285BB341}"/>
    <cellStyle name="Comma 4 6 2 4 2 3" xfId="17507" xr:uid="{C1EF2C69-8B2B-4052-8E74-6A4897D96148}"/>
    <cellStyle name="Comma 4 6 2 4 2 3 2" xfId="20714" xr:uid="{F3B76E01-38D0-4D51-B5EE-29B44B395C55}"/>
    <cellStyle name="Comma 4 6 2 4 2 4" xfId="18764" xr:uid="{C53C5378-55CE-4483-A059-30A610532FD1}"/>
    <cellStyle name="Comma 4 6 2 4 3" xfId="2556" xr:uid="{98BAECBA-9649-448C-8613-AA502B53B40A}"/>
    <cellStyle name="Comma 4 6 2 4 3 2" xfId="3420" xr:uid="{E05A7FE8-3908-4DE4-B58E-3EAE6BC41B87}"/>
    <cellStyle name="Comma 4 6 2 4 3 2 2" xfId="19879" xr:uid="{341CBB41-BACE-4666-A8CD-B7300CBB0401}"/>
    <cellStyle name="Comma 4 6 2 4 3 3" xfId="17997" xr:uid="{28D95EE0-F99A-4E58-9F8E-703B172A2573}"/>
    <cellStyle name="Comma 4 6 2 4 3 3 2" xfId="20990" xr:uid="{DBA5FAE8-43C5-45F4-A267-30896EF120F6}"/>
    <cellStyle name="Comma 4 6 2 4 3 4" xfId="19040" xr:uid="{925F8B4A-D996-4833-AFA0-69FBA0F64729}"/>
    <cellStyle name="Comma 4 6 2 4 4" xfId="2812" xr:uid="{562F96D7-3C00-4A47-8626-657D961C177F}"/>
    <cellStyle name="Comma 4 6 2 4 4 2" xfId="19296" xr:uid="{E020CCB9-1CFF-4246-B72B-CEA4543331F9}"/>
    <cellStyle name="Comma 4 6 2 4 5" xfId="3078" xr:uid="{0580BB18-846E-4396-9237-0F58A526E0E7}"/>
    <cellStyle name="Comma 4 6 2 4 5 2" xfId="19552" xr:uid="{A14DB950-F567-492E-9FEF-846B02553DE5}"/>
    <cellStyle name="Comma 4 6 2 4 6" xfId="17335" xr:uid="{053C5B63-A7EA-4B91-A77B-9107A8727D5E}"/>
    <cellStyle name="Comma 4 6 2 4 6 2" xfId="20542" xr:uid="{812B0546-F921-45C2-ADA5-007C753F8493}"/>
    <cellStyle name="Comma 4 6 2 4 7" xfId="18592" xr:uid="{CA07A80F-9099-487B-8884-96EC3CD0E4F4}"/>
    <cellStyle name="Comma 4 6 2 5" xfId="1365" xr:uid="{7CABFEE5-EA6C-4492-AFDD-C4CE774BA8B3}"/>
    <cellStyle name="Comma 4 6 2 5 2" xfId="1797" xr:uid="{E444EA0E-92C0-484F-A903-BDF6758C6A7B}"/>
    <cellStyle name="Comma 4 6 2 5 2 2" xfId="3729" xr:uid="{A745448E-6E0F-4D5D-8644-191E91B1049A}"/>
    <cellStyle name="Comma 4 6 2 5 2 2 2" xfId="20183" xr:uid="{FF2B55DB-EC0F-4300-8105-648F2105294C}"/>
    <cellStyle name="Comma 4 6 2 5 2 3" xfId="17555" xr:uid="{BA41D003-B740-4E83-87C7-47366B53DFBE}"/>
    <cellStyle name="Comma 4 6 2 5 2 3 2" xfId="20762" xr:uid="{5B97E0E1-D74B-4F88-A457-2DBADABC090C}"/>
    <cellStyle name="Comma 4 6 2 5 2 4" xfId="18812" xr:uid="{5B97312C-A1E7-4F23-A7FA-E837099CD513}"/>
    <cellStyle name="Comma 4 6 2 5 3" xfId="2604" xr:uid="{566431F6-5839-4954-8D46-5921D74D9924}"/>
    <cellStyle name="Comma 4 6 2 5 3 2" xfId="3469" xr:uid="{52BA16F3-ED7F-4BFC-8C4B-88CD0D7555D8}"/>
    <cellStyle name="Comma 4 6 2 5 3 2 2" xfId="19927" xr:uid="{5C1B5C85-D978-4824-B52B-20A193539D78}"/>
    <cellStyle name="Comma 4 6 2 5 3 3" xfId="18045" xr:uid="{F3C7E9C6-907B-4CCE-93F4-214DBF7317DD}"/>
    <cellStyle name="Comma 4 6 2 5 3 3 2" xfId="21038" xr:uid="{6D35248F-94A5-4068-A4DE-A54A0F81A23A}"/>
    <cellStyle name="Comma 4 6 2 5 3 4" xfId="19088" xr:uid="{6342B349-2112-4E46-9F3C-520445804102}"/>
    <cellStyle name="Comma 4 6 2 5 4" xfId="2860" xr:uid="{99EAA738-F6DF-4E81-B19D-744DE4D19080}"/>
    <cellStyle name="Comma 4 6 2 5 4 2" xfId="19344" xr:uid="{E068C83A-B83A-408C-B191-A1F96EC3A292}"/>
    <cellStyle name="Comma 4 6 2 5 5" xfId="3126" xr:uid="{14D13B21-8521-45EC-A12A-B02568485772}"/>
    <cellStyle name="Comma 4 6 2 5 5 2" xfId="19600" xr:uid="{F95651A5-825E-4E90-8E49-5DBCBF355B81}"/>
    <cellStyle name="Comma 4 6 2 5 6" xfId="17184" xr:uid="{F97CD4EC-B73A-4E14-9083-5660D6231E51}"/>
    <cellStyle name="Comma 4 6 2 5 6 2" xfId="20394" xr:uid="{5312E878-3FBB-4C9C-815C-1825B35892E7}"/>
    <cellStyle name="Comma 4 6 2 5 7" xfId="18444" xr:uid="{2CFE3826-FC0E-47D9-B85D-FFA9DDDECD82}"/>
    <cellStyle name="Comma 4 6 2 6" xfId="1827" xr:uid="{357F03D4-2464-41AB-AEC3-343350633B71}"/>
    <cellStyle name="Comma 4 6 2 6 2" xfId="2628" xr:uid="{474CDD36-E7E0-4C56-A699-9CFF915227D5}"/>
    <cellStyle name="Comma 4 6 2 6 2 2" xfId="3753" xr:uid="{919FA4A4-2657-4730-8CD7-3BADC9B9E49C}"/>
    <cellStyle name="Comma 4 6 2 6 2 2 2" xfId="20207" xr:uid="{915C98C7-8720-4494-9EA9-6B0F44E12248}"/>
    <cellStyle name="Comma 4 6 2 6 2 3" xfId="18069" xr:uid="{9829FC0C-B996-446E-9C9E-C060AD8A701B}"/>
    <cellStyle name="Comma 4 6 2 6 2 3 2" xfId="21062" xr:uid="{9E332F36-87A7-421E-B0D9-881E568DCFDE}"/>
    <cellStyle name="Comma 4 6 2 6 2 4" xfId="19112" xr:uid="{0A8B2F59-6F36-4B03-8EA8-51AB3E81B792}"/>
    <cellStyle name="Comma 4 6 2 6 3" xfId="2884" xr:uid="{71EF7A49-0D30-4DCC-8B84-5B63A9EDA68C}"/>
    <cellStyle name="Comma 4 6 2 6 3 2" xfId="3497" xr:uid="{5C8FBB4A-88CE-4878-A52B-987157C91120}"/>
    <cellStyle name="Comma 4 6 2 6 3 2 2" xfId="19951" xr:uid="{876D713E-E7F1-469C-B69B-C65F464F727F}"/>
    <cellStyle name="Comma 4 6 2 6 3 3" xfId="19368" xr:uid="{FB2DC475-832E-4451-948B-0D2C2BB425A7}"/>
    <cellStyle name="Comma 4 6 2 6 4" xfId="3150" xr:uid="{DE5A5AB7-BD76-4FBE-BD4C-3FD20FDE8337}"/>
    <cellStyle name="Comma 4 6 2 6 4 2" xfId="19624" xr:uid="{7688C486-02C3-44D3-84C7-AA5E02EBFA90}"/>
    <cellStyle name="Comma 4 6 2 6 5" xfId="17580" xr:uid="{47209B2F-08FE-4F6C-8B4C-9D1721854857}"/>
    <cellStyle name="Comma 4 6 2 6 5 2" xfId="20786" xr:uid="{B2DCD8C9-F40E-471F-BD91-BC50C00C014F}"/>
    <cellStyle name="Comma 4 6 2 6 6" xfId="18836" xr:uid="{A735D09E-D2D0-443D-AACE-B4C4B5F95EC5}"/>
    <cellStyle name="Comma 4 6 2 7" xfId="1599" xr:uid="{D7CF435D-F55C-4553-8B45-0615A8246594}"/>
    <cellStyle name="Comma 4 6 2 7 2" xfId="3262" xr:uid="{A7075069-F653-4C0D-8D26-C063DBE745FE}"/>
    <cellStyle name="Comma 4 6 2 7 2 2" xfId="19731" xr:uid="{F7004E5C-A8FE-4E3B-AF69-7A0935DDDD49}"/>
    <cellStyle name="Comma 4 6 2 7 3" xfId="17359" xr:uid="{220BC427-39F8-40C5-AF67-241822C7A348}"/>
    <cellStyle name="Comma 4 6 2 7 3 2" xfId="20566" xr:uid="{E904F6B8-132A-4E4F-9068-509070C6B8D2}"/>
    <cellStyle name="Comma 4 6 2 7 4" xfId="18616" xr:uid="{404E1851-B778-4D5C-A8BA-83E278B470A1}"/>
    <cellStyle name="Comma 4 6 2 8" xfId="2383" xr:uid="{D5259275-B9F7-4930-9004-6EE54C096F3E}"/>
    <cellStyle name="Comma 4 6 2 8 2" xfId="3533" xr:uid="{03BF9C90-5FC1-407A-9297-927A9FF03EE7}"/>
    <cellStyle name="Comma 4 6 2 8 2 2" xfId="19987" xr:uid="{364356E9-6921-4461-93B8-12D7B4FD48D3}"/>
    <cellStyle name="Comma 4 6 2 8 3" xfId="17819" xr:uid="{48E61BF8-B10A-46AD-BEE2-9EE27ED1AEC4}"/>
    <cellStyle name="Comma 4 6 2 8 3 2" xfId="20825" xr:uid="{FD885ADA-16FE-4E4E-A1ED-CBF3D5D6A39E}"/>
    <cellStyle name="Comma 4 6 2 8 4" xfId="18875" xr:uid="{7DCDA35A-4AAC-4AC0-AA8F-09375982D3A2}"/>
    <cellStyle name="Comma 4 6 2 9" xfId="2408" xr:uid="{76E2659F-2869-42C7-8B4A-07A8F160F9BD}"/>
    <cellStyle name="Comma 4 6 2 9 2" xfId="3806" xr:uid="{3A5E1D66-E67A-4BBF-AD35-999E19851B49}"/>
    <cellStyle name="Comma 4 6 2 9 2 2" xfId="20260" xr:uid="{3891369F-AB61-428F-8E33-86503736039E}"/>
    <cellStyle name="Comma 4 6 2 9 3" xfId="17846" xr:uid="{63FEF0E0-8B1A-4062-8410-88C17D23408A}"/>
    <cellStyle name="Comma 4 6 2 9 3 2" xfId="20842" xr:uid="{81A47D0E-3BEB-4D8B-A89F-9651EAF0A275}"/>
    <cellStyle name="Comma 4 6 2 9 4" xfId="18892" xr:uid="{8FAED86C-FDAB-4BED-867C-444B2C9A2A0B}"/>
    <cellStyle name="Comma 4 6 3" xfId="839" xr:uid="{C98BA53A-5364-4EB4-8E2D-212318BA137D}"/>
    <cellStyle name="Comma 4 6 3 10" xfId="3209" xr:uid="{2FC53B3E-AB15-4423-9DA6-9DF055E411C5}"/>
    <cellStyle name="Comma 4 6 3 10 2" xfId="19683" xr:uid="{D432F2EA-73B7-46B4-BDE9-5ABE158F35A9}"/>
    <cellStyle name="Comma 4 6 3 11" xfId="2943" xr:uid="{1EBF3888-8120-4273-8FE0-BBC9E1C9F5ED}"/>
    <cellStyle name="Comma 4 6 3 11 2" xfId="19417" xr:uid="{D8E5DCC3-7A86-4FAA-AEFD-B3F335D42419}"/>
    <cellStyle name="Comma 4 6 3 12" xfId="17050" xr:uid="{99C665E6-FD19-4434-85E7-C017994681CC}"/>
    <cellStyle name="Comma 4 6 3 12 2" xfId="20346" xr:uid="{ACC2FA8B-776E-4915-B475-9D6C367BD673}"/>
    <cellStyle name="Comma 4 6 3 13" xfId="18396" xr:uid="{F549EDBC-361E-493F-B2FB-7FA237AD816B}"/>
    <cellStyle name="Comma 4 6 3 2" xfId="1456" xr:uid="{9DE338CC-4F5C-4BE5-9F05-A9B8760E3E87}"/>
    <cellStyle name="Comma 4 6 3 2 2" xfId="1653" xr:uid="{B245A85D-6760-49E5-822F-EF0772E3ED2F}"/>
    <cellStyle name="Comma 4 6 3 2 2 2" xfId="3587" xr:uid="{12F76B75-6F20-4246-91F3-2B409FB72370}"/>
    <cellStyle name="Comma 4 6 3 2 2 2 2" xfId="20041" xr:uid="{D49053EA-6055-4688-AE20-11EEF913E5EC}"/>
    <cellStyle name="Comma 4 6 3 2 2 3" xfId="17413" xr:uid="{7F1F86C3-72CC-4FC1-8814-AC8D6CCBFFEB}"/>
    <cellStyle name="Comma 4 6 3 2 2 3 2" xfId="20620" xr:uid="{DC265BF8-B602-4F22-98FE-C142F2368BD0}"/>
    <cellStyle name="Comma 4 6 3 2 2 4" xfId="18670" xr:uid="{0FC295C5-3DBF-4441-8E7C-E789F5F6E285}"/>
    <cellStyle name="Comma 4 6 3 2 3" xfId="2462" xr:uid="{F2B1A67B-7357-4490-9F8D-373276310E42}"/>
    <cellStyle name="Comma 4 6 3 2 3 2" xfId="3317" xr:uid="{5CBAD22B-AF70-4590-BE1C-44ED7A35D9E5}"/>
    <cellStyle name="Comma 4 6 3 2 3 2 2" xfId="19785" xr:uid="{E3ED3E40-5BAC-492F-9DBA-9D46EC4205ED}"/>
    <cellStyle name="Comma 4 6 3 2 3 3" xfId="17903" xr:uid="{65210A79-F17B-4AFE-BCB8-E76F6427C82C}"/>
    <cellStyle name="Comma 4 6 3 2 3 3 2" xfId="20896" xr:uid="{F956D4F7-B54B-4F60-8F4B-D2E05805311E}"/>
    <cellStyle name="Comma 4 6 3 2 3 4" xfId="18946" xr:uid="{72C5F7CC-F23B-464A-B82D-74091E48DA9B}"/>
    <cellStyle name="Comma 4 6 3 2 4" xfId="2718" xr:uid="{3CAFA0FC-BB7E-472C-A5A7-90C6920CA817}"/>
    <cellStyle name="Comma 4 6 3 2 4 2" xfId="19202" xr:uid="{391F5936-48DF-48DB-B849-9BDFB46B07BC}"/>
    <cellStyle name="Comma 4 6 3 2 5" xfId="2984" xr:uid="{B02BDE7F-F7B3-4E91-A424-F3B2072EA780}"/>
    <cellStyle name="Comma 4 6 3 2 5 2" xfId="19458" xr:uid="{E27D5C51-D780-4E5E-A9A0-E73CB07D7B1C}"/>
    <cellStyle name="Comma 4 6 3 2 6" xfId="17240" xr:uid="{78203317-BBEE-4B6D-B85B-BB8A18086AAF}"/>
    <cellStyle name="Comma 4 6 3 2 6 2" xfId="20448" xr:uid="{A3A6F250-D1E1-4B61-B16E-4A04F95BAC0F}"/>
    <cellStyle name="Comma 4 6 3 2 7" xfId="18498" xr:uid="{996A44F2-E1A2-44A5-9619-F603B127D246}"/>
    <cellStyle name="Comma 4 6 3 3" xfId="1516" xr:uid="{2C7A9BFB-9329-49BB-8642-0EA6BBD5D356}"/>
    <cellStyle name="Comma 4 6 3 3 2" xfId="1701" xr:uid="{04608AA3-9A2E-4755-8758-20E4D6019DD2}"/>
    <cellStyle name="Comma 4 6 3 3 2 2" xfId="3635" xr:uid="{21AD7184-3FF2-457B-B871-C97EE8067CB8}"/>
    <cellStyle name="Comma 4 6 3 3 2 2 2" xfId="20089" xr:uid="{E9BCFF4C-97B3-4218-9DA2-3E5DFE84C026}"/>
    <cellStyle name="Comma 4 6 3 3 2 3" xfId="17461" xr:uid="{29FC8884-6FCA-4366-8A15-26211C4AC936}"/>
    <cellStyle name="Comma 4 6 3 3 2 3 2" xfId="20668" xr:uid="{01AE2D2D-9055-483D-A63D-39A0D0C23BBA}"/>
    <cellStyle name="Comma 4 6 3 3 2 4" xfId="18718" xr:uid="{8ED2DB3C-672B-47BB-9B27-744FBC87CA60}"/>
    <cellStyle name="Comma 4 6 3 3 3" xfId="2510" xr:uid="{A8C02E46-6BA3-41B0-A2BB-07B7FA5B9C6B}"/>
    <cellStyle name="Comma 4 6 3 3 3 2" xfId="3366" xr:uid="{AEDB3CC5-B0F4-47A5-8BE1-711298199730}"/>
    <cellStyle name="Comma 4 6 3 3 3 2 2" xfId="19833" xr:uid="{D7726B8F-0BD8-4E3B-B6C9-518F907D7FF0}"/>
    <cellStyle name="Comma 4 6 3 3 3 3" xfId="17951" xr:uid="{737155CC-0B78-405B-903A-BE25BC7F60A6}"/>
    <cellStyle name="Comma 4 6 3 3 3 3 2" xfId="20944" xr:uid="{58F8DC8C-3CEB-44AD-A51D-967F615CFBF6}"/>
    <cellStyle name="Comma 4 6 3 3 3 4" xfId="18994" xr:uid="{D11CBFA6-DA5A-430A-A5F5-A4623628E8F3}"/>
    <cellStyle name="Comma 4 6 3 3 4" xfId="2766" xr:uid="{4A2E67C1-E4BC-4127-A196-DEBD9970D64B}"/>
    <cellStyle name="Comma 4 6 3 3 4 2" xfId="19250" xr:uid="{EA255F02-F96C-44DE-A65B-40FB8C4F4493}"/>
    <cellStyle name="Comma 4 6 3 3 5" xfId="3032" xr:uid="{1B424A82-2DBF-4F93-B498-2F5978CBB706}"/>
    <cellStyle name="Comma 4 6 3 3 5 2" xfId="19506" xr:uid="{9B184893-1BA7-4B07-8345-B6A3CFD5B15C}"/>
    <cellStyle name="Comma 4 6 3 3 6" xfId="17289" xr:uid="{684C5667-5315-4CF8-A79C-E76F90918F0D}"/>
    <cellStyle name="Comma 4 6 3 3 6 2" xfId="20496" xr:uid="{8508427A-81EF-46CB-A4B6-C03109C1CE76}"/>
    <cellStyle name="Comma 4 6 3 3 7" xfId="18546" xr:uid="{2C6233CC-6FF7-44CB-B780-3487DAEE5B98}"/>
    <cellStyle name="Comma 4 6 3 4" xfId="1576" xr:uid="{6AABB849-18F3-42E7-83F3-8FA2A3E04A3C}"/>
    <cellStyle name="Comma 4 6 3 4 2" xfId="1748" xr:uid="{5F6EFE4A-6B99-4F5E-85E9-1C6204B0EC46}"/>
    <cellStyle name="Comma 4 6 3 4 2 2" xfId="3682" xr:uid="{18F0F307-72E6-4963-9FE5-5447E2268076}"/>
    <cellStyle name="Comma 4 6 3 4 2 2 2" xfId="20136" xr:uid="{DFED63B8-0995-4B79-B5E3-A0E8E40F0FC5}"/>
    <cellStyle name="Comma 4 6 3 4 2 3" xfId="17508" xr:uid="{5A83687D-4294-400C-AF64-B4DE06E3C506}"/>
    <cellStyle name="Comma 4 6 3 4 2 3 2" xfId="20715" xr:uid="{0F23126A-D935-4D8B-8952-E227847255B0}"/>
    <cellStyle name="Comma 4 6 3 4 2 4" xfId="18765" xr:uid="{BBF937F0-8195-4D6C-9893-A0E1DACE636A}"/>
    <cellStyle name="Comma 4 6 3 4 3" xfId="2557" xr:uid="{71D58171-A045-4D43-8059-0021305CB32A}"/>
    <cellStyle name="Comma 4 6 3 4 3 2" xfId="3421" xr:uid="{FAF8AC22-B4E7-4102-B9A3-C48F60B0D3AE}"/>
    <cellStyle name="Comma 4 6 3 4 3 2 2" xfId="19880" xr:uid="{C7A788E4-A215-4EAB-8A60-3DB6356B7050}"/>
    <cellStyle name="Comma 4 6 3 4 3 3" xfId="17998" xr:uid="{C4F1230E-3F54-46FF-BC80-8380803484DE}"/>
    <cellStyle name="Comma 4 6 3 4 3 3 2" xfId="20991" xr:uid="{8B4EEA93-3E74-4E06-AA53-9B22EA9184C6}"/>
    <cellStyle name="Comma 4 6 3 4 3 4" xfId="19041" xr:uid="{89ADA9C8-5A4E-4768-AD10-C94F2DC75132}"/>
    <cellStyle name="Comma 4 6 3 4 4" xfId="2813" xr:uid="{9E62BC3E-C443-4DFB-B14D-FA307D9731DC}"/>
    <cellStyle name="Comma 4 6 3 4 4 2" xfId="19297" xr:uid="{B3C4482C-FE37-44F0-950F-45215291A888}"/>
    <cellStyle name="Comma 4 6 3 4 5" xfId="3079" xr:uid="{6C460E88-70F4-4F5F-AAF0-4164B69BBFB2}"/>
    <cellStyle name="Comma 4 6 3 4 5 2" xfId="19553" xr:uid="{5762BB09-B6FE-4F4F-BFFB-DFCE10BE7A21}"/>
    <cellStyle name="Comma 4 6 3 4 6" xfId="17336" xr:uid="{87672846-21A2-4FB4-891B-E9C7A44EBEAE}"/>
    <cellStyle name="Comma 4 6 3 4 6 2" xfId="20543" xr:uid="{6B362497-C718-4E31-9721-70928C54A6A4}"/>
    <cellStyle name="Comma 4 6 3 4 7" xfId="18593" xr:uid="{7E5437B9-E9FA-4A6B-87C5-7443C093BC45}"/>
    <cellStyle name="Comma 4 6 3 5" xfId="1383" xr:uid="{06CEAFA8-DE3F-4EC5-BD23-6668A9F2BBE3}"/>
    <cellStyle name="Comma 4 6 3 5 2" xfId="1798" xr:uid="{DFE560F7-45C1-43FD-8369-6E2D100D5F09}"/>
    <cellStyle name="Comma 4 6 3 5 2 2" xfId="3730" xr:uid="{2DC454C1-9C36-4874-9EB2-7ABBB41D3259}"/>
    <cellStyle name="Comma 4 6 3 5 2 2 2" xfId="20184" xr:uid="{C93C4D96-7435-4ED9-AABA-0313EFE867BA}"/>
    <cellStyle name="Comma 4 6 3 5 2 3" xfId="17556" xr:uid="{4D33F469-AA86-4BF1-B87F-C3A0E26FB5A3}"/>
    <cellStyle name="Comma 4 6 3 5 2 3 2" xfId="20763" xr:uid="{51DB2A12-9632-41BA-965B-C1301D02DB90}"/>
    <cellStyle name="Comma 4 6 3 5 2 4" xfId="18813" xr:uid="{007E926B-03FD-4331-9B0F-A2F83BE1C488}"/>
    <cellStyle name="Comma 4 6 3 5 3" xfId="2605" xr:uid="{6A40D0B1-8BF1-4CE4-8D20-8EBA01684A05}"/>
    <cellStyle name="Comma 4 6 3 5 3 2" xfId="3470" xr:uid="{4A53514D-F7FA-429F-9788-5A66CBE771B5}"/>
    <cellStyle name="Comma 4 6 3 5 3 2 2" xfId="19928" xr:uid="{62CED5C8-F6E4-44E2-B2F2-D5DCB29A379B}"/>
    <cellStyle name="Comma 4 6 3 5 3 3" xfId="18046" xr:uid="{360DA575-40DB-4250-A676-45515C4DE67A}"/>
    <cellStyle name="Comma 4 6 3 5 3 3 2" xfId="21039" xr:uid="{CA986750-3403-466B-8CB1-2EA369B6E67D}"/>
    <cellStyle name="Comma 4 6 3 5 3 4" xfId="19089" xr:uid="{34090CF7-41E0-4824-BB91-F8CBEAA29607}"/>
    <cellStyle name="Comma 4 6 3 5 4" xfId="2861" xr:uid="{42986092-9CCC-43E8-8CA4-9103825AF056}"/>
    <cellStyle name="Comma 4 6 3 5 4 2" xfId="19345" xr:uid="{142D31C8-B55C-4485-A2F7-D0ED7929B7BF}"/>
    <cellStyle name="Comma 4 6 3 5 5" xfId="3127" xr:uid="{248BE4C2-38DD-40FF-BFC2-420856630602}"/>
    <cellStyle name="Comma 4 6 3 5 5 2" xfId="19601" xr:uid="{AD6A6F3E-92A8-49DF-994B-9B37551DBEAF}"/>
    <cellStyle name="Comma 4 6 3 5 6" xfId="17197" xr:uid="{A36CD4D0-5351-4081-AA72-881F4415FA03}"/>
    <cellStyle name="Comma 4 6 3 5 6 2" xfId="20407" xr:uid="{E8B311C9-1CA0-48EB-8A69-5BA8C8BD69EC}"/>
    <cellStyle name="Comma 4 6 3 5 7" xfId="18457" xr:uid="{7D427883-E9B8-4670-A89C-CE9AE01B9F96}"/>
    <cellStyle name="Comma 4 6 3 6" xfId="1840" xr:uid="{E6179445-FF02-42F5-8675-5878631E56A0}"/>
    <cellStyle name="Comma 4 6 3 6 2" xfId="2641" xr:uid="{07B20829-024C-4112-92FF-FE2860BA4060}"/>
    <cellStyle name="Comma 4 6 3 6 2 2" xfId="3766" xr:uid="{5B6BA6CD-12DE-46A2-B37C-7F0C26C0713D}"/>
    <cellStyle name="Comma 4 6 3 6 2 2 2" xfId="20220" xr:uid="{00481074-99D2-44AC-9CD7-1F43C80BA633}"/>
    <cellStyle name="Comma 4 6 3 6 2 3" xfId="18082" xr:uid="{CF1CEB93-F6D9-4372-9882-490416C54E9F}"/>
    <cellStyle name="Comma 4 6 3 6 2 3 2" xfId="21075" xr:uid="{9B078E81-439C-4AD6-873B-66E660078BB5}"/>
    <cellStyle name="Comma 4 6 3 6 2 4" xfId="19125" xr:uid="{423CC3A5-A01A-4AF6-BFF7-D5F7D16B62B5}"/>
    <cellStyle name="Comma 4 6 3 6 3" xfId="2897" xr:uid="{2FEA423A-B7E2-4E7B-85F5-41B025847B4C}"/>
    <cellStyle name="Comma 4 6 3 6 3 2" xfId="3510" xr:uid="{6AF3B9F3-4134-480E-8282-86BF26B5C7DC}"/>
    <cellStyle name="Comma 4 6 3 6 3 2 2" xfId="19964" xr:uid="{01163112-589E-4A45-BD3C-68252D626DF7}"/>
    <cellStyle name="Comma 4 6 3 6 3 3" xfId="19381" xr:uid="{92C9A14E-22D0-4E10-AD5E-DD68F05FB612}"/>
    <cellStyle name="Comma 4 6 3 6 4" xfId="3163" xr:uid="{6FA045F9-52CF-41C3-A96B-296959AB8982}"/>
    <cellStyle name="Comma 4 6 3 6 4 2" xfId="19637" xr:uid="{B5C45A66-1297-4750-824B-4BAAFD8097A4}"/>
    <cellStyle name="Comma 4 6 3 6 5" xfId="17593" xr:uid="{156C5144-1DDD-4DC4-8900-3C66E25D3B44}"/>
    <cellStyle name="Comma 4 6 3 6 5 2" xfId="20799" xr:uid="{9B561C9C-2831-4BE9-A4CD-D59EC55DF933}"/>
    <cellStyle name="Comma 4 6 3 6 6" xfId="18849" xr:uid="{FFB0DEDA-1933-4E28-B839-525A55E30BFA}"/>
    <cellStyle name="Comma 4 6 3 7" xfId="1612" xr:uid="{3899AB0A-741F-45EB-90E5-215E39D8D7A9}"/>
    <cellStyle name="Comma 4 6 3 7 2" xfId="3275" xr:uid="{FCFEF1E4-072C-460C-9520-A9F7ED3B1C07}"/>
    <cellStyle name="Comma 4 6 3 7 2 2" xfId="19744" xr:uid="{4C0FBF99-5D7E-4A7D-A813-4AFBA36D1247}"/>
    <cellStyle name="Comma 4 6 3 7 3" xfId="17372" xr:uid="{6C3C609C-0933-478C-95B9-6A6FB1F74D69}"/>
    <cellStyle name="Comma 4 6 3 7 3 2" xfId="20579" xr:uid="{EFF773D8-F76B-41B4-A7F2-E30E8F0E251B}"/>
    <cellStyle name="Comma 4 6 3 7 4" xfId="18629" xr:uid="{49C31ABC-2650-466F-A117-3EAEE9DC7D12}"/>
    <cellStyle name="Comma 4 6 3 8" xfId="2421" xr:uid="{5175498C-14E4-4D18-9F31-71B9813426F7}"/>
    <cellStyle name="Comma 4 6 3 8 2" xfId="3546" xr:uid="{3BBD6EC3-07CC-4897-9B9C-10817935B4DC}"/>
    <cellStyle name="Comma 4 6 3 8 2 2" xfId="20000" xr:uid="{6036F399-7358-437A-BF7B-B96462817FF7}"/>
    <cellStyle name="Comma 4 6 3 8 3" xfId="17860" xr:uid="{74943E66-1089-4D9B-B3C0-CA26AB4B97FF}"/>
    <cellStyle name="Comma 4 6 3 8 3 2" xfId="20855" xr:uid="{9311D8DD-49A5-4836-BE74-FEF2B5E1C9B1}"/>
    <cellStyle name="Comma 4 6 3 8 4" xfId="18905" xr:uid="{E49DE2C2-1F3F-4E65-BB9E-00CE7D9D91F6}"/>
    <cellStyle name="Comma 4 6 3 9" xfId="2677" xr:uid="{FEAA065D-9E23-4C8C-85E6-2A097C017E0E}"/>
    <cellStyle name="Comma 4 6 3 9 2" xfId="3812" xr:uid="{5AA73B83-4B9D-445B-8B4B-7896F63B1D9B}"/>
    <cellStyle name="Comma 4 6 3 9 2 2" xfId="20266" xr:uid="{18BBFA83-9753-4DB1-BD24-EB303217E60C}"/>
    <cellStyle name="Comma 4 6 3 9 3" xfId="19161" xr:uid="{2BC9F980-7699-434C-ADFC-3558CFB1174A}"/>
    <cellStyle name="Comma 4 6 4" xfId="858" xr:uid="{90F76F3E-E7F9-4FF7-81FE-9EB9A0273146}"/>
    <cellStyle name="Comma 4 6 4 10" xfId="3223" xr:uid="{0D256EC3-EFA0-4FA7-A78A-F7445BD7DC5A}"/>
    <cellStyle name="Comma 4 6 4 10 2" xfId="19696" xr:uid="{7C6EE70D-0CC7-4556-A16E-7ED7FDA47205}"/>
    <cellStyle name="Comma 4 6 4 11" xfId="2949" xr:uid="{0E7152D4-AE19-48EA-A7CE-DC6A4DB116B5}"/>
    <cellStyle name="Comma 4 6 4 11 2" xfId="19423" xr:uid="{FBBE5EC1-8D3E-4FEB-9D37-54AABAC8E781}"/>
    <cellStyle name="Comma 4 6 4 12" xfId="17067" xr:uid="{D36458D0-04DB-4312-81B2-0346D45AE571}"/>
    <cellStyle name="Comma 4 6 4 12 2" xfId="20359" xr:uid="{71EA2026-A22B-4E67-8438-D5385DADFDD9}"/>
    <cellStyle name="Comma 4 6 4 13" xfId="18409" xr:uid="{02A41E7A-675C-4017-913E-2097E11D26AA}"/>
    <cellStyle name="Comma 4 6 4 2" xfId="1463" xr:uid="{C5F515A7-B387-44A9-ADF8-9B63BF6C1B3B}"/>
    <cellStyle name="Comma 4 6 4 2 2" xfId="1659" xr:uid="{27BD82A5-88CE-4CD3-B126-563472F7AD38}"/>
    <cellStyle name="Comma 4 6 4 2 2 2" xfId="3593" xr:uid="{1CA9FBE5-7EA3-4262-B34D-6EEF27A27439}"/>
    <cellStyle name="Comma 4 6 4 2 2 2 2" xfId="20047" xr:uid="{2B754F57-A1B7-474C-84AF-4C4994125458}"/>
    <cellStyle name="Comma 4 6 4 2 2 3" xfId="17419" xr:uid="{DFFC182E-EC10-4AD4-BB66-53C7F2774B33}"/>
    <cellStyle name="Comma 4 6 4 2 2 3 2" xfId="20626" xr:uid="{C6C9FC1A-0339-4154-8B2B-D2339A62AEEB}"/>
    <cellStyle name="Comma 4 6 4 2 2 4" xfId="18676" xr:uid="{E5298237-FBCB-47CC-B8CD-5FF664CB42E6}"/>
    <cellStyle name="Comma 4 6 4 2 3" xfId="2468" xr:uid="{563AAB05-7C6D-4B32-ABC8-8C6CFA5645A0}"/>
    <cellStyle name="Comma 4 6 4 2 3 2" xfId="3323" xr:uid="{3CD57CF1-43AE-44C2-B98B-4D7BAC30ED5D}"/>
    <cellStyle name="Comma 4 6 4 2 3 2 2" xfId="19791" xr:uid="{2B99AFF5-8F7C-49E6-954F-B81556D24346}"/>
    <cellStyle name="Comma 4 6 4 2 3 3" xfId="17909" xr:uid="{4D5B7246-5910-4D60-8C26-52B384081089}"/>
    <cellStyle name="Comma 4 6 4 2 3 3 2" xfId="20902" xr:uid="{93D55563-C60D-4493-A2B4-FC2DB8E137FA}"/>
    <cellStyle name="Comma 4 6 4 2 3 4" xfId="18952" xr:uid="{BA8B9AD5-03B2-438E-9D6F-1509DBA499CE}"/>
    <cellStyle name="Comma 4 6 4 2 4" xfId="2724" xr:uid="{42B4509D-759B-464D-AF80-D24215F92B38}"/>
    <cellStyle name="Comma 4 6 4 2 4 2" xfId="19208" xr:uid="{36AD5C5E-A4EE-41A9-942C-79C701B495AE}"/>
    <cellStyle name="Comma 4 6 4 2 5" xfId="2990" xr:uid="{06B8EB10-DEC1-42DE-BEB2-1519BF9E14FD}"/>
    <cellStyle name="Comma 4 6 4 2 5 2" xfId="19464" xr:uid="{8D0AA10E-3C76-4EDA-9F28-46C5D4699D1F}"/>
    <cellStyle name="Comma 4 6 4 2 6" xfId="17246" xr:uid="{9E4FEC0C-C3C1-407A-B32A-EA82AE242FA9}"/>
    <cellStyle name="Comma 4 6 4 2 6 2" xfId="20454" xr:uid="{6EBA8457-DB4C-4A7D-951A-81841F3E8046}"/>
    <cellStyle name="Comma 4 6 4 2 7" xfId="18504" xr:uid="{29D0A02E-71BE-4141-A2C3-E0C40CE64AC6}"/>
    <cellStyle name="Comma 4 6 4 3" xfId="1517" xr:uid="{E7945F5B-E996-45D5-94D6-4370C7F6A9B6}"/>
    <cellStyle name="Comma 4 6 4 3 2" xfId="1702" xr:uid="{3AB2C845-4C0C-422F-963E-64B9ECDC882E}"/>
    <cellStyle name="Comma 4 6 4 3 2 2" xfId="3636" xr:uid="{E352E9F3-2A9D-4849-904F-317FBB59A5C2}"/>
    <cellStyle name="Comma 4 6 4 3 2 2 2" xfId="20090" xr:uid="{D4DF57D4-9279-4460-9B4A-865B8EADF4B7}"/>
    <cellStyle name="Comma 4 6 4 3 2 3" xfId="17462" xr:uid="{5ABA4DCB-59F2-46F9-BA3D-3E9B78E6B705}"/>
    <cellStyle name="Comma 4 6 4 3 2 3 2" xfId="20669" xr:uid="{4DBE251A-D7F9-4666-9981-6C090A093F16}"/>
    <cellStyle name="Comma 4 6 4 3 2 4" xfId="18719" xr:uid="{2A11E559-EDE9-46ED-94BF-31630D83F86C}"/>
    <cellStyle name="Comma 4 6 4 3 3" xfId="2511" xr:uid="{79B88E38-91D4-4E87-9CF7-54A34887AC5A}"/>
    <cellStyle name="Comma 4 6 4 3 3 2" xfId="3367" xr:uid="{0EC1407E-62F7-4CA5-86A9-AFB8F4C102FC}"/>
    <cellStyle name="Comma 4 6 4 3 3 2 2" xfId="19834" xr:uid="{8443578C-8DEC-43D0-AE59-2A970DB1D15E}"/>
    <cellStyle name="Comma 4 6 4 3 3 3" xfId="17952" xr:uid="{9D7F57CE-AAE6-433C-952E-8620C2650CFC}"/>
    <cellStyle name="Comma 4 6 4 3 3 3 2" xfId="20945" xr:uid="{48CC485D-E741-42F0-962E-A4A2A5DFABB9}"/>
    <cellStyle name="Comma 4 6 4 3 3 4" xfId="18995" xr:uid="{0CBBFD3B-3209-417A-934F-7AF0C48047A4}"/>
    <cellStyle name="Comma 4 6 4 3 4" xfId="2767" xr:uid="{B4349022-604D-4365-AAE7-BE27013BA5C8}"/>
    <cellStyle name="Comma 4 6 4 3 4 2" xfId="19251" xr:uid="{549D8170-4C61-48C8-AE1C-1C29719150A2}"/>
    <cellStyle name="Comma 4 6 4 3 5" xfId="3033" xr:uid="{97E48F2C-D167-40E5-95D2-772B9E19AB58}"/>
    <cellStyle name="Comma 4 6 4 3 5 2" xfId="19507" xr:uid="{91131F19-41BE-4391-ADE0-D21E8728B54E}"/>
    <cellStyle name="Comma 4 6 4 3 6" xfId="17290" xr:uid="{EEC13F1A-E475-4272-AF24-FD23539DCD51}"/>
    <cellStyle name="Comma 4 6 4 3 6 2" xfId="20497" xr:uid="{0BEDF39A-CEF8-4B10-9AA7-29C0C8F89A4B}"/>
    <cellStyle name="Comma 4 6 4 3 7" xfId="18547" xr:uid="{D2B6BF6C-9F10-4127-B381-089605792D4B}"/>
    <cellStyle name="Comma 4 6 4 4" xfId="1577" xr:uid="{0E27D563-FCB8-4798-824A-A92EB3B1F609}"/>
    <cellStyle name="Comma 4 6 4 4 2" xfId="1749" xr:uid="{222B2120-258A-4701-84F5-112D85C6C98A}"/>
    <cellStyle name="Comma 4 6 4 4 2 2" xfId="3683" xr:uid="{90EDB85B-516A-4778-8E21-F034F6918AFA}"/>
    <cellStyle name="Comma 4 6 4 4 2 2 2" xfId="20137" xr:uid="{DD041D92-38B4-4971-9864-176D9C7E0DBA}"/>
    <cellStyle name="Comma 4 6 4 4 2 3" xfId="17509" xr:uid="{9811F1F9-9BE8-437E-B21A-02C856C2A6D7}"/>
    <cellStyle name="Comma 4 6 4 4 2 3 2" xfId="20716" xr:uid="{0FBBE612-A75A-4B28-8306-0B293E0B1B41}"/>
    <cellStyle name="Comma 4 6 4 4 2 4" xfId="18766" xr:uid="{12CF4286-6689-4E44-A79A-B5126DB8120D}"/>
    <cellStyle name="Comma 4 6 4 4 3" xfId="2558" xr:uid="{6B7626F0-541A-42AF-AAF4-2C4063E458F3}"/>
    <cellStyle name="Comma 4 6 4 4 3 2" xfId="3422" xr:uid="{FCD9B22F-09B1-4874-A661-1909E1F365CA}"/>
    <cellStyle name="Comma 4 6 4 4 3 2 2" xfId="19881" xr:uid="{FA81A2DA-7B88-4846-BE77-25BBB9041A6E}"/>
    <cellStyle name="Comma 4 6 4 4 3 3" xfId="17999" xr:uid="{9C6A7635-57AD-411E-B1C9-6E938EEF1157}"/>
    <cellStyle name="Comma 4 6 4 4 3 3 2" xfId="20992" xr:uid="{747F746F-D0E1-4C93-A92E-1FF03B0FE7CF}"/>
    <cellStyle name="Comma 4 6 4 4 3 4" xfId="19042" xr:uid="{AD28647D-A753-4771-8F64-FFCE8BE1C1D4}"/>
    <cellStyle name="Comma 4 6 4 4 4" xfId="2814" xr:uid="{2A572333-E391-494A-9FD9-9C72A60B8647}"/>
    <cellStyle name="Comma 4 6 4 4 4 2" xfId="19298" xr:uid="{74E0F9D0-AF7D-473C-A5C2-738699539B4E}"/>
    <cellStyle name="Comma 4 6 4 4 5" xfId="3080" xr:uid="{C7430582-0F15-4055-B39C-ACA0710B8F7F}"/>
    <cellStyle name="Comma 4 6 4 4 5 2" xfId="19554" xr:uid="{0A59E4FF-1FEB-4CDF-8C28-3DE711187215}"/>
    <cellStyle name="Comma 4 6 4 4 6" xfId="17337" xr:uid="{C586FDA2-8475-4FBA-809D-9AAA9F922CC9}"/>
    <cellStyle name="Comma 4 6 4 4 6 2" xfId="20544" xr:uid="{09879BFD-3D05-49C6-B9BE-0E3A273DBEFD}"/>
    <cellStyle name="Comma 4 6 4 4 7" xfId="18594" xr:uid="{23B401CC-6409-4283-B665-B8B26F9F154D}"/>
    <cellStyle name="Comma 4 6 4 5" xfId="1395" xr:uid="{4A46F82E-16CC-450F-A2B7-E8AEAF33414D}"/>
    <cellStyle name="Comma 4 6 4 5 2" xfId="1799" xr:uid="{FE4A144E-FBD0-40EC-A0FC-4F723661A470}"/>
    <cellStyle name="Comma 4 6 4 5 2 2" xfId="3731" xr:uid="{E39790C7-9BE5-4E9B-869A-20E4C6A9B637}"/>
    <cellStyle name="Comma 4 6 4 5 2 2 2" xfId="20185" xr:uid="{83BAFF4B-E011-4378-8543-FD30C7CB90F9}"/>
    <cellStyle name="Comma 4 6 4 5 2 3" xfId="17557" xr:uid="{6A0C1429-552E-4358-88EE-CFA2E052A669}"/>
    <cellStyle name="Comma 4 6 4 5 2 3 2" xfId="20764" xr:uid="{C1424685-FC33-476B-BF63-305C10235958}"/>
    <cellStyle name="Comma 4 6 4 5 2 4" xfId="18814" xr:uid="{246DFFF9-0858-40A5-8EFB-581AD22551C3}"/>
    <cellStyle name="Comma 4 6 4 5 3" xfId="2606" xr:uid="{5BF41850-3CAF-42C8-9FBB-8339EAA7C53F}"/>
    <cellStyle name="Comma 4 6 4 5 3 2" xfId="3471" xr:uid="{F6C6B5FC-245E-40A4-B5A0-C04F6E606B10}"/>
    <cellStyle name="Comma 4 6 4 5 3 2 2" xfId="19929" xr:uid="{66A48961-CA79-4488-AEAC-BFDC15CF7778}"/>
    <cellStyle name="Comma 4 6 4 5 3 3" xfId="18047" xr:uid="{58779F53-255D-4E37-8C77-4519A03964AB}"/>
    <cellStyle name="Comma 4 6 4 5 3 3 2" xfId="21040" xr:uid="{AB305875-8FDD-46DF-BBDD-FCE8C488274C}"/>
    <cellStyle name="Comma 4 6 4 5 3 4" xfId="19090" xr:uid="{284E961F-9F2B-4ABF-BD03-01715BB3A51D}"/>
    <cellStyle name="Comma 4 6 4 5 4" xfId="2862" xr:uid="{F1607D97-3069-4BBC-B73B-C227BD445632}"/>
    <cellStyle name="Comma 4 6 4 5 4 2" xfId="19346" xr:uid="{9606631B-AE35-49EF-B974-76A769914F25}"/>
    <cellStyle name="Comma 4 6 4 5 5" xfId="3128" xr:uid="{02D7975B-3F61-46D0-A81D-DEA96804FF8B}"/>
    <cellStyle name="Comma 4 6 4 5 5 2" xfId="19602" xr:uid="{06059191-F465-4476-96FE-70B5E56D48B8}"/>
    <cellStyle name="Comma 4 6 4 5 6" xfId="17203" xr:uid="{D346D5D8-CF27-40F4-8354-5395640BCD07}"/>
    <cellStyle name="Comma 4 6 4 5 6 2" xfId="20413" xr:uid="{140164B9-BE11-4369-ADEC-353DEDE6C470}"/>
    <cellStyle name="Comma 4 6 4 5 7" xfId="18463" xr:uid="{6DC68A02-C591-4F6F-9EA8-B61220B57B66}"/>
    <cellStyle name="Comma 4 6 4 6" xfId="1846" xr:uid="{0FBBFBF2-8D1A-4835-A0E6-A4EBE82D805A}"/>
    <cellStyle name="Comma 4 6 4 6 2" xfId="2647" xr:uid="{57407F7A-DE84-4E59-A4D2-669957E07415}"/>
    <cellStyle name="Comma 4 6 4 6 2 2" xfId="3772" xr:uid="{05DEE47D-25D6-4DAB-AA3D-8F5144DE3F31}"/>
    <cellStyle name="Comma 4 6 4 6 2 2 2" xfId="20226" xr:uid="{C5007E4C-38C1-46AA-A9C3-A936432D6923}"/>
    <cellStyle name="Comma 4 6 4 6 2 3" xfId="18088" xr:uid="{65A5697E-40BB-4201-A692-CA964F2BF311}"/>
    <cellStyle name="Comma 4 6 4 6 2 3 2" xfId="21081" xr:uid="{137E6A5A-C4A0-4798-A038-78C41F7AF0DC}"/>
    <cellStyle name="Comma 4 6 4 6 2 4" xfId="19131" xr:uid="{D8C5F76D-263C-4770-85F5-CE319AC9EA28}"/>
    <cellStyle name="Comma 4 6 4 6 3" xfId="2903" xr:uid="{C1DB5805-D404-4563-8E03-AB129D2E5EBF}"/>
    <cellStyle name="Comma 4 6 4 6 3 2" xfId="3516" xr:uid="{C0AFF2C8-D094-41A4-AB64-58E79D0AE33B}"/>
    <cellStyle name="Comma 4 6 4 6 3 2 2" xfId="19970" xr:uid="{E62FA701-D1F3-4681-94E8-AF2430417847}"/>
    <cellStyle name="Comma 4 6 4 6 3 3" xfId="19387" xr:uid="{EA65869E-22CA-4E8F-AA18-D6B2A5478105}"/>
    <cellStyle name="Comma 4 6 4 6 4" xfId="3169" xr:uid="{06EE1D97-7E13-4AC7-882D-FF206CBB8F56}"/>
    <cellStyle name="Comma 4 6 4 6 4 2" xfId="19643" xr:uid="{613964A1-6B60-44D4-97F6-DC453FDCD956}"/>
    <cellStyle name="Comma 4 6 4 6 5" xfId="17599" xr:uid="{F5BCEF1E-6CA3-4FF8-A3B0-BBD1C64D742E}"/>
    <cellStyle name="Comma 4 6 4 6 5 2" xfId="20805" xr:uid="{456B8F6D-1155-45B5-A388-3A483DB429DB}"/>
    <cellStyle name="Comma 4 6 4 6 6" xfId="18855" xr:uid="{4302EF95-1E39-447E-AC41-D4084FBAACEB}"/>
    <cellStyle name="Comma 4 6 4 7" xfId="1618" xr:uid="{150B8171-B5D6-4EAF-9800-3DBDF6F52723}"/>
    <cellStyle name="Comma 4 6 4 7 2" xfId="3281" xr:uid="{2DDB8EB2-6682-473A-8EC4-B6925017BB9A}"/>
    <cellStyle name="Comma 4 6 4 7 2 2" xfId="19750" xr:uid="{2FB54948-19E7-4430-90E8-13C8CDF473B7}"/>
    <cellStyle name="Comma 4 6 4 7 3" xfId="17378" xr:uid="{450D6132-CE62-4518-BE63-FF175908DDCA}"/>
    <cellStyle name="Comma 4 6 4 7 3 2" xfId="20585" xr:uid="{E86E71F3-FD62-481E-B72A-A4053129CF0A}"/>
    <cellStyle name="Comma 4 6 4 7 4" xfId="18635" xr:uid="{5FDC45AF-3053-49F1-AA37-197ECB8A1065}"/>
    <cellStyle name="Comma 4 6 4 8" xfId="2427" xr:uid="{B28D6720-7C3E-4A1C-BC5A-75E160ABE17C}"/>
    <cellStyle name="Comma 4 6 4 8 2" xfId="3552" xr:uid="{DE1B8EAA-2D4A-4169-86E1-DA1ABC0BE6DB}"/>
    <cellStyle name="Comma 4 6 4 8 2 2" xfId="20006" xr:uid="{3967FB0F-FC9D-4716-9E95-9CF9FA00C7AB}"/>
    <cellStyle name="Comma 4 6 4 8 3" xfId="17866" xr:uid="{6174BDB9-10BE-4E38-8AA2-6F0381C7D76C}"/>
    <cellStyle name="Comma 4 6 4 8 3 2" xfId="20861" xr:uid="{FE453085-44B7-4310-AE3C-D8892E1D39E5}"/>
    <cellStyle name="Comma 4 6 4 8 4" xfId="18911" xr:uid="{DF515AEE-3979-4E72-860E-95F8CF458719}"/>
    <cellStyle name="Comma 4 6 4 9" xfId="2683" xr:uid="{9100830E-5C22-4D68-98A9-3B3B6F4ECD92}"/>
    <cellStyle name="Comma 4 6 4 9 2" xfId="3825" xr:uid="{16552649-B620-46B0-B9B7-7DBD4C2DD5B1}"/>
    <cellStyle name="Comma 4 6 4 9 2 2" xfId="20279" xr:uid="{B81EEB1D-B3DB-41B6-A18E-36FAB3ED14BE}"/>
    <cellStyle name="Comma 4 6 4 9 3" xfId="19167" xr:uid="{BD5B7C68-BE23-4559-9858-A98E0D89CCEF}"/>
    <cellStyle name="Comma 4 6 5" xfId="877" xr:uid="{F4106DDE-F087-4DEB-87FA-6C7061B97DF6}"/>
    <cellStyle name="Comma 4 6 5 10" xfId="17080" xr:uid="{052416CF-B1C4-42D4-9E76-CC10CE7195FF}"/>
    <cellStyle name="Comma 4 6 5 10 2" xfId="20371" xr:uid="{63629C87-4018-42D0-B0BF-0A3EB93C9484}"/>
    <cellStyle name="Comma 4 6 5 11" xfId="18421" xr:uid="{5C814EC4-857E-474E-96F7-CC16966702C6}"/>
    <cellStyle name="Comma 4 6 5 2" xfId="1518" xr:uid="{A3E522E4-9970-4C4A-BD36-7492B22DC071}"/>
    <cellStyle name="Comma 4 6 5 2 2" xfId="1703" xr:uid="{B7B48C17-C912-4F7A-8C9F-69E82DD4EF9A}"/>
    <cellStyle name="Comma 4 6 5 2 2 2" xfId="3637" xr:uid="{B008D0C6-9D81-4ADA-8583-EB5F4FB1FA82}"/>
    <cellStyle name="Comma 4 6 5 2 2 2 2" xfId="20091" xr:uid="{47F6F927-5BD3-4AAA-AC89-9136E29770C7}"/>
    <cellStyle name="Comma 4 6 5 2 2 3" xfId="17463" xr:uid="{525BB729-E2C6-4299-9B9F-2E09DDE84856}"/>
    <cellStyle name="Comma 4 6 5 2 2 3 2" xfId="20670" xr:uid="{CEC391D5-1124-46D8-A98D-11348ACFC925}"/>
    <cellStyle name="Comma 4 6 5 2 2 4" xfId="18720" xr:uid="{C0283E8D-8AC4-42AA-9354-00EA0F2E2BA0}"/>
    <cellStyle name="Comma 4 6 5 2 3" xfId="2512" xr:uid="{CDBEFF37-2EF4-413D-B6B1-FCB1B07C3BE8}"/>
    <cellStyle name="Comma 4 6 5 2 3 2" xfId="3368" xr:uid="{0AC0D902-FCC9-4376-8F1E-7729BF5059F3}"/>
    <cellStyle name="Comma 4 6 5 2 3 2 2" xfId="19835" xr:uid="{45D770D7-39F0-4CEF-A781-1A01A9B3F414}"/>
    <cellStyle name="Comma 4 6 5 2 3 3" xfId="17953" xr:uid="{3F81C5B4-4756-4238-91DD-5BE6F05C5ED4}"/>
    <cellStyle name="Comma 4 6 5 2 3 3 2" xfId="20946" xr:uid="{5DCD2324-B8B8-4E8E-9886-CFF8EE07108B}"/>
    <cellStyle name="Comma 4 6 5 2 3 4" xfId="18996" xr:uid="{156A2334-EA80-4F6C-8EF4-9AC7CE275FB7}"/>
    <cellStyle name="Comma 4 6 5 2 4" xfId="2768" xr:uid="{CE655A83-CB4E-4843-9A21-2202523CF168}"/>
    <cellStyle name="Comma 4 6 5 2 4 2" xfId="19252" xr:uid="{2166E916-E8E8-4992-AD72-57492EA4BB36}"/>
    <cellStyle name="Comma 4 6 5 2 5" xfId="3034" xr:uid="{3A59AE4E-2E43-40D5-9EA6-3D3C1BFD53ED}"/>
    <cellStyle name="Comma 4 6 5 2 5 2" xfId="19508" xr:uid="{E3174DD0-46B8-43DD-910D-EB6C4CA3406A}"/>
    <cellStyle name="Comma 4 6 5 2 6" xfId="17291" xr:uid="{37D1C470-A2B4-4057-B1AA-E1E085C53680}"/>
    <cellStyle name="Comma 4 6 5 2 6 2" xfId="20498" xr:uid="{95C67737-AE5F-435B-BF67-758464183494}"/>
    <cellStyle name="Comma 4 6 5 2 7" xfId="18548" xr:uid="{E12E9AAC-0D30-45C5-A24C-02CE7861D156}"/>
    <cellStyle name="Comma 4 6 5 3" xfId="1578" xr:uid="{33E6B2E0-8E86-474C-BDE7-EEE3D380BD75}"/>
    <cellStyle name="Comma 4 6 5 3 2" xfId="1750" xr:uid="{A93B2493-7114-4D50-88E8-ACF7D85014F3}"/>
    <cellStyle name="Comma 4 6 5 3 2 2" xfId="3684" xr:uid="{2286EC8B-8BDC-45BC-B783-89F13898129F}"/>
    <cellStyle name="Comma 4 6 5 3 2 2 2" xfId="20138" xr:uid="{BECA8F63-D840-4085-B080-D082A6A93633}"/>
    <cellStyle name="Comma 4 6 5 3 2 3" xfId="17510" xr:uid="{4B3BEB65-16D2-4B19-8239-23C53D8B5F09}"/>
    <cellStyle name="Comma 4 6 5 3 2 3 2" xfId="20717" xr:uid="{189C61A3-07A8-4492-BC55-FFFB9EF230A0}"/>
    <cellStyle name="Comma 4 6 5 3 2 4" xfId="18767" xr:uid="{466648DE-61E1-4708-8757-2A771A920438}"/>
    <cellStyle name="Comma 4 6 5 3 3" xfId="2559" xr:uid="{3EF922F8-1664-4F14-8ABA-324133923C47}"/>
    <cellStyle name="Comma 4 6 5 3 3 2" xfId="3423" xr:uid="{DEE4A9ED-33E4-468B-BBC7-1CDB997B065A}"/>
    <cellStyle name="Comma 4 6 5 3 3 2 2" xfId="19882" xr:uid="{7E8F22A5-ADB9-437B-90EA-F84B97965C62}"/>
    <cellStyle name="Comma 4 6 5 3 3 3" xfId="18000" xr:uid="{9FA71580-1A92-4279-934F-ACC3895940F3}"/>
    <cellStyle name="Comma 4 6 5 3 3 3 2" xfId="20993" xr:uid="{5617B379-A355-47FA-9BA4-778DECA387F5}"/>
    <cellStyle name="Comma 4 6 5 3 3 4" xfId="19043" xr:uid="{4DEFBD24-DF16-4A14-B465-29E55F43CF43}"/>
    <cellStyle name="Comma 4 6 5 3 4" xfId="2815" xr:uid="{CC8F2BE3-E6BB-4F0E-8A53-112876C0BAD1}"/>
    <cellStyle name="Comma 4 6 5 3 4 2" xfId="19299" xr:uid="{5A80454A-C26C-4B9C-B81A-672BBEAB9DBC}"/>
    <cellStyle name="Comma 4 6 5 3 5" xfId="3081" xr:uid="{B05E035E-FF9B-4335-97F7-1D51EEB4DBE0}"/>
    <cellStyle name="Comma 4 6 5 3 5 2" xfId="19555" xr:uid="{22B36F44-7BB2-4ED8-80A6-1F5AD4B94AD3}"/>
    <cellStyle name="Comma 4 6 5 3 6" xfId="17338" xr:uid="{0930C7A9-BADA-4848-ABDD-B5497EF8D7B7}"/>
    <cellStyle name="Comma 4 6 5 3 6 2" xfId="20545" xr:uid="{E70007AE-F059-4796-BD88-30DDA0A2C378}"/>
    <cellStyle name="Comma 4 6 5 3 7" xfId="18595" xr:uid="{83455808-7EF0-46D6-A07C-EE030F571B2F}"/>
    <cellStyle name="Comma 4 6 5 4" xfId="1403" xr:uid="{9983369E-FE0D-48E5-BD5E-8CE30B765F8B}"/>
    <cellStyle name="Comma 4 6 5 4 2" xfId="1800" xr:uid="{9780C1E5-42B9-4475-807C-81C042F79FCC}"/>
    <cellStyle name="Comma 4 6 5 4 2 2" xfId="3732" xr:uid="{9F4AD7A5-981E-4914-BC80-99F2D27D1567}"/>
    <cellStyle name="Comma 4 6 5 4 2 2 2" xfId="20186" xr:uid="{6466E593-A248-40AB-8783-E3B1ED690782}"/>
    <cellStyle name="Comma 4 6 5 4 2 3" xfId="17558" xr:uid="{AE3C19D5-25BE-4953-946E-6FB1338573CD}"/>
    <cellStyle name="Comma 4 6 5 4 2 3 2" xfId="20765" xr:uid="{A283BD81-9DB9-4E6A-9C96-C57F1D6D8A22}"/>
    <cellStyle name="Comma 4 6 5 4 2 4" xfId="18815" xr:uid="{DF7B1323-3C90-4BD5-A0CD-14A96BB4945F}"/>
    <cellStyle name="Comma 4 6 5 4 3" xfId="2607" xr:uid="{C56F855A-F328-45AC-9B04-BAE5E4472D1F}"/>
    <cellStyle name="Comma 4 6 5 4 3 2" xfId="3472" xr:uid="{0A679134-1546-49DA-838B-6603E97860F9}"/>
    <cellStyle name="Comma 4 6 5 4 3 2 2" xfId="19930" xr:uid="{F0B358C5-E04D-4C95-BC70-C2221C4D96AA}"/>
    <cellStyle name="Comma 4 6 5 4 3 3" xfId="18048" xr:uid="{C0D4ED80-A59B-4BAA-AD6C-B936C6D9C520}"/>
    <cellStyle name="Comma 4 6 5 4 3 3 2" xfId="21041" xr:uid="{4E7AED0C-6844-4439-A652-07AC9B1CE4AF}"/>
    <cellStyle name="Comma 4 6 5 4 3 4" xfId="19091" xr:uid="{D2C20605-9186-4C61-9009-6B11480E9192}"/>
    <cellStyle name="Comma 4 6 5 4 4" xfId="2863" xr:uid="{27134276-A489-4EEA-9782-E101DCFC6C0E}"/>
    <cellStyle name="Comma 4 6 5 4 4 2" xfId="19347" xr:uid="{B33EBACF-84F1-47EB-B5F5-D3F7F4B76C29}"/>
    <cellStyle name="Comma 4 6 5 4 5" xfId="3129" xr:uid="{C1E596F7-D582-44DB-8D44-F21789B01B48}"/>
    <cellStyle name="Comma 4 6 5 4 5 2" xfId="19603" xr:uid="{7EC67B68-9990-4575-9464-14F8106EFBF1}"/>
    <cellStyle name="Comma 4 6 5 4 6" xfId="17209" xr:uid="{147C3CB2-517C-4241-9842-B761E2C02AB9}"/>
    <cellStyle name="Comma 4 6 5 4 6 2" xfId="20419" xr:uid="{447EC92B-C4F8-411A-90BA-6FFDF657D98F}"/>
    <cellStyle name="Comma 4 6 5 4 7" xfId="18469" xr:uid="{2BB4D43F-C99D-4715-AFA8-24E60CB8EC06}"/>
    <cellStyle name="Comma 4 6 5 5" xfId="1624" xr:uid="{347AC0C9-95FE-458F-85E2-B34E484D3403}"/>
    <cellStyle name="Comma 4 6 5 5 2" xfId="3287" xr:uid="{5C34C6C6-57FF-486F-9D2E-B5210A143CDC}"/>
    <cellStyle name="Comma 4 6 5 5 2 2" xfId="19756" xr:uid="{8DCA532E-9348-49CF-9349-C04019E75892}"/>
    <cellStyle name="Comma 4 6 5 5 3" xfId="17384" xr:uid="{B933838C-A5A6-4CEF-9279-8989B2AD52CB}"/>
    <cellStyle name="Comma 4 6 5 5 3 2" xfId="20591" xr:uid="{04285C78-02E2-48EE-9D2C-C8ADEA558367}"/>
    <cellStyle name="Comma 4 6 5 5 4" xfId="18641" xr:uid="{2D9CD46B-956F-4482-8BF1-68DC081CB42E}"/>
    <cellStyle name="Comma 4 6 5 6" xfId="2433" xr:uid="{C014E59A-B8B7-4CB7-83CC-0FA075FDDFD0}"/>
    <cellStyle name="Comma 4 6 5 6 2" xfId="3558" xr:uid="{818931B2-B1F9-42CA-841F-F61B5E52C542}"/>
    <cellStyle name="Comma 4 6 5 6 2 2" xfId="20012" xr:uid="{8CCCB327-28A5-4247-B7F8-D1676D62EBF1}"/>
    <cellStyle name="Comma 4 6 5 6 3" xfId="17872" xr:uid="{334243CD-7370-4CAD-9DD9-30302E4A4368}"/>
    <cellStyle name="Comma 4 6 5 6 3 2" xfId="20867" xr:uid="{263D876E-7454-4C12-B470-B088D74311D0}"/>
    <cellStyle name="Comma 4 6 5 6 4" xfId="18917" xr:uid="{475865C2-E230-49B8-A8D0-673365B1BF60}"/>
    <cellStyle name="Comma 4 6 5 7" xfId="2689" xr:uid="{87CADD49-ACA7-42E5-9245-84CE6D3E40B6}"/>
    <cellStyle name="Comma 4 6 5 7 2" xfId="3837" xr:uid="{2AE06DD3-B8A5-4D63-99D8-79A7DD87ECC0}"/>
    <cellStyle name="Comma 4 6 5 7 2 2" xfId="20291" xr:uid="{FD44B568-E9C8-4A57-8F2C-51EE12A34225}"/>
    <cellStyle name="Comma 4 6 5 7 3" xfId="19173" xr:uid="{A64A614E-FC9F-4399-8B7B-78C22E70C815}"/>
    <cellStyle name="Comma 4 6 5 8" xfId="3238" xr:uid="{072D76B8-3A80-4E4E-A3FC-08114F901B83}"/>
    <cellStyle name="Comma 4 6 5 8 2" xfId="19708" xr:uid="{4DD696A1-2798-4CE5-B6B0-5A542D646666}"/>
    <cellStyle name="Comma 4 6 5 9" xfId="2955" xr:uid="{4AD9923C-6558-4637-959B-A75013E53494}"/>
    <cellStyle name="Comma 4 6 5 9 2" xfId="19429" xr:uid="{536E9FEF-B719-44B0-94F3-069F0AF97415}"/>
    <cellStyle name="Comma 4 6 6" xfId="889" xr:uid="{C11E0FCD-098C-43AD-9481-DE00E1F0052E}"/>
    <cellStyle name="Comma 4 6 6 10" xfId="17090" xr:uid="{7AA2C433-280F-4BD3-BD83-C57A7F20AA7C}"/>
    <cellStyle name="Comma 4 6 6 10 2" xfId="20377" xr:uid="{4B7AABA6-7201-49C0-9841-0A5EF7BF1F31}"/>
    <cellStyle name="Comma 4 6 6 11" xfId="18427" xr:uid="{E9A143F5-4B3A-41DA-9EBE-09F2D837D40D}"/>
    <cellStyle name="Comma 4 6 6 2" xfId="1519" xr:uid="{8AFA82A1-4E37-49B5-A5BE-DFDA08E4E80F}"/>
    <cellStyle name="Comma 4 6 6 2 2" xfId="1704" xr:uid="{38F3912A-CAF5-444F-8B9E-E313C130E164}"/>
    <cellStyle name="Comma 4 6 6 2 2 2" xfId="3638" xr:uid="{0DD13A59-82C5-4360-B96D-10F236196702}"/>
    <cellStyle name="Comma 4 6 6 2 2 2 2" xfId="20092" xr:uid="{8B20403A-F9C9-42E6-BC02-CD166C1049C9}"/>
    <cellStyle name="Comma 4 6 6 2 2 3" xfId="17464" xr:uid="{EAB282E1-24C2-453C-8AED-C41ECDA9E78F}"/>
    <cellStyle name="Comma 4 6 6 2 2 3 2" xfId="20671" xr:uid="{A9A39157-BDE0-4640-98D1-E0F2B059E3B4}"/>
    <cellStyle name="Comma 4 6 6 2 2 4" xfId="18721" xr:uid="{D1E4700C-06A9-4157-8EAE-14E912FDB19F}"/>
    <cellStyle name="Comma 4 6 6 2 3" xfId="2513" xr:uid="{C217055E-0AD4-4C90-9BFE-29203D84F8AD}"/>
    <cellStyle name="Comma 4 6 6 2 3 2" xfId="3369" xr:uid="{477FE76A-76E1-4785-B973-57569B284AC4}"/>
    <cellStyle name="Comma 4 6 6 2 3 2 2" xfId="19836" xr:uid="{D2FAE6FE-08F4-4C48-B1CD-BEAA80F9C6D2}"/>
    <cellStyle name="Comma 4 6 6 2 3 3" xfId="17954" xr:uid="{35D435B8-3A12-47F1-8E5D-D50B0C5496CE}"/>
    <cellStyle name="Comma 4 6 6 2 3 3 2" xfId="20947" xr:uid="{6EF19360-5D3D-4F18-88C1-7931EED34DFF}"/>
    <cellStyle name="Comma 4 6 6 2 3 4" xfId="18997" xr:uid="{85437428-2B0B-4F6F-AED9-744BBAB795FE}"/>
    <cellStyle name="Comma 4 6 6 2 4" xfId="2769" xr:uid="{05C2CF3E-7825-4489-8D52-ACA16AFBFAB8}"/>
    <cellStyle name="Comma 4 6 6 2 4 2" xfId="19253" xr:uid="{28258F19-8AEB-47EB-B1E7-D8172ED3DDF3}"/>
    <cellStyle name="Comma 4 6 6 2 5" xfId="3035" xr:uid="{54429A7A-54CB-4FD7-8902-54338654BD0F}"/>
    <cellStyle name="Comma 4 6 6 2 5 2" xfId="19509" xr:uid="{6E545EE7-2890-450F-8913-E78C9408F106}"/>
    <cellStyle name="Comma 4 6 6 2 6" xfId="17292" xr:uid="{AD428656-416D-401E-AE9B-A10B26CD1974}"/>
    <cellStyle name="Comma 4 6 6 2 6 2" xfId="20499" xr:uid="{C9A43D92-190A-4311-836C-F030AFE7E183}"/>
    <cellStyle name="Comma 4 6 6 2 7" xfId="18549" xr:uid="{66D582FC-3E1F-4B7C-84AA-33A8A40A7B43}"/>
    <cellStyle name="Comma 4 6 6 3" xfId="1579" xr:uid="{EE727967-5DEF-426B-B7A1-56AA997CF5A8}"/>
    <cellStyle name="Comma 4 6 6 3 2" xfId="1751" xr:uid="{130FCE68-88E2-4A7C-A498-D57CE1EE1DE2}"/>
    <cellStyle name="Comma 4 6 6 3 2 2" xfId="3685" xr:uid="{B0168C1B-1FEC-48B2-8299-CA4BC981A6F0}"/>
    <cellStyle name="Comma 4 6 6 3 2 2 2" xfId="20139" xr:uid="{989649AD-A233-4F9F-A1A3-00D9CAD4408F}"/>
    <cellStyle name="Comma 4 6 6 3 2 3" xfId="17511" xr:uid="{C9B5F8E1-4C55-429B-9D85-C015CD75581D}"/>
    <cellStyle name="Comma 4 6 6 3 2 3 2" xfId="20718" xr:uid="{F8C3CDAD-1769-47CC-8B6A-28906812B177}"/>
    <cellStyle name="Comma 4 6 6 3 2 4" xfId="18768" xr:uid="{8B1A47EB-EE65-4AF9-B604-3919BB7CC4EB}"/>
    <cellStyle name="Comma 4 6 6 3 3" xfId="2560" xr:uid="{7A4E8DB2-1FB2-44F9-9C74-BC2B7DF7B001}"/>
    <cellStyle name="Comma 4 6 6 3 3 2" xfId="3424" xr:uid="{A9C96F5F-F7C1-4CDA-B6DE-DB8F50CDBF2D}"/>
    <cellStyle name="Comma 4 6 6 3 3 2 2" xfId="19883" xr:uid="{00AC318E-F193-4FC3-B403-5BC3122E3D3D}"/>
    <cellStyle name="Comma 4 6 6 3 3 3" xfId="18001" xr:uid="{4B5F0711-42DD-496B-9C5F-78B4729BB2A2}"/>
    <cellStyle name="Comma 4 6 6 3 3 3 2" xfId="20994" xr:uid="{E17C31C0-0286-4D22-B189-1D694DDC6030}"/>
    <cellStyle name="Comma 4 6 6 3 3 4" xfId="19044" xr:uid="{DA10E4AB-C123-4AD8-855F-B1FD89432AB0}"/>
    <cellStyle name="Comma 4 6 6 3 4" xfId="2816" xr:uid="{B7A070D9-E509-4F1F-B0F2-B92E20D84165}"/>
    <cellStyle name="Comma 4 6 6 3 4 2" xfId="19300" xr:uid="{C931AB73-F62F-4006-9C9A-27DFDC8B79B2}"/>
    <cellStyle name="Comma 4 6 6 3 5" xfId="3082" xr:uid="{8B42C0D7-0414-4D28-B5E3-7699D35B982C}"/>
    <cellStyle name="Comma 4 6 6 3 5 2" xfId="19556" xr:uid="{11FB02DE-E5B8-4129-B60D-E3DDF5DB211B}"/>
    <cellStyle name="Comma 4 6 6 3 6" xfId="17339" xr:uid="{129A67CD-BAD3-4294-9A40-0428866ADB91}"/>
    <cellStyle name="Comma 4 6 6 3 6 2" xfId="20546" xr:uid="{B6631987-7742-4D26-8030-2E8756768AF1}"/>
    <cellStyle name="Comma 4 6 6 3 7" xfId="18596" xr:uid="{E9A21BDE-F030-426C-9DBA-6D5592F80C23}"/>
    <cellStyle name="Comma 4 6 6 4" xfId="1419" xr:uid="{0A071F30-98FC-4C41-9340-2F0FA2452B77}"/>
    <cellStyle name="Comma 4 6 6 4 2" xfId="1801" xr:uid="{13FCFB67-2FF9-4490-8FEE-BCBBF6B26B8A}"/>
    <cellStyle name="Comma 4 6 6 4 2 2" xfId="3733" xr:uid="{361AA305-8104-45EA-8D38-37E0BAC84E5E}"/>
    <cellStyle name="Comma 4 6 6 4 2 2 2" xfId="20187" xr:uid="{F35E2346-F180-4400-9E74-4F18BC403D83}"/>
    <cellStyle name="Comma 4 6 6 4 2 3" xfId="17559" xr:uid="{8CFD2DD1-ACC2-4CDE-9070-38B3F2C20457}"/>
    <cellStyle name="Comma 4 6 6 4 2 3 2" xfId="20766" xr:uid="{07381125-5497-42DE-9A6A-0DD95D118234}"/>
    <cellStyle name="Comma 4 6 6 4 2 4" xfId="18816" xr:uid="{824FE173-37C2-4D61-9F91-030B324ABA32}"/>
    <cellStyle name="Comma 4 6 6 4 3" xfId="2608" xr:uid="{00A38E66-1906-4E22-AAD1-F424DC64D7DD}"/>
    <cellStyle name="Comma 4 6 6 4 3 2" xfId="3473" xr:uid="{5AAAA78F-DF10-4AFA-A753-C1D856F5038B}"/>
    <cellStyle name="Comma 4 6 6 4 3 2 2" xfId="19931" xr:uid="{95159D28-F998-4E63-83E6-746343402703}"/>
    <cellStyle name="Comma 4 6 6 4 3 3" xfId="18049" xr:uid="{BB2F9A1D-7860-431D-9BBD-B494B318A786}"/>
    <cellStyle name="Comma 4 6 6 4 3 3 2" xfId="21042" xr:uid="{EB3D02DF-9E31-41FE-BB8F-7596135BA376}"/>
    <cellStyle name="Comma 4 6 6 4 3 4" xfId="19092" xr:uid="{19B055BE-1F5A-4CA9-84F5-C22E538468B9}"/>
    <cellStyle name="Comma 4 6 6 4 4" xfId="2864" xr:uid="{77AED4DC-6F14-4EDC-91DB-C85869299394}"/>
    <cellStyle name="Comma 4 6 6 4 4 2" xfId="19348" xr:uid="{8A1AC1DE-A6D1-49C6-BAD8-69036625D914}"/>
    <cellStyle name="Comma 4 6 6 4 5" xfId="3130" xr:uid="{5AD8708A-9966-4A25-B11B-94F52C6061C9}"/>
    <cellStyle name="Comma 4 6 6 4 5 2" xfId="19604" xr:uid="{B0C33EA0-1371-4E3C-A8E0-CF2650513DE8}"/>
    <cellStyle name="Comma 4 6 6 4 6" xfId="17220" xr:uid="{64205EDD-9F3A-49F2-A0A2-71A6A98B6422}"/>
    <cellStyle name="Comma 4 6 6 4 6 2" xfId="20429" xr:uid="{D580089A-FC8C-442D-8D69-5434BBDBA2EE}"/>
    <cellStyle name="Comma 4 6 6 4 7" xfId="18479" xr:uid="{26DD90AD-1629-49DA-BDCA-5CE79992D12C}"/>
    <cellStyle name="Comma 4 6 6 5" xfId="1634" xr:uid="{B6FBD0F7-0871-4FEA-A561-C56AEB1B7A6B}"/>
    <cellStyle name="Comma 4 6 6 5 2" xfId="3298" xr:uid="{36F5AE73-01DC-458B-BDBA-2005C7D7C73D}"/>
    <cellStyle name="Comma 4 6 6 5 2 2" xfId="19766" xr:uid="{890DE9C9-E699-4A1E-A229-43DA06AA216D}"/>
    <cellStyle name="Comma 4 6 6 5 3" xfId="17394" xr:uid="{11C7A2F5-5AC4-48CE-878A-690DE9F10632}"/>
    <cellStyle name="Comma 4 6 6 5 3 2" xfId="20601" xr:uid="{16E4BD40-A92C-48DB-98A3-C2590AD3C0C4}"/>
    <cellStyle name="Comma 4 6 6 5 4" xfId="18651" xr:uid="{144E69BB-FD91-41C1-96D8-1484A1B11594}"/>
    <cellStyle name="Comma 4 6 6 6" xfId="2443" xr:uid="{B8C51B1E-0D09-4311-99A6-ED44C820E238}"/>
    <cellStyle name="Comma 4 6 6 6 2" xfId="3568" xr:uid="{16ADAD8B-451E-4637-8145-3A1604F8F045}"/>
    <cellStyle name="Comma 4 6 6 6 2 2" xfId="20022" xr:uid="{78297F7B-DE37-4B17-B886-34CFB8D33B5F}"/>
    <cellStyle name="Comma 4 6 6 6 3" xfId="17882" xr:uid="{DD0EC759-5920-4716-A42E-D0F8F30D815C}"/>
    <cellStyle name="Comma 4 6 6 6 3 2" xfId="20877" xr:uid="{131CFEAC-7D32-41C8-9FD8-78CE51ADBE24}"/>
    <cellStyle name="Comma 4 6 6 6 4" xfId="18927" xr:uid="{F50B4E95-6A1E-44F0-9613-C13936C2D2DA}"/>
    <cellStyle name="Comma 4 6 6 7" xfId="2699" xr:uid="{403B3ADD-EEF8-430F-8A8F-E4B4106CA060}"/>
    <cellStyle name="Comma 4 6 6 7 2" xfId="3843" xr:uid="{48AB9DCA-4530-4812-8333-8E7CF8D0EA17}"/>
    <cellStyle name="Comma 4 6 6 7 2 2" xfId="20297" xr:uid="{9F2B6237-CD9E-4CFE-A7A8-055CDD46E333}"/>
    <cellStyle name="Comma 4 6 6 7 3" xfId="19183" xr:uid="{064B2FDA-8A8F-4207-B749-CC66B9CC0553}"/>
    <cellStyle name="Comma 4 6 6 8" xfId="3244" xr:uid="{F3EC4FD9-9DCD-451E-952B-05F45C4AC5C1}"/>
    <cellStyle name="Comma 4 6 6 8 2" xfId="19714" xr:uid="{8CAED24C-5917-42B2-A178-466663D5A251}"/>
    <cellStyle name="Comma 4 6 6 9" xfId="2965" xr:uid="{3E6C2E78-4AF1-4B72-9238-6641B52BDADA}"/>
    <cellStyle name="Comma 4 6 6 9 2" xfId="19439" xr:uid="{295C2719-30A9-427B-9527-7CB55285E978}"/>
    <cellStyle name="Comma 4 6 7" xfId="1514" xr:uid="{27213C3C-C17E-4BA2-A648-AC9E2C3A5952}"/>
    <cellStyle name="Comma 4 6 7 2" xfId="1699" xr:uid="{538EAD07-AFC8-41A2-ACE2-C2C808D866D1}"/>
    <cellStyle name="Comma 4 6 7 2 2" xfId="3364" xr:uid="{12B4BD9B-30CA-49C6-B107-5E9A3855756F}"/>
    <cellStyle name="Comma 4 6 7 2 2 2" xfId="19831" xr:uid="{5FA35256-2F0D-4755-925B-0B273532E946}"/>
    <cellStyle name="Comma 4 6 7 2 3" xfId="17459" xr:uid="{72112640-99BA-4467-A6D0-55794BDDF59A}"/>
    <cellStyle name="Comma 4 6 7 2 3 2" xfId="20666" xr:uid="{55D398C9-AC19-434D-9462-C39525AE8EFF}"/>
    <cellStyle name="Comma 4 6 7 2 4" xfId="18716" xr:uid="{CC17C520-40B2-405A-A153-B53FCF19C4E2}"/>
    <cellStyle name="Comma 4 6 7 3" xfId="2508" xr:uid="{B0C3A270-07EB-4737-9B54-A17E6BDBA36F}"/>
    <cellStyle name="Comma 4 6 7 3 2" xfId="3633" xr:uid="{66AAD950-A530-4C72-8A0C-DAE3AC4C5830}"/>
    <cellStyle name="Comma 4 6 7 3 2 2" xfId="20087" xr:uid="{511A7F2B-C293-4BB3-978A-67E089A66087}"/>
    <cellStyle name="Comma 4 6 7 3 3" xfId="17949" xr:uid="{A62D995E-3CAD-47FA-80EE-48646048C996}"/>
    <cellStyle name="Comma 4 6 7 3 3 2" xfId="20942" xr:uid="{C709DFBD-DA71-4DAE-9AB5-A3BCD7261178}"/>
    <cellStyle name="Comma 4 6 7 3 4" xfId="18992" xr:uid="{04C8C1F3-9C5A-4EE3-B889-62BEC13A0985}"/>
    <cellStyle name="Comma 4 6 7 4" xfId="2764" xr:uid="{463BAA57-3943-4AFF-8876-2B2CA4B94D08}"/>
    <cellStyle name="Comma 4 6 7 4 2" xfId="3799" xr:uid="{8454E393-B16A-42FF-B7D9-962F86A0823A}"/>
    <cellStyle name="Comma 4 6 7 4 2 2" xfId="20253" xr:uid="{9CF2D673-9BEC-428B-8A55-020C34C9343C}"/>
    <cellStyle name="Comma 4 6 7 4 3" xfId="19248" xr:uid="{5B08D46F-3A6B-48E7-ADFC-2FE5DFE90976}"/>
    <cellStyle name="Comma 4 6 7 5" xfId="3196" xr:uid="{858C4EC9-BB30-4DDD-A739-35BE7F63558A}"/>
    <cellStyle name="Comma 4 6 7 5 2" xfId="19670" xr:uid="{B2C34F49-772F-4869-B30B-B5862A2637F7}"/>
    <cellStyle name="Comma 4 6 7 6" xfId="3030" xr:uid="{57D1484C-6B3C-4D47-AE85-B7A76F8C60E7}"/>
    <cellStyle name="Comma 4 6 7 6 2" xfId="19504" xr:uid="{3DD641E3-7DDA-4729-A208-433D5D62EE33}"/>
    <cellStyle name="Comma 4 6 7 7" xfId="17287" xr:uid="{79C5EEC0-88DA-43FD-A892-2BB91550BDD8}"/>
    <cellStyle name="Comma 4 6 7 7 2" xfId="20494" xr:uid="{4494E176-E1E2-4302-B116-EBBFFE31FC20}"/>
    <cellStyle name="Comma 4 6 7 8" xfId="18544" xr:uid="{EC9ED637-0B6F-4ED0-8ACC-F6911F606B40}"/>
    <cellStyle name="Comma 4 6 8" xfId="1574" xr:uid="{C379F52B-8B4E-432D-8CAB-0902A5901DAD}"/>
    <cellStyle name="Comma 4 6 8 2" xfId="1746" xr:uid="{6875E388-5BFD-4766-83AA-CD75634C8619}"/>
    <cellStyle name="Comma 4 6 8 2 2" xfId="3680" xr:uid="{4137FF36-8582-47C2-942E-723E8FDBF5AD}"/>
    <cellStyle name="Comma 4 6 8 2 2 2" xfId="20134" xr:uid="{59987D64-A072-47F7-99DC-2F6B0C6AF166}"/>
    <cellStyle name="Comma 4 6 8 2 3" xfId="17506" xr:uid="{3F4EA8B6-C64E-4DC4-A964-6F4E65835115}"/>
    <cellStyle name="Comma 4 6 8 2 3 2" xfId="20713" xr:uid="{3D4D4F00-D491-4EAA-96F7-5BD3F4E9E4C4}"/>
    <cellStyle name="Comma 4 6 8 2 4" xfId="18763" xr:uid="{CDDC2ABC-E5AB-4C67-AD4F-AD72CAAC3AA5}"/>
    <cellStyle name="Comma 4 6 8 3" xfId="2555" xr:uid="{EEA873D8-77C8-4BD3-8A94-5A0E184AAADB}"/>
    <cellStyle name="Comma 4 6 8 3 2" xfId="3419" xr:uid="{F2D84C61-B9D7-45CB-8D9F-1BD95803ED32}"/>
    <cellStyle name="Comma 4 6 8 3 2 2" xfId="19878" xr:uid="{8C302D2A-E0CE-4E9A-A015-B6A469B1CAA7}"/>
    <cellStyle name="Comma 4 6 8 3 3" xfId="17996" xr:uid="{9A58509E-85FE-4A1B-8EBF-963FE5D6BF95}"/>
    <cellStyle name="Comma 4 6 8 3 3 2" xfId="20989" xr:uid="{7E850180-D4C2-4C51-B22C-893BAD994B85}"/>
    <cellStyle name="Comma 4 6 8 3 4" xfId="19039" xr:uid="{F2892B97-6EAF-4FA8-A067-7778BFFAC294}"/>
    <cellStyle name="Comma 4 6 8 4" xfId="2811" xr:uid="{A1F8CA9D-C9D7-47B0-A33E-C6FC85B9AB3E}"/>
    <cellStyle name="Comma 4 6 8 4 2" xfId="19295" xr:uid="{0EAC445A-CD42-4F96-81F1-88220FCE8226}"/>
    <cellStyle name="Comma 4 6 8 5" xfId="3077" xr:uid="{ED6A44EE-09E8-4E89-B9DC-A13CE1D93198}"/>
    <cellStyle name="Comma 4 6 8 5 2" xfId="19551" xr:uid="{31BEBC6F-AD0A-4E0F-AA4D-9AB91645386F}"/>
    <cellStyle name="Comma 4 6 8 6" xfId="17334" xr:uid="{E3EC620D-CFB0-463E-97C5-3E0B321E8ACE}"/>
    <cellStyle name="Comma 4 6 8 6 2" xfId="20541" xr:uid="{293CE9F0-BDDF-45D6-BCD4-4B1B81B06923}"/>
    <cellStyle name="Comma 4 6 8 7" xfId="18591" xr:uid="{B8673F23-D4FF-48E7-A9A9-8B21EDBB02F0}"/>
    <cellStyle name="Comma 4 6 9" xfId="935" xr:uid="{8D3E24AF-BD14-4027-9BB0-715F0E73B9D9}"/>
    <cellStyle name="Comma 4 6 9 2" xfId="1796" xr:uid="{8D7CF87E-5E10-4170-B704-397AE8E82669}"/>
    <cellStyle name="Comma 4 6 9 2 2" xfId="3728" xr:uid="{579FA9C0-8DD1-477B-B325-8A67B1F7A04B}"/>
    <cellStyle name="Comma 4 6 9 2 2 2" xfId="20182" xr:uid="{6EDBECC6-59E5-4908-9A02-E07E0B2889CE}"/>
    <cellStyle name="Comma 4 6 9 2 3" xfId="17554" xr:uid="{BC920016-E358-4E9C-8230-7BDC2267FF5D}"/>
    <cellStyle name="Comma 4 6 9 2 3 2" xfId="20761" xr:uid="{D9716AC1-C59D-42FD-8453-34D5E0C9663B}"/>
    <cellStyle name="Comma 4 6 9 2 4" xfId="18811" xr:uid="{F9317F3F-A7E3-4377-8DF0-F4D14E751F35}"/>
    <cellStyle name="Comma 4 6 9 3" xfId="2603" xr:uid="{B5999BD0-2F59-438A-97A2-C41354E71A94}"/>
    <cellStyle name="Comma 4 6 9 3 2" xfId="3468" xr:uid="{CB2155DF-0719-4ADE-B52D-FED9A53D2B06}"/>
    <cellStyle name="Comma 4 6 9 3 2 2" xfId="19926" xr:uid="{D7F9A20A-971E-4EB5-A974-944C2B6DA073}"/>
    <cellStyle name="Comma 4 6 9 3 3" xfId="18044" xr:uid="{0850BA75-C170-458E-A4CB-406129B14B15}"/>
    <cellStyle name="Comma 4 6 9 3 3 2" xfId="21037" xr:uid="{9B8AB99B-0E96-432D-A64F-E749AE439CAB}"/>
    <cellStyle name="Comma 4 6 9 3 4" xfId="19087" xr:uid="{C223A4C6-B01C-4350-9F8F-163AF7053535}"/>
    <cellStyle name="Comma 4 6 9 4" xfId="2859" xr:uid="{F1A16144-03F5-4B07-BE2B-622AAF06F3E7}"/>
    <cellStyle name="Comma 4 6 9 4 2" xfId="19343" xr:uid="{3FE516A5-00C1-457A-997F-B7713C12CBF8}"/>
    <cellStyle name="Comma 4 6 9 5" xfId="3125" xr:uid="{681C8805-EB3A-41AB-A8D4-5BF9C2294467}"/>
    <cellStyle name="Comma 4 6 9 5 2" xfId="19599" xr:uid="{E878D919-A4F6-47A5-A2BC-05F08DA8F5FE}"/>
    <cellStyle name="Comma 4 6 9 6" xfId="17117" xr:uid="{24BBE93B-F872-4852-86C5-50E08BB6B505}"/>
    <cellStyle name="Comma 4 6 9 6 2" xfId="20387" xr:uid="{56160E29-1566-4518-84EA-C0909652B779}"/>
    <cellStyle name="Comma 4 6 9 7" xfId="18437" xr:uid="{55AEE904-F812-4FAE-BBE8-733A8E795B53}"/>
    <cellStyle name="Comma 4 7" xfId="12302" xr:uid="{306ED5C9-15A9-4C42-9302-235F943FDAB9}"/>
    <cellStyle name="Comma 4 7 2" xfId="18118" xr:uid="{6CF94C30-5BDA-4037-A5F2-8D2CC81F4A1B}"/>
    <cellStyle name="Comma 4 8" xfId="18117" xr:uid="{F5A1667A-6C0E-454C-818A-D0363DBBB0EF}"/>
    <cellStyle name="Comma 4_Working Capital Current" xfId="15836" xr:uid="{45D49C2C-6A5A-48B9-8E27-B3028148430C}"/>
    <cellStyle name="Comma 40" xfId="844" xr:uid="{02534DF6-F0F7-4C9F-8F12-F63D032FC488}"/>
    <cellStyle name="Comma 40 2" xfId="937" xr:uid="{415E5A74-64B4-4AD1-870B-45D067AFB152}"/>
    <cellStyle name="Comma 40 3" xfId="936" xr:uid="{9C27F66E-29E4-42A9-A10E-BFBD74EDFB25}"/>
    <cellStyle name="Comma 40 4" xfId="3813" xr:uid="{7EDF2F96-25A7-4EE9-A562-950A0AB6597D}"/>
    <cellStyle name="Comma 40 4 2" xfId="17055" xr:uid="{A2EFECFD-D935-475A-BE01-0D3D65E516B8}"/>
    <cellStyle name="Comma 40 4 2 2" xfId="20347" xr:uid="{D2734EEC-93FC-40AC-92B9-EAB61D9348ED}"/>
    <cellStyle name="Comma 40 4 3" xfId="20267" xr:uid="{6BA91B5E-0254-4E1E-B16F-0A8F7A45470B}"/>
    <cellStyle name="Comma 40 5" xfId="3210" xr:uid="{D82B1470-0450-4406-A843-7D65DAE7D220}"/>
    <cellStyle name="Comma 40 5 2" xfId="19684" xr:uid="{AF0A1776-A545-4BB3-B806-039496F04CDB}"/>
    <cellStyle name="Comma 40 6" xfId="16465" xr:uid="{62F81484-15A4-4D85-B849-7D4B5CCB61C5}"/>
    <cellStyle name="Comma 40 6 2" xfId="20319" xr:uid="{86ADC7EC-485E-4B6F-BA27-7E02FBBD96B8}"/>
    <cellStyle name="Comma 40 7" xfId="18397" xr:uid="{2428CF25-2220-4583-98C9-EF180F5D5EAA}"/>
    <cellStyle name="Comma 41" xfId="938" xr:uid="{33C3C2FB-93F6-4ECE-BDCA-F371C25C4F0B}"/>
    <cellStyle name="Comma 41 2" xfId="939" xr:uid="{D53FC3EA-82EB-40EF-922D-29223B296211}"/>
    <cellStyle name="Comma 41 3" xfId="3255" xr:uid="{46EDA5E3-6DA3-4E65-B27F-41B91A183FD4}"/>
    <cellStyle name="Comma 41 4" xfId="3787" xr:uid="{DCD528EB-0C2C-4A0A-B4C3-1F32141F9372}"/>
    <cellStyle name="Comma 41 4 2" xfId="20241" xr:uid="{0C9DD72F-A6EB-4A9B-AE9E-8E1D88C82191}"/>
    <cellStyle name="Comma 41 5" xfId="3184" xr:uid="{486F9732-1514-4BAE-8B7E-1FDD3A4E2D63}"/>
    <cellStyle name="Comma 41 5 2" xfId="19658" xr:uid="{565511E5-445C-4EDB-B5F1-501A41E4B575}"/>
    <cellStyle name="Comma 42" xfId="940" xr:uid="{438DCC22-1C71-4B5E-83C7-8C7B2989C34B}"/>
    <cellStyle name="Comma 42 2" xfId="941" xr:uid="{FDAA375E-0A5F-4D42-BE99-554E76E06CE2}"/>
    <cellStyle name="Comma 42 3" xfId="942" xr:uid="{4F0FF33B-5DA3-4C25-BFAA-2BED695C393B}"/>
    <cellStyle name="Comma 43" xfId="943" xr:uid="{64D26ADB-E57F-4B6F-AC55-34B3DC56D9F1}"/>
    <cellStyle name="Comma 43 2" xfId="944" xr:uid="{831D1F4A-B6BA-4288-988C-88D968082F56}"/>
    <cellStyle name="Comma 44" xfId="945" xr:uid="{430890E7-6B05-42F3-AE00-EE1AE87A6D8F}"/>
    <cellStyle name="Comma 44 2" xfId="946" xr:uid="{971BEBD4-E91F-4B6F-ADCE-76252EB5ED6F}"/>
    <cellStyle name="Comma 45" xfId="947" xr:uid="{449D52FD-F83B-4B30-9867-731749592C7C}"/>
    <cellStyle name="Comma 45 2" xfId="948" xr:uid="{6137EECA-D8AA-445F-9C86-7B96DD905D60}"/>
    <cellStyle name="Comma 46" xfId="949" xr:uid="{BAB774DE-74FC-4ADE-8CFA-A85DCDE133B3}"/>
    <cellStyle name="Comma 46 2" xfId="950" xr:uid="{21283608-F24A-49A1-A23E-169C6B0C4FA7}"/>
    <cellStyle name="Comma 47" xfId="951" xr:uid="{A018E0E6-FC7E-474E-8726-526DC3F1E69E}"/>
    <cellStyle name="Comma 47 2" xfId="952" xr:uid="{E3C2A70E-CB41-4A98-A6F1-CA69D3F40D1F}"/>
    <cellStyle name="Comma 48" xfId="953" xr:uid="{22D635E6-E9C1-49C9-A36D-E3C3CA7D49BC}"/>
    <cellStyle name="Comma 48 2" xfId="954" xr:uid="{A045B9DF-BFF8-4306-8842-BF7EE752F5C7}"/>
    <cellStyle name="Comma 49" xfId="955" xr:uid="{4D4B6FBC-6EAD-42C0-B434-898C869929A2}"/>
    <cellStyle name="Comma 49 2" xfId="956" xr:uid="{88D2CAE2-2879-4472-B449-A2EEEF2CEFCB}"/>
    <cellStyle name="Comma 5" xfId="285" xr:uid="{BC1B5049-3CDA-4AF9-B26F-87AAF362B281}"/>
    <cellStyle name="Comma 5 2" xfId="286" xr:uid="{7AEDD453-7D6A-4439-B27B-34474B5E4415}"/>
    <cellStyle name="Comma 5 2 2" xfId="287" xr:uid="{051281F7-2619-432D-B436-650977C0C500}"/>
    <cellStyle name="Comma 5 2 3" xfId="957" xr:uid="{533D0C1C-82D6-4251-8E28-6FBE06BF1A9A}"/>
    <cellStyle name="Comma 5 2 3 2" xfId="17118" xr:uid="{A5409620-C49F-442C-8EBF-37D698B1AD5A}"/>
    <cellStyle name="Comma 5 2 3 3" xfId="12313" xr:uid="{08EECB35-6EAC-48D1-9175-08D458F8CD3A}"/>
    <cellStyle name="Comma 5 2 4" xfId="958" xr:uid="{42A1B8CA-D020-446E-84D9-DC2C8D36EA8A}"/>
    <cellStyle name="Comma 5 3" xfId="288" xr:uid="{781AE577-89F3-42DB-A665-FD178F7CBA94}"/>
    <cellStyle name="Comma 5 4" xfId="289" xr:uid="{E972D003-1150-4EF3-94AF-0D43D2F30F5B}"/>
    <cellStyle name="Comma 5 5" xfId="290" xr:uid="{1C52E949-EA02-40FD-A3D2-C834A8F19FAA}"/>
    <cellStyle name="Comma 5 6" xfId="12312" xr:uid="{0C0CA85F-4FA6-4A9A-8A8B-097D2EDA4B4E}"/>
    <cellStyle name="Comma 5 6 2" xfId="18116" xr:uid="{7A5CCE96-1B72-4990-A64C-709C75E16651}"/>
    <cellStyle name="Comma 5_Not_for_upload_before_M4_correc" xfId="15837" xr:uid="{00483490-F595-42A3-AA61-8502A3A79C7B}"/>
    <cellStyle name="Comma 50" xfId="959" xr:uid="{B8D7680B-6CFB-4554-94D4-4F859CEA8FCC}"/>
    <cellStyle name="Comma 50 2" xfId="960" xr:uid="{28E711FE-A2BC-4475-B9DF-C4085A731613}"/>
    <cellStyle name="Comma 51" xfId="961" xr:uid="{CF19F015-EC25-474C-8A38-EE29E72E7578}"/>
    <cellStyle name="Comma 51 2" xfId="962" xr:uid="{A39FA82C-1855-49EB-8AEF-967CEF08A0F8}"/>
    <cellStyle name="Comma 52" xfId="963" xr:uid="{9A55E646-3489-41FA-8149-4F1A36999B1F}"/>
    <cellStyle name="Comma 52 2" xfId="964" xr:uid="{017796D6-B5C7-4CEA-8705-AE06B615E133}"/>
    <cellStyle name="Comma 53" xfId="965" xr:uid="{AAD7CD74-311C-4BAD-AA43-1ECCC180C207}"/>
    <cellStyle name="Comma 54" xfId="966" xr:uid="{60188000-CE87-4FBF-9F12-032D6C19001F}"/>
    <cellStyle name="Comma 55" xfId="900" xr:uid="{95F2C439-A8E8-4DEC-A01B-0F769DF6C1F7}"/>
    <cellStyle name="Comma 55 2" xfId="1410" xr:uid="{B3185A36-C091-49FA-982A-9023A4ACD4BD}"/>
    <cellStyle name="Comma 56" xfId="1369" xr:uid="{25D0704E-5698-4469-A89C-0C793089B830}"/>
    <cellStyle name="Comma 56 10" xfId="2931" xr:uid="{3E639AA4-D90F-4B9A-9A2E-183292C5131C}"/>
    <cellStyle name="Comma 56 10 2" xfId="19405" xr:uid="{919BC5FB-BFF7-48EC-B269-E749ACE8234A}"/>
    <cellStyle name="Comma 56 11" xfId="17185" xr:uid="{55B7D01C-DAD1-4E91-9097-CCDF454789FA}"/>
    <cellStyle name="Comma 56 11 2" xfId="20395" xr:uid="{0645F92A-7788-497F-965A-AB482F8E478D}"/>
    <cellStyle name="Comma 56 12" xfId="18445" xr:uid="{0417F93E-A7A0-41D1-8B4F-6B9F3E588F7B}"/>
    <cellStyle name="Comma 56 2" xfId="1442" xr:uid="{D066A2D4-5785-4630-8EF9-39DF52D6D341}"/>
    <cellStyle name="Comma 56 2 2" xfId="1641" xr:uid="{A4E36449-713A-4999-B37A-727FF4FD5F85}"/>
    <cellStyle name="Comma 56 2 2 2" xfId="3575" xr:uid="{71F989AC-DBFD-4A52-9FB9-7E4D56A283A7}"/>
    <cellStyle name="Comma 56 2 2 2 2" xfId="20029" xr:uid="{78029850-6C35-41A6-BF32-31C0BBC97E38}"/>
    <cellStyle name="Comma 56 2 2 3" xfId="17401" xr:uid="{89B7CD89-EE04-4D80-9A69-CF278A4E018C}"/>
    <cellStyle name="Comma 56 2 2 3 2" xfId="20608" xr:uid="{D6D79636-3E37-477E-9560-FA92C648BC2B}"/>
    <cellStyle name="Comma 56 2 2 4" xfId="18658" xr:uid="{4B026EE6-D5D7-4D05-94AB-F351E38A194A}"/>
    <cellStyle name="Comma 56 2 3" xfId="2450" xr:uid="{87C66B7B-60B5-4B6D-84E0-AE57BBBC7D54}"/>
    <cellStyle name="Comma 56 2 3 2" xfId="3305" xr:uid="{58107211-3791-4D74-A265-A739EF1B0EF6}"/>
    <cellStyle name="Comma 56 2 3 2 2" xfId="19773" xr:uid="{F8C2D913-BC95-4630-811D-D84572078B99}"/>
    <cellStyle name="Comma 56 2 3 3" xfId="17891" xr:uid="{564D726F-75AD-42E6-9F5A-E4626D1C8195}"/>
    <cellStyle name="Comma 56 2 3 3 2" xfId="20884" xr:uid="{2E874E9D-3B12-474C-A430-3AEC05A60C0D}"/>
    <cellStyle name="Comma 56 2 3 4" xfId="18934" xr:uid="{61E3280C-EBF2-4FB2-A63C-D902F49BF62B}"/>
    <cellStyle name="Comma 56 2 4" xfId="2706" xr:uid="{3ABE4E1C-6C70-4212-A4FB-41B10DE5E348}"/>
    <cellStyle name="Comma 56 2 4 2" xfId="19190" xr:uid="{89F26E8B-591D-46CF-95DB-A59D530CD9C8}"/>
    <cellStyle name="Comma 56 2 5" xfId="2972" xr:uid="{F42179B4-ABF2-4077-A83C-1282F7EE66A8}"/>
    <cellStyle name="Comma 56 2 5 2" xfId="19446" xr:uid="{D752A46A-8BC3-44EE-A851-F82906167282}"/>
    <cellStyle name="Comma 56 2 6" xfId="17228" xr:uid="{C065BAD7-ADCF-4F1F-AB9E-5CA6009926C9}"/>
    <cellStyle name="Comma 56 2 6 2" xfId="20436" xr:uid="{778420B6-0DAA-4268-94CD-1EE1CF866EF0}"/>
    <cellStyle name="Comma 56 2 7" xfId="18486" xr:uid="{8410C646-E7D9-4CE9-8B13-BA43A1C7F686}"/>
    <cellStyle name="Comma 56 3" xfId="1520" xr:uid="{C280D7C9-AD36-4FA4-AC9E-8E2185451710}"/>
    <cellStyle name="Comma 56 3 2" xfId="1705" xr:uid="{4A7E8D24-80F7-4CA5-8B11-572E139D843A}"/>
    <cellStyle name="Comma 56 3 2 2" xfId="3639" xr:uid="{027AE160-4706-4D62-B263-1E8BB16AB22F}"/>
    <cellStyle name="Comma 56 3 2 2 2" xfId="20093" xr:uid="{6F2ABA14-64E8-4522-97F0-DCC2BA7A7834}"/>
    <cellStyle name="Comma 56 3 2 3" xfId="17465" xr:uid="{94A1EBFA-48DA-4480-9B67-8DA93413E188}"/>
    <cellStyle name="Comma 56 3 2 3 2" xfId="20672" xr:uid="{7066CB25-6B06-4C1E-AA73-08D039D9E34A}"/>
    <cellStyle name="Comma 56 3 2 4" xfId="18722" xr:uid="{1D0CAE89-B5EE-4A36-BD4B-C3A7175E0BC3}"/>
    <cellStyle name="Comma 56 3 3" xfId="2514" xr:uid="{F8CA2CC2-D146-4507-A11C-C2BE7EE9FD86}"/>
    <cellStyle name="Comma 56 3 3 2" xfId="3370" xr:uid="{F1C9B1F8-B627-4FC2-8463-8893D9A7DAE1}"/>
    <cellStyle name="Comma 56 3 3 2 2" xfId="19837" xr:uid="{5663BFA8-0A03-4CD1-A002-E34D21DE0E9D}"/>
    <cellStyle name="Comma 56 3 3 3" xfId="17955" xr:uid="{39A8C319-660F-41F0-9111-6A7C361AE50F}"/>
    <cellStyle name="Comma 56 3 3 3 2" xfId="20948" xr:uid="{E581C180-2D86-45F0-AA8A-7D00261CE708}"/>
    <cellStyle name="Comma 56 3 3 4" xfId="18998" xr:uid="{F663E2B8-33D4-46F5-9097-5BC64AE6ED78}"/>
    <cellStyle name="Comma 56 3 4" xfId="2770" xr:uid="{FE0539E2-217B-47D4-9AD1-A7EA3EE8C7E8}"/>
    <cellStyle name="Comma 56 3 4 2" xfId="19254" xr:uid="{AC8F0AB1-472F-465E-B8B4-0F0D5C619CCB}"/>
    <cellStyle name="Comma 56 3 5" xfId="3036" xr:uid="{FC5C6357-873F-4C4C-B44B-DC3D0D7F576C}"/>
    <cellStyle name="Comma 56 3 5 2" xfId="19510" xr:uid="{7547990F-A67E-4750-A77E-8CCB5CF19F60}"/>
    <cellStyle name="Comma 56 3 6" xfId="17293" xr:uid="{9634C0EF-220F-4BBE-B16A-2BA498D5C9AC}"/>
    <cellStyle name="Comma 56 3 6 2" xfId="20500" xr:uid="{2F451EB3-FA56-4B5D-BAE4-FF42980B68FE}"/>
    <cellStyle name="Comma 56 3 7" xfId="18550" xr:uid="{3C03D456-D93B-4D58-9869-70FAD362935C}"/>
    <cellStyle name="Comma 56 4" xfId="1580" xr:uid="{286B2014-21A8-4937-A5A3-9DB30FDBA221}"/>
    <cellStyle name="Comma 56 4 2" xfId="1752" xr:uid="{E62FCDC2-92CC-40AD-ADF3-8ABE64D1AE6F}"/>
    <cellStyle name="Comma 56 4 2 2" xfId="3686" xr:uid="{50C5C89B-33BE-452C-BA87-1F293CDEE548}"/>
    <cellStyle name="Comma 56 4 2 2 2" xfId="20140" xr:uid="{8F0FB3F5-CFCF-4190-942D-873D65FB8005}"/>
    <cellStyle name="Comma 56 4 2 3" xfId="17512" xr:uid="{5E663A7B-20A9-429D-9D7B-2FDDBF47F3BB}"/>
    <cellStyle name="Comma 56 4 2 3 2" xfId="20719" xr:uid="{F358D7EB-73C1-4D0E-9C72-3A62A641319D}"/>
    <cellStyle name="Comma 56 4 2 4" xfId="18769" xr:uid="{EDBC5927-8C17-414A-BABA-8AAEF37FD31D}"/>
    <cellStyle name="Comma 56 4 3" xfId="2561" xr:uid="{F1F6DBEA-0084-4937-A7DD-37170ADA327C}"/>
    <cellStyle name="Comma 56 4 3 2" xfId="3425" xr:uid="{89E3D6FB-C10D-440A-9B36-6839A7CB4042}"/>
    <cellStyle name="Comma 56 4 3 2 2" xfId="19884" xr:uid="{5FD4D7E7-D160-4392-969C-3BBAFF8879D1}"/>
    <cellStyle name="Comma 56 4 3 3" xfId="18002" xr:uid="{39BD5670-8564-4624-A365-F8DFA07DAAA1}"/>
    <cellStyle name="Comma 56 4 3 3 2" xfId="20995" xr:uid="{85D402A8-66E9-48C1-8833-3144E7E34C8F}"/>
    <cellStyle name="Comma 56 4 3 4" xfId="19045" xr:uid="{8F917CA4-2A39-438D-97B1-760731F96394}"/>
    <cellStyle name="Comma 56 4 4" xfId="2817" xr:uid="{90214EE7-CE6A-43AC-B81C-28B8B24CAA99}"/>
    <cellStyle name="Comma 56 4 4 2" xfId="19301" xr:uid="{3EA3DA3A-892F-496F-B32E-71462A43493E}"/>
    <cellStyle name="Comma 56 4 5" xfId="3083" xr:uid="{3E37FEE7-8159-441D-B474-D421446210CE}"/>
    <cellStyle name="Comma 56 4 5 2" xfId="19557" xr:uid="{64E17A2F-2234-4E91-844C-6AD147547A58}"/>
    <cellStyle name="Comma 56 4 6" xfId="17340" xr:uid="{6804DB80-3254-4844-8ABF-6C08A963D7DB}"/>
    <cellStyle name="Comma 56 4 6 2" xfId="20547" xr:uid="{8FABFC35-B973-49E4-BC38-4EE09F7E3838}"/>
    <cellStyle name="Comma 56 4 7" xfId="18597" xr:uid="{11C9EEAC-E550-42AC-8A18-336681211886}"/>
    <cellStyle name="Comma 56 5" xfId="1802" xr:uid="{10BD2D62-9DD1-4C40-AE39-6D426FB22289}"/>
    <cellStyle name="Comma 56 5 2" xfId="2609" xr:uid="{A4838067-CE9C-4C57-9027-EB07BFCE2E67}"/>
    <cellStyle name="Comma 56 5 2 2" xfId="3734" xr:uid="{080CAA86-1889-4522-BCD9-40D9DA6AD3BE}"/>
    <cellStyle name="Comma 56 5 2 2 2" xfId="20188" xr:uid="{FF947948-4088-4C13-AACC-F64553B25065}"/>
    <cellStyle name="Comma 56 5 2 3" xfId="18050" xr:uid="{3CBFDABA-995F-40B9-8441-E321DF6CB5C3}"/>
    <cellStyle name="Comma 56 5 2 3 2" xfId="21043" xr:uid="{3F07823A-C7AB-49C1-BAAD-40A3714A6C90}"/>
    <cellStyle name="Comma 56 5 2 4" xfId="19093" xr:uid="{874165A8-F582-482F-9FF2-4C0BDCDB038F}"/>
    <cellStyle name="Comma 56 5 3" xfId="2865" xr:uid="{AE182D13-4D40-47DD-8798-EF356C191956}"/>
    <cellStyle name="Comma 56 5 3 2" xfId="3474" xr:uid="{484047B6-D84D-4B14-B3EA-D0370EA21F88}"/>
    <cellStyle name="Comma 56 5 3 2 2" xfId="19932" xr:uid="{FF02B371-F463-485C-A5A4-2D23E8F9DD41}"/>
    <cellStyle name="Comma 56 5 3 3" xfId="19349" xr:uid="{15207B7A-A4AF-4327-80C4-AA79C931A3D5}"/>
    <cellStyle name="Comma 56 5 4" xfId="3131" xr:uid="{1193244F-3097-405F-AB22-2588E4242FB5}"/>
    <cellStyle name="Comma 56 5 4 2" xfId="19605" xr:uid="{2A693A20-5C98-4403-81DA-D0E132A90E61}"/>
    <cellStyle name="Comma 56 5 5" xfId="17560" xr:uid="{65C845F9-B293-4A8A-B913-942884E21EB9}"/>
    <cellStyle name="Comma 56 5 5 2" xfId="20767" xr:uid="{0C31508A-5552-498A-9932-F850CA97F1A3}"/>
    <cellStyle name="Comma 56 5 6" xfId="18817" xr:uid="{023E9F87-A486-4B21-80F3-CEF6F5D5DA18}"/>
    <cellStyle name="Comma 56 6" xfId="1828" xr:uid="{6FD75E24-CDB5-4000-B605-8B19A55F2FE1}"/>
    <cellStyle name="Comma 56 6 2" xfId="2629" xr:uid="{0DBEA714-8E32-4175-8ED2-94911DEBACF1}"/>
    <cellStyle name="Comma 56 6 2 2" xfId="3754" xr:uid="{156A935B-1985-4414-90CE-8666E6EDF6BE}"/>
    <cellStyle name="Comma 56 6 2 2 2" xfId="20208" xr:uid="{FD7AF7C0-94B2-4191-98CB-86836590E489}"/>
    <cellStyle name="Comma 56 6 2 3" xfId="18070" xr:uid="{AB5CBBD8-EDB5-4E79-8DA3-A46CE9BA1BF0}"/>
    <cellStyle name="Comma 56 6 2 3 2" xfId="21063" xr:uid="{A213F953-ADF3-484F-B1F6-24A2883A79E2}"/>
    <cellStyle name="Comma 56 6 2 4" xfId="19113" xr:uid="{9F9F8020-ED10-4F7C-A88B-EAED3F259923}"/>
    <cellStyle name="Comma 56 6 3" xfId="2885" xr:uid="{01A2EF31-A698-46A8-ABA3-E208F569BE0D}"/>
    <cellStyle name="Comma 56 6 3 2" xfId="3498" xr:uid="{FA04A1AB-68E9-409C-9B29-67543B995C42}"/>
    <cellStyle name="Comma 56 6 3 2 2" xfId="19952" xr:uid="{C71F5632-D27C-47DF-BAAD-E3E015CE5D97}"/>
    <cellStyle name="Comma 56 6 3 3" xfId="19369" xr:uid="{68D8C194-1809-4647-B01B-F72E999F683B}"/>
    <cellStyle name="Comma 56 6 4" xfId="3151" xr:uid="{CE1DCDC3-8188-4619-A73D-B6D086D329E4}"/>
    <cellStyle name="Comma 56 6 4 2" xfId="19625" xr:uid="{36E9C5C3-9CFB-4234-BB40-DDC6BE1AB67C}"/>
    <cellStyle name="Comma 56 6 5" xfId="17581" xr:uid="{FF45F098-1A3A-4C11-ACD8-215E92909C5A}"/>
    <cellStyle name="Comma 56 6 5 2" xfId="20787" xr:uid="{E3AC8897-05F7-4428-8F85-70BE1F733641}"/>
    <cellStyle name="Comma 56 6 6" xfId="18837" xr:uid="{15848F6A-1267-4873-8DB2-B683E6850D66}"/>
    <cellStyle name="Comma 56 7" xfId="1600" xr:uid="{17334791-0C2F-4E50-AFA7-3F9C046A152F}"/>
    <cellStyle name="Comma 56 7 2" xfId="3534" xr:uid="{377B59D1-9D38-4D0D-BBCC-2957455AF2B4}"/>
    <cellStyle name="Comma 56 7 2 2" xfId="19988" xr:uid="{E088FB2E-EB4E-4F3F-B264-FF297BEE456E}"/>
    <cellStyle name="Comma 56 7 3" xfId="17360" xr:uid="{DBEB6BCD-C3FC-4A74-90A0-9824F7EBDD38}"/>
    <cellStyle name="Comma 56 7 3 2" xfId="20567" xr:uid="{167CF9C6-D266-4E86-AFC2-8EAFF6A6BA7B}"/>
    <cellStyle name="Comma 56 7 4" xfId="18617" xr:uid="{6D11245D-0BCB-4429-B652-D0BA4B9F4126}"/>
    <cellStyle name="Comma 56 8" xfId="2409" xr:uid="{BC99A5EC-5D8D-4E22-8FF6-F5BC89914C85}"/>
    <cellStyle name="Comma 56 8 2" xfId="3263" xr:uid="{7762B3C0-10DE-44DE-BFE5-0963B7F5EFCF}"/>
    <cellStyle name="Comma 56 8 2 2" xfId="19732" xr:uid="{A45E0054-9A24-48E5-A003-AF6F86A8D1B2}"/>
    <cellStyle name="Comma 56 8 3" xfId="17848" xr:uid="{5788F78E-B4D3-457F-85FA-C20FEB37980F}"/>
    <cellStyle name="Comma 56 8 3 2" xfId="20843" xr:uid="{E221F6BA-7E4C-45D0-BE4F-39C5CC1F019D}"/>
    <cellStyle name="Comma 56 8 4" xfId="18893" xr:uid="{A38B1AAD-6054-424E-BBAC-C2455742FD0E}"/>
    <cellStyle name="Comma 56 9" xfId="2665" xr:uid="{164D62B8-A4D5-47AF-B57F-CB49E9488944}"/>
    <cellStyle name="Comma 56 9 2" xfId="19149" xr:uid="{5C77A2CF-8F99-4E36-8C16-554651701B7B}"/>
    <cellStyle name="Comma 57" xfId="1389" xr:uid="{B98575D8-CC44-4747-B9E7-DBC2646B3100}"/>
    <cellStyle name="Comma 57 2" xfId="1521" xr:uid="{B3BFBDF7-6B65-4AE8-96A1-9C80A0BB5EB6}"/>
    <cellStyle name="Comma 58" xfId="1407" xr:uid="{5822A778-810D-443D-8729-1526B06615F9}"/>
    <cellStyle name="Comma 58 10" xfId="18470" xr:uid="{B7AB7CEC-E98A-4D67-8463-4B954621181E}"/>
    <cellStyle name="Comma 58 2" xfId="1522" xr:uid="{AD378418-7AD0-4935-AE98-961317799685}"/>
    <cellStyle name="Comma 58 2 2" xfId="1706" xr:uid="{FD2C28AB-5F3E-4176-9DD1-06EEF3C99E5F}"/>
    <cellStyle name="Comma 58 2 2 2" xfId="3640" xr:uid="{645EE909-1785-4E04-B031-D1F2D9035364}"/>
    <cellStyle name="Comma 58 2 2 2 2" xfId="20094" xr:uid="{E693B12A-0629-44AD-8483-A3470E1EB5F6}"/>
    <cellStyle name="Comma 58 2 2 3" xfId="17466" xr:uid="{9C0DC48D-6313-4755-980A-0313B43E174B}"/>
    <cellStyle name="Comma 58 2 2 3 2" xfId="20673" xr:uid="{486E4C52-4F94-4FC5-BA68-A715B1DD2DB6}"/>
    <cellStyle name="Comma 58 2 2 4" xfId="18723" xr:uid="{8286BD99-E30B-4D14-A5B2-AF1769EF926D}"/>
    <cellStyle name="Comma 58 2 3" xfId="2515" xr:uid="{E230D002-7B93-4041-8A9F-A465AB98FFEE}"/>
    <cellStyle name="Comma 58 2 3 2" xfId="3371" xr:uid="{4BC8D586-5B5A-4D8C-ACFC-D12CF12804E9}"/>
    <cellStyle name="Comma 58 2 3 2 2" xfId="19838" xr:uid="{3A890CAE-7ACE-4D06-918B-BF7A65C0667F}"/>
    <cellStyle name="Comma 58 2 3 3" xfId="17956" xr:uid="{68D4569C-11D3-4F06-88A4-963DF4862850}"/>
    <cellStyle name="Comma 58 2 3 3 2" xfId="20949" xr:uid="{8BA9B2FF-8E58-487D-875B-586F2157CA2D}"/>
    <cellStyle name="Comma 58 2 3 4" xfId="18999" xr:uid="{3C2BE22B-0F39-4145-8F5D-0A3B47235D38}"/>
    <cellStyle name="Comma 58 2 4" xfId="2771" xr:uid="{7CE29C33-CBC3-4C26-A38C-FEE2A9A61CDD}"/>
    <cellStyle name="Comma 58 2 4 2" xfId="19255" xr:uid="{2ED16E56-EA85-4043-A38F-929574705EBA}"/>
    <cellStyle name="Comma 58 2 5" xfId="3037" xr:uid="{0894FB68-724D-4AED-AA74-C18531F918C9}"/>
    <cellStyle name="Comma 58 2 5 2" xfId="19511" xr:uid="{9084E4D1-DA92-4EDE-9243-2F9377ABF68C}"/>
    <cellStyle name="Comma 58 2 6" xfId="17294" xr:uid="{111B29E0-E490-4F59-8CD6-AE6AB3E2EC14}"/>
    <cellStyle name="Comma 58 2 6 2" xfId="20501" xr:uid="{FB89860A-6228-4AF3-8E59-8A67EFF9E9F1}"/>
    <cellStyle name="Comma 58 2 7" xfId="18551" xr:uid="{90160965-3FD4-4232-8F65-9AAB12049DF7}"/>
    <cellStyle name="Comma 58 3" xfId="1581" xr:uid="{0E2CD172-3638-4779-A43C-5E6115E4D60A}"/>
    <cellStyle name="Comma 58 3 2" xfId="1753" xr:uid="{F1960D13-C0AD-4DD2-936B-AB87A05AE51C}"/>
    <cellStyle name="Comma 58 3 2 2" xfId="3687" xr:uid="{10EBA070-6FB6-4EEB-8192-D7A0F50D2005}"/>
    <cellStyle name="Comma 58 3 2 2 2" xfId="20141" xr:uid="{7017CD4F-9DA9-4EF1-8B71-5C03360922F5}"/>
    <cellStyle name="Comma 58 3 2 3" xfId="17513" xr:uid="{389F1F3B-E8F9-469E-9E12-A71B58AB7575}"/>
    <cellStyle name="Comma 58 3 2 3 2" xfId="20720" xr:uid="{4D2C74B0-901D-44C5-8A6E-9ABBCB3D520E}"/>
    <cellStyle name="Comma 58 3 2 4" xfId="18770" xr:uid="{48269C62-4F42-43FA-93D2-DB25529CCAC6}"/>
    <cellStyle name="Comma 58 3 3" xfId="2562" xr:uid="{DF005A36-70CF-4076-80CF-F1C0E5F59A55}"/>
    <cellStyle name="Comma 58 3 3 2" xfId="3426" xr:uid="{FB09C47D-9A94-47EB-923B-D9572087CD08}"/>
    <cellStyle name="Comma 58 3 3 2 2" xfId="19885" xr:uid="{664B55F7-89D7-4A7D-BD98-ED0D8A2C2831}"/>
    <cellStyle name="Comma 58 3 3 3" xfId="18003" xr:uid="{BB0986EC-F046-412A-B59A-F1D64E55A700}"/>
    <cellStyle name="Comma 58 3 3 3 2" xfId="20996" xr:uid="{E65B48D3-8FBD-4F4A-A125-B413138A89C7}"/>
    <cellStyle name="Comma 58 3 3 4" xfId="19046" xr:uid="{876A7577-6952-4F36-96E6-B70A1D962275}"/>
    <cellStyle name="Comma 58 3 4" xfId="2818" xr:uid="{9A381E17-F44C-43C4-A867-5661624FB267}"/>
    <cellStyle name="Comma 58 3 4 2" xfId="19302" xr:uid="{23E57B9F-4BBE-4CBD-9269-D0357268FCBB}"/>
    <cellStyle name="Comma 58 3 5" xfId="3084" xr:uid="{6425D831-53E9-4154-AB04-961003DF1BC9}"/>
    <cellStyle name="Comma 58 3 5 2" xfId="19558" xr:uid="{F20769F6-451A-4E01-A48C-76184BE3D064}"/>
    <cellStyle name="Comma 58 3 6" xfId="17341" xr:uid="{735BAAE7-39A8-4A53-83A7-D6CC20EF5EB6}"/>
    <cellStyle name="Comma 58 3 6 2" xfId="20548" xr:uid="{1C327A46-3DF1-44A9-85DD-91442273C336}"/>
    <cellStyle name="Comma 58 3 7" xfId="18598" xr:uid="{FE25013D-A3AB-43DF-85F1-32BAE162A8FE}"/>
    <cellStyle name="Comma 58 4" xfId="1803" xr:uid="{0A9E28C7-53F3-441C-84FD-375864BD3508}"/>
    <cellStyle name="Comma 58 4 2" xfId="2610" xr:uid="{227A548D-9B53-4457-8DF1-B72677ED1D17}"/>
    <cellStyle name="Comma 58 4 2 2" xfId="3735" xr:uid="{EF90BD36-D2E1-4EF2-864C-C1DE94CEDB18}"/>
    <cellStyle name="Comma 58 4 2 2 2" xfId="20189" xr:uid="{D3404203-BCCE-4A05-9052-C3D6560B4CA3}"/>
    <cellStyle name="Comma 58 4 2 3" xfId="18051" xr:uid="{25B305C8-86B6-4619-88AD-88AF55589821}"/>
    <cellStyle name="Comma 58 4 2 3 2" xfId="21044" xr:uid="{833C3CE8-93B0-4A11-BDF3-C4D2A8A159FD}"/>
    <cellStyle name="Comma 58 4 2 4" xfId="19094" xr:uid="{D65ECEC3-5C8D-4253-B454-B205815286BF}"/>
    <cellStyle name="Comma 58 4 3" xfId="2866" xr:uid="{37F23C5C-4BE3-44C3-AC39-F49A95B06EE3}"/>
    <cellStyle name="Comma 58 4 3 2" xfId="3475" xr:uid="{59990897-F3DA-4D68-9572-438380EC1E5B}"/>
    <cellStyle name="Comma 58 4 3 2 2" xfId="19933" xr:uid="{13852CEB-ECA0-4BC5-B71C-5DD3DF68C716}"/>
    <cellStyle name="Comma 58 4 3 3" xfId="19350" xr:uid="{6906AF13-E3E2-404E-A59B-9D2ACB741ADC}"/>
    <cellStyle name="Comma 58 4 4" xfId="3132" xr:uid="{567DC70B-87F0-4DD1-83CB-F3777532DB73}"/>
    <cellStyle name="Comma 58 4 4 2" xfId="19606" xr:uid="{486DB094-9DFA-45E4-96D4-0C7E4660E7E9}"/>
    <cellStyle name="Comma 58 4 5" xfId="17561" xr:uid="{CF679B7E-0D92-4CD4-A0C5-72572BEB0C87}"/>
    <cellStyle name="Comma 58 4 5 2" xfId="20768" xr:uid="{FEB42333-3029-4B5F-A418-30F91A05D7B4}"/>
    <cellStyle name="Comma 58 4 6" xfId="18818" xr:uid="{E83D6FA3-BF33-435F-AB10-592F07AD934C}"/>
    <cellStyle name="Comma 58 5" xfId="1625" xr:uid="{F8C89B7E-372B-4F5D-AD08-FE3C391B783D}"/>
    <cellStyle name="Comma 58 5 2" xfId="3559" xr:uid="{76C0CFF1-5689-4F30-84D4-3D140FAD736E}"/>
    <cellStyle name="Comma 58 5 2 2" xfId="20013" xr:uid="{30CAF999-C225-47F0-8A85-3085F615D67B}"/>
    <cellStyle name="Comma 58 5 3" xfId="17385" xr:uid="{5E3CD4DC-81BD-4E2F-9A45-A90AAD54748B}"/>
    <cellStyle name="Comma 58 5 3 2" xfId="20592" xr:uid="{AF97991C-88DE-4F1B-9A04-3D82FF3425E4}"/>
    <cellStyle name="Comma 58 5 4" xfId="18642" xr:uid="{F8ACDF52-01C8-4F37-9A97-4966C0514F18}"/>
    <cellStyle name="Comma 58 6" xfId="2434" xr:uid="{3695799A-66B5-40EC-B141-895C520CF32F}"/>
    <cellStyle name="Comma 58 6 2" xfId="3289" xr:uid="{4888260E-16A7-4C90-926A-2DDB00749385}"/>
    <cellStyle name="Comma 58 6 2 2" xfId="19757" xr:uid="{B8518602-05DF-4722-B1E2-AAB81FC7AB25}"/>
    <cellStyle name="Comma 58 6 3" xfId="17873" xr:uid="{A4023F2F-EFDC-4ECC-A22F-5A8888B1B1C0}"/>
    <cellStyle name="Comma 58 6 3 2" xfId="20868" xr:uid="{677444F4-A51B-4B41-A9BC-797612320ACD}"/>
    <cellStyle name="Comma 58 6 4" xfId="18918" xr:uid="{FE359EF8-A15A-4632-81B6-4CA3EB9E2C42}"/>
    <cellStyle name="Comma 58 7" xfId="2690" xr:uid="{4B4F403D-2676-4554-B635-2492A3595648}"/>
    <cellStyle name="Comma 58 7 2" xfId="19174" xr:uid="{422342BF-96D5-41A5-8723-6397FD2A722B}"/>
    <cellStyle name="Comma 58 8" xfId="2956" xr:uid="{01C2CFA7-E62D-4EA3-B69A-0B6CEB48232D}"/>
    <cellStyle name="Comma 58 8 2" xfId="19430" xr:uid="{F89BB822-6521-4FA5-8D27-976BCC17FE39}"/>
    <cellStyle name="Comma 58 9" xfId="17210" xr:uid="{335B7E97-2AC2-49FA-86D2-55BA54B338D3}"/>
    <cellStyle name="Comma 58 9 2" xfId="20420" xr:uid="{31B1F37E-A957-46FF-AFB2-420090B6FFB1}"/>
    <cellStyle name="Comma 59" xfId="892" xr:uid="{5A80B770-DB31-4464-B730-DC85961DDBA9}"/>
    <cellStyle name="Comma 59 2" xfId="1756" xr:uid="{EDC6D10F-CB42-42D4-AD18-B3D444A95851}"/>
    <cellStyle name="Comma 59 3" xfId="17091" xr:uid="{B9217DD6-C744-43A6-A0CE-AC373E0195D8}"/>
    <cellStyle name="Comma 59 3 2" xfId="20378" xr:uid="{257E89D6-0AA0-4736-B42C-DA54B6012B3C}"/>
    <cellStyle name="Comma 59 4" xfId="18428" xr:uid="{1972B62A-7670-42DC-8F37-459154887EE6}"/>
    <cellStyle name="Comma 6" xfId="291" xr:uid="{F5DC7D8B-5465-46C4-BE9B-E7BBFD7AFBD7}"/>
    <cellStyle name="Comma 6 2" xfId="292" xr:uid="{6CF08671-1032-42D8-9E0F-D4F609B7FAAB}"/>
    <cellStyle name="Comma 6 2 2" xfId="967" xr:uid="{C4CAC2A6-1AE3-4E67-BB73-E18FABB20B4C}"/>
    <cellStyle name="Comma 6 2 2 2" xfId="17119" xr:uid="{14CAABBF-40D9-4960-8074-651EDA36F82E}"/>
    <cellStyle name="Comma 6 2 2 3" xfId="12315" xr:uid="{5D726D12-DE12-48F1-8FB3-D34302F0604F}"/>
    <cellStyle name="Comma 6 3" xfId="293" xr:uid="{CDCB199A-E37D-4485-93A1-061F6188539E}"/>
    <cellStyle name="Comma 6 3 2" xfId="12316" xr:uid="{2D5D3348-BA82-406E-82D0-3BF7CAFEEF71}"/>
    <cellStyle name="Comma 6 4" xfId="294" xr:uid="{44E9D293-78D1-4098-8C5F-A0FBCE6EB360}"/>
    <cellStyle name="Comma 6 5" xfId="968" xr:uid="{AD65A82B-5726-4E21-AE36-161A30109DA5}"/>
    <cellStyle name="Comma 6 5 2" xfId="17120" xr:uid="{616C6303-CC24-494A-93C6-3846A2F15A5F}"/>
    <cellStyle name="Comma 6 5 3" xfId="12314" xr:uid="{FCBC29F4-DF8A-40B2-A989-EF5506574B78}"/>
    <cellStyle name="Comma 6 6" xfId="969" xr:uid="{49AA43DA-F0C3-4E8A-8CA2-DB02D285AE71}"/>
    <cellStyle name="Comma 6 7" xfId="970" xr:uid="{0E517050-392E-4D23-B434-31A761213664}"/>
    <cellStyle name="Comma 6_Working Capital Current" xfId="15838" xr:uid="{D488CECD-D042-4C03-A9D4-106DFB52B757}"/>
    <cellStyle name="Comma 60" xfId="1811" xr:uid="{35A2AEEA-364B-4F53-B244-C161A70E6A68}"/>
    <cellStyle name="Comma 60 2" xfId="2612" xr:uid="{F3E5CA2D-2C21-455F-9D9E-3EA97B5BEBF6}"/>
    <cellStyle name="Comma 60 2 2" xfId="3737" xr:uid="{8205F342-81C9-493D-84DD-2AEBC3AE5C16}"/>
    <cellStyle name="Comma 60 2 2 2" xfId="20191" xr:uid="{01F54A8E-C763-4E68-AE43-E09453342917}"/>
    <cellStyle name="Comma 60 2 3" xfId="18053" xr:uid="{482786EA-7AB2-4B3E-83CB-48C9260E283A}"/>
    <cellStyle name="Comma 60 2 3 2" xfId="21046" xr:uid="{64AB392C-B55F-4FE8-8E75-6B67899AFB7E}"/>
    <cellStyle name="Comma 60 2 4" xfId="19096" xr:uid="{07E4D807-8158-4AA8-852C-1FD24D03EDF5}"/>
    <cellStyle name="Comma 60 3" xfId="2868" xr:uid="{258532B5-C461-44B7-BB95-0173827D0FAB}"/>
    <cellStyle name="Comma 60 3 2" xfId="3481" xr:uid="{A51C989C-9CF6-4379-8A6C-ECF57852C93E}"/>
    <cellStyle name="Comma 60 3 2 2" xfId="19935" xr:uid="{9EE81039-1E51-49FD-8C9F-646973089BE7}"/>
    <cellStyle name="Comma 60 3 3" xfId="19352" xr:uid="{7E9CFC5B-0446-4045-B745-BECD0AA7051C}"/>
    <cellStyle name="Comma 60 4" xfId="3134" xr:uid="{26660747-9C44-4537-B27D-B448040FAE3F}"/>
    <cellStyle name="Comma 60 4 2" xfId="19608" xr:uid="{BB4256C8-5F21-453C-81CE-F4DA7445587A}"/>
    <cellStyle name="Comma 60 5" xfId="17564" xr:uid="{37D35773-40C2-43E3-B958-8B5A2D0CF7C2}"/>
    <cellStyle name="Comma 60 5 2" xfId="20770" xr:uid="{71D69522-9349-4283-B333-78E873D0165E}"/>
    <cellStyle name="Comma 60 6" xfId="18820" xr:uid="{F5828568-C65B-4EF9-9525-5F5C5385F342}"/>
    <cellStyle name="Comma 61" xfId="1583" xr:uid="{18EE7B5F-FD21-44FD-A429-EFAAF33D4739}"/>
    <cellStyle name="Comma 61 2" xfId="2905" xr:uid="{F96393B7-0F15-4FA2-AE17-087EDDD37B85}"/>
    <cellStyle name="Comma 61 2 2" xfId="3245" xr:uid="{EEBBFE58-AB11-41B9-B502-1F73AC738F66}"/>
    <cellStyle name="Comma 61 2 2 2" xfId="19715" xr:uid="{4DB3C2CE-5896-4C71-8C4F-2814CA51F220}"/>
    <cellStyle name="Comma 61 3" xfId="17343" xr:uid="{19600970-4A75-4CE9-8864-29149F1B4349}"/>
    <cellStyle name="Comma 61 3 2" xfId="20550" xr:uid="{0379A7CC-4300-4DDA-A3B1-D0DCF3FB8C83}"/>
    <cellStyle name="Comma 61 4" xfId="18600" xr:uid="{A8F2EE33-8987-49B5-8CDD-81A5607656ED}"/>
    <cellStyle name="Comma 62" xfId="1848" xr:uid="{5E39951B-2D75-42F5-86DB-C5545AB3288C}"/>
    <cellStyle name="Comma 62 2" xfId="2908" xr:uid="{105B93B2-DEDB-455E-A5E5-9C68E540F4BF}"/>
    <cellStyle name="Comma 62 2 2" xfId="3517" xr:uid="{DCFA032D-AB26-426C-8C5B-FAE352A5EDDF}"/>
    <cellStyle name="Comma 62 2 2 2" xfId="19971" xr:uid="{FDD08CA0-545E-4AE9-82A0-1DF671EACC27}"/>
    <cellStyle name="Comma 62 3" xfId="17600" xr:uid="{B160B3D5-5AB9-4CBA-AB7B-A553287BE14A}"/>
    <cellStyle name="Comma 62 3 2" xfId="20806" xr:uid="{123DC012-4F2B-41A3-8430-3496BEC1461B}"/>
    <cellStyle name="Comma 62 4" xfId="18856" xr:uid="{D58A0720-4E4D-4B90-9ABD-C3D6E803BF77}"/>
    <cellStyle name="Comma 63" xfId="2392" xr:uid="{8AD50369-34E6-4C14-B4F1-3609A35A02C3}"/>
    <cellStyle name="Comma 63 2" xfId="3773" xr:uid="{B62B6375-E1CE-4DC5-A8BA-15BB352748FF}"/>
    <cellStyle name="Comma 63 2 2" xfId="20227" xr:uid="{63C5AF3E-F421-4317-A4D2-D48ACF0042A0}"/>
    <cellStyle name="Comma 63 3" xfId="17821" xr:uid="{A655FC97-8E6D-4378-B28F-196F7261BFBA}"/>
    <cellStyle name="Comma 63 3 2" xfId="20826" xr:uid="{28947341-3B09-4A09-BD80-CC7A2C347A4C}"/>
    <cellStyle name="Comma 63 4" xfId="18876" xr:uid="{4C2EF5EC-6FF8-4C7E-A161-DBE9A052069B}"/>
    <cellStyle name="Comma 64" xfId="2648" xr:uid="{2BD17121-0977-4C00-9284-A62161498F9A}"/>
    <cellStyle name="Comma 64 2" xfId="3170" xr:uid="{7A6C7E56-A7A7-42BE-AC2F-898D61C94A93}"/>
    <cellStyle name="Comma 64 2 2" xfId="19644" xr:uid="{FF192A00-69F4-46B7-86E2-9F060012ED7D}"/>
    <cellStyle name="Comma 64 3" xfId="18090" xr:uid="{D32A1FEE-13FB-434C-8232-E7F60839DDB4}"/>
    <cellStyle name="Comma 64 4" xfId="19132" xr:uid="{035E7685-C38F-437A-B066-A4AFD7B34A97}"/>
    <cellStyle name="Comma 65" xfId="2914" xr:uid="{EC5792BE-0B0D-4E8F-8E0A-8B23EDF31CC6}"/>
    <cellStyle name="Comma 65 2" xfId="16469" xr:uid="{04B9705D-D8C6-4E92-9FD9-A08467F4270A}"/>
    <cellStyle name="Comma 65 2 2" xfId="20320" xr:uid="{CF60730F-F967-42C8-A587-963BDC299333}"/>
    <cellStyle name="Comma 65 3" xfId="19388" xr:uid="{BCF281B3-151D-407B-813E-06435DAA3BF7}"/>
    <cellStyle name="Comma 66" xfId="17015" xr:uid="{E33DE7B6-3753-4D20-B9B8-6AED9CF37B7F}"/>
    <cellStyle name="Comma 66 2" xfId="20334" xr:uid="{2B627953-2F15-4490-8C47-CBB7589FF4F8}"/>
    <cellStyle name="Comma 67" xfId="3845" xr:uid="{94FC96BB-0BBD-46D6-97F9-B5AD9EFAB802}"/>
    <cellStyle name="Comma 67 2" xfId="20298" xr:uid="{CE73AA90-4435-4D1E-9173-E3CFCE6D2B58}"/>
    <cellStyle name="Comma 68" xfId="3920" xr:uid="{0F204F63-2134-40C5-B224-F8885D4AEBD8}"/>
    <cellStyle name="Comma 68 2" xfId="20312" xr:uid="{924620C4-4376-40A2-AF33-CA37170AF231}"/>
    <cellStyle name="Comma 69" xfId="18311" xr:uid="{587629E1-C37B-436C-A6F4-DCB13A2C03AC}"/>
    <cellStyle name="Comma 69 2" xfId="21098" xr:uid="{53B48831-DC18-4663-ABCC-FAB38E705A2A}"/>
    <cellStyle name="Comma 7" xfId="295" xr:uid="{76A38C77-7B51-4A16-BA86-9A36D7CD11DC}"/>
    <cellStyle name="Comma 7 2" xfId="296" xr:uid="{6A0D9C86-D520-47D3-B109-A1BA9F4D87B4}"/>
    <cellStyle name="Comma 7 3" xfId="971" xr:uid="{A90E25A5-9913-49ED-BDD0-C0860191AE65}"/>
    <cellStyle name="Comma 7 3 2" xfId="17121" xr:uid="{8D16F240-E2B0-4005-ADB5-37E7ED6C0C4E}"/>
    <cellStyle name="Comma 7 3 3" xfId="12317" xr:uid="{B477CD92-A0EB-45C1-8919-6BB8CA17D62A}"/>
    <cellStyle name="Comma 7 4" xfId="972" xr:uid="{01E7676A-6213-4258-9A85-FF3B3C5D783D}"/>
    <cellStyle name="Comma 7 5" xfId="973" xr:uid="{C15629D2-DB3C-4E05-ACF0-59D53EE580E7}"/>
    <cellStyle name="Comma 70" xfId="47" xr:uid="{5499CF19-D775-42B6-9FC4-B24ED71A33D2}"/>
    <cellStyle name="Comma 71" xfId="18371" xr:uid="{F6A2448E-FC88-49B4-AF8A-C633310E26ED}"/>
    <cellStyle name="Comma 8" xfId="297" xr:uid="{5248D5FB-92E9-4A6F-A0AD-552A63342EA8}"/>
    <cellStyle name="Comma 8 2" xfId="298" xr:uid="{A5EE8AAA-A0EB-4FE3-AF45-7CFB1CDE4ADE}"/>
    <cellStyle name="Comma 8 3" xfId="974" xr:uid="{6CEE46CA-2723-476D-8182-77F7DF4672DD}"/>
    <cellStyle name="Comma 8 3 2" xfId="17122" xr:uid="{E37DF0CA-6BBB-4A57-A364-9D83E6CA1556}"/>
    <cellStyle name="Comma 8 3 3" xfId="12318" xr:uid="{7A5E6B44-FE95-4A3E-BFAB-494EDB2CE569}"/>
    <cellStyle name="Comma 8 4" xfId="975" xr:uid="{C89CAC56-C330-4093-B8EA-DF327733C5E1}"/>
    <cellStyle name="Comma 8 5" xfId="976" xr:uid="{665092D5-C404-4F1A-8D7E-0A213DF2A00D}"/>
    <cellStyle name="Comma 9" xfId="299" xr:uid="{37F955C9-25E8-4EC9-8CBB-37C27B62B4BF}"/>
    <cellStyle name="Comma 9 2" xfId="300" xr:uid="{760D4B02-A4FB-4802-AFFD-EF6FD8988B6D}"/>
    <cellStyle name="Comma 9 3" xfId="977" xr:uid="{993AA7EA-9F9A-414F-B123-9BB832568749}"/>
    <cellStyle name="Comma 9 3 2" xfId="17123" xr:uid="{BA55BD41-9DD7-4211-97C4-DFBCE3197929}"/>
    <cellStyle name="Comma 9 3 3" xfId="15839" xr:uid="{6CAB1142-B994-48CB-B76F-1749AC6794B3}"/>
    <cellStyle name="Comma 9 4" xfId="978" xr:uid="{C47F7C62-0994-4244-86D1-7369A3BEB618}"/>
    <cellStyle name="Comma 9 5" xfId="979" xr:uid="{0A90839F-93E1-411C-9F60-E241D7966C7C}"/>
    <cellStyle name="Comma0" xfId="301" xr:uid="{179327AA-D64F-4337-AB4F-4DDF606B2552}"/>
    <cellStyle name="Currency 2" xfId="302" xr:uid="{39B8D47D-0999-4707-98DB-4BCEFEF95B8D}"/>
    <cellStyle name="Currency 2 2" xfId="980" xr:uid="{E1D0BD42-C0C7-4EE7-BDD9-8E272E9D7063}"/>
    <cellStyle name="Currency 3" xfId="303" xr:uid="{94378449-5864-455B-8087-72E41CBF2352}"/>
    <cellStyle name="Currency 4" xfId="304" xr:uid="{EAD2875D-A5FC-4794-8AC0-4CFDD3C166D6}"/>
    <cellStyle name="Currency 4 2" xfId="981" xr:uid="{638CF8D9-96E0-4930-B249-D78C20987BF6}"/>
    <cellStyle name="Currency 5" xfId="982" xr:uid="{73AE550A-88D2-42AC-BF14-964C7964059C}"/>
    <cellStyle name="Currency0" xfId="305" xr:uid="{3D0D2E15-503C-4BCF-AEC8-31A8B99E393C}"/>
    <cellStyle name="DATE" xfId="306" xr:uid="{87DE3F6A-74CC-4317-8564-07303DE4C6C3}"/>
    <cellStyle name="Date 2" xfId="307" xr:uid="{E39F8F5C-BFEA-4CC1-8B5A-45FEE7D7A776}"/>
    <cellStyle name="Date 2 2" xfId="2020" xr:uid="{7886A1EE-7C1E-4934-8277-13EBBDF7643B}"/>
    <cellStyle name="Date 2 3" xfId="16622" xr:uid="{E19CF23D-18FA-4701-B80D-EC65D51643B7}"/>
    <cellStyle name="Date 3" xfId="12319" xr:uid="{407DA9A5-7CC2-4F86-ADD9-C1DC2FE39638}"/>
    <cellStyle name="DATE 4" xfId="17165" xr:uid="{38A2EB57-137B-4AA2-A982-946A5562D6C8}"/>
    <cellStyle name="DATE 5" xfId="18254" xr:uid="{5190A141-6912-4EA3-9C8C-5ABD5A64530F}"/>
    <cellStyle name="Euro" xfId="308" xr:uid="{12037057-E576-4108-9622-D3CADC3EE512}"/>
    <cellStyle name="Euro 10" xfId="983" xr:uid="{EF8E7633-AF48-4BBD-9400-6B9B8ACB5B00}"/>
    <cellStyle name="Euro 10 2" xfId="984" xr:uid="{7CEC58F1-376E-4EF4-B150-45D09B1D20DE}"/>
    <cellStyle name="Euro 11" xfId="985" xr:uid="{521CF8D0-5260-42E5-8423-0EDFBC7A5E2B}"/>
    <cellStyle name="Euro 11 2" xfId="18115" xr:uid="{811C5EE3-556B-478C-9936-687D853AB6F7}"/>
    <cellStyle name="Euro 12" xfId="16623" xr:uid="{1C902A5C-9618-46B6-87AE-ED754FB45F54}"/>
    <cellStyle name="Euro 2" xfId="309" xr:uid="{56B384C6-7325-4225-AC18-68C3D24B267E}"/>
    <cellStyle name="Euro 2 2" xfId="310" xr:uid="{765E30DA-3345-4009-85A1-8B6F5E626DDC}"/>
    <cellStyle name="Euro 2 2 2" xfId="2021" xr:uid="{7400223C-3FD2-4B95-8A01-AAB7CE5DB48E}"/>
    <cellStyle name="Euro 2 2 3" xfId="16625" xr:uid="{ABFF6987-2424-4275-9CAF-8C1906D12AD2}"/>
    <cellStyle name="Euro 2 3" xfId="311" xr:uid="{DC0071FF-04CD-4E5B-B223-66DCBD379820}"/>
    <cellStyle name="Euro 2 4" xfId="16624" xr:uid="{AAC6E22B-E0B4-4D33-954F-C410A50B83D8}"/>
    <cellStyle name="Euro 3" xfId="312" xr:uid="{7E90FC76-B543-4DAB-8726-0EC675DCD693}"/>
    <cellStyle name="Euro 3 2" xfId="313" xr:uid="{7C36D7F5-37B8-4067-ACD3-F5B81866EE86}"/>
    <cellStyle name="Euro 3 2 2" xfId="2022" xr:uid="{5550FED2-A4AC-4182-9E33-798F280E1148}"/>
    <cellStyle name="Euro 3 2 3" xfId="16627" xr:uid="{FE18F9A2-9D0E-48B6-AFFB-E830E9714252}"/>
    <cellStyle name="Euro 3 3" xfId="986" xr:uid="{0E04A8A4-340C-41A0-A146-C51F02A63ACF}"/>
    <cellStyle name="Euro 3 4" xfId="16626" xr:uid="{C6D6C3F3-04F8-4190-8F5B-5D986437A7AF}"/>
    <cellStyle name="Euro 4" xfId="314" xr:uid="{F7C9759E-8748-4AE1-89E8-872E90DBDA54}"/>
    <cellStyle name="Euro 4 2" xfId="315" xr:uid="{E51DE316-2B2F-4077-B909-786A585C3ECF}"/>
    <cellStyle name="Euro 4 2 2" xfId="2024" xr:uid="{63345124-91E7-4A9E-AC6F-F166081CE8B6}"/>
    <cellStyle name="Euro 4 2 3" xfId="16629" xr:uid="{8F979BA1-29E8-4FE4-A17B-B3258C46D257}"/>
    <cellStyle name="Euro 4 3" xfId="2023" xr:uid="{E89F7C59-F76F-4351-8C9D-5A8F924FF8D1}"/>
    <cellStyle name="Euro 4 4" xfId="16628" xr:uid="{48392496-06C2-4C0C-8A06-B1D993722FB6}"/>
    <cellStyle name="Euro 5" xfId="316" xr:uid="{B44F4285-9E4E-477B-BD8A-6D6A9B71C304}"/>
    <cellStyle name="Euro 5 2" xfId="317" xr:uid="{13F9CF88-CCDE-463A-BE47-752A531884E6}"/>
    <cellStyle name="Euro 5 2 2" xfId="2026" xr:uid="{F1A44EAF-2FA5-4B1B-9F8E-692AB01AE1C0}"/>
    <cellStyle name="Euro 5 2 3" xfId="16631" xr:uid="{9EB65043-BA58-458A-9EB1-38A0B27609D0}"/>
    <cellStyle name="Euro 5 3" xfId="2025" xr:uid="{EB3C0E2E-6FF7-4E14-83FF-49877E7156BB}"/>
    <cellStyle name="Euro 5 4" xfId="16630" xr:uid="{41ECDBE5-D6EA-41A0-9967-D201DA6E6155}"/>
    <cellStyle name="Euro 6" xfId="318" xr:uid="{0AB94CC5-1D7A-4650-B1C5-4FEC9F7F5CDD}"/>
    <cellStyle name="Euro 6 2" xfId="2027" xr:uid="{23D18222-EF07-415C-B87E-9A2AAA2C40B1}"/>
    <cellStyle name="Euro 6 3" xfId="16632" xr:uid="{7FCDD939-0453-4A73-AC4F-FADB121CD1E0}"/>
    <cellStyle name="Euro 7" xfId="319" xr:uid="{911F33F7-3071-4EA8-AA7C-FF246C6E3108}"/>
    <cellStyle name="Euro 7 2" xfId="2028" xr:uid="{124A2E8E-83F4-4A2D-A888-AA1AABF01358}"/>
    <cellStyle name="Euro 7 3" xfId="16633" xr:uid="{A2D15542-7285-40EA-AE5B-F52FC39741EE}"/>
    <cellStyle name="Euro 8" xfId="320" xr:uid="{E25739BC-1990-4462-A41A-FB2D971307B1}"/>
    <cellStyle name="Euro 8 2" xfId="321" xr:uid="{3C6621B5-B3BD-48C9-AE1E-2F234B4238D0}"/>
    <cellStyle name="Euro 8 2 2" xfId="2029" xr:uid="{7C3DFE15-5822-41F6-9DF5-7DF9827EB867}"/>
    <cellStyle name="Euro 8 2 3" xfId="16635" xr:uid="{A26A78B8-6A68-49C1-8303-E9D71CB41090}"/>
    <cellStyle name="Euro 8 3" xfId="322" xr:uid="{9A4B5FE3-7271-4058-8E4F-CBE7AA89D69A}"/>
    <cellStyle name="Euro 8 4" xfId="16634" xr:uid="{598DACBF-0721-4B6A-93E5-B44B9C5E2F1B}"/>
    <cellStyle name="Euro 9" xfId="323" xr:uid="{88CB67EA-C171-42D6-91A0-60EA77EFD2FF}"/>
    <cellStyle name="Euro 9 2" xfId="987" xr:uid="{2C43D534-6279-4067-B88F-91088088BA98}"/>
    <cellStyle name="Euro 9 3" xfId="2030" xr:uid="{9CDACE92-E1EC-45AD-B93A-882D06632495}"/>
    <cellStyle name="Euro 9 4" xfId="16636" xr:uid="{0F0319E0-7BF3-4473-B8C0-A17B49F8F4E0}"/>
    <cellStyle name="Explanatory Text" xfId="20" builtinId="53" customBuiltin="1"/>
    <cellStyle name="Explanatory Text 2" xfId="324" xr:uid="{B8D488EC-3EEB-4948-99ED-E38323701034}"/>
    <cellStyle name="Explanatory Text 2 2" xfId="325" xr:uid="{87CFC68E-BCC9-4796-8005-12F35DBB328C}"/>
    <cellStyle name="Explanatory Text 2 2 2" xfId="2032" xr:uid="{BF953082-1BEE-4207-B901-C7F6CF2708E5}"/>
    <cellStyle name="Explanatory Text 2 2 2 2" xfId="17730" xr:uid="{DC62BC61-9A9D-4C49-8F76-4E0E6B4AB8E1}"/>
    <cellStyle name="Explanatory Text 2 2 2 3" xfId="12321" xr:uid="{CFEAECD0-13A1-4816-8B58-926BC7C1A21A}"/>
    <cellStyle name="Explanatory Text 2 2 3" xfId="16638" xr:uid="{9C2ED6ED-5C75-43F0-80D3-284777964DA3}"/>
    <cellStyle name="Explanatory Text 2 3" xfId="2031" xr:uid="{B18EA933-2BD5-4565-8E64-F62D639CCB21}"/>
    <cellStyle name="Explanatory Text 2 3 2" xfId="17729" xr:uid="{D586F6F5-731B-4F23-BFE2-B861EE291296}"/>
    <cellStyle name="Explanatory Text 2 3 3" xfId="12320" xr:uid="{82FDA3A3-1077-4210-98F0-435370B87812}"/>
    <cellStyle name="Explanatory Text 2 4" xfId="16637" xr:uid="{62299856-C74E-46B6-9BB2-E213492C88C4}"/>
    <cellStyle name="Explanatory Text 2_Working Capital Current" xfId="15840" xr:uid="{ADB9662E-3667-47D1-9AE6-0AED4B2758C2}"/>
    <cellStyle name="Explanatory Text 3" xfId="326" xr:uid="{CDD2C45F-E697-4E18-AF3E-44176E239A71}"/>
    <cellStyle name="Explanatory Text 3 2" xfId="2033" xr:uid="{4D26DA83-F895-44BE-9FBE-DB500116CF7F}"/>
    <cellStyle name="Explanatory Text 3 2 2" xfId="17731" xr:uid="{94AA66B7-B016-49B8-964A-40D9F74983C7}"/>
    <cellStyle name="Explanatory Text 3 2 3" xfId="12322" xr:uid="{009273E1-02AA-4DC0-865D-5D5F091CDC57}"/>
    <cellStyle name="Explanatory Text 3 3" xfId="16639" xr:uid="{67D12832-4BC0-4327-BBEA-AA327D1DF5EE}"/>
    <cellStyle name="Explanatory Text 4" xfId="1862" xr:uid="{5B17E1ED-91B1-45EC-85A1-5FE139209098}"/>
    <cellStyle name="Explanatory Text 5" xfId="16483" xr:uid="{5611D6EB-A7AB-45D2-A3D9-45E7A2DEB60A}"/>
    <cellStyle name="Explanatory Text 6" xfId="17000" xr:uid="{0B1D4CDB-B2BF-41BE-8ED4-506A098482CF}"/>
    <cellStyle name="Explanatory Text 7" xfId="17804" xr:uid="{8F8FEBD3-6629-41AA-ABD5-2B381288C368}"/>
    <cellStyle name="Explanatory Text 8" xfId="18312" xr:uid="{0FCAB006-14F9-4512-A01C-6B39C3EE99C5}"/>
    <cellStyle name="Fixed" xfId="327" xr:uid="{720036CB-B3B6-465B-9BF9-1CF8A9A53D13}"/>
    <cellStyle name="Good" xfId="10" builtinId="26" customBuiltin="1"/>
    <cellStyle name="Good 2" xfId="328" xr:uid="{C8C65A54-953C-4127-86C1-2EFD59B8ED1C}"/>
    <cellStyle name="Good 2 2" xfId="329" xr:uid="{8329DF1F-ACF3-4D85-A1F9-BA4B2E8CFC0B}"/>
    <cellStyle name="Good 2 2 2" xfId="2035" xr:uid="{94374CBE-3687-4D4B-A700-10AE2DF9C2E6}"/>
    <cellStyle name="Good 2 2 2 2" xfId="17733" xr:uid="{7902FB96-65A2-4F57-93F7-9A15E651E86C}"/>
    <cellStyle name="Good 2 2 2 3" xfId="12324" xr:uid="{2AEDD5B3-1F9B-4963-BC04-171CD5ED8B63}"/>
    <cellStyle name="Good 2 2 3" xfId="16641" xr:uid="{62DBE23C-3683-4DE3-9B8C-D293475B557E}"/>
    <cellStyle name="Good 2 3" xfId="2034" xr:uid="{6526A2A3-D4F8-4459-BB3D-519FE0967F47}"/>
    <cellStyle name="Good 2 3 2" xfId="17732" xr:uid="{7660A12E-D9B2-4BE6-9C82-FE955B120BE9}"/>
    <cellStyle name="Good 2 3 3" xfId="12323" xr:uid="{A5660392-6873-44B0-A3D9-9636740E06E3}"/>
    <cellStyle name="Good 2 4" xfId="16640" xr:uid="{4C67B6BB-FE5D-44D1-8D48-E7F38389531E}"/>
    <cellStyle name="Good 2_Working Capital Current" xfId="15841" xr:uid="{E2A57421-EFD8-40C6-9ECD-894901463C30}"/>
    <cellStyle name="Good 3" xfId="330" xr:uid="{8EFD539C-4193-4F6B-8DF2-6E9F82CCE92A}"/>
    <cellStyle name="Good 3 2" xfId="2036" xr:uid="{78318C5A-E5BB-431A-97DF-0B23FDAA910E}"/>
    <cellStyle name="Good 3 2 2" xfId="17734" xr:uid="{E5CEB91B-3DBB-45D7-B9D5-FC3C5F2D5654}"/>
    <cellStyle name="Good 3 2 3" xfId="12325" xr:uid="{1732E55C-4D72-4CDC-A39B-9699E1424471}"/>
    <cellStyle name="Good 3 3" xfId="16642" xr:uid="{84A7CF5A-A42F-44DC-902E-F37F54CCF9CC}"/>
    <cellStyle name="Good 4" xfId="1855" xr:uid="{FC154E86-C27B-4713-9B06-F9DCD30427F1}"/>
    <cellStyle name="Good 5" xfId="16476" xr:uid="{90F0CB69-A869-4E4D-BC2B-D1D6A37AE670}"/>
    <cellStyle name="Good 6" xfId="17010" xr:uid="{82EDF27A-9B55-4E44-AD4C-60A0805AC37F}"/>
    <cellStyle name="Good 7" xfId="3847" xr:uid="{491E6831-A792-411C-9D68-7F9CC508DC6E}"/>
    <cellStyle name="Good 8" xfId="18297" xr:uid="{1544910F-7383-414B-AF93-41D8BFDCD21C}"/>
    <cellStyle name="H1" xfId="331" xr:uid="{571D93CF-B477-419C-9547-B0DAA035A32A}"/>
    <cellStyle name="H1 2" xfId="2037" xr:uid="{37DAE2FA-7AE7-4DD4-9E0F-F01D919A023B}"/>
    <cellStyle name="H1 3" xfId="16643" xr:uid="{D0617D3D-24BA-4949-B2BB-89E9073573A9}"/>
    <cellStyle name="H2" xfId="332" xr:uid="{E94B398B-2751-4378-8C06-E878CA4C1343}"/>
    <cellStyle name="H2 2" xfId="2038" xr:uid="{03B6F64A-B4D7-4167-B33F-4F9247209EBA}"/>
    <cellStyle name="H2 3" xfId="16644" xr:uid="{5669CA6F-E5E1-4A37-A447-8D4AE3A41B95}"/>
    <cellStyle name="H3" xfId="333" xr:uid="{3F229828-A4C2-4902-B48B-464273F6D76C}"/>
    <cellStyle name="H3 2" xfId="2039" xr:uid="{991808C7-4BCF-44CE-B7B7-32FEE02EC99E}"/>
    <cellStyle name="H3 3" xfId="16645" xr:uid="{AB393BD1-4190-4148-8BC5-AB2CFF1AE4AA}"/>
    <cellStyle name="H4" xfId="334" xr:uid="{484415BF-36BA-4EE0-8DF7-6E50D671E6EC}"/>
    <cellStyle name="H4 2" xfId="2040" xr:uid="{17F0A19D-15C0-452D-BD38-10C4B52BEE71}"/>
    <cellStyle name="H4 3" xfId="16646" xr:uid="{97BB351F-E52E-4C93-8FA1-3C66B23F63B1}"/>
    <cellStyle name="H4Bold" xfId="335" xr:uid="{55CC445F-FE37-40CD-908A-ED460F5FCB27}"/>
    <cellStyle name="H4Bold 2" xfId="2041" xr:uid="{0C53BB10-D46A-4D86-8CED-8EB24729A8FE}"/>
    <cellStyle name="H4Bold 3" xfId="16647" xr:uid="{07601BFE-F84C-42A3-8D0F-405A325A690F}"/>
    <cellStyle name="Header1" xfId="336" xr:uid="{CB33408A-DFDC-4552-8D0B-84771676659D}"/>
    <cellStyle name="Header1 2" xfId="2042" xr:uid="{1C1E13BF-B43A-41B5-850D-AD56CCBEA99A}"/>
    <cellStyle name="Header1 3" xfId="16648" xr:uid="{19075AE1-ABAB-4744-9E5A-D5693DDCAFC3}"/>
    <cellStyle name="Header2" xfId="337" xr:uid="{758E27EE-1B04-41B8-A9FB-D1321E75D244}"/>
    <cellStyle name="Header2 2" xfId="2043" xr:uid="{A0870102-5018-4BC8-B230-52DF4DC67625}"/>
    <cellStyle name="Header2 2 2" xfId="18221" xr:uid="{3E5ADA2B-B502-492C-8B08-3194290D1C07}"/>
    <cellStyle name="Header2 2 2 2" xfId="18367" xr:uid="{BBF5399F-753D-4349-A039-2D8F48F83905}"/>
    <cellStyle name="Header2 3" xfId="16649" xr:uid="{C6EA2EDA-D0DA-4C02-9862-9C47BA716933}"/>
    <cellStyle name="Header2 3 2" xfId="18264" xr:uid="{64A49F82-7F9E-437A-A452-19E061185C7E}"/>
    <cellStyle name="Header2 3 3" xfId="18259" xr:uid="{6880C6F9-F175-4A85-B8D1-2CCBDD2C1482}"/>
    <cellStyle name="Header2 4" xfId="18157" xr:uid="{D03D0756-F1A7-48ED-BABE-177C4F2E20BA}"/>
    <cellStyle name="Header2 4 2" xfId="18360" xr:uid="{E9A88653-0A0B-4FBD-A3A4-7EFCCE23174F}"/>
    <cellStyle name="Heading 1" xfId="6" builtinId="16" customBuiltin="1"/>
    <cellStyle name="Heading 1 2" xfId="338" xr:uid="{5E37BC9B-CA94-4E94-8029-021267AD14AA}"/>
    <cellStyle name="Heading 1 2 2" xfId="339" xr:uid="{3479CB82-C9EA-4BFD-9183-BC4E27B2CEF2}"/>
    <cellStyle name="Heading 1 2 2 2" xfId="2045" xr:uid="{18A30804-77BA-4F97-84BB-82788EBF4990}"/>
    <cellStyle name="Heading 1 2 2 2 2" xfId="17736" xr:uid="{403D8D94-687C-4E40-8A1D-9923F863E5F5}"/>
    <cellStyle name="Heading 1 2 2 2 3" xfId="12327" xr:uid="{AEE8CF14-158E-45F4-8FEF-D5C482476696}"/>
    <cellStyle name="Heading 1 2 2 3" xfId="16651" xr:uid="{01A6A726-EA40-4C8B-AD00-160CF55BFE8B}"/>
    <cellStyle name="Heading 1 2 3" xfId="2044" xr:uid="{90A821B1-4705-4261-9587-A5688AF4C058}"/>
    <cellStyle name="Heading 1 2 3 2" xfId="17735" xr:uid="{2701D760-F56F-4390-98D1-D4B9D5DCA069}"/>
    <cellStyle name="Heading 1 2 3 3" xfId="12326" xr:uid="{33FD7BB3-1159-4E43-B8C8-DA302788765E}"/>
    <cellStyle name="Heading 1 2 4" xfId="16650" xr:uid="{AEE8CD6E-EF9C-42A2-BDB8-06E518E56298}"/>
    <cellStyle name="Heading 1 2_Working Capital Current" xfId="15842" xr:uid="{93F1CC0F-28F2-42DB-8A5B-5BD61CCDEA5F}"/>
    <cellStyle name="Heading 1 3" xfId="340" xr:uid="{D1BF60A3-C528-4E93-AAC7-075D94A88081}"/>
    <cellStyle name="Heading 1 3 2" xfId="341" xr:uid="{3E88BD52-B491-4743-BA37-233B59D7BFCB}"/>
    <cellStyle name="Heading 1 3 2 2" xfId="2047" xr:uid="{EB73AE4D-3E14-47D8-832A-BA101F12BEE0}"/>
    <cellStyle name="Heading 1 3 2 3" xfId="16653" xr:uid="{D728B4D0-D53A-4E33-B97C-354810CD9EF9}"/>
    <cellStyle name="Heading 1 3 3" xfId="2046" xr:uid="{56FEA8EC-A40E-4391-9B03-A1512A3AABD7}"/>
    <cellStyle name="Heading 1 3 3 2" xfId="17737" xr:uid="{364084F0-EA45-44F6-95DC-C1B1683CEE96}"/>
    <cellStyle name="Heading 1 3 3 3" xfId="12328" xr:uid="{95746D40-62CE-47A2-8199-79C0FD7B7CAF}"/>
    <cellStyle name="Heading 1 3 4" xfId="16652" xr:uid="{E50C9F69-8E4B-4C66-AA69-01EDD763D2CD}"/>
    <cellStyle name="Heading 1 4" xfId="1851" xr:uid="{2B58D43D-52EF-4132-A18E-1616BBB2EABD}"/>
    <cellStyle name="Heading 1 5" xfId="16472" xr:uid="{388ECA81-A51B-418E-A67B-442D7D222732}"/>
    <cellStyle name="Heading 1 6" xfId="17014" xr:uid="{6FC160A8-C7FD-421D-A43F-F75D8914D04C}"/>
    <cellStyle name="Heading 1 7" xfId="3919" xr:uid="{7935D150-460F-4B1B-85F8-B71F040B75AD}"/>
    <cellStyle name="Heading 1 8" xfId="18257" xr:uid="{9E1888F4-655D-428B-ABF7-AF3C3D29B622}"/>
    <cellStyle name="Heading 2" xfId="7" builtinId="17" customBuiltin="1"/>
    <cellStyle name="Heading 2 2" xfId="342" xr:uid="{45335063-CB46-48F0-B273-7145473F8EA5}"/>
    <cellStyle name="Heading 2 2 2" xfId="343" xr:uid="{E70D07C6-7DBB-47C1-9EF7-047BDBB2BD7D}"/>
    <cellStyle name="Heading 2 2 2 2" xfId="2049" xr:uid="{C0314A28-47A8-4BF6-9B27-4EE365359718}"/>
    <cellStyle name="Heading 2 2 2 2 2" xfId="17739" xr:uid="{D35E99E2-68E1-45C9-9760-B2A6FFA1A512}"/>
    <cellStyle name="Heading 2 2 2 2 3" xfId="12330" xr:uid="{73484A8F-6A77-4A37-8D84-43EE6D39E46C}"/>
    <cellStyle name="Heading 2 2 2 3" xfId="16655" xr:uid="{AA675738-7036-4B98-A33F-65555E4EE76E}"/>
    <cellStyle name="Heading 2 2 3" xfId="2048" xr:uid="{93B5BA52-2489-4726-8E49-255B7A642117}"/>
    <cellStyle name="Heading 2 2 3 2" xfId="17738" xr:uid="{7ED37B60-A740-4925-9725-7040DBB1403A}"/>
    <cellStyle name="Heading 2 2 3 3" xfId="12329" xr:uid="{3200AFD5-8C59-4936-A232-35E71127F0ED}"/>
    <cellStyle name="Heading 2 2 4" xfId="16654" xr:uid="{54ED899E-FBB7-444A-A18D-7B03010BC59C}"/>
    <cellStyle name="Heading 2 2_Working Capital Current" xfId="15843" xr:uid="{4B0E0EA8-1666-4EB2-A1F0-62167291F090}"/>
    <cellStyle name="Heading 2 3" xfId="344" xr:uid="{B73D52FE-6E3B-4E9D-9B18-68E49EAC63E2}"/>
    <cellStyle name="Heading 2 3 2" xfId="345" xr:uid="{7F9E0A60-BC6B-459A-A0D1-03948AC355CB}"/>
    <cellStyle name="Heading 2 3 2 2" xfId="2051" xr:uid="{B85299F1-89CB-457C-B503-A45BA81DBB4E}"/>
    <cellStyle name="Heading 2 3 2 3" xfId="16657" xr:uid="{43275D94-0DDB-498D-A5CF-5585C1434951}"/>
    <cellStyle name="Heading 2 3 3" xfId="2050" xr:uid="{777DCB2A-A1E5-4BAC-BA18-3A854127832B}"/>
    <cellStyle name="Heading 2 3 3 2" xfId="17740" xr:uid="{8E033930-1B8C-4E12-9EF6-023263A9A3FD}"/>
    <cellStyle name="Heading 2 3 3 3" xfId="12331" xr:uid="{C4EEE18E-D470-4CBA-A636-525813115906}"/>
    <cellStyle name="Heading 2 3 4" xfId="16656" xr:uid="{BA063F35-80B4-43E4-864D-CB3C4AF70210}"/>
    <cellStyle name="Heading 2 4" xfId="1852" xr:uid="{DE7727F7-8C8A-4BB2-8788-04E0B3E5AA08}"/>
    <cellStyle name="Heading 2 5" xfId="16473" xr:uid="{BB8C8937-A2F2-4BBF-9908-9F73D58547FA}"/>
    <cellStyle name="Heading 2 6" xfId="17013" xr:uid="{B4F59E4C-F8FF-4A77-BB3B-961F95A8DEEE}"/>
    <cellStyle name="Heading 2 7" xfId="3918" xr:uid="{F8A85F4F-0413-426C-B7BA-498748EABCBA}"/>
    <cellStyle name="Heading 2 8" xfId="18296" xr:uid="{E90FB951-6A69-49A0-BE5A-524C4203FAF2}"/>
    <cellStyle name="Heading 3" xfId="8" builtinId="18" customBuiltin="1"/>
    <cellStyle name="Heading 3 2" xfId="346" xr:uid="{C065567B-79E5-4A77-9B13-6A005B20A154}"/>
    <cellStyle name="Heading 3 2 2" xfId="347" xr:uid="{9BE827D6-7E38-49EA-92EC-4CEE2E9D4084}"/>
    <cellStyle name="Heading 3 2 2 2" xfId="2053" xr:uid="{CA18EB88-053D-4719-A9E0-774D86223A03}"/>
    <cellStyle name="Heading 3 2 2 2 2" xfId="17742" xr:uid="{3767A0CD-DBD7-4E9F-9C0B-BFB3EFE6621A}"/>
    <cellStyle name="Heading 3 2 2 2 3" xfId="18223" xr:uid="{8BFB9FF8-926D-4FB2-BAEA-DECE7EC737D1}"/>
    <cellStyle name="Heading 3 2 2 2 4" xfId="12333" xr:uid="{DAF4F588-0141-4812-A075-A8AEF146B171}"/>
    <cellStyle name="Heading 3 2 2 3" xfId="18127" xr:uid="{A1BD5047-F813-40E6-814D-B3E8E6A6B4CC}"/>
    <cellStyle name="Heading 3 2 2 3 2" xfId="18232" xr:uid="{9EEBC503-BE77-42A3-AB48-F427CA1DA27E}"/>
    <cellStyle name="Heading 3 2 2 4" xfId="16659" xr:uid="{801E3D49-4740-4638-A4D6-8187F371F4AA}"/>
    <cellStyle name="Heading 3 2 3" xfId="2052" xr:uid="{2E986FAD-72D9-4B79-ADFA-52C3C8FBB007}"/>
    <cellStyle name="Heading 3 2 3 2" xfId="17741" xr:uid="{D80B8783-846B-4685-9671-2AC84573C9F3}"/>
    <cellStyle name="Heading 3 2 3 3" xfId="18222" xr:uid="{3AD987F0-6DBA-4BE9-9846-B3147D6F21FE}"/>
    <cellStyle name="Heading 3 2 3 4" xfId="12332" xr:uid="{2ADD3ED6-80BC-47E6-8664-EF0D660D2629}"/>
    <cellStyle name="Heading 3 2 4" xfId="18126" xr:uid="{028F4E18-0014-49CF-B2A5-9F8389948C5F}"/>
    <cellStyle name="Heading 3 2 4 2" xfId="18231" xr:uid="{DABD7646-3217-4CD0-9ED4-EEC3173B5D26}"/>
    <cellStyle name="Heading 3 2 5" xfId="16658" xr:uid="{ACA912A0-25E1-467F-AFA3-C3BF969EEFAD}"/>
    <cellStyle name="Heading 3 2_Working Capital Current" xfId="15844" xr:uid="{DEF339DB-564B-4E96-A7B9-6DA86290C8B7}"/>
    <cellStyle name="Heading 3 3" xfId="348" xr:uid="{4E40ABB7-96E2-461B-BC4F-16FECC61787E}"/>
    <cellStyle name="Heading 3 3 2" xfId="2054" xr:uid="{5B097A7D-6C6E-485D-97F2-31ADF35EC654}"/>
    <cellStyle name="Heading 3 3 2 2" xfId="17743" xr:uid="{77DAE868-EE2C-49AE-9A08-C85748EFCE77}"/>
    <cellStyle name="Heading 3 3 2 3" xfId="18224" xr:uid="{FA42BC48-5D2D-451C-B8DC-9F8D99701B59}"/>
    <cellStyle name="Heading 3 3 2 4" xfId="12334" xr:uid="{8190D081-E3A6-47BD-95F0-D4B6ECEF04C7}"/>
    <cellStyle name="Heading 3 3 3" xfId="18128" xr:uid="{5E141866-F95F-4928-BDFF-B71A86916725}"/>
    <cellStyle name="Heading 3 3 3 2" xfId="18233" xr:uid="{BD70FFE7-56DD-45FA-8609-460D94B354F2}"/>
    <cellStyle name="Heading 3 3 4" xfId="16660" xr:uid="{7567B346-459B-41D7-9AB8-0140BC1B78BA}"/>
    <cellStyle name="Heading 3 4" xfId="1853" xr:uid="{A70B5BED-291F-4C82-9B23-606B15B0416C}"/>
    <cellStyle name="Heading 3 5" xfId="16474" xr:uid="{A6A3AB35-74CA-49A2-A577-8E7F246D59DA}"/>
    <cellStyle name="Heading 3 6" xfId="17012" xr:uid="{77987EFC-23A2-48CC-8223-100AB755A7D8}"/>
    <cellStyle name="Heading 3 7" xfId="3917" xr:uid="{519D7223-C147-4690-9270-62236A4E3172}"/>
    <cellStyle name="Heading 3 8" xfId="18346" xr:uid="{B8B73721-EAF6-4104-A0BA-4485DEC9DDC4}"/>
    <cellStyle name="Heading 4" xfId="9" builtinId="19" customBuiltin="1"/>
    <cellStyle name="Heading 4 2" xfId="349" xr:uid="{4407BB24-EB25-4E59-BA86-6B91A0035F05}"/>
    <cellStyle name="Heading 4 2 2" xfId="350" xr:uid="{A97DCF02-D62F-4496-919B-22B2FEE66BA4}"/>
    <cellStyle name="Heading 4 2 2 2" xfId="2056" xr:uid="{5A1050A0-2919-446A-A3C1-24EB8CD31B3D}"/>
    <cellStyle name="Heading 4 2 2 2 2" xfId="17745" xr:uid="{BDA8D1D5-21B5-426A-9B96-6C79C279A162}"/>
    <cellStyle name="Heading 4 2 2 2 3" xfId="12336" xr:uid="{9591335B-EDFC-4BF2-9534-85EF52C65D81}"/>
    <cellStyle name="Heading 4 2 2 3" xfId="16662" xr:uid="{BE47BF7B-6483-4DA0-A246-876143471176}"/>
    <cellStyle name="Heading 4 2 3" xfId="2055" xr:uid="{14D850A9-9918-4E09-8566-9B95B4FF4505}"/>
    <cellStyle name="Heading 4 2 3 2" xfId="17744" xr:uid="{F4BF03EF-BBDE-46CD-995A-B97CE69495D5}"/>
    <cellStyle name="Heading 4 2 3 3" xfId="12335" xr:uid="{CFD8D48E-FF65-4562-A7BD-87136681F10A}"/>
    <cellStyle name="Heading 4 2 4" xfId="16661" xr:uid="{51653186-64C8-486E-B4A9-0AD6715A445D}"/>
    <cellStyle name="Heading 4 2_Working Capital Current" xfId="15845" xr:uid="{DF0C6412-6404-40FA-BF8E-6B901840A053}"/>
    <cellStyle name="Heading 4 3" xfId="351" xr:uid="{C2B6D0C1-D3D1-4A4A-B792-6DE64653A8FA}"/>
    <cellStyle name="Heading 4 3 2" xfId="2057" xr:uid="{DB8C0DA9-485E-40D7-80E4-E6F566E01DFE}"/>
    <cellStyle name="Heading 4 3 2 2" xfId="17746" xr:uid="{1610C383-657D-43C9-B10D-C284D6F4D5AB}"/>
    <cellStyle name="Heading 4 3 2 3" xfId="12337" xr:uid="{171C7DF1-3E27-4FA6-A070-A646A55BDA5D}"/>
    <cellStyle name="Heading 4 3 3" xfId="16663" xr:uid="{EF0F41AD-B068-4A6B-9C66-AD2B7E27571D}"/>
    <cellStyle name="Heading 4 4" xfId="1854" xr:uid="{AA8883BD-BCFA-4F9B-BD65-F3900F58DDCB}"/>
    <cellStyle name="Heading 4 5" xfId="16475" xr:uid="{AC15939B-AD74-4CB7-8B1C-D77FDA216CC6}"/>
    <cellStyle name="Heading 4 6" xfId="17011" xr:uid="{90F07BC1-80C8-438F-B496-AD37A8F35D57}"/>
    <cellStyle name="Heading 4 7" xfId="3916" xr:uid="{B9679889-B043-44A8-9255-9FF23E54E8A5}"/>
    <cellStyle name="Heading 4 8" xfId="18248" xr:uid="{5552A369-8033-4E41-8A1F-F358BB60848E}"/>
    <cellStyle name="Hyperlink" xfId="46" builtinId="8"/>
    <cellStyle name="Hyperlink 2" xfId="352" xr:uid="{3CC6ADAD-6B51-4973-85CE-A40615A2D4FE}"/>
    <cellStyle name="Hyperlink 2 2" xfId="353" xr:uid="{400DE2AE-A3E6-44FA-93BF-57C65D880B0C}"/>
    <cellStyle name="Hyperlink 2 2 2" xfId="2059" xr:uid="{1AA94206-3D6A-4D5E-A061-0ABFCB4F6FDC}"/>
    <cellStyle name="Hyperlink 2 2 3" xfId="16665" xr:uid="{48021F71-807E-40CF-90DD-74960766BFA8}"/>
    <cellStyle name="Hyperlink 2 3" xfId="354" xr:uid="{1059F60A-8AC5-4EB9-B05B-91FA5C03C003}"/>
    <cellStyle name="Hyperlink 2 3 2" xfId="355" xr:uid="{D232A0FA-32E2-45D7-BE4D-29F2386950A1}"/>
    <cellStyle name="Hyperlink 2 3 2 2" xfId="2061" xr:uid="{952F104F-BCEF-493F-9970-A2E082373D8A}"/>
    <cellStyle name="Hyperlink 2 3 2 3" xfId="16667" xr:uid="{21BC5216-8830-4062-9D49-8BE25627AACD}"/>
    <cellStyle name="Hyperlink 2 3 3" xfId="356" xr:uid="{5C15D9B4-830D-49DF-8F69-975B0A97A759}"/>
    <cellStyle name="Hyperlink 2 3 3 2" xfId="2062" xr:uid="{6DF63C08-8B22-47F0-B3F8-472BA4C72761}"/>
    <cellStyle name="Hyperlink 2 3 3 3" xfId="16668" xr:uid="{33410A03-0BFC-4C09-A07C-F2B79FE69CAD}"/>
    <cellStyle name="Hyperlink 2 3 4" xfId="2060" xr:uid="{A3A37640-23F4-42B7-A5DD-D6D08B9BF65F}"/>
    <cellStyle name="Hyperlink 2 3 5" xfId="16666" xr:uid="{A2DB105C-880F-4060-914A-5CA4E55A67C9}"/>
    <cellStyle name="Hyperlink 2 4" xfId="357" xr:uid="{64D6C07A-D562-4F17-9DB4-E3FDAEFFD648}"/>
    <cellStyle name="Hyperlink 2 4 2" xfId="2063" xr:uid="{B75E84DB-10C9-412F-8B11-3393ACB4F491}"/>
    <cellStyle name="Hyperlink 2 4 3" xfId="16669" xr:uid="{E8E3F3AF-8A96-41F4-A92E-F5096A08AC52}"/>
    <cellStyle name="Hyperlink 2 5" xfId="2058" xr:uid="{79311E22-44ED-4087-891F-E053F1E53854}"/>
    <cellStyle name="Hyperlink 2 6" xfId="16664" xr:uid="{7A2FC144-13A6-4B98-8EFB-7748AF3CDFF8}"/>
    <cellStyle name="Hyperlink 3" xfId="358" xr:uid="{FFE07CF6-B9D5-41BD-B499-7F405320E449}"/>
    <cellStyle name="Hyperlink 3 2" xfId="2064" xr:uid="{32D5232C-33B2-4DC3-8893-90CD039DFB8A}"/>
    <cellStyle name="Hyperlink 3 3" xfId="16670" xr:uid="{8B975B15-BA52-48AA-AE8C-ADD709A2FD8D}"/>
    <cellStyle name="Hyperlink 4" xfId="988" xr:uid="{64AFAACE-E351-4498-A727-8762A2FE7943}"/>
    <cellStyle name="Hyperlink 5" xfId="989" xr:uid="{A28180CD-8FD0-414A-87C8-A8A8969D8E72}"/>
    <cellStyle name="InfoDataColumn" xfId="359" xr:uid="{60A40006-CB96-4544-A7D6-5146CB0082E0}"/>
    <cellStyle name="InfoDataColumn 2" xfId="2065" xr:uid="{D05DF425-1786-4BE4-A495-E9B914E55892}"/>
    <cellStyle name="InfoDataColumn 3" xfId="16671" xr:uid="{C34B1CE8-12F3-4EDD-89AA-EFAC1472125D}"/>
    <cellStyle name="InfoDataRow" xfId="360" xr:uid="{FEBBA7F2-EAA6-48DD-9420-8CDB3CE9FB70}"/>
    <cellStyle name="InfoLabelColumn" xfId="361" xr:uid="{4D9E4F9F-EDB4-4353-A097-E8CB206EA9CC}"/>
    <cellStyle name="InfoLabelRow" xfId="362" xr:uid="{37369794-0DC4-477F-869A-558E302EB89D}"/>
    <cellStyle name="InfolDataColumn" xfId="363" xr:uid="{AF06C4D8-6DDF-46A0-BA76-58D33813DF9C}"/>
    <cellStyle name="InfolDataColumn 2" xfId="2066" xr:uid="{E8823DA7-D454-49B1-8651-629171ED37C6}"/>
    <cellStyle name="InfolDataColumn 3" xfId="16672" xr:uid="{8559427A-A2B9-4EEB-B027-B434B0F6B04F}"/>
    <cellStyle name="Input" xfId="13" builtinId="20" customBuiltin="1"/>
    <cellStyle name="input 10" xfId="841" xr:uid="{270D0824-C949-470C-9509-AEDF09EF3B4A}"/>
    <cellStyle name="input 10 2" xfId="18302" xr:uid="{8CEA0DAD-371C-4B43-B57E-DB613300B084}"/>
    <cellStyle name="Input 11" xfId="1473" xr:uid="{81836903-84FB-4911-B8DF-C2CB13CAF05E}"/>
    <cellStyle name="Input 12" xfId="1422" xr:uid="{B709AB16-D40A-4799-B37F-9D769ED23DD9}"/>
    <cellStyle name="Input 13" xfId="1408" xr:uid="{5909299A-FC5E-41F8-830B-2D602B36D6BD}"/>
    <cellStyle name="Input 14" xfId="1804" xr:uid="{08B535AD-567C-49B1-938F-2260A709FC50}"/>
    <cellStyle name="Input 15" xfId="2389" xr:uid="{519FB82A-B6AD-4A9D-AB81-C2BC8312CC81}"/>
    <cellStyle name="Input 16" xfId="17832" xr:uid="{AA34BFCD-A60D-4EFD-8467-39296F5FC666}"/>
    <cellStyle name="Input 17" xfId="17822" xr:uid="{D674C3B8-4F16-4384-BA20-DA2FF733AE64}"/>
    <cellStyle name="Input 18" xfId="17053" xr:uid="{D13FBBAB-E228-4C5A-9951-BE3599B57C2A}"/>
    <cellStyle name="Input 19" xfId="18168" xr:uid="{E8357F3D-D0DE-45C0-8821-57143B5CFCD2}"/>
    <cellStyle name="Input 2" xfId="365" xr:uid="{37A370F7-B01F-4490-B479-43968A0E4AC1}"/>
    <cellStyle name="input 2 10" xfId="366" xr:uid="{CB6A8A13-69AC-44EB-9C3D-EB78E72E33CB}"/>
    <cellStyle name="input 2 10 10" xfId="18159" xr:uid="{91FC99EE-10C5-49F4-986E-2E91F4D947B5}"/>
    <cellStyle name="input 2 10 10 2" xfId="18361" xr:uid="{D171C035-539F-4C87-A3A7-0CB8F73B68FD}"/>
    <cellStyle name="input 2 10 11" xfId="3861" xr:uid="{6BF6ECED-E873-4C7F-80F8-37AD8D2D23A0}"/>
    <cellStyle name="input 2 10 12" xfId="17794" xr:uid="{1ACA6F13-1BD8-45CF-AE3A-A81B9DA63BB1}"/>
    <cellStyle name="Input 2 10 2" xfId="990" xr:uid="{DC811B2E-6CDB-4C4F-A4DB-8E98B9BF249D}"/>
    <cellStyle name="Input 2 10 2 2" xfId="991" xr:uid="{402FF195-34AA-4C05-BA5E-2663AF08D218}"/>
    <cellStyle name="input 2 10 2 3" xfId="992" xr:uid="{779F4FB5-2ED7-42D2-9330-C2AB8495F856}"/>
    <cellStyle name="input 2 10 2 3 2" xfId="18303" xr:uid="{B69BC519-5F42-4B75-AD63-03FC857B1308}"/>
    <cellStyle name="input 2 10 2 4" xfId="18114" xr:uid="{B926C029-B01C-466D-B619-B4FCED0B64B9}"/>
    <cellStyle name="input 2 10 2 4 2" xfId="18358" xr:uid="{418EDE7E-477B-4513-950D-043ADE68F6CE}"/>
    <cellStyle name="input 2 10 2 5" xfId="18155" xr:uid="{FAC56E4E-87A6-472E-8043-376685C445CD}"/>
    <cellStyle name="input 2 10 2 5 2" xfId="18359" xr:uid="{CC2699BC-FA55-48E4-A335-E3B04415CF69}"/>
    <cellStyle name="Input 2 10 3" xfId="993" xr:uid="{72DFF1BA-C8FC-4DDF-90FF-E18743656D11}"/>
    <cellStyle name="Input 2 10 4" xfId="994" xr:uid="{85CB3C6F-5BA9-4613-B16F-F4CF8DC2E0F4}"/>
    <cellStyle name="Input 2 10 5" xfId="995" xr:uid="{C39E5EF5-28F1-4A78-BA65-D9412C7C2983}"/>
    <cellStyle name="input 2 10 6" xfId="2069" xr:uid="{60F39233-6E67-450F-910F-BDBD9A906F48}"/>
    <cellStyle name="input 2 10 6 2" xfId="18318" xr:uid="{03456A28-610C-4FA2-AB27-6BF4BE5A21D5}"/>
    <cellStyle name="input 2 10 7" xfId="17890" xr:uid="{A4FC9D7F-9B01-4C6C-BA94-0BB56C1BBB9D}"/>
    <cellStyle name="input 2 10 7 2" xfId="18356" xr:uid="{2E3784EA-EEE8-446B-8AE4-32E4AC9F2654}"/>
    <cellStyle name="input 2 10 8" xfId="17836" xr:uid="{5C488420-FEAC-403A-9531-7F4CA6238C06}"/>
    <cellStyle name="input 2 10 8 2" xfId="18351" xr:uid="{8B439006-3EFC-4310-8E70-44B002A45C6B}"/>
    <cellStyle name="input 2 10 9" xfId="16675" xr:uid="{E45BE06A-482E-4090-932A-DBDEE7726D8D}"/>
    <cellStyle name="input 2 10 9 2" xfId="18266" xr:uid="{2F1530ED-846C-4DA0-AC72-2EFFFD3B8F81}"/>
    <cellStyle name="Input 2 11" xfId="996" xr:uid="{1EDDED02-E1B0-40C0-BFA8-A08DED3025A0}"/>
    <cellStyle name="Input 2 11 2" xfId="17124" xr:uid="{F3E1EF64-16BF-4ECA-9F75-70CE06EA8DE1}"/>
    <cellStyle name="Input 2 11 3" xfId="12338" xr:uid="{6D926F27-C42B-4AAA-9A3A-4993E5D600F2}"/>
    <cellStyle name="Input 2 12" xfId="997" xr:uid="{17100C32-9208-4FEA-ABE6-0420938A8B5C}"/>
    <cellStyle name="Input 2 12 2" xfId="17125" xr:uid="{54A3AE80-316C-41A9-8B40-481B3CAA6556}"/>
    <cellStyle name="Input 2 12 3" xfId="16463" xr:uid="{C7100276-A138-4F37-A107-E7D37F35316C}"/>
    <cellStyle name="Input 2 13" xfId="2068" xr:uid="{69A82D23-D663-4431-ACB6-7C9CCD943577}"/>
    <cellStyle name="Input 2 14" xfId="17847" xr:uid="{3031F24F-B4E7-43C6-94B4-8181424174FF}"/>
    <cellStyle name="Input 2 15" xfId="17835" xr:uid="{65268040-1149-40BF-98CF-F253610F5A5B}"/>
    <cellStyle name="Input 2 16" xfId="16674" xr:uid="{5430591D-71A4-4D69-A0B5-F5844475C38A}"/>
    <cellStyle name="Input 2 17" xfId="18158" xr:uid="{6DDDB439-8EAD-443F-89D7-C5159E975C0C}"/>
    <cellStyle name="Input 2 18" xfId="3860" xr:uid="{E60F512D-9E6B-46FF-BCCB-B3A2977F5ADC}"/>
    <cellStyle name="Input 2 19" xfId="3880" xr:uid="{9E135868-6494-4420-802B-98176C778D8C}"/>
    <cellStyle name="Input 2 2" xfId="367" xr:uid="{34D8A314-9ACC-4F95-AFA0-D1481EF49142}"/>
    <cellStyle name="Input 2 2 2" xfId="998" xr:uid="{D391D161-45C2-4091-A018-B8E474853FFE}"/>
    <cellStyle name="Input 2 2 2 2" xfId="17126" xr:uid="{7246EFA6-51E7-4C9C-BCC7-145D915CD43A}"/>
    <cellStyle name="Input 2 2 2 2 2" xfId="18304" xr:uid="{9EB4806D-7785-4801-A3BB-77AE9222DD11}"/>
    <cellStyle name="Input 2 2 2 3" xfId="12339" xr:uid="{D4435BC3-9A2A-4EEC-A38E-DF563A9693A8}"/>
    <cellStyle name="Input 2 2 3" xfId="2070" xr:uid="{3B032B73-A8C4-470C-B74C-BB996809D850}"/>
    <cellStyle name="Input 2 2 3 2" xfId="18319" xr:uid="{4B008ECD-656C-4BD0-955A-93EC66BCD820}"/>
    <cellStyle name="Input 2 2 4" xfId="16676" xr:uid="{89FCB006-48DD-4C40-851C-DAEEDA479CA2}"/>
    <cellStyle name="Input 2 2 4 2" xfId="18267" xr:uid="{1B863F7B-DDC5-4BD9-814E-386ACBC0F878}"/>
    <cellStyle name="Input 2 2 5" xfId="17154" xr:uid="{19A950D1-7305-4D76-AD1E-47A868C91F77}"/>
    <cellStyle name="Input 2 20" xfId="18253" xr:uid="{C27E4E7C-AC1F-45A6-B665-2E2707194CCF}"/>
    <cellStyle name="Input 2 3" xfId="368" xr:uid="{84C8EBE1-AEBE-4F2A-AFF2-BF21FBECD0DF}"/>
    <cellStyle name="Input 2 3 10" xfId="18240" xr:uid="{6B73D233-4F43-46CF-B0F9-085AEFBE12CC}"/>
    <cellStyle name="input 2 3 2" xfId="999" xr:uid="{02BDC88A-1866-4A17-BD0B-441B9BF2F8A0}"/>
    <cellStyle name="input 2 3 2 2" xfId="18305" xr:uid="{3F58A8DC-60AA-48D0-9CE8-381BCB8ED251}"/>
    <cellStyle name="Input 2 3 3" xfId="2071" xr:uid="{3A70601B-EC89-4792-9788-486BFDDEBB81}"/>
    <cellStyle name="Input 2 3 3 2" xfId="18320" xr:uid="{2F40FB87-5227-4702-827C-BB5CC92F16E5}"/>
    <cellStyle name="Input 2 3 4" xfId="17889" xr:uid="{7DDC67D3-91FF-4FB1-A8FE-E0A6CFE59C40}"/>
    <cellStyle name="Input 2 3 4 2" xfId="18355" xr:uid="{9333ABEE-1D5D-465A-AFF1-86EF89E91532}"/>
    <cellStyle name="Input 2 3 5" xfId="17837" xr:uid="{05FDA2D4-B581-4270-87E4-88799046FC2B}"/>
    <cellStyle name="Input 2 3 5 2" xfId="18352" xr:uid="{EED8C35F-E1F9-4AE1-A4F0-EA86015A70F5}"/>
    <cellStyle name="Input 2 3 6" xfId="16677" xr:uid="{089FC504-3A8A-4CF4-9280-BAC807C8D650}"/>
    <cellStyle name="Input 2 3 6 2" xfId="18268" xr:uid="{27F19A85-5244-4E49-A2A9-4187E4D73A5C}"/>
    <cellStyle name="Input 2 3 7" xfId="18160" xr:uid="{24907D04-C2EB-45DB-891E-8B734247110D}"/>
    <cellStyle name="Input 2 3 7 2" xfId="18362" xr:uid="{D755B10B-5011-4E42-9EAE-E5730802632C}"/>
    <cellStyle name="Input 2 3 8" xfId="3862" xr:uid="{77DDF0E1-8A83-4E66-B9E2-5F3BB61B877F}"/>
    <cellStyle name="Input 2 3 9" xfId="17162" xr:uid="{1206131A-7162-402A-B6D4-6662B3FC1AD6}"/>
    <cellStyle name="input 2 4" xfId="369" xr:uid="{1E902AA3-0558-4662-AF7E-EC34053F0EFA}"/>
    <cellStyle name="input 2 4 2" xfId="1000" xr:uid="{03DEE568-852D-43F7-A6CA-470DA71941AD}"/>
    <cellStyle name="input 2 4 2 2" xfId="18306" xr:uid="{5959CAEC-4367-468B-9935-D2581CFD7F44}"/>
    <cellStyle name="input 2 4 3" xfId="2072" xr:uid="{ACF7B2B2-05F0-47A3-A9C5-4BC95E9885B2}"/>
    <cellStyle name="input 2 4 3 2" xfId="18321" xr:uid="{C7FCF65D-919A-43F4-9BA1-384A95DEECD0}"/>
    <cellStyle name="input 2 4 4" xfId="16678" xr:uid="{6AD48222-B601-4143-9709-6EC315F26F0E}"/>
    <cellStyle name="input 2 4 4 2" xfId="18269" xr:uid="{47AEBAAC-9BBE-4655-8FC4-7DBE724B676B}"/>
    <cellStyle name="input 2 4 5" xfId="17161" xr:uid="{DCC6B4D1-C2A4-419A-AA3B-908F5E6C24F6}"/>
    <cellStyle name="input 2 5" xfId="370" xr:uid="{F294AC9B-FE9A-4AF7-91DC-8F559CFD6E21}"/>
    <cellStyle name="input 2 5 2" xfId="2073" xr:uid="{FDA6C34A-0541-44D3-B6FE-9AE698DEF29C}"/>
    <cellStyle name="input 2 5 2 2" xfId="18322" xr:uid="{227C088A-B8C4-4A85-A70D-54A43DBABB05}"/>
    <cellStyle name="input 2 5 3" xfId="16679" xr:uid="{025984B9-2D5E-4484-BAD9-A7EC87DA4DC4}"/>
    <cellStyle name="input 2 5 3 2" xfId="18270" xr:uid="{95A5A2E7-ABE9-4347-917E-F8D661A98690}"/>
    <cellStyle name="input 2 5 4" xfId="17160" xr:uid="{9ED1435F-7A76-4EDC-BF8E-919AE8678B9E}"/>
    <cellStyle name="input 2 6" xfId="371" xr:uid="{509F4D80-5D06-4C26-91BB-04D7C3BA8433}"/>
    <cellStyle name="input 2 6 2" xfId="2074" xr:uid="{23D24B22-CB03-4368-AA04-2B4636464E41}"/>
    <cellStyle name="input 2 6 2 2" xfId="18323" xr:uid="{1AFA3679-D7C7-474F-9575-47624EC9E043}"/>
    <cellStyle name="input 2 6 3" xfId="16680" xr:uid="{6CA08EF1-FF5A-4C9D-92C3-906BC308BAE6}"/>
    <cellStyle name="input 2 6 3 2" xfId="18271" xr:uid="{C21A7BC4-CDF4-41B2-940E-C5D924770966}"/>
    <cellStyle name="input 2 6 4" xfId="17159" xr:uid="{AFE37505-38A6-40C4-90DF-01DDD53AEEE9}"/>
    <cellStyle name="input 2 7" xfId="372" xr:uid="{7DC8E3C1-8296-4139-8A73-ABC472087299}"/>
    <cellStyle name="input 2 7 2" xfId="2075" xr:uid="{CFE3EEFD-62E9-47A8-9473-418B8D5C0F2F}"/>
    <cellStyle name="input 2 7 2 2" xfId="18324" xr:uid="{1E5059AE-D15F-4B4C-A5FB-8A5BED85FCBF}"/>
    <cellStyle name="input 2 7 3" xfId="16681" xr:uid="{EEDDE2CA-5FE4-4974-83A4-B6A3F23E7814}"/>
    <cellStyle name="input 2 7 3 2" xfId="18272" xr:uid="{C9079160-F831-46A6-BC75-3F3E21251DA7}"/>
    <cellStyle name="input 2 7 4" xfId="17158" xr:uid="{BB623B92-F437-407B-89BF-C693A2D4C799}"/>
    <cellStyle name="input 2 8" xfId="373" xr:uid="{15DED9B0-7F03-4BA6-A8A9-A874AF2BF537}"/>
    <cellStyle name="input 2 8 2" xfId="2076" xr:uid="{DCA39204-00C2-441D-AD93-378A227BAB4D}"/>
    <cellStyle name="input 2 8 2 2" xfId="18325" xr:uid="{0BCB1FC1-033B-4CF2-9907-55F9C6DCBC55}"/>
    <cellStyle name="input 2 8 3" xfId="16682" xr:uid="{5ACCD515-46EE-48A0-BB46-4B1715A1B2E9}"/>
    <cellStyle name="input 2 8 3 2" xfId="18273" xr:uid="{7B265E55-062C-4C67-B9EE-F4251B638AA3}"/>
    <cellStyle name="input 2 8 4" xfId="17157" xr:uid="{DC1F1441-EDD1-45CB-8768-2D5BB2C569CA}"/>
    <cellStyle name="input 2 9" xfId="374" xr:uid="{13197EF9-59FC-4585-854B-9C47F7AF1530}"/>
    <cellStyle name="input 2 9 2" xfId="2077" xr:uid="{BF55E1A2-08A7-4271-9252-1FE44E1A5D87}"/>
    <cellStyle name="input 2 9 2 2" xfId="18326" xr:uid="{EC6995BC-F3BB-4B5F-9159-78FA58A8DBB4}"/>
    <cellStyle name="input 2 9 3" xfId="16683" xr:uid="{3C26D636-571E-4119-801A-66323FECECC5}"/>
    <cellStyle name="input 2 9 3 2" xfId="18274" xr:uid="{6B334757-8CD5-4CE8-A709-4C837BA17A67}"/>
    <cellStyle name="input 2 9 4" xfId="17156" xr:uid="{E88E7154-EE0A-48AB-A167-AF1A707C08FB}"/>
    <cellStyle name="Input 2_Working Capital Current" xfId="15846" xr:uid="{49AFC50A-1199-4764-9CC0-5DEEA3DC1EBF}"/>
    <cellStyle name="Input 20" xfId="3927" xr:uid="{3B9FF973-DCE1-4AA2-8811-274D51ECEF6F}"/>
    <cellStyle name="Input 21" xfId="17132" xr:uid="{7EFD52E8-56D5-4D10-B5C9-35627A926684}"/>
    <cellStyle name="Input 22" xfId="18251" xr:uid="{FA717A7E-7112-45DE-812E-2AABFB05FDE0}"/>
    <cellStyle name="Input 3" xfId="375" xr:uid="{72EB0587-395A-4363-A2FA-BEA88883F335}"/>
    <cellStyle name="Input 3 10" xfId="18239" xr:uid="{4E5CB41E-138E-49FB-BAC6-9C16027DBCC5}"/>
    <cellStyle name="input 3 2" xfId="1001" xr:uid="{9FC23BDA-D8E9-4619-92D0-95FC9DD9B6D8}"/>
    <cellStyle name="input 3 2 2" xfId="17127" xr:uid="{9E49117B-4A5C-4479-9548-A19DFF4261E5}"/>
    <cellStyle name="input 3 2 2 2" xfId="18307" xr:uid="{11A24026-CE49-42C3-8E30-51E790CA5E57}"/>
    <cellStyle name="Input 3 2 3" xfId="12340" xr:uid="{F3D86146-4AF2-4F9E-8348-742CEE84AFE5}"/>
    <cellStyle name="Input 3 2 4" xfId="18234" xr:uid="{BEEA3014-192C-4245-ADE1-7B7B615C089D}"/>
    <cellStyle name="Input 3 2 5" xfId="18250" xr:uid="{6FFB3EF4-CFB2-41AE-B61E-8CB889631A14}"/>
    <cellStyle name="Input 3 3" xfId="2078" xr:uid="{30D04C0A-45F6-4C85-BD13-906BD0B6EAB2}"/>
    <cellStyle name="Input 3 3 2" xfId="18327" xr:uid="{2DFFB1CC-3C53-4620-92D4-960B10157EAE}"/>
    <cellStyle name="Input 3 4" xfId="17839" xr:uid="{BE9FAB9D-2232-4D1A-80F2-4ECE33A79C9C}"/>
    <cellStyle name="Input 3 4 2" xfId="18354" xr:uid="{A654D8A0-CCA5-4DA4-822B-131275525E27}"/>
    <cellStyle name="Input 3 5" xfId="17838" xr:uid="{155F576C-1F16-4272-9690-C4361C8873CD}"/>
    <cellStyle name="Input 3 5 2" xfId="18353" xr:uid="{9A3CACEA-E319-4D5A-A562-D4CD938E28DC}"/>
    <cellStyle name="Input 3 6" xfId="16684" xr:uid="{5AE391CF-2A9E-48C1-B1CF-75C52EB1D475}"/>
    <cellStyle name="Input 3 6 2" xfId="18275" xr:uid="{69F10784-C58A-4BB0-9A58-3230E7C62964}"/>
    <cellStyle name="Input 3 7" xfId="18161" xr:uid="{2D4C0DFC-89BF-498E-AF52-DECA54876ABF}"/>
    <cellStyle name="Input 3 7 2" xfId="18363" xr:uid="{55C52E9E-317E-426C-B2D9-48FC992F0DCD}"/>
    <cellStyle name="Input 3 8" xfId="3863" xr:uid="{7B80EBFD-B839-4004-A0CE-B04FE120E321}"/>
    <cellStyle name="Input 3 9" xfId="17155" xr:uid="{070B4215-A530-4B93-95E8-3689FA041514}"/>
    <cellStyle name="input 4" xfId="376" xr:uid="{F91B4B4B-D59A-4E74-B33F-9EBC510901CE}"/>
    <cellStyle name="input 4 2" xfId="2079" xr:uid="{A04C719B-C712-4682-8FD2-26437BD507C4}"/>
    <cellStyle name="input 4 2 2" xfId="18328" xr:uid="{C7200AE2-7889-447D-9FB1-1B5B97EA6D37}"/>
    <cellStyle name="input 4 3" xfId="16685" xr:uid="{BF9C9BE4-4D2A-48EB-92C1-33EB9B4D311F}"/>
    <cellStyle name="input 4 3 2" xfId="18276" xr:uid="{AF5F6302-F0EA-440A-AC63-3C5F274A9C5F}"/>
    <cellStyle name="input 4 4" xfId="3879" xr:uid="{F562EC1E-1588-4B48-B924-5CBDF27A5B6F}"/>
    <cellStyle name="input 5" xfId="364" xr:uid="{631A2B50-082D-4335-B1CA-4416C864C04C}"/>
    <cellStyle name="input 5 2" xfId="2067" xr:uid="{ACAFC637-119B-4EFF-B462-47D95036E93F}"/>
    <cellStyle name="input 5 2 2" xfId="18317" xr:uid="{D1367469-3B97-480F-AE8F-A8EC057A7E55}"/>
    <cellStyle name="input 5 3" xfId="16673" xr:uid="{30E9437B-3B9B-4357-B28D-564D680797D0}"/>
    <cellStyle name="input 5 3 2" xfId="18265" xr:uid="{3D175912-C231-455D-B2BA-C50016CAFEF1}"/>
    <cellStyle name="input 5 4" xfId="3881" xr:uid="{6B3BBA4A-49ED-4C13-BD64-6D9AC70BBF1E}"/>
    <cellStyle name="input 6" xfId="827" xr:uid="{4EB996DE-4EAD-448B-A958-92103FF023C7}"/>
    <cellStyle name="input 6 2" xfId="2385" xr:uid="{0DEA6433-9C37-4324-91D6-EE535167C6CA}"/>
    <cellStyle name="input 6 2 2" xfId="18349" xr:uid="{A8332DD2-5058-44DA-9F24-76FD86FB7D13}"/>
    <cellStyle name="input 6 3" xfId="17038" xr:uid="{A03ABA76-AACE-4774-B52E-CB28B4649D4D}"/>
    <cellStyle name="input 6 3 2" xfId="18299" xr:uid="{D5022259-581E-46A5-9532-556EE09CDF50}"/>
    <cellStyle name="input 6 4" xfId="3866" xr:uid="{835A1231-804A-4B3C-AFD9-16CC39994A25}"/>
    <cellStyle name="input 7" xfId="828" xr:uid="{722A2B6D-9FF9-414F-B364-66795F97A8E9}"/>
    <cellStyle name="input 7 2" xfId="2386" xr:uid="{31794110-21D6-4FD2-9238-46FB21F70E22}"/>
    <cellStyle name="input 7 2 2" xfId="18350" xr:uid="{E30FA254-C449-4438-A3C9-D8B3DBED1F26}"/>
    <cellStyle name="input 7 3" xfId="17039" xr:uid="{BB2E7D1F-76E1-4BED-8BB9-6CD8D16E73BB}"/>
    <cellStyle name="input 7 3 2" xfId="18300" xr:uid="{EE87F528-3323-47D7-B41B-DF22EA272D5F}"/>
    <cellStyle name="input 7 4" xfId="3865" xr:uid="{A9793EBE-8A6D-4E45-BBF7-5381AA4C69EA}"/>
    <cellStyle name="input 8" xfId="826" xr:uid="{959D67CF-1FAC-4586-AAB5-64751B3001B4}"/>
    <cellStyle name="input 8 2" xfId="2384" xr:uid="{ED404548-D93A-48DF-9AD9-650E8E66787E}"/>
    <cellStyle name="input 8 2 2" xfId="18348" xr:uid="{5AF98237-8084-4E26-A5A0-86C536497846}"/>
    <cellStyle name="input 8 3" xfId="17037" xr:uid="{1A72A330-3435-4220-AB0E-0A83A1C49BF0}"/>
    <cellStyle name="input 8 3 2" xfId="18298" xr:uid="{1C5E6FCA-4F30-4070-B550-6FFC961DFFB1}"/>
    <cellStyle name="input 8 4" xfId="17765" xr:uid="{7A25BFAC-344B-4178-B16E-AF8B339D31C5}"/>
    <cellStyle name="input 9" xfId="840" xr:uid="{DCFB1C5C-F318-4BF2-8699-C979514DC434}"/>
    <cellStyle name="input 9 2" xfId="18301" xr:uid="{C40584D7-B634-4134-9FF1-7E3639E3CC0F}"/>
    <cellStyle name="Input Cells" xfId="377" xr:uid="{CD1B4403-5C87-475D-823C-1195A8C43D62}"/>
    <cellStyle name="InputA" xfId="378" xr:uid="{732A6ACF-7010-4217-8AC8-65850994716E}"/>
    <cellStyle name="InputA 2" xfId="2080" xr:uid="{38675FB8-B343-49D2-85A6-EC91BB4318E9}"/>
    <cellStyle name="InputA 2 2" xfId="18329" xr:uid="{B2DC9662-AFBE-4AD9-A341-638E8EF85059}"/>
    <cellStyle name="InputA 3" xfId="16686" xr:uid="{7B6B898B-79EB-49DC-9BC2-1022F560796D}"/>
    <cellStyle name="InputA 3 2" xfId="18277" xr:uid="{C608BD5E-57A4-413E-A703-0A44A3104B55}"/>
    <cellStyle name="InputA 4" xfId="17793" xr:uid="{033B6300-D708-4BFB-A2BE-8E12F66AD794}"/>
    <cellStyle name="InputDataColumn" xfId="379" xr:uid="{38338D27-30F9-45F8-A0AC-EFD341CF9121}"/>
    <cellStyle name="InputDataColumn 2" xfId="2081" xr:uid="{AFEA91D1-384B-4C50-A65C-69896D67661D}"/>
    <cellStyle name="InputDataColumn 3" xfId="16687" xr:uid="{0D76269B-89C1-4439-AD21-30D19C265D76}"/>
    <cellStyle name="InputDataRow" xfId="380" xr:uid="{0257A913-8497-4BC1-8E64-FC25FEB8CD22}"/>
    <cellStyle name="InputLabelColumn" xfId="381" xr:uid="{56CD9208-244C-4E93-BEF0-9DFEFC29EBBF}"/>
    <cellStyle name="InputLabelRow" xfId="382" xr:uid="{29F398A0-59C7-4508-9944-3CACA2ED79D1}"/>
    <cellStyle name="IntermediateDataColumn" xfId="383" xr:uid="{D0153332-E5A1-4EA0-B403-C7E59E2B494D}"/>
    <cellStyle name="IntermediateLabelColumn" xfId="384" xr:uid="{4ACEB997-C4F1-4262-9C8F-0077695FD14A}"/>
    <cellStyle name="InvalidCell" xfId="385" xr:uid="{461CB4EA-2784-423F-B87D-64B35B86B2D1}"/>
    <cellStyle name="Linked Cell" xfId="16" builtinId="24" customBuiltin="1"/>
    <cellStyle name="Linked Cell 2" xfId="386" xr:uid="{8780DCF0-437B-4FFD-86B0-DB9E4CAC836F}"/>
    <cellStyle name="Linked Cell 2 2" xfId="387" xr:uid="{C1FC285F-28C9-4EB2-B285-1C6EA4EA774C}"/>
    <cellStyle name="Linked Cell 2 2 2" xfId="2083" xr:uid="{065F1679-6159-4612-B888-9263753CA5C7}"/>
    <cellStyle name="Linked Cell 2 2 2 2" xfId="17748" xr:uid="{67028500-017E-4213-B0D5-B1CAB51FA141}"/>
    <cellStyle name="Linked Cell 2 2 2 3" xfId="12342" xr:uid="{BD6826AD-C482-4DCF-9ADC-C0CA730C8282}"/>
    <cellStyle name="Linked Cell 2 2 3" xfId="16689" xr:uid="{5A8DCD7E-B5A6-477A-85A6-EDCE850FA0AF}"/>
    <cellStyle name="Linked Cell 2 3" xfId="2082" xr:uid="{444021F3-4484-4834-9A31-67F2814EC29A}"/>
    <cellStyle name="Linked Cell 2 3 2" xfId="17747" xr:uid="{713218C6-9E4C-4F7F-8DF2-45FD919291A7}"/>
    <cellStyle name="Linked Cell 2 3 3" xfId="12341" xr:uid="{8A546C79-DED6-4F9B-9152-D93EDC19C9B4}"/>
    <cellStyle name="Linked Cell 2 4" xfId="16688" xr:uid="{2731C38D-A0CF-4CDD-BE85-1AAFAF403021}"/>
    <cellStyle name="Linked Cell 2_Working Capital Current" xfId="15847" xr:uid="{1E767F9F-2C59-41E0-A455-4AF8AA1D816A}"/>
    <cellStyle name="Linked Cell 3" xfId="388" xr:uid="{75C99044-81B9-4892-B8A7-A82579FC383B}"/>
    <cellStyle name="Linked Cell 3 2" xfId="2084" xr:uid="{FF02C86C-C586-4F95-8C59-603E0C43781B}"/>
    <cellStyle name="Linked Cell 3 2 2" xfId="17749" xr:uid="{D909DF74-7145-494F-BCB9-102848ECE060}"/>
    <cellStyle name="Linked Cell 3 2 3" xfId="12343" xr:uid="{09EC3B5D-779B-407E-AB16-A924E2B6CF85}"/>
    <cellStyle name="Linked Cell 3 3" xfId="16690" xr:uid="{EF745F00-BB2E-45E0-B69F-3492ECF2E38C}"/>
    <cellStyle name="Linked Cell 4" xfId="1859" xr:uid="{0B24CBB5-948B-4EE7-83EA-66C393B99D96}"/>
    <cellStyle name="Linked Cell 5" xfId="16480" xr:uid="{146D1FD4-C695-465B-9DDA-9978C958CABB}"/>
    <cellStyle name="Linked Cell 6" xfId="17004" xr:uid="{0647546A-BC29-4611-99FC-B858C54564FD}"/>
    <cellStyle name="Linked Cell 7" xfId="3915" xr:uid="{BDE708F7-642B-4A67-8E85-EEAD29382929}"/>
    <cellStyle name="Linked Cell 8" xfId="3867" xr:uid="{B2BB8393-67B6-43A5-926A-8FC4B8160EC1}"/>
    <cellStyle name="Milliers [0]_Open&amp;Close" xfId="389" xr:uid="{3C5E0889-8DDC-4170-A830-934FA491C1F4}"/>
    <cellStyle name="Milliers_Open&amp;Close" xfId="390" xr:uid="{3E2E8B4C-5E44-498D-8AF5-5DAB94574935}"/>
    <cellStyle name="Monétaire [0]_Open&amp;Close" xfId="391" xr:uid="{2AB88369-B190-4A16-9367-8A9F7209623D}"/>
    <cellStyle name="Monétaire_Open&amp;Close" xfId="392" xr:uid="{9D038CAD-6E17-4F5A-B1CA-65745F31482F}"/>
    <cellStyle name="Neutral" xfId="12" builtinId="28" customBuiltin="1"/>
    <cellStyle name="Neutral 2" xfId="394" xr:uid="{569CF039-99E4-4770-A883-CFD1C7A588B0}"/>
    <cellStyle name="Neutral 2 2" xfId="395" xr:uid="{5B50D4F1-D3C9-484A-AED1-69F0D74D0F52}"/>
    <cellStyle name="Neutral 2 2 2" xfId="2087" xr:uid="{93909E22-A790-4C36-831C-6164474C82FD}"/>
    <cellStyle name="Neutral 2 2 2 2" xfId="17751" xr:uid="{E3FE0F2E-089C-4874-832F-D3C78E60E9A1}"/>
    <cellStyle name="Neutral 2 2 2 3" xfId="12345" xr:uid="{3DB1F3D7-4593-4196-BFD0-836D1C99A6F8}"/>
    <cellStyle name="Neutral 2 2 3" xfId="16693" xr:uid="{C014F763-4E16-4063-AED3-61D808D341C2}"/>
    <cellStyle name="Neutral 2 3" xfId="2086" xr:uid="{41257735-086F-4923-9CD1-4FCACCC9F727}"/>
    <cellStyle name="Neutral 2 3 2" xfId="17750" xr:uid="{5C6DCC93-3061-45CE-9987-9B7099A42A9D}"/>
    <cellStyle name="Neutral 2 3 3" xfId="12344" xr:uid="{579C5BC4-9824-446F-9D65-C247DE5A9969}"/>
    <cellStyle name="Neutral 2 4" xfId="16692" xr:uid="{B7926E72-BCC1-480D-A279-4EDF1BEEB77F}"/>
    <cellStyle name="Neutral 2_Working Capital Current" xfId="15848" xr:uid="{6B7F1D88-4D9D-4ABF-B6AC-3E07593661BF}"/>
    <cellStyle name="Neutral 3" xfId="396" xr:uid="{C44966CB-343C-4E6A-98B6-4321A546395A}"/>
    <cellStyle name="Neutral 3 2" xfId="2088" xr:uid="{70F1FFD6-3FDA-4894-AC9D-D1474FD54DFA}"/>
    <cellStyle name="Neutral 3 2 2" xfId="17752" xr:uid="{23EA3948-551D-457D-B345-93890D798B4D}"/>
    <cellStyle name="Neutral 3 2 3" xfId="12346" xr:uid="{66266F38-1A15-4ECD-B6E2-8CA71BBA5867}"/>
    <cellStyle name="Neutral 3 3" xfId="16694" xr:uid="{FEBD77CA-508B-424F-8DB9-B2559E8E938A}"/>
    <cellStyle name="Neutral 4" xfId="393" xr:uid="{940C137E-8311-41BA-AD06-BF2DECA9E4E7}"/>
    <cellStyle name="Neutral 4 2" xfId="2085" xr:uid="{FB186036-445C-4A4C-96C1-80DB26BA87D0}"/>
    <cellStyle name="Neutral 4 3" xfId="16691" xr:uid="{87BFE9E3-F784-4ECD-95C1-4842DB6773AD}"/>
    <cellStyle name="Neutral 5" xfId="1465" xr:uid="{60F30D3C-C262-42B6-A505-2D28F39E20EA}"/>
    <cellStyle name="NewSheet" xfId="397" xr:uid="{279F1734-9D9C-4A54-B099-93336A3F7CF5}"/>
    <cellStyle name="NewSheet 2" xfId="2089" xr:uid="{08931AD7-6336-4796-BFCE-6FBD89C83530}"/>
    <cellStyle name="NewSheet 3" xfId="16695" xr:uid="{CF708F30-76E6-45EC-B8CA-2565D36EE963}"/>
    <cellStyle name="noninput" xfId="398" xr:uid="{90D9016C-07AC-40E8-A49B-02F0AB7C2494}"/>
    <cellStyle name="noninput 2" xfId="399" xr:uid="{2CA16ABF-2311-4B78-A911-7BE1393E6A84}"/>
    <cellStyle name="noninput 3" xfId="400" xr:uid="{FBDBDA6E-31D0-474E-A861-65ECB737802E}"/>
    <cellStyle name="noninput 4" xfId="401" xr:uid="{AD596EC8-D091-4D17-85F7-9AE16B974295}"/>
    <cellStyle name="noninput 4 10" xfId="16696" xr:uid="{FEA4E138-91B9-4AE5-93E8-9CE2D659F64D}"/>
    <cellStyle name="noninput 4 10 2" xfId="20333" xr:uid="{A3CB47CC-794F-4A57-BBFE-545141FDE24A}"/>
    <cellStyle name="noninput 4 11" xfId="3864" xr:uid="{83CDF73F-299F-44B5-B045-10EB07C2AE47}"/>
    <cellStyle name="noninput 4 11 2" xfId="20311" xr:uid="{5E51FCC6-C753-43F6-A309-960F5A6B1FEF}"/>
    <cellStyle name="noninput 4 12" xfId="18384" xr:uid="{B018A4F2-3048-4555-BE5B-96774BF1FA48}"/>
    <cellStyle name="noninput 4 2" xfId="1582" xr:uid="{63849310-81A5-4420-B9F0-5881FC3B2DC4}"/>
    <cellStyle name="noninput 4 2 2" xfId="1754" xr:uid="{4396816F-8055-4672-9B10-7D560324FD46}"/>
    <cellStyle name="noninput 4 2 2 2" xfId="3427" xr:uid="{671A41F0-8966-4D35-9FCB-F8FF3D6B522A}"/>
    <cellStyle name="noninput 4 2 2 2 2" xfId="19886" xr:uid="{36FFB5C7-4472-476B-BB7B-02F7F60A35B8}"/>
    <cellStyle name="noninput 4 2 2 3" xfId="17514" xr:uid="{02204A4B-06FB-4845-B3A1-FD59A42C8894}"/>
    <cellStyle name="noninput 4 2 2 3 2" xfId="20721" xr:uid="{4E4C935B-2C0E-488A-9766-CE908ECCDAC6}"/>
    <cellStyle name="noninput 4 2 2 4" xfId="18771" xr:uid="{A280CB79-5EF8-428A-8DB2-D19CD7ACE6C3}"/>
    <cellStyle name="noninput 4 2 3" xfId="2563" xr:uid="{7033445B-C0AA-4CE1-B4E4-81137618909F}"/>
    <cellStyle name="noninput 4 2 3 2" xfId="3688" xr:uid="{94AC5EE0-795E-4910-BC4A-2B2861E57389}"/>
    <cellStyle name="noninput 4 2 3 2 2" xfId="20142" xr:uid="{50B48ED9-455F-4881-AF77-488428AF4BBE}"/>
    <cellStyle name="noninput 4 2 3 3" xfId="18004" xr:uid="{69085BB9-815B-487D-854D-2A61754C3F4B}"/>
    <cellStyle name="noninput 4 2 3 3 2" xfId="20997" xr:uid="{1A10124D-F3E8-4F12-B80A-6B2DF421C12A}"/>
    <cellStyle name="noninput 4 2 3 4" xfId="19047" xr:uid="{2E3D8C46-C857-489E-8943-84920F53F966}"/>
    <cellStyle name="noninput 4 2 4" xfId="2819" xr:uid="{AD3EA9C9-36EB-43B3-AE32-5CAD622A7615}"/>
    <cellStyle name="noninput 4 2 4 2" xfId="3800" xr:uid="{991559BA-F3F9-4495-B5C7-0816874A47E6}"/>
    <cellStyle name="noninput 4 2 4 2 2" xfId="20254" xr:uid="{F43D91EB-1938-40CF-8190-6BF90AE6C677}"/>
    <cellStyle name="noninput 4 2 4 3" xfId="19303" xr:uid="{EAD2820F-A5C1-473C-A8E2-3BBB1C11D5AD}"/>
    <cellStyle name="noninput 4 2 5" xfId="3197" xr:uid="{3E1B6197-323C-49C5-A392-54C5F193790E}"/>
    <cellStyle name="noninput 4 2 5 2" xfId="19671" xr:uid="{D4A62DD0-C207-4436-A044-59C4C27CA75B}"/>
    <cellStyle name="noninput 4 2 6" xfId="3085" xr:uid="{BF79B9D9-8558-4518-AE1C-3CAF176CCD0E}"/>
    <cellStyle name="noninput 4 2 6 2" xfId="19559" xr:uid="{9D0187FA-36D4-479A-B3BD-DE251A06FE57}"/>
    <cellStyle name="noninput 4 2 7" xfId="17342" xr:uid="{4E79A198-159A-4EE8-91F7-FBB08D20A0A3}"/>
    <cellStyle name="noninput 4 2 7 2" xfId="20549" xr:uid="{BCF2805E-97F8-4C7E-A1BA-0F5B92B96B34}"/>
    <cellStyle name="noninput 4 2 8" xfId="18599" xr:uid="{2B3F2182-4880-4845-A98F-2E47C2C56D4D}"/>
    <cellStyle name="noninput 4 3" xfId="1002" xr:uid="{4301DDA9-6F61-41CF-84EE-B2C688E5817C}"/>
    <cellStyle name="noninput 4 3 2" xfId="1805" xr:uid="{75E81BEB-5002-4AFE-88EA-6D5C205A4EF0}"/>
    <cellStyle name="noninput 4 3 2 2" xfId="3736" xr:uid="{D3BD7608-4DDD-4141-A92F-677446AE3C08}"/>
    <cellStyle name="noninput 4 3 2 2 2" xfId="20190" xr:uid="{0BBF28A7-4E38-4EEE-8069-766BDAA2FF6B}"/>
    <cellStyle name="noninput 4 3 2 3" xfId="17562" xr:uid="{A7DF6060-5C2A-4E7B-8CB7-0D96602AF48F}"/>
    <cellStyle name="noninput 4 3 2 3 2" xfId="20769" xr:uid="{8EB60CDC-31A9-43F8-9450-775B145EC80F}"/>
    <cellStyle name="noninput 4 3 2 4" xfId="18819" xr:uid="{2EAF87A3-D509-47F3-BAA7-67ED3F67A22A}"/>
    <cellStyle name="noninput 4 3 3" xfId="2611" xr:uid="{7E337E42-EF5F-4C66-BBDD-4C6A43C97BEF}"/>
    <cellStyle name="noninput 4 3 3 2" xfId="3476" xr:uid="{ECBE8F96-3DBF-429B-9BC0-5B4DAA698C01}"/>
    <cellStyle name="noninput 4 3 3 2 2" xfId="19934" xr:uid="{D4129E37-4BED-4713-9B4B-1469687321BF}"/>
    <cellStyle name="noninput 4 3 3 3" xfId="18052" xr:uid="{B0434552-D8A0-47A2-8DEC-8ADFF1E83D7E}"/>
    <cellStyle name="noninput 4 3 3 3 2" xfId="21045" xr:uid="{BA52ED8C-442A-4D1E-93BD-AC86D73F2F64}"/>
    <cellStyle name="noninput 4 3 3 4" xfId="19095" xr:uid="{481E6378-CF4C-4D4D-B7D4-8DA9A7B573BF}"/>
    <cellStyle name="noninput 4 3 4" xfId="2867" xr:uid="{1E0098EC-D959-47D2-A03D-A548AD3E1618}"/>
    <cellStyle name="noninput 4 3 4 2" xfId="19351" xr:uid="{798E7E66-FE1D-412D-8735-DF0E38E04ED9}"/>
    <cellStyle name="noninput 4 3 5" xfId="3133" xr:uid="{FB632B47-6B64-4227-9028-94C068FBFF4F}"/>
    <cellStyle name="noninput 4 3 5 2" xfId="19607" xr:uid="{A5D21890-AD71-4A3F-83D9-A5702064925C}"/>
    <cellStyle name="noninput 4 3 6" xfId="17128" xr:uid="{D984E130-8387-4750-B68D-0082C77F0C0C}"/>
    <cellStyle name="noninput 4 3 6 2" xfId="20388" xr:uid="{0D343E33-CDB7-4655-8CBE-9212D4789131}"/>
    <cellStyle name="noninput 4 3 7" xfId="18438" xr:uid="{33AEC636-DE42-49E8-81B0-983F672B3842}"/>
    <cellStyle name="noninput 4 4" xfId="1821" xr:uid="{8D7694A1-35A5-4D52-90BC-123767152CD8}"/>
    <cellStyle name="noninput 4 4 2" xfId="2622" xr:uid="{F4EFF9E8-6CB1-475B-A808-4E265175E126}"/>
    <cellStyle name="noninput 4 4 2 2" xfId="3747" xr:uid="{77EA8C1F-0273-4DC2-8ABC-D158EA61DFC9}"/>
    <cellStyle name="noninput 4 4 2 2 2" xfId="20201" xr:uid="{E3C856D5-5E98-4234-8280-80CFC78D5E5A}"/>
    <cellStyle name="noninput 4 4 2 3" xfId="18063" xr:uid="{E88C68C7-E6C1-4569-BBCA-3ECE474EC226}"/>
    <cellStyle name="noninput 4 4 2 3 2" xfId="21056" xr:uid="{C0464FF1-89DE-4599-921D-E611C8677100}"/>
    <cellStyle name="noninput 4 4 2 4" xfId="19106" xr:uid="{4DD8C36C-CE29-431D-82F4-F5677CCC0C36}"/>
    <cellStyle name="noninput 4 4 3" xfId="2878" xr:uid="{939C07CB-02B7-4BC7-9442-AB15391CD938}"/>
    <cellStyle name="noninput 4 4 3 2" xfId="3491" xr:uid="{5F5C3BCE-D9CA-46AC-88E4-715C2F412F44}"/>
    <cellStyle name="noninput 4 4 3 2 2" xfId="19945" xr:uid="{6783B936-6E9B-455B-8D34-6E50F9E0CE52}"/>
    <cellStyle name="noninput 4 4 3 3" xfId="19362" xr:uid="{68A60F55-5241-4CD6-8BA1-B3284670224E}"/>
    <cellStyle name="noninput 4 4 4" xfId="3144" xr:uid="{1A407629-5AD5-4DF8-B3BD-46A6B91FA139}"/>
    <cellStyle name="noninput 4 4 4 2" xfId="19618" xr:uid="{CBA0C8CE-9D55-4425-B453-362E050A7688}"/>
    <cellStyle name="noninput 4 4 5" xfId="17574" xr:uid="{21ECF759-D8E0-4A32-887E-9C0269CB8C8B}"/>
    <cellStyle name="noninput 4 4 5 2" xfId="20780" xr:uid="{EE771C21-EEDD-4137-84BD-B77F01F71692}"/>
    <cellStyle name="noninput 4 4 6" xfId="18830" xr:uid="{679574C5-F3BD-4974-8118-4E265716DB96}"/>
    <cellStyle name="noninput 4 5" xfId="1593" xr:uid="{9F189DB0-F88F-4563-BF60-D991661B7336}"/>
    <cellStyle name="noninput 4 5 2" xfId="3256" xr:uid="{3D43F902-9175-4C48-B88B-52B727E7AB8A}"/>
    <cellStyle name="noninput 4 5 2 2" xfId="19725" xr:uid="{5ED7D736-4ECC-475C-931C-1898C57C75C7}"/>
    <cellStyle name="noninput 4 5 3" xfId="17353" xr:uid="{DE0C2607-0695-4732-8832-C5D34E1CFC55}"/>
    <cellStyle name="noninput 4 5 3 2" xfId="20560" xr:uid="{2AE7DD95-45CB-4701-895C-B322F929D216}"/>
    <cellStyle name="noninput 4 5 4" xfId="18610" xr:uid="{2C3671CB-A387-411B-AEA2-D2A57E2F1DD2}"/>
    <cellStyle name="noninput 4 6" xfId="2090" xr:uid="{D289692E-A25D-4522-AFB9-02155EBA2C27}"/>
    <cellStyle name="noninput 4 6 2" xfId="3527" xr:uid="{0F716762-126F-4F13-A639-576F04B08F43}"/>
    <cellStyle name="noninput 4 6 2 2" xfId="19981" xr:uid="{7442CF64-CED3-49D7-B841-00EB9810DE5D}"/>
    <cellStyle name="noninput 4 6 3" xfId="17753" xr:uid="{C18CC49D-B777-45DD-85DD-0176E2A34416}"/>
    <cellStyle name="noninput 4 6 3 2" xfId="20819" xr:uid="{090265D2-DBF6-44AF-9DED-C4DED49AA925}"/>
    <cellStyle name="noninput 4 6 4" xfId="18869" xr:uid="{52D2C98B-10E9-4A64-B66E-F91B7161916B}"/>
    <cellStyle name="noninput 4 7" xfId="2402" xr:uid="{E2C64C88-ECF0-4C1D-B130-10925C007255}"/>
    <cellStyle name="noninput 4 7 2" xfId="3786" xr:uid="{5467024A-426D-4F69-BB42-1E331A5E5A47}"/>
    <cellStyle name="noninput 4 7 2 2" xfId="20240" xr:uid="{0E22D241-6DF1-438C-97A3-D0CB4B8778F2}"/>
    <cellStyle name="noninput 4 7 3" xfId="17834" xr:uid="{ADDC35CC-D31A-4366-8846-AC9D539EF95D}"/>
    <cellStyle name="noninput 4 7 3 2" xfId="20836" xr:uid="{8E33BDCF-3D77-4F4E-BA7E-60E9AEFB83B1}"/>
    <cellStyle name="noninput 4 7 4" xfId="18886" xr:uid="{91279EB2-B491-43E0-A749-00CCA57D6091}"/>
    <cellStyle name="noninput 4 8" xfId="2658" xr:uid="{35BDFA9E-8A85-418B-988F-13471334FCB8}"/>
    <cellStyle name="noninput 4 8 2" xfId="3183" xr:uid="{6C39B7CD-AA66-4C77-9D6E-4C01E2AC642F}"/>
    <cellStyle name="noninput 4 8 2 2" xfId="19657" xr:uid="{5464CC5D-A7E7-43E9-A1F9-175B791EC580}"/>
    <cellStyle name="noninput 4 8 3" xfId="18133" xr:uid="{3DB10841-8A23-4AC1-B20B-7578E0A9EF37}"/>
    <cellStyle name="noninput 4 8 3 2" xfId="21089" xr:uid="{8313ACE2-A8EB-4FA7-9CCD-ADF6BE3A3BA4}"/>
    <cellStyle name="noninput 4 8 4" xfId="19142" xr:uid="{9D20E947-897C-4C48-A820-96A4822A9973}"/>
    <cellStyle name="noninput 4 9" xfId="2924" xr:uid="{55E2B30D-5D15-47FF-93B0-FF842CB3D00F}"/>
    <cellStyle name="noninput 4 9 2" xfId="18156" xr:uid="{5A45F783-3A2B-4221-839B-2A2A73DD9C6D}"/>
    <cellStyle name="noninput 4 9 2 2" xfId="21097" xr:uid="{0229F864-44FC-4E77-B086-08B1ED95C691}"/>
    <cellStyle name="noninput 4 9 3" xfId="19398" xr:uid="{3D2EE9F7-81A5-4623-94CB-9949BCEF5D31}"/>
    <cellStyle name="noninput 5" xfId="1003" xr:uid="{790BC6AE-3014-40AA-815E-CA5895196E94}"/>
    <cellStyle name="noninput 6" xfId="1004" xr:uid="{E775E271-D9D0-47F6-B84F-3F85BDC3C362}"/>
    <cellStyle name="Normal" xfId="0" builtinId="0"/>
    <cellStyle name="Normal - Style1" xfId="402" xr:uid="{DA1DF374-487E-40D0-8CA3-EC89B471B5DA}"/>
    <cellStyle name="Normal 10" xfId="403" xr:uid="{B1E70D4A-A8B9-414C-A918-507E83349A70}"/>
    <cellStyle name="Normal 10 2" xfId="1005" xr:uid="{BEA550C5-DF65-49D5-90D0-55AB5125FE20}"/>
    <cellStyle name="Normal 10 2 2" xfId="1006" xr:uid="{14691A10-8960-44B2-8DEE-277781B19D70}"/>
    <cellStyle name="Normal 10 2 2 2" xfId="12350" xr:uid="{C7047CF1-59D1-4880-80BB-0ED557B7BA8A}"/>
    <cellStyle name="Normal 10 2 2 3" xfId="17130" xr:uid="{93AA9ECD-8F2D-4987-898C-B09361E2FF33}"/>
    <cellStyle name="Normal 10 2 2 4" xfId="12349" xr:uid="{D321AB1A-D330-41BD-B980-83CF31FA1BA5}"/>
    <cellStyle name="Normal 10 2 2_Working Capital Current" xfId="15849" xr:uid="{47FB1895-A7EF-4E81-BF22-D47EFDFAF98D}"/>
    <cellStyle name="Normal 10 2 3" xfId="12351" xr:uid="{969848CC-5D98-4852-B38F-DC412EE38074}"/>
    <cellStyle name="Normal 10 2 4" xfId="12352" xr:uid="{CAB35EBF-8D3E-4CC1-96BA-DEDE7AC24EF5}"/>
    <cellStyle name="Normal 10 2 5" xfId="17129" xr:uid="{C8CFFE32-A236-4A5E-8026-808CCAFB4619}"/>
    <cellStyle name="Normal 10 2 6" xfId="18170" xr:uid="{5214E005-4346-4879-BA7B-A6057B4379EF}"/>
    <cellStyle name="Normal 10 2 7" xfId="12348" xr:uid="{B5D52AFC-F7A0-49D9-91BC-BD2EFAEC22C4}"/>
    <cellStyle name="Normal 10 2_Working Capital Current" xfId="15850" xr:uid="{D663FAB5-7595-458F-A5A4-995CB8F134F9}"/>
    <cellStyle name="Normal 10 3" xfId="2091" xr:uid="{5BB32873-032A-42DB-BA04-F382EF2B8096}"/>
    <cellStyle name="Normal 10 3 2" xfId="17754" xr:uid="{14177782-EFA3-44DB-94D3-EA6D2AA07674}"/>
    <cellStyle name="Normal 10 3 3" xfId="12353" xr:uid="{D4F831CA-588C-4BE5-B7E5-29A6F69F941A}"/>
    <cellStyle name="Normal 10 4" xfId="12354" xr:uid="{DFC21967-415B-41F4-8E89-3F663DF7F76C}"/>
    <cellStyle name="Normal 10 5" xfId="12347" xr:uid="{9C8843D2-DC63-4D46-A63D-D36EC6848A8D}"/>
    <cellStyle name="Normal 10 6" xfId="16697" xr:uid="{61389CE4-2EFC-4975-A7BA-50E6C50CDC08}"/>
    <cellStyle name="Normal 10 7" xfId="17792" xr:uid="{E292EF2A-AAE1-4E6A-BC18-13B8B364FA31}"/>
    <cellStyle name="Normal 10 8" xfId="18238" xr:uid="{F52E6DD1-C055-4906-97EF-BADC3D8EC294}"/>
    <cellStyle name="Normal 10_Not_for_upload_before_M4_correc" xfId="15851" xr:uid="{36B93075-8A3E-4ED3-A0E4-DC4E8803923F}"/>
    <cellStyle name="Normal 100" xfId="404" xr:uid="{BBFFE47D-0094-4FDA-88A9-BA0D056B7301}"/>
    <cellStyle name="Normal 100 2" xfId="1008" xr:uid="{DF540461-C1C2-4992-9D13-65B5CA395DDA}"/>
    <cellStyle name="Normal 100 2 2" xfId="1009" xr:uid="{7B77F127-A1D2-4A63-8A7C-845104A60FDC}"/>
    <cellStyle name="Normal 100 2 3" xfId="1010" xr:uid="{6381FE57-4397-455C-978B-EEB7B9613A69}"/>
    <cellStyle name="Normal 100 3" xfId="1011" xr:uid="{663391EB-D9A0-4B20-8148-5C5DC551621D}"/>
    <cellStyle name="Normal 100 4" xfId="1007" xr:uid="{8F3057CB-4FBE-4217-BA46-DFB83EA593D2}"/>
    <cellStyle name="Normal 100 5" xfId="2092" xr:uid="{F539F60C-4B40-4E43-B83A-3A0217FA16FE}"/>
    <cellStyle name="Normal 100 6" xfId="16698" xr:uid="{E432F93F-0B85-4F9B-90E4-6BCF86DECA3B}"/>
    <cellStyle name="Normal 101" xfId="405" xr:uid="{2480BB61-DDCC-4312-AD2F-0160D976722D}"/>
    <cellStyle name="Normal 101 2" xfId="1013" xr:uid="{DE512FEC-F5E5-4571-8642-73F06624A988}"/>
    <cellStyle name="Normal 101 2 2" xfId="1014" xr:uid="{D1190040-8AFC-4463-AB38-8F7C0DB1D3AF}"/>
    <cellStyle name="Normal 101 2 3" xfId="1015" xr:uid="{E7B483B2-C5FB-49D9-BF97-AF179B4014DF}"/>
    <cellStyle name="Normal 101 3" xfId="1016" xr:uid="{4DD3C92A-C376-4AC0-A5F6-CFFC8E1FA72F}"/>
    <cellStyle name="Normal 101 4" xfId="1012" xr:uid="{13D2C2FA-9C68-4B6B-8AE8-097B4DBF6E52}"/>
    <cellStyle name="Normal 101 5" xfId="2093" xr:uid="{D7A9DBC0-A656-40E5-80E7-955A186ED125}"/>
    <cellStyle name="Normal 101 6" xfId="16699" xr:uid="{29CC4EA8-BA29-41B8-85FF-85C032D106EB}"/>
    <cellStyle name="Normal 102" xfId="406" xr:uid="{51AB5DAC-1F0A-46C9-A696-D87AE4FCD849}"/>
    <cellStyle name="Normal 102 2" xfId="1018" xr:uid="{004E54CD-9155-4059-A63A-D39C20948416}"/>
    <cellStyle name="Normal 102 2 2" xfId="1019" xr:uid="{AA896F9D-2DB9-434A-BE7B-82804D60E96B}"/>
    <cellStyle name="Normal 102 2 3" xfId="1020" xr:uid="{B346FAEC-585C-421B-9D61-C5FD4C3C01CF}"/>
    <cellStyle name="Normal 102 3" xfId="1017" xr:uid="{A0632025-5E4A-4E94-91D2-DD4BE8618263}"/>
    <cellStyle name="Normal 102 4" xfId="2094" xr:uid="{D6FA4816-8974-401E-9CB6-E4EBEA6F05F0}"/>
    <cellStyle name="Normal 102 5" xfId="16700" xr:uid="{BFFA8365-5C11-4FF0-AA3E-8870AE77BAAF}"/>
    <cellStyle name="Normal 103" xfId="407" xr:uid="{7EB48704-4C74-45B6-8179-B7E737629556}"/>
    <cellStyle name="Normal 103 2" xfId="2095" xr:uid="{3DE551AA-F727-4E24-ACB2-12E618B6EF2B}"/>
    <cellStyle name="Normal 103 3" xfId="16701" xr:uid="{16F369C1-B0D9-4AA2-B1F3-2BF93D0B2952}"/>
    <cellStyle name="Normal 104" xfId="408" xr:uid="{687E7CF7-3333-4489-9DBF-07E83B58997C}"/>
    <cellStyle name="Normal 104 2" xfId="2096" xr:uid="{D4CEA574-6DDA-4D12-AE7D-FB0F729B255D}"/>
    <cellStyle name="Normal 104 3" xfId="16702" xr:uid="{8DD08551-0361-42B9-9B43-A86A66745934}"/>
    <cellStyle name="Normal 105" xfId="409" xr:uid="{3820BF5A-3267-4D5E-A57C-74465D843975}"/>
    <cellStyle name="Normal 105 2" xfId="2097" xr:uid="{FA4DDD4F-55EE-48BA-9CC1-446286FB42C8}"/>
    <cellStyle name="Normal 105 3" xfId="16703" xr:uid="{0E641A6E-7B3D-40F6-9305-07A9B8AB359F}"/>
    <cellStyle name="Normal 106" xfId="410" xr:uid="{84785079-7EF3-431F-9095-BA63C2F75764}"/>
    <cellStyle name="Normal 106 2" xfId="2098" xr:uid="{6C954F60-95D4-4C01-B775-CC94CF0A7AD6}"/>
    <cellStyle name="Normal 106 3" xfId="16704" xr:uid="{5F3E41E6-7033-4462-A112-9C553C5E47AC}"/>
    <cellStyle name="Normal 107" xfId="411" xr:uid="{FE0A2BD4-FBD9-4B38-996B-4758982A49C7}"/>
    <cellStyle name="Normal 107 2" xfId="1021" xr:uid="{7895BB06-10BF-42AE-A300-876F5F272766}"/>
    <cellStyle name="Normal 107 3" xfId="2099" xr:uid="{6B12FB8D-B687-4415-9E27-FD55986CC346}"/>
    <cellStyle name="Normal 107 4" xfId="16705" xr:uid="{F20D874F-7AF3-4170-AA60-9C80E06D165E}"/>
    <cellStyle name="Normal 108" xfId="412" xr:uid="{329CE5B2-3798-4180-801C-55F14F297DB1}"/>
    <cellStyle name="Normal 108 2" xfId="2100" xr:uid="{D30F93D9-1A35-449C-A350-A559C6642531}"/>
    <cellStyle name="Normal 108 3" xfId="16706" xr:uid="{1F519731-95C0-437B-8B29-9346A5E8DEB0}"/>
    <cellStyle name="Normal 109" xfId="413" xr:uid="{5EF420C7-1981-434B-8795-08EE89A17C7E}"/>
    <cellStyle name="Normal 109 2" xfId="2101" xr:uid="{5EDFB0C1-0D7D-479B-821F-3CC0F02A28F2}"/>
    <cellStyle name="Normal 109 3" xfId="16707" xr:uid="{1873B311-CC4D-41F9-A930-B4DD88307ABE}"/>
    <cellStyle name="Normal 11" xfId="414" xr:uid="{F645B293-065D-4C73-A9AF-EE31080A0DE0}"/>
    <cellStyle name="Normal 11 2" xfId="2102" xr:uid="{DB0116DE-189E-4212-AFA3-CADDA6EF106A}"/>
    <cellStyle name="Normal 11 2 2" xfId="12357" xr:uid="{BBF124AF-04E9-4EB1-AD58-61CFF8C59B45}"/>
    <cellStyle name="Normal 11 2 2 2" xfId="12358" xr:uid="{828048AB-8822-4500-A06B-905A37CEA6FA}"/>
    <cellStyle name="Normal 11 2 2_Working Capital Current" xfId="15852" xr:uid="{1FE264D7-E2CF-429C-BA09-A4203B32817A}"/>
    <cellStyle name="Normal 11 2 3" xfId="12359" xr:uid="{489FED66-6126-4BD3-B360-3E2086D2C0D1}"/>
    <cellStyle name="Normal 11 2 4" xfId="12360" xr:uid="{4D16C871-4FCE-457F-8E2D-69E211D65CD7}"/>
    <cellStyle name="Normal 11 2 5" xfId="17755" xr:uid="{9EADDE2E-FD4C-4478-B541-387EFEFD5AAC}"/>
    <cellStyle name="Normal 11 2 6" xfId="18225" xr:uid="{78CFA07A-66AF-467B-B07A-0E894747EF40}"/>
    <cellStyle name="Normal 11 2 7" xfId="12356" xr:uid="{6DD4861C-48D8-4061-8D3B-D24A19255A54}"/>
    <cellStyle name="Normal 11 2_Working Capital Current" xfId="15853" xr:uid="{03A1693F-E986-416C-AA2C-D42982EA6E3E}"/>
    <cellStyle name="Normal 11 3" xfId="12361" xr:uid="{B86B1F5E-FDD0-47F8-9C2D-28CCAE96DEF2}"/>
    <cellStyle name="Normal 11 4" xfId="12362" xr:uid="{68391D9F-4676-4E91-A43F-167B73A3FE32}"/>
    <cellStyle name="Normal 11 5" xfId="12355" xr:uid="{133EC198-C3C9-4D70-9CDE-526E559E71DA}"/>
    <cellStyle name="Normal 11 6" xfId="16708" xr:uid="{A65AEAFC-A4F6-4237-A883-7020ABF3A017}"/>
    <cellStyle name="Normal 11 7" xfId="18162" xr:uid="{26AEFFC9-2FB8-43A6-B244-D5322471FD14}"/>
    <cellStyle name="Normal 11_Not_for_upload_before_M4_correc" xfId="15854" xr:uid="{0C72D31F-4EA8-4662-BE55-984C1F569A1C}"/>
    <cellStyle name="Normal 110" xfId="415" xr:uid="{3E5AC85B-4614-4583-A6E1-97B432805F89}"/>
    <cellStyle name="Normal 110 2" xfId="416" xr:uid="{4A347F0C-033F-4C95-A2D7-4FAE0A2D46D6}"/>
    <cellStyle name="Normal 110 2 2" xfId="2104" xr:uid="{AD9088A2-8A25-4E95-A32E-D705D03272CE}"/>
    <cellStyle name="Normal 110 2 3" xfId="16710" xr:uid="{3395BFD4-E9AE-48D8-A6F2-28CA54C6CE7A}"/>
    <cellStyle name="Normal 110 3" xfId="417" xr:uid="{139E138A-0CB9-4C34-B16C-CA47C81EDF10}"/>
    <cellStyle name="Normal 110 3 2" xfId="2105" xr:uid="{28E76888-9B7D-43CE-90B2-4049D4159389}"/>
    <cellStyle name="Normal 110 3 3" xfId="16711" xr:uid="{7F896EA3-71DC-44D7-9A31-FA2522EC7EE1}"/>
    <cellStyle name="Normal 110 4" xfId="1023" xr:uid="{DB0BE2FA-FF4D-4C0F-A85F-1874287BFC69}"/>
    <cellStyle name="Normal 110 5" xfId="1024" xr:uid="{C6AA9BD3-B891-46FD-91C6-32C68A98DD35}"/>
    <cellStyle name="Normal 110 6" xfId="1022" xr:uid="{A9182E3E-3417-4BE4-85DB-2759716AB6BF}"/>
    <cellStyle name="Normal 110 7" xfId="2103" xr:uid="{63C66B79-F54F-4C54-9909-E2BED299143F}"/>
    <cellStyle name="Normal 110 8" xfId="16709" xr:uid="{32A4686E-3E2C-473F-8888-909EF241A8CD}"/>
    <cellStyle name="Normal 111" xfId="418" xr:uid="{E42433A8-1B0E-44EB-8C66-BE21CEA5D90B}"/>
    <cellStyle name="Normal 111 2" xfId="419" xr:uid="{F6597450-CA4C-4906-A979-60A90DD63ABC}"/>
    <cellStyle name="Normal 111 2 2" xfId="2107" xr:uid="{DFAA36E8-F1E2-437C-904E-1DE933E976CC}"/>
    <cellStyle name="Normal 111 2 3" xfId="16713" xr:uid="{8F590FB5-B31C-4A8A-AABA-0948D1E1EE06}"/>
    <cellStyle name="Normal 111 3" xfId="420" xr:uid="{0D9D743F-8550-44F4-9067-91A8BBECB165}"/>
    <cellStyle name="Normal 111 3 2" xfId="2108" xr:uid="{74600AFC-8140-4C84-B475-24A63914EB49}"/>
    <cellStyle name="Normal 111 3 3" xfId="16714" xr:uid="{7B3FF7DE-A7FF-461B-BD07-98486B515E98}"/>
    <cellStyle name="Normal 111 4" xfId="2106" xr:uid="{9200CBAA-4E74-4278-BB9A-F21CA266E004}"/>
    <cellStyle name="Normal 111 5" xfId="16712" xr:uid="{C39C51C4-7021-4814-A26D-9991134FE2C7}"/>
    <cellStyle name="Normal 112" xfId="421" xr:uid="{B6FC4884-1F4C-493D-9C20-474220698CC5}"/>
    <cellStyle name="Normal 112 2" xfId="1026" xr:uid="{9630E528-F44B-4ECD-9605-69673CFDC020}"/>
    <cellStyle name="Normal 112 3" xfId="1027" xr:uid="{5B435E56-8C7A-4936-B7DF-FA56A663F5F5}"/>
    <cellStyle name="Normal 112 4" xfId="1025" xr:uid="{BADDAA67-E03C-49FA-8ADB-AF8D75060BA3}"/>
    <cellStyle name="Normal 112 5" xfId="2109" xr:uid="{F154A441-7A65-4625-81B9-28365229A5F9}"/>
    <cellStyle name="Normal 112 6" xfId="16715" xr:uid="{C5A2417C-62A9-42AC-B20A-5DF816E48F7C}"/>
    <cellStyle name="Normal 113" xfId="422" xr:uid="{C6F84CD8-9CA7-4D7E-A8A4-D05B68276CD5}"/>
    <cellStyle name="Normal 113 2" xfId="1029" xr:uid="{4F31CC77-23D6-4125-9BA9-381523CE593A}"/>
    <cellStyle name="Normal 113 3" xfId="1030" xr:uid="{DB1C4B7B-C940-4256-A22A-55E76A34E921}"/>
    <cellStyle name="Normal 113 4" xfId="1028" xr:uid="{CA9D8C26-13DC-4047-BAA3-0E4ED119E8EC}"/>
    <cellStyle name="Normal 113 5" xfId="2110" xr:uid="{60D07F4A-B27E-4A7E-82C1-3433F2084E10}"/>
    <cellStyle name="Normal 113 6" xfId="16716" xr:uid="{1CF8E274-B31B-4419-84E1-553A25EA506D}"/>
    <cellStyle name="Normal 114" xfId="423" xr:uid="{411342F3-A98C-4587-9DB2-84909102F3B2}"/>
    <cellStyle name="Normal 114 2" xfId="2111" xr:uid="{F4225BC7-E0DC-4E27-999F-2B498AE93979}"/>
    <cellStyle name="Normal 114 3" xfId="16717" xr:uid="{88DDE12F-A6B5-4F18-B36F-99C906AC53F3}"/>
    <cellStyle name="Normal 115" xfId="424" xr:uid="{BD25543C-BB7F-4923-B712-04E95FC8782A}"/>
    <cellStyle name="Normal 115 2" xfId="1032" xr:uid="{8557245F-D76C-4FC0-973F-757EA84B4F7C}"/>
    <cellStyle name="Normal 115 3" xfId="1033" xr:uid="{4CDC8CA1-06B3-464D-BB55-CE1D07958824}"/>
    <cellStyle name="Normal 115 4" xfId="1031" xr:uid="{8F106CE7-1EC8-4E04-98C5-CA9CEF4E8CF7}"/>
    <cellStyle name="Normal 115 5" xfId="2112" xr:uid="{AA18180C-0B27-4010-B03C-85E55E045E98}"/>
    <cellStyle name="Normal 115 6" xfId="16718" xr:uid="{6A7A048A-BAC6-484C-BB3D-0EB634F54ED6}"/>
    <cellStyle name="Normal 116" xfId="425" xr:uid="{3C4B474C-D754-4055-A708-04E106B9457A}"/>
    <cellStyle name="Normal 116 2" xfId="2113" xr:uid="{5D434796-4DB8-4C95-9FEF-2991EB30E9EC}"/>
    <cellStyle name="Normal 116 3" xfId="16719" xr:uid="{DC2DDF34-933B-4396-ACB7-96E5D6C92E5F}"/>
    <cellStyle name="Normal 117" xfId="426" xr:uid="{E25F75AE-6C0D-4522-AACC-B9E38CEF316B}"/>
    <cellStyle name="Normal 117 2" xfId="1035" xr:uid="{0CEC14DE-6B7B-441D-BDFC-F8F543FE811B}"/>
    <cellStyle name="Normal 117 3" xfId="1036" xr:uid="{D91146E7-FCDD-4D6C-889E-A8524B8362CF}"/>
    <cellStyle name="Normal 117 4" xfId="1034" xr:uid="{6F58E4CF-3957-4616-A3E3-3F1EB63E41ED}"/>
    <cellStyle name="Normal 117 5" xfId="2114" xr:uid="{8B887818-379F-4756-9150-4FACC769C659}"/>
    <cellStyle name="Normal 117 6" xfId="16720" xr:uid="{90225982-C177-4EBC-9664-DBFB6508DF68}"/>
    <cellStyle name="Normal 118" xfId="427" xr:uid="{53BCF22E-3316-4446-BE29-51E14ECF2A53}"/>
    <cellStyle name="Normal 118 2" xfId="2115" xr:uid="{C9CB7CBC-F989-4AE0-8847-7B857E86C29A}"/>
    <cellStyle name="Normal 118 3" xfId="16721" xr:uid="{7EB6ED28-4D66-4864-9C78-B474B404E45B}"/>
    <cellStyle name="Normal 119" xfId="428" xr:uid="{74A56A5E-5380-42D5-9242-8D73414C96A6}"/>
    <cellStyle name="Normal 119 2" xfId="1038" xr:uid="{DE14AED1-9174-43BD-B6F1-DD844149A5C9}"/>
    <cellStyle name="Normal 119 3" xfId="1039" xr:uid="{1C28E2A1-E588-427C-867F-3524E24949F6}"/>
    <cellStyle name="Normal 119 4" xfId="1040" xr:uid="{7E625F4A-B1AA-4363-92C0-E43A47821E4D}"/>
    <cellStyle name="Normal 119 5" xfId="1037" xr:uid="{D81203ED-2DFF-46E7-B4CD-A442BFDF647A}"/>
    <cellStyle name="Normal 119 6" xfId="2116" xr:uid="{D8828B42-6C02-41AB-8B83-20E03D72BA28}"/>
    <cellStyle name="Normal 119 7" xfId="16722" xr:uid="{BC469ACB-7DB4-4B04-A2B1-C4C83A42805B}"/>
    <cellStyle name="Normal 12" xfId="429" xr:uid="{1127248B-B62A-4D6C-B749-1D835CDE0635}"/>
    <cellStyle name="Normal 12 2" xfId="2117" xr:uid="{4DA23A53-EDFB-4497-A286-1B7CA65F199C}"/>
    <cellStyle name="Normal 12 2 2" xfId="17756" xr:uid="{1318F4CC-C9DF-42A5-BD53-6F27AD3D6369}"/>
    <cellStyle name="Normal 12 2 3" xfId="12364" xr:uid="{DCC94B93-D16E-41E4-96A4-FD9C402B0A14}"/>
    <cellStyle name="Normal 12 3" xfId="12363" xr:uid="{96A9DF94-84D5-43B2-AA64-37EC5671F88B}"/>
    <cellStyle name="Normal 12 4" xfId="16723" xr:uid="{6DD99726-54A5-4D3B-B046-F45BA8D48ADC}"/>
    <cellStyle name="Normal 12_Not_for_upload_before_M4_correc" xfId="15855" xr:uid="{4FE03382-3E82-43D1-86A5-05548ECAD5E6}"/>
    <cellStyle name="Normal 120" xfId="430" xr:uid="{0B7BD5D3-F041-4E20-B19E-953E9D105DE3}"/>
    <cellStyle name="Normal 120 2" xfId="2118" xr:uid="{79B14E8D-730A-4B7A-A10B-BDF8D7936DA6}"/>
    <cellStyle name="Normal 120 3" xfId="16724" xr:uid="{A903FB84-28EF-4E56-A76F-360DC764B4B3}"/>
    <cellStyle name="Normal 121" xfId="431" xr:uid="{B75D1F24-B0E0-4306-A53B-52E2EF4E70BB}"/>
    <cellStyle name="Normal 121 2" xfId="1041" xr:uid="{8897DC39-AB50-45E7-8911-1B9525151A30}"/>
    <cellStyle name="Normal 121 3" xfId="1042" xr:uid="{AC31A1FE-89C6-459C-82D4-C15B1D3B57F1}"/>
    <cellStyle name="Normal 121 4" xfId="2119" xr:uid="{655FFF70-3BC5-4C1F-9AA5-2FC1D5A1A9A1}"/>
    <cellStyle name="Normal 121 5" xfId="16725" xr:uid="{51DCD3BB-83F2-43EB-B124-91A270E937FF}"/>
    <cellStyle name="Normal 122" xfId="432" xr:uid="{11BC8A38-9B46-41FE-BB80-FADAB322077A}"/>
    <cellStyle name="Normal 122 2" xfId="1043" xr:uid="{A3457D3E-2283-454E-8130-4E0D8EF02FC6}"/>
    <cellStyle name="Normal 122 3" xfId="1044" xr:uid="{1DEA6B50-1F97-48C2-97D0-81AA656C70A1}"/>
    <cellStyle name="Normal 122 4" xfId="1045" xr:uid="{C8B0379E-2A30-4F6A-B9A8-F6F264857BBE}"/>
    <cellStyle name="Normal 122 5" xfId="2120" xr:uid="{5AF747BD-9219-40D1-8B7D-698C65F6FE54}"/>
    <cellStyle name="Normal 122 6" xfId="16726" xr:uid="{D0CABA68-7375-4733-915B-5F5437387621}"/>
    <cellStyle name="Normal 123" xfId="52" xr:uid="{A4D89B97-91A4-4BD7-913E-114324C91BA8}"/>
    <cellStyle name="Normal 123 2" xfId="845" xr:uid="{31E6F304-707A-4491-907E-019B65C0AFB8}"/>
    <cellStyle name="Normal 123 2 2" xfId="1046" xr:uid="{3DB12376-C49E-42AF-952C-E5EAC30705F2}"/>
    <cellStyle name="Normal 123 2 3" xfId="3211" xr:uid="{F8243445-1028-429A-9160-072C2903BB2F}"/>
    <cellStyle name="Normal 123 3" xfId="1047" xr:uid="{CEA975E5-5208-44EB-ACE7-DE745156CBEB}"/>
    <cellStyle name="Normal 123 4" xfId="1370" xr:uid="{2B59A9DA-6B98-46D5-A5F9-09D8C65A5887}"/>
    <cellStyle name="Normal 123 4 2" xfId="1443" xr:uid="{BED2843F-FD7B-42EE-8ABB-4295A2AFCEB3}"/>
    <cellStyle name="Normal 123 5" xfId="1882" xr:uid="{89E9CC91-11C5-4762-ACB8-1EA2EB4949BF}"/>
    <cellStyle name="Normal 123 6" xfId="16503" xr:uid="{E6FC0779-C446-409D-AA15-B2D43ED0C37F}"/>
    <cellStyle name="Normal 124" xfId="818" xr:uid="{77694D3F-361C-4D17-A8A7-548A3F408B1A}"/>
    <cellStyle name="Normal 124 2" xfId="860" xr:uid="{36CBE794-7E5E-4055-8683-7E44E9FD5296}"/>
    <cellStyle name="Normal 124 2 2" xfId="1048" xr:uid="{D01AED72-DBC8-4F3A-B74E-1D64DCDA1AA8}"/>
    <cellStyle name="Normal 124 2 3" xfId="3224" xr:uid="{15BEB583-DD98-4674-BD6A-E36AE3F38B8E}"/>
    <cellStyle name="Normal 124 3" xfId="1049" xr:uid="{C473BC14-F727-4CA2-A149-A94D3A78ACC4}"/>
    <cellStyle name="Normal 124 4" xfId="2377" xr:uid="{8630D865-78B2-4050-A603-7FB555105A51}"/>
    <cellStyle name="Normal 124 5" xfId="17029" xr:uid="{5274F318-A39D-4766-BBAC-59B1ACD0171F}"/>
    <cellStyle name="Normal 125" xfId="830" xr:uid="{BD7E3A17-49BD-4E9D-9E63-9B9C94E56837}"/>
    <cellStyle name="Normal 125 2" xfId="869" xr:uid="{E5323556-3D62-4654-B7F0-05BD4C7F83DE}"/>
    <cellStyle name="Normal 125 2 2" xfId="1050" xr:uid="{988DA828-DC0A-4A91-9750-2A44BC17CD95}"/>
    <cellStyle name="Normal 125 2 3" xfId="3231" xr:uid="{43CD4A56-C987-4C8E-A6D7-F77A51C6F7FA}"/>
    <cellStyle name="Normal 125 3" xfId="1051" xr:uid="{992F0C9E-0CBD-489C-AAEE-4845E9A78E73}"/>
    <cellStyle name="Normal 125 4" xfId="2387" xr:uid="{362B50C1-B4CE-49DB-A73E-D2664AD3E9D2}"/>
    <cellStyle name="Normal 125 5" xfId="17041" xr:uid="{CB545A93-24DC-46B1-8E84-FF3ADA820EC0}"/>
    <cellStyle name="Normal 126" xfId="831" xr:uid="{94FC8EAB-7656-4249-B510-C94A92D43548}"/>
    <cellStyle name="Normal 126 2" xfId="870" xr:uid="{5B34AB4B-CCDF-457C-897C-2B1C01BB9DF4}"/>
    <cellStyle name="Normal 126 2 2" xfId="1052" xr:uid="{38704967-83CB-4978-8334-E0188CE5951A}"/>
    <cellStyle name="Normal 126 2 3" xfId="3232" xr:uid="{FCACAF2A-1BCA-4B96-9BC7-CE2DF63E8287}"/>
    <cellStyle name="Normal 126 3" xfId="1053" xr:uid="{04A135EE-9F45-44D0-B12E-C832446B1A68}"/>
    <cellStyle name="Normal 126 4" xfId="2388" xr:uid="{FD033935-FF2B-4716-8C7A-7C3C93E96056}"/>
    <cellStyle name="Normal 126 5" xfId="17042" xr:uid="{9581D597-5C9F-464E-8D25-271B48C8E583}"/>
    <cellStyle name="Normal 127" xfId="832" xr:uid="{83FE2241-D241-4B5F-B9C6-CF7FF21A6298}"/>
    <cellStyle name="Normal 127 2" xfId="1055" xr:uid="{649058D7-3E7C-44F4-8ED6-3450B2050438}"/>
    <cellStyle name="Normal 127 3" xfId="1056" xr:uid="{A2253F3C-1479-4CD3-A23A-0FFC178B28B9}"/>
    <cellStyle name="Normal 127 4" xfId="1054" xr:uid="{9795D64A-4743-49E1-A706-5F8B8D43F797}"/>
    <cellStyle name="Normal 127 5" xfId="2391" xr:uid="{697D6CC3-04ED-4D03-AA0A-9D7A4FD6B8DE}"/>
    <cellStyle name="Normal 127 6" xfId="17043" xr:uid="{B0F21FD9-A1FE-4461-8C08-FF425DEF7436}"/>
    <cellStyle name="Normal 128" xfId="843" xr:uid="{4F6B8932-6DA5-42BE-B73B-8BB195EC2238}"/>
    <cellStyle name="Normal 128 2" xfId="1058" xr:uid="{AF4F13F4-61BC-48A4-A7F2-0DF1BE2D9622}"/>
    <cellStyle name="Normal 128 3" xfId="1059" xr:uid="{00E5D780-9FA9-4703-B5E6-5BDD234F6C11}"/>
    <cellStyle name="Normal 128 4" xfId="1057" xr:uid="{B2DC6609-24D1-455B-996A-C77906213286}"/>
    <cellStyle name="Normal 128 5" xfId="17052" xr:uid="{7F7627C2-FADF-4979-9EDD-50499D46BF26}"/>
    <cellStyle name="Normal 128 6" xfId="3928" xr:uid="{CB58BF50-C4F6-473C-A050-6391DD74E32E}"/>
    <cellStyle name="Normal 129" xfId="4" xr:uid="{6A1FD557-0F78-4680-A608-BD8BD0677CB1}"/>
    <cellStyle name="Normal 129 2" xfId="1061" xr:uid="{AE166248-2D8B-4276-8DF4-37CBA95E0707}"/>
    <cellStyle name="Normal 129 3" xfId="1062" xr:uid="{4EC23E46-16BF-492F-8D07-CF262048DD46}"/>
    <cellStyle name="Normal 129 4" xfId="1060" xr:uid="{D01F5786-867E-47F3-B737-3E3E5163A6AB}"/>
    <cellStyle name="Normal 129 5" xfId="17074" xr:uid="{F298B44C-D4F6-40AA-97C6-0B0E2AB172F0}"/>
    <cellStyle name="Normal 129 6" xfId="871" xr:uid="{2BD4C209-D39F-4F65-B741-7339C1A491D8}"/>
    <cellStyle name="Normal 13" xfId="433" xr:uid="{0EF4FA41-F05A-47F9-9BC4-C8A982294707}"/>
    <cellStyle name="Normal 13 2" xfId="2121" xr:uid="{277A46D6-9B45-41BB-95A9-5EB11EBBF846}"/>
    <cellStyle name="Normal 13 2 2" xfId="12367" xr:uid="{B8F1E43C-13A6-4FB4-82E4-484DFBB8AE31}"/>
    <cellStyle name="Normal 13 2 3" xfId="17757" xr:uid="{41CF6459-6A6E-4737-9B73-521C3D9ABD17}"/>
    <cellStyle name="Normal 13 2 4" xfId="12366" xr:uid="{0865E6C9-962F-4004-9ACC-FA8067D44814}"/>
    <cellStyle name="Normal 13 2_Working Capital Current" xfId="15856" xr:uid="{CA0258DC-2209-4165-8508-3F08D4255713}"/>
    <cellStyle name="Normal 13 3" xfId="12368" xr:uid="{08964792-6C37-46BC-BB44-25207240DBF3}"/>
    <cellStyle name="Normal 13 4" xfId="12369" xr:uid="{7FD16105-7AE8-484D-B4B4-30A334F112F6}"/>
    <cellStyle name="Normal 13 5" xfId="12365" xr:uid="{56C7CADE-EF2D-4A7B-9773-35C559FCE6FF}"/>
    <cellStyle name="Normal 13 6" xfId="16727" xr:uid="{3595B873-A9C2-4D17-90C9-AF4F2C35E9FA}"/>
    <cellStyle name="Normal 13 7" xfId="18163" xr:uid="{CEE888DF-410B-4B6D-8C82-F6A119E43B7B}"/>
    <cellStyle name="Normal 13_Not_for_upload_before_M4_correc" xfId="15857" xr:uid="{D39CB1CD-5593-4643-9D4C-6123509C2A90}"/>
    <cellStyle name="Normal 130" xfId="878" xr:uid="{ED05095F-1B4E-498D-BC0B-67653224039C}"/>
    <cellStyle name="Normal 130 2" xfId="1064" xr:uid="{BB972BE4-8756-44CF-A9F7-8E0E1BBEE0AE}"/>
    <cellStyle name="Normal 130 3" xfId="1065" xr:uid="{E16B72CB-C861-436A-B4C0-186B6765A8E5}"/>
    <cellStyle name="Normal 130 4" xfId="1063" xr:uid="{4EF7601A-9332-4C84-8372-10B696F1F093}"/>
    <cellStyle name="Normal 130 5" xfId="17081" xr:uid="{9C5C0ACE-70A3-4683-8786-AD3156E89488}"/>
    <cellStyle name="Normal 131" xfId="3" xr:uid="{D3B2E963-66DF-40BF-A606-2506F54E3767}"/>
    <cellStyle name="Normal 131 2" xfId="1067" xr:uid="{826374E0-622F-486D-857C-9F851E77B258}"/>
    <cellStyle name="Normal 131 3" xfId="1068" xr:uid="{F27916C8-1591-474D-B869-8B27039D9366}"/>
    <cellStyle name="Normal 131 4" xfId="1066" xr:uid="{FB1680F8-23B0-40C7-80E2-EA26EB6FB625}"/>
    <cellStyle name="Normal 131 5" xfId="17082" xr:uid="{0BF09329-D050-45D7-8B4B-13696C10C819}"/>
    <cellStyle name="Normal 131 6" xfId="879" xr:uid="{F113EE20-AAAD-4245-AB10-BB37BFA2354B}"/>
    <cellStyle name="Normal 132" xfId="880" xr:uid="{AB5E91D9-0EC5-46CB-8DD4-854EA93A9F74}"/>
    <cellStyle name="Normal 132 2" xfId="1070" xr:uid="{0F365944-461D-4813-98DE-CCAB35CB0F56}"/>
    <cellStyle name="Normal 132 3" xfId="1071" xr:uid="{0CA6F08B-9609-4347-ACA2-556CED2753A5}"/>
    <cellStyle name="Normal 132 4" xfId="1069" xr:uid="{C9A615F1-B3A1-4A8F-BB26-1F78F6031FBA}"/>
    <cellStyle name="Normal 132 5" xfId="17083" xr:uid="{72FC39C7-AF72-473F-9247-BEAB12CF4A59}"/>
    <cellStyle name="Normal 132 6" xfId="16461" xr:uid="{6D07C820-2C18-452C-9AD5-866A00A5FB61}"/>
    <cellStyle name="Normal 133" xfId="881" xr:uid="{33E834CA-E964-4565-A5F9-6E7C44FDB10F}"/>
    <cellStyle name="Normal 133 2" xfId="1073" xr:uid="{6587C771-1D81-4D9E-AA73-F4213C98D4CC}"/>
    <cellStyle name="Normal 133 3" xfId="1074" xr:uid="{BBF8908F-66D1-4C74-8589-FA3612B41AE7}"/>
    <cellStyle name="Normal 133 4" xfId="1072" xr:uid="{E2E98105-55E9-470D-B54F-A8C99A07F440}"/>
    <cellStyle name="Normal 133 5" xfId="17084" xr:uid="{6BDFA86F-C748-4700-92DF-35DAE5CAFBDC}"/>
    <cellStyle name="Normal 133 6" xfId="16464" xr:uid="{17456600-CD42-41C3-B82E-6D1218AA9111}"/>
    <cellStyle name="Normal 134" xfId="882" xr:uid="{4A0DFC7C-F45A-4B01-99AB-C7072A74D06A}"/>
    <cellStyle name="Normal 134 2" xfId="1076" xr:uid="{A09AF636-51A5-4A10-AE78-BA57BAC9D967}"/>
    <cellStyle name="Normal 134 3" xfId="1077" xr:uid="{80ABBED2-0B75-4F70-B6F6-BB6CBA9A1099}"/>
    <cellStyle name="Normal 134 4" xfId="1075" xr:uid="{3C429BF5-28E3-466E-8FC3-FD255148ADA6}"/>
    <cellStyle name="Normal 135" xfId="883" xr:uid="{7F0D19EF-7125-4C65-9E43-22ADE8DF7ACB}"/>
    <cellStyle name="Normal 135 2" xfId="1079" xr:uid="{EFE93F33-8308-4083-89F6-FD3DFD1396C5}"/>
    <cellStyle name="Normal 135 3" xfId="1080" xr:uid="{FA90F149-2EA9-49AA-8AB7-7D30A518B935}"/>
    <cellStyle name="Normal 135 4" xfId="1078" xr:uid="{4DAB69BD-435B-4DB5-A85F-A51C9B0A3041}"/>
    <cellStyle name="Normal 136" xfId="890" xr:uid="{432DFD55-AA18-4EE6-AD91-889887E02D8C}"/>
    <cellStyle name="Normal 136 2" xfId="1082" xr:uid="{7E8C0FC3-5B67-44AD-8876-A151A6E99F5A}"/>
    <cellStyle name="Normal 136 3" xfId="1083" xr:uid="{F8001FAC-F674-4796-9C08-1B4AA6B22552}"/>
    <cellStyle name="Normal 136 4" xfId="1081" xr:uid="{D3445A8E-95EB-4F3A-B5BA-90C123F57114}"/>
    <cellStyle name="Normal 137" xfId="891" xr:uid="{54931072-C2FC-4486-ADC4-1F09399146CB}"/>
    <cellStyle name="Normal 137 2" xfId="1085" xr:uid="{EC3E6119-4EFC-429F-9008-AB810F691D42}"/>
    <cellStyle name="Normal 137 3" xfId="1086" xr:uid="{2E6B1F34-D8FD-4DEA-A0D8-D2D4D0877DD9}"/>
    <cellStyle name="Normal 137 4" xfId="1084" xr:uid="{8FA9606D-6825-4014-946C-D0D2E4F6CCE9}"/>
    <cellStyle name="Normal 138" xfId="1087" xr:uid="{59B9BD9B-4173-42EE-BF5C-D8274D383062}"/>
    <cellStyle name="Normal 138 2" xfId="1088" xr:uid="{7BAE4D76-9160-44C3-BC84-55A83C6C72CC}"/>
    <cellStyle name="Normal 138 3" xfId="1089" xr:uid="{83EA7FF7-EFF3-4039-BFB0-24BF5BCF2CEB}"/>
    <cellStyle name="Normal 139" xfId="1090" xr:uid="{631D7534-3A59-46A2-9DAB-D811731DD251}"/>
    <cellStyle name="Normal 139 2" xfId="1091" xr:uid="{5167C919-FE68-4EE4-9CDF-3962A2CBD583}"/>
    <cellStyle name="Normal 139 3" xfId="1092" xr:uid="{BD624C1E-26DC-48C7-B7C9-8F53774BC571}"/>
    <cellStyle name="Normal 139 4" xfId="1093" xr:uid="{D7F5E79A-B2BC-4D93-9992-0B2EB5B21655}"/>
    <cellStyle name="Normal 14" xfId="434" xr:uid="{63B2C188-6940-45C1-B126-6BE5B8ACE419}"/>
    <cellStyle name="Normal 14 2" xfId="2122" xr:uid="{823BC5A1-3BAF-4283-8E57-DA16969297FB}"/>
    <cellStyle name="Normal 14 2 2" xfId="17758" xr:uid="{92B62A45-49E0-41A1-9CA7-5D3A5058A773}"/>
    <cellStyle name="Normal 14 2 3" xfId="12371" xr:uid="{BF2C1B62-511A-48F9-823E-FC69C5A13B7A}"/>
    <cellStyle name="Normal 14 3" xfId="12372" xr:uid="{8191BF5C-9435-4759-9DAD-4868BF7F0689}"/>
    <cellStyle name="Normal 14 4" xfId="12370" xr:uid="{31CFB967-440A-4087-B142-F26F6F9F9E09}"/>
    <cellStyle name="Normal 14 5" xfId="16728" xr:uid="{33756BAA-8E5C-4507-891D-83F6ADBFE6CA}"/>
    <cellStyle name="Normal 14_Not_for_upload_before_M4_correc" xfId="15858" xr:uid="{F5947938-98E2-4D42-99E6-79CF9B4FE777}"/>
    <cellStyle name="Normal 140" xfId="1094" xr:uid="{27FBE40C-E24F-4F7E-9B24-B219AC96017F}"/>
    <cellStyle name="Normal 140 2" xfId="1095" xr:uid="{7A66546D-2185-4D36-8B60-7A421762E659}"/>
    <cellStyle name="Normal 140 3" xfId="1096" xr:uid="{55AFF53F-233E-43BF-A990-52DA29F1BFDB}"/>
    <cellStyle name="Normal 140 4" xfId="1097" xr:uid="{F22E2F97-F1C7-4B52-8CC1-1760365D3C73}"/>
    <cellStyle name="Normal 140 5" xfId="1098" xr:uid="{FBA18A7D-1238-4F77-B423-996620AB7F2C}"/>
    <cellStyle name="Normal 141" xfId="1099" xr:uid="{B396DD1E-A2A2-4853-94F0-5940D3767059}"/>
    <cellStyle name="Normal 141 2" xfId="1100" xr:uid="{528249A9-2C62-440B-A1FE-6851F635F8A6}"/>
    <cellStyle name="Normal 141 3" xfId="1101" xr:uid="{CA1212EC-43D4-48DD-A10A-27BCDF7C5ADB}"/>
    <cellStyle name="Normal 142" xfId="1102" xr:uid="{62C2CC2B-DA2C-4234-B6F9-04AD09C76243}"/>
    <cellStyle name="Normal 142 2" xfId="1103" xr:uid="{59490D96-87DA-4225-AF94-32BB44B4C14A}"/>
    <cellStyle name="Normal 142 3" xfId="1104" xr:uid="{563A15DA-DD75-4E28-BE9F-57B871EF6677}"/>
    <cellStyle name="Normal 143" xfId="1105" xr:uid="{0CB31E64-3ADC-4706-B8DF-6639B63FAD09}"/>
    <cellStyle name="Normal 143 2" xfId="1106" xr:uid="{23825F88-C946-4ACC-8D7D-B28C71DEF8C8}"/>
    <cellStyle name="Normal 143 3" xfId="1107" xr:uid="{3A267835-C71F-4659-8FA0-43C1AD93FD06}"/>
    <cellStyle name="Normal 144" xfId="1108" xr:uid="{B2CB978E-CEB3-46B9-B079-2432CF6CA159}"/>
    <cellStyle name="Normal 144 2" xfId="1109" xr:uid="{C993C40E-BB2D-4051-8339-263A05BAA8C8}"/>
    <cellStyle name="Normal 144 3" xfId="1110" xr:uid="{66805463-8B88-48E6-A7A8-57FC3798EF4E}"/>
    <cellStyle name="Normal 145" xfId="1111" xr:uid="{0833230C-5B92-4EDA-B238-AA5DB66C9E93}"/>
    <cellStyle name="Normal 145 2" xfId="1112" xr:uid="{BA6F3F59-E31B-403E-B8AC-8FA71CEAE1C7}"/>
    <cellStyle name="Normal 145 3" xfId="1113" xr:uid="{5C92894E-2EFF-40EE-A619-D867E45744A8}"/>
    <cellStyle name="Normal 146" xfId="1114" xr:uid="{CD5725EE-EFF6-4C2A-86A5-A4312889C094}"/>
    <cellStyle name="Normal 146 2" xfId="1115" xr:uid="{B15A1F0B-1007-4323-B7AE-88B0DC320C5D}"/>
    <cellStyle name="Normal 146 3" xfId="1116" xr:uid="{C538A486-04D2-4130-859C-D36D2D04A6D7}"/>
    <cellStyle name="Normal 147" xfId="1117" xr:uid="{0830C5C3-6A94-4F94-8CE6-0D8FEE20A4AA}"/>
    <cellStyle name="Normal 148" xfId="1118" xr:uid="{A9362512-6879-4357-B200-2EB9EFD28E6B}"/>
    <cellStyle name="Normal 149" xfId="1119" xr:uid="{BB0B7E63-D456-4FCE-8A04-F88A5B31B1D0}"/>
    <cellStyle name="Normal 149 2" xfId="1120" xr:uid="{BE2A2868-05C4-4DCE-8EE1-06A7F674C9DC}"/>
    <cellStyle name="Normal 149 3" xfId="1121" xr:uid="{0A2D9CD4-1923-4742-9FB8-F983F3B9FB59}"/>
    <cellStyle name="Normal 15" xfId="435" xr:uid="{E30165EC-74D6-454F-AE2F-035396E86049}"/>
    <cellStyle name="Normal 15 2" xfId="2123" xr:uid="{E531AEDC-EE88-41AE-A36A-D4BAE8C74C1F}"/>
    <cellStyle name="Normal 15 2 2" xfId="17759" xr:uid="{C01B4872-9127-47F1-BB8F-16220ABB8B17}"/>
    <cellStyle name="Normal 15 2 3" xfId="12373" xr:uid="{42D3EA34-D01D-436D-8A9E-28D82289B0AB}"/>
    <cellStyle name="Normal 15 3" xfId="16729" xr:uid="{6904CE6E-9687-4DDA-9B7C-54758AD8F07B}"/>
    <cellStyle name="Normal 150" xfId="1122" xr:uid="{FAAE6997-3C75-47EC-98EB-BA90C5B93F62}"/>
    <cellStyle name="Normal 150 2" xfId="1123" xr:uid="{74A05495-FE6A-4ACA-8AF4-8E40B801B765}"/>
    <cellStyle name="Normal 150 3" xfId="1124" xr:uid="{86EC2EAC-04A2-49F5-ACDE-D49434D0DBBE}"/>
    <cellStyle name="Normal 151" xfId="1125" xr:uid="{EAD5836A-8AB4-45DB-90C5-F113ADC51DAB}"/>
    <cellStyle name="Normal 151 2" xfId="1126" xr:uid="{C7C103FC-6214-47E0-A4AD-D872D9314E0A}"/>
    <cellStyle name="Normal 151 3" xfId="1127" xr:uid="{876C5FE6-F916-495C-908E-829E9ED39869}"/>
    <cellStyle name="Normal 152" xfId="1128" xr:uid="{06176CCC-C972-4687-80C7-5569CDF3FEBC}"/>
    <cellStyle name="Normal 152 2" xfId="1129" xr:uid="{46E16A84-1106-4DFB-B249-7FBDE16F8096}"/>
    <cellStyle name="Normal 152 3" xfId="1130" xr:uid="{32258BF6-A6D9-47B0-BF0A-7720C1A27AA0}"/>
    <cellStyle name="Normal 153" xfId="1131" xr:uid="{96089B2B-F710-45D3-B2A7-4CD520B1BE25}"/>
    <cellStyle name="Normal 153 2" xfId="1132" xr:uid="{2ED365F1-DACC-4461-93CF-0EBD9064E061}"/>
    <cellStyle name="Normal 153 3" xfId="1133" xr:uid="{C15044F7-9EF8-43A8-8177-2DB76EB8D56B}"/>
    <cellStyle name="Normal 154" xfId="1134" xr:uid="{F920B88D-011C-45FA-8A52-BE0AD0330E41}"/>
    <cellStyle name="Normal 154 2" xfId="1135" xr:uid="{BCF04CFD-CF93-4036-A325-86784107CB12}"/>
    <cellStyle name="Normal 154 3" xfId="1136" xr:uid="{C584C7CB-E6A9-4D3C-B22A-5B76997C368C}"/>
    <cellStyle name="Normal 155" xfId="1137" xr:uid="{EE4F8296-963A-444D-BDD2-3BF66FB65289}"/>
    <cellStyle name="Normal 156" xfId="1138" xr:uid="{AB99960F-D043-4E3E-A6A2-17734860619A}"/>
    <cellStyle name="Normal 157" xfId="1139" xr:uid="{183FEE63-BCD5-477C-9528-6E682F4B6761}"/>
    <cellStyle name="Normal 158" xfId="1140" xr:uid="{4E5D4592-289E-4B17-8EEC-74D68673C882}"/>
    <cellStyle name="Normal 159" xfId="1141" xr:uid="{7CD3D6A7-E1FD-4EB6-8070-D3C6F60D73DA}"/>
    <cellStyle name="Normal 16" xfId="436" xr:uid="{4D629ED9-C733-482F-A91D-E57BCD54579C}"/>
    <cellStyle name="Normal 16 2" xfId="2124" xr:uid="{A3BDE359-41B3-499E-997F-DF021F5010F7}"/>
    <cellStyle name="Normal 16 2 2" xfId="17760" xr:uid="{98983B7B-D34F-485B-8BEF-9B0564543903}"/>
    <cellStyle name="Normal 16 2 3" xfId="12374" xr:uid="{DABE6FD4-6366-4786-8651-A7120B10BC9F}"/>
    <cellStyle name="Normal 16 3" xfId="16730" xr:uid="{3E5A7129-9E6A-489C-A39E-9A739453961D}"/>
    <cellStyle name="Normal 160" xfId="1142" xr:uid="{1BB10E6C-1B38-4891-9B43-30E9C1943065}"/>
    <cellStyle name="Normal 161" xfId="1143" xr:uid="{80C6DD46-FC1C-402A-B930-02956866E9F4}"/>
    <cellStyle name="Normal 162" xfId="1144" xr:uid="{6E5CDC32-B3E2-4805-9AED-D2B4AC62AFC6}"/>
    <cellStyle name="Normal 163" xfId="1145" xr:uid="{86EDC654-C709-40B7-9FD4-ECD961682813}"/>
    <cellStyle name="Normal 164" xfId="1146" xr:uid="{0E73DDEF-09D8-4B69-85B2-649E39F51917}"/>
    <cellStyle name="Normal 165" xfId="1147" xr:uid="{8E28B505-D980-4CBC-B774-68EAD61FC533}"/>
    <cellStyle name="Normal 166" xfId="1148" xr:uid="{8185BDF7-5376-4AD0-826E-FD75E5E0589A}"/>
    <cellStyle name="Normal 167" xfId="1149" xr:uid="{7D70AD23-3FCA-4914-93E4-CD9F46567CDB}"/>
    <cellStyle name="Normal 168" xfId="1150" xr:uid="{E67D1EE6-E197-47CE-AA0E-C12BBD01AE80}"/>
    <cellStyle name="Normal 169" xfId="1151" xr:uid="{B5137674-77F7-489F-9646-0DA086DA1A41}"/>
    <cellStyle name="Normal 17" xfId="51" xr:uid="{85B90FE3-761F-40DD-B43E-198837537D18}"/>
    <cellStyle name="Normal 17 2" xfId="1850" xr:uid="{CCB864BA-08D2-4DA1-83C0-05718A93363B}"/>
    <cellStyle name="Normal 17 2 2" xfId="17602" xr:uid="{06447C05-E20C-4100-AB68-BD0695E09549}"/>
    <cellStyle name="Normal 17 2 3" xfId="12375" xr:uid="{B1321AD6-C464-48E1-9D42-F36E585B5609}"/>
    <cellStyle name="Normal 17 3" xfId="16471" xr:uid="{317FB182-5BBE-4EA8-B1B2-025562674FB3}"/>
    <cellStyle name="Normal 170" xfId="1152" xr:uid="{84404E64-5CF4-4F5D-9ACD-34E5DBF83161}"/>
    <cellStyle name="Normal 171" xfId="1153" xr:uid="{AC5D64AD-F9FD-45A2-BF2F-3BAF14474EB3}"/>
    <cellStyle name="Normal 172" xfId="1154" xr:uid="{3CDAD56C-09A4-402D-8EFD-118492E2BA97}"/>
    <cellStyle name="Normal 173" xfId="1155" xr:uid="{DACC7468-DAEE-4646-9C66-D5B6042AEEBB}"/>
    <cellStyle name="Normal 174" xfId="1156" xr:uid="{26D8768B-7BC9-4C3F-BB5D-9B2F78BDE426}"/>
    <cellStyle name="Normal 175" xfId="1157" xr:uid="{FD84CD53-C3A9-49FA-A6D0-0AAC82ECF82F}"/>
    <cellStyle name="Normal 176" xfId="1158" xr:uid="{1642FE9B-D5A0-42E1-9416-13B58EBA13B5}"/>
    <cellStyle name="Normal 177" xfId="1159" xr:uid="{3F4E0899-DD0F-40A9-9B83-5C28CFFD0290}"/>
    <cellStyle name="Normal 178" xfId="1160" xr:uid="{FE28671A-5AF4-42B4-9E8C-1CC397E8571B}"/>
    <cellStyle name="Normal 179" xfId="1161" xr:uid="{F0D75BC3-6C5F-469B-B6C8-F1251CED46C8}"/>
    <cellStyle name="Normal 18" xfId="437" xr:uid="{B45F1298-078E-438B-B767-348AB7D0240A}"/>
    <cellStyle name="Normal 18 2" xfId="2125" xr:uid="{88C188BB-8B27-4289-98EB-BFFFC09A5718}"/>
    <cellStyle name="Normal 18 2 2" xfId="17761" xr:uid="{787FAB59-1435-4C1E-AE44-0AD671B0E42D}"/>
    <cellStyle name="Normal 18 2 3" xfId="12376" xr:uid="{56DFFED6-14A1-40F5-80B4-B0E4E051CA71}"/>
    <cellStyle name="Normal 18 3" xfId="16731" xr:uid="{B38DEE7F-4FE6-44B4-9D61-D9D7D34FC18A}"/>
    <cellStyle name="Normal 180" xfId="1162" xr:uid="{7554183D-2D08-45A6-A4CD-975ED99EBE09}"/>
    <cellStyle name="Normal 181" xfId="1163" xr:uid="{4FCFAE3A-35A4-4C9E-AD5E-FEF3BD9D5C04}"/>
    <cellStyle name="Normal 181 2" xfId="1164" xr:uid="{79A0D6A6-93B2-4E64-854F-E401C3011D77}"/>
    <cellStyle name="Normal 181 3" xfId="1165" xr:uid="{0A651538-8290-4E72-96BE-0C82D51B228B}"/>
    <cellStyle name="Normal 182" xfId="1166" xr:uid="{10F4F473-E3EC-49EB-B33A-11BDE3DA6B3B}"/>
    <cellStyle name="Normal 182 2" xfId="1167" xr:uid="{A050A507-0FC9-4C61-B9E9-D5498713424C}"/>
    <cellStyle name="Normal 182 3" xfId="1168" xr:uid="{E66AFD1F-C5A7-4157-B371-228F7904B54D}"/>
    <cellStyle name="Normal 183" xfId="1169" xr:uid="{D1017F13-5BC0-44D1-8646-701255F0EF99}"/>
    <cellStyle name="Normal 183 2" xfId="1170" xr:uid="{B6E53C48-B0A9-4ABB-8EC4-F6B6ADC4058E}"/>
    <cellStyle name="Normal 183 3" xfId="1171" xr:uid="{1CE40AE2-DEFC-4E8A-9F4C-A20FC12CBE74}"/>
    <cellStyle name="Normal 184" xfId="1172" xr:uid="{96EC7F9C-8B7E-4CEB-8D08-D6494C5FEBE1}"/>
    <cellStyle name="Normal 185" xfId="1173" xr:uid="{649D3CFC-995C-477F-88AB-C2478B45BA00}"/>
    <cellStyle name="Normal 186" xfId="1174" xr:uid="{14ED50BA-55F2-4D35-A4A9-AA78052A95EF}"/>
    <cellStyle name="Normal 187" xfId="1175" xr:uid="{EE9632BD-B060-402E-B7EB-230A7819DC43}"/>
    <cellStyle name="Normal 188" xfId="1176" xr:uid="{E3112566-4C91-4380-8A47-12D229044543}"/>
    <cellStyle name="Normal 189" xfId="1177" xr:uid="{79C8F7B5-7744-49FE-9D27-E514FADE4187}"/>
    <cellStyle name="Normal 19" xfId="438" xr:uid="{0D8800D7-5A68-40C7-A0B3-AB0468D473F8}"/>
    <cellStyle name="Normal 19 2" xfId="439" xr:uid="{2152B44F-1D2F-4933-A607-367324E6A971}"/>
    <cellStyle name="Normal 19 2 2" xfId="2127" xr:uid="{56E10D61-8B23-4E79-A5C2-C59668154515}"/>
    <cellStyle name="Normal 19 2 3" xfId="16733" xr:uid="{2880C856-94F8-4BB5-B7E4-5050A85300C3}"/>
    <cellStyle name="Normal 19 3" xfId="440" xr:uid="{505387CB-1A43-4908-BDC9-2C7B8117A05F}"/>
    <cellStyle name="Normal 19 3 2" xfId="2128" xr:uid="{98A52E06-A344-4106-8B6C-851F3DC55A7D}"/>
    <cellStyle name="Normal 19 3 3" xfId="16734" xr:uid="{81968148-0B1B-4BF2-9577-FB0A1D4BEFBC}"/>
    <cellStyle name="Normal 19 4" xfId="2126" xr:uid="{3872D951-93A9-47CD-91F4-55BB3D68220A}"/>
    <cellStyle name="Normal 19 4 2" xfId="17762" xr:uid="{EC3CD3B0-80DC-45AD-8B22-CAC8459EE0EE}"/>
    <cellStyle name="Normal 19 4 3" xfId="12377" xr:uid="{12D664B6-B8D3-44CC-8868-88E5E311AB37}"/>
    <cellStyle name="Normal 19 5" xfId="16732" xr:uid="{6DA5D8D1-B5C1-402E-B071-EF549A18B089}"/>
    <cellStyle name="Normal 190" xfId="1178" xr:uid="{5BFF1197-BD1F-4158-B7C8-E3CA83DB5E94}"/>
    <cellStyle name="Normal 191" xfId="1179" xr:uid="{12650445-9718-4A10-9AB4-C18B3EE7EA04}"/>
    <cellStyle name="Normal 192" xfId="1180" xr:uid="{B7CD62AD-BC6F-47BA-A14C-EB86D9A85B88}"/>
    <cellStyle name="Normal 193" xfId="1181" xr:uid="{061F586C-D6C9-4AE5-BD9F-7875376DBCE2}"/>
    <cellStyle name="Normal 194" xfId="1182" xr:uid="{E46AB207-9974-4EE2-9B0D-8564485F6BF0}"/>
    <cellStyle name="Normal 195" xfId="1183" xr:uid="{2A92606A-07B3-4BCF-8DF8-277696A0F27A}"/>
    <cellStyle name="Normal 196" xfId="1184" xr:uid="{C2229171-8EBB-46A7-8804-E07EDFA29A82}"/>
    <cellStyle name="Normal 196 2" xfId="1185" xr:uid="{CA0C791D-EB86-4198-B96E-34669862A70D}"/>
    <cellStyle name="Normal 197" xfId="1186" xr:uid="{E0002C6E-A170-4788-B754-F918AAC9FCDD}"/>
    <cellStyle name="Normal 198" xfId="1187" xr:uid="{EBD7C4C3-A967-4DD0-9CC9-33F05AB00E2C}"/>
    <cellStyle name="Normal 199" xfId="1188" xr:uid="{4898BA25-8D7E-46D2-BEFE-AF9B6486435E}"/>
    <cellStyle name="Normal 2" xfId="441" xr:uid="{1254383C-7E50-4EA2-B9EB-43C095E83BD2}"/>
    <cellStyle name="Normal 2 10" xfId="16462" xr:uid="{25777DDA-2733-44C7-9EC4-8D9F7F4D9996}"/>
    <cellStyle name="Normal 2 11" xfId="16735" xr:uid="{3AB0AF06-BADB-4A96-8A0A-E8D724F73575}"/>
    <cellStyle name="Normal 2 2" xfId="442" xr:uid="{5ECBEE02-B670-4BE1-BC86-DE6EB8B41CA1}"/>
    <cellStyle name="Normal 2 2 2" xfId="443" xr:uid="{080671B6-52B9-4BB0-B217-102CB97F009E}"/>
    <cellStyle name="Normal 2 2 2 2" xfId="444" xr:uid="{A34E795D-B8FA-41B5-9570-7257CAA10568}"/>
    <cellStyle name="Normal 2 2 2 2 2" xfId="2132" xr:uid="{83C58B90-CA66-474E-90B8-00EB3C2A729B}"/>
    <cellStyle name="Normal 2 2 2 2 3" xfId="16737" xr:uid="{B83E8AE9-B8EE-4388-A0C9-2E393005C043}"/>
    <cellStyle name="Normal 2 2 2 3" xfId="2131" xr:uid="{5F935D34-E03D-4B7B-8DD5-F49AAB0A3736}"/>
    <cellStyle name="Normal 2 2 2 3 2" xfId="17764" xr:uid="{5E1A2944-D4C9-4BF0-BE2F-1B726E953D79}"/>
    <cellStyle name="Normal 2 2 2 3 3" xfId="12379" xr:uid="{360C1EBC-218D-4197-9FD5-BCC68F880876}"/>
    <cellStyle name="Normal 2 2 3" xfId="445" xr:uid="{87BBED4A-7A56-4336-9AA4-A2E9F8B4B673}"/>
    <cellStyle name="Normal 2 2 3 2" xfId="2133" xr:uid="{B74310BD-787A-4CC3-BE92-8C89FF9C8565}"/>
    <cellStyle name="Normal 2 2 3 2 2" xfId="17766" xr:uid="{D023BB18-F14D-4437-A354-640F791B50E2}"/>
    <cellStyle name="Normal 2 2 3 2 3" xfId="12380" xr:uid="{D8745BE2-48F0-406E-B08F-B9051BB9A025}"/>
    <cellStyle name="Normal 2 2 3 3" xfId="16738" xr:uid="{72E3A350-8127-4D3E-81E1-6356E26C8B8D}"/>
    <cellStyle name="Normal 2 2 4" xfId="446" xr:uid="{C989B60B-0DA9-40D0-9F54-D89FF45B27D6}"/>
    <cellStyle name="Normal 2 2 4 2" xfId="2134" xr:uid="{361838BA-23BE-4862-A05F-86CC52319A0E}"/>
    <cellStyle name="Normal 2 2 4 3" xfId="16739" xr:uid="{EA58E684-55AA-468F-B754-7737FBFB5846}"/>
    <cellStyle name="Normal 2 2 5" xfId="1189" xr:uid="{C55FADEC-C556-47F8-B2BF-A50812E170FF}"/>
    <cellStyle name="Normal 2 2 5 2" xfId="17133" xr:uid="{A819D00B-B5F3-48AA-84F4-94CBBBA14CC1}"/>
    <cellStyle name="Normal 2 2 5 3" xfId="12378" xr:uid="{59282420-1D37-4B93-B0ED-5134AB1E3C1B}"/>
    <cellStyle name="Normal 2 2 6" xfId="2130" xr:uid="{9E861604-42A3-4302-A571-611C5AD2E3D1}"/>
    <cellStyle name="Normal 2 2 6 2" xfId="18134" xr:uid="{A161A8D1-1CE4-4814-9520-489F05037FED}"/>
    <cellStyle name="Normal 2 2 7" xfId="16736" xr:uid="{30658EF2-9762-4931-8E8B-A83CA27BE03A}"/>
    <cellStyle name="Normal 2 2_Not_for_upload_before_M4_correc" xfId="15859" xr:uid="{8C91338F-A089-4DA2-AD7D-D31136CF3D13}"/>
    <cellStyle name="Normal 2 3" xfId="447" xr:uid="{1B412DE5-1204-45BC-81BD-F73B0D7BCAF0}"/>
    <cellStyle name="Normal 2 3 2" xfId="448" xr:uid="{59CCD7FF-0E50-4A88-8CC4-4B4E3FF67569}"/>
    <cellStyle name="Normal 2 3 2 2" xfId="2136" xr:uid="{1194F1F1-7E7F-44A9-895D-0E511806584D}"/>
    <cellStyle name="Normal 2 3 2 3" xfId="16741" xr:uid="{1EBB03E9-9A82-497A-B840-4FEA5AC53374}"/>
    <cellStyle name="Normal 2 3 3" xfId="449" xr:uid="{0582705D-17E6-42CA-8ECA-3F2575BEEFDA}"/>
    <cellStyle name="Normal 2 3 3 2" xfId="2137" xr:uid="{F380FA4D-1738-4A40-96D0-5765A583F99D}"/>
    <cellStyle name="Normal 2 3 3 3" xfId="16742" xr:uid="{91E04A4A-B661-4BBA-BC95-8A322F316FA8}"/>
    <cellStyle name="Normal 2 3 4" xfId="1190" xr:uid="{7D366788-B8FB-43F8-A332-0517D5DCF4AD}"/>
    <cellStyle name="Normal 2 3 4 2" xfId="17134" xr:uid="{050210B3-8E67-407B-8989-406F557CF915}"/>
    <cellStyle name="Normal 2 3 4 3" xfId="12381" xr:uid="{C869F206-DCB0-4830-8ADB-BAA3437BBA0D}"/>
    <cellStyle name="Normal 2 3 5" xfId="2135" xr:uid="{5B69EE8F-5A69-44A3-A5C5-1FABCC881A8A}"/>
    <cellStyle name="Normal 2 3 5 2" xfId="18135" xr:uid="{6AFBCAC3-AF92-4987-8165-980D8DB95421}"/>
    <cellStyle name="Normal 2 3 6" xfId="16740" xr:uid="{BE633DEF-0217-4782-BFFD-013142A8E53F}"/>
    <cellStyle name="Normal 2 4" xfId="450" xr:uid="{8D5861C4-2F5F-4695-93A9-3705D2CAEB12}"/>
    <cellStyle name="Normal 2 4 2" xfId="451" xr:uid="{C9AB2F6A-52EF-42AF-81FB-D6BABDF20E52}"/>
    <cellStyle name="Normal 2 4 2 2" xfId="2139" xr:uid="{22BE2D9E-E94E-496C-8608-C8D16A628174}"/>
    <cellStyle name="Normal 2 4 2 3" xfId="16744" xr:uid="{A1F372AA-6217-47E6-A072-37BA244BA533}"/>
    <cellStyle name="Normal 2 4 3" xfId="1191" xr:uid="{F79F0D61-5339-40E9-9FD4-4451703B1898}"/>
    <cellStyle name="Normal 2 4 3 2" xfId="1192" xr:uid="{03148FDD-929F-474A-9905-477B1AC5C50F}"/>
    <cellStyle name="Normal 2 4 4" xfId="2138" xr:uid="{3FD4A5E3-309A-4A43-AFB7-B96879BE303C}"/>
    <cellStyle name="Normal 2 4 4 2" xfId="18136" xr:uid="{6C682FDF-3445-4F19-89D0-94DE1C528B5E}"/>
    <cellStyle name="Normal 2 4 5" xfId="16743" xr:uid="{BE57377C-0304-4098-8D82-A486523D4CD7}"/>
    <cellStyle name="Normal 2 5" xfId="452" xr:uid="{69D76233-EBBA-446A-AB6F-D0D36CF05646}"/>
    <cellStyle name="Normal 2 5 2" xfId="2140" xr:uid="{330EACAD-5619-4809-9438-F581F579D936}"/>
    <cellStyle name="Normal 2 5 3" xfId="16745" xr:uid="{97024D7B-DF75-440F-840D-AAC2F07EF724}"/>
    <cellStyle name="Normal 2 6" xfId="453" xr:uid="{9D0C5CB4-FF7F-47F6-A2C1-53C593210D7D}"/>
    <cellStyle name="Normal 2 6 2" xfId="2141" xr:uid="{69841373-B310-4112-B7A6-67375F919F4B}"/>
    <cellStyle name="Normal 2 6 3" xfId="16746" xr:uid="{9C674CF7-E611-43E5-93E5-C765399EE77D}"/>
    <cellStyle name="Normal 2 7" xfId="1193" xr:uid="{41DFEBAB-6CCA-4127-94AD-CFEF071AA7AE}"/>
    <cellStyle name="Normal 2 7 2" xfId="17137" xr:uid="{0A43D956-1FE8-491A-BB56-E7BAFBD8F576}"/>
    <cellStyle name="Normal 2 7 3" xfId="3929" xr:uid="{6991DF12-32FB-4782-8038-CB2FF2BCF8C0}"/>
    <cellStyle name="Normal 2 8" xfId="2129" xr:uid="{9611A22E-25F9-4032-814A-E7A3AA291530}"/>
    <cellStyle name="Normal 2 8 2" xfId="18137" xr:uid="{E1B233D2-8D0D-4867-911D-84BC0CFFCA91}"/>
    <cellStyle name="Normal 2 8 3" xfId="17763" xr:uid="{C0D46CAA-B684-454B-A90B-1E5B617F7D81}"/>
    <cellStyle name="Normal 2 8 4" xfId="16459" xr:uid="{9CE73CB9-76E6-4BFD-9A22-CBFFE3A5B3C1}"/>
    <cellStyle name="Normal 2 9" xfId="16460" xr:uid="{83C15DC8-99A7-4357-80D3-93667607FFD1}"/>
    <cellStyle name="Normal 2_Calcs" xfId="1194" xr:uid="{594C8421-92DB-490C-AD9D-3AD617DCA296}"/>
    <cellStyle name="Normal 20" xfId="454" xr:uid="{23B468E9-D469-456F-AF58-0CD75425740E}"/>
    <cellStyle name="Normal 20 2" xfId="455" xr:uid="{C9FCDC3E-0F50-47BD-804C-6731BA88A2CC}"/>
    <cellStyle name="Normal 20 2 2" xfId="1195" xr:uid="{877713FD-4D18-4368-9821-0B9141DB16A9}"/>
    <cellStyle name="Normal 20 2 2 2" xfId="17139" xr:uid="{28104EC2-5784-41A1-BE08-19E7EB397278}"/>
    <cellStyle name="Normal 20 2 2 3" xfId="12383" xr:uid="{A834925D-DC2B-4671-BED9-D6BE39425967}"/>
    <cellStyle name="Normal 20 2 3" xfId="2143" xr:uid="{A2ED8847-4F38-4FAE-81A9-7DE8E1663DF9}"/>
    <cellStyle name="Normal 20 2 4" xfId="16748" xr:uid="{A1154085-6927-4668-8970-F8DAD1C10684}"/>
    <cellStyle name="Normal 20 3" xfId="456" xr:uid="{73C45C43-B36B-4596-831F-FF0909C9DDD4}"/>
    <cellStyle name="Normal 20 3 2" xfId="2144" xr:uid="{2DF6DD7A-E278-45C3-A727-349355F3D8FF}"/>
    <cellStyle name="Normal 20 3 2 2" xfId="17774" xr:uid="{491E89AB-FCA1-4EB8-BA8B-DE692A579041}"/>
    <cellStyle name="Normal 20 3 2 3" xfId="12384" xr:uid="{DF8B3F13-5808-4092-8436-BC9949B82697}"/>
    <cellStyle name="Normal 20 3 3" xfId="16749" xr:uid="{E9A0153C-953A-4864-96E8-2E3995DE4F53}"/>
    <cellStyle name="Normal 20 4" xfId="2142" xr:uid="{BE6B4B2E-31C6-43F5-A8B6-C230FD157CA3}"/>
    <cellStyle name="Normal 20 4 2" xfId="17772" xr:uid="{0382E8BB-B5A3-424F-B373-DD8220B1AAD8}"/>
    <cellStyle name="Normal 20 4 3" xfId="12382" xr:uid="{2FB98EDC-114D-4D04-B704-99991AFD03C4}"/>
    <cellStyle name="Normal 20 5" xfId="16747" xr:uid="{C77C7931-3CCA-4A34-B1A0-209B541F7ED4}"/>
    <cellStyle name="Normal 20_Not_for_upload_before_M4_correc" xfId="15860" xr:uid="{2F71D451-271A-4CC9-8CA6-A4BA7DD59341}"/>
    <cellStyle name="Normal 200" xfId="1196" xr:uid="{501D21E9-0AB5-474F-85DE-EC242044F70B}"/>
    <cellStyle name="Normal 201" xfId="1197" xr:uid="{A9100324-F66F-4CC2-BA65-AA47EA09DF88}"/>
    <cellStyle name="Normal 202" xfId="1198" xr:uid="{A0D8B6BF-FEA5-4F57-91AF-76EB3F79D1EA}"/>
    <cellStyle name="Normal 203" xfId="1199" xr:uid="{2ECD1B8A-CBF7-4068-AE67-922B066D33C7}"/>
    <cellStyle name="Normal 204" xfId="1200" xr:uid="{A35AFB48-C395-4112-9B49-7ADB8E7B6779}"/>
    <cellStyle name="Normal 205" xfId="1201" xr:uid="{7DBDE000-8F86-4C74-B44F-CA12608CDB54}"/>
    <cellStyle name="Normal 206" xfId="1202" xr:uid="{C2DC3D73-509F-4C89-8381-F00CE9FBDC5C}"/>
    <cellStyle name="Normal 207" xfId="1203" xr:uid="{DB863164-9CC3-4301-97A5-6F493502C98D}"/>
    <cellStyle name="Normal 208" xfId="1204" xr:uid="{D9B1F3A7-1036-45A5-BBFF-2D09812A55A5}"/>
    <cellStyle name="Normal 209" xfId="1205" xr:uid="{2A5B5386-2458-4391-8AD7-D10B8DDC9588}"/>
    <cellStyle name="Normal 209 2" xfId="1206" xr:uid="{8EAE62CD-428D-430F-973E-548F40205717}"/>
    <cellStyle name="Normal 21" xfId="50" xr:uid="{C9457EE1-0FF2-46B7-8AA9-1DA28E644CEE}"/>
    <cellStyle name="Normal 21 2" xfId="457" xr:uid="{164C3079-9241-48B7-B7CC-EE08B14C5FA0}"/>
    <cellStyle name="Normal 21 2 2" xfId="458" xr:uid="{0D25A92D-5ABE-47BB-8E63-EFD358B92E55}"/>
    <cellStyle name="Normal 21 2 2 2" xfId="2146" xr:uid="{A6C1E6D2-88FF-4B7E-BD9B-53FB6A544B04}"/>
    <cellStyle name="Normal 21 2 2 3" xfId="16751" xr:uid="{26B39E49-55CE-4ED3-B85C-4ADCEBC9C759}"/>
    <cellStyle name="Normal 21 2 3" xfId="1208" xr:uid="{DCF3E6D4-3410-4D3A-9F1B-CE99C1E033F9}"/>
    <cellStyle name="Normal 21 2 4" xfId="2145" xr:uid="{FB9D19AC-59AF-46D9-802D-DDAD92EBEFF6}"/>
    <cellStyle name="Normal 21 2 5" xfId="16750" xr:uid="{2E6D3932-63E5-43D2-B707-104FECA99F54}"/>
    <cellStyle name="Normal 21 3" xfId="459" xr:uid="{ABBAF2ED-0DB3-4C43-89AB-2262AB2D7CCD}"/>
    <cellStyle name="Normal 21 3 2" xfId="2147" xr:uid="{8239D61A-9856-4F04-B55A-B5F1124C5F7F}"/>
    <cellStyle name="Normal 21 3 3" xfId="16752" xr:uid="{7036D8CA-48BD-4357-ACB5-9890EE6429C9}"/>
    <cellStyle name="Normal 21 4" xfId="460" xr:uid="{A0888E25-936F-4982-9631-D184DF2D436E}"/>
    <cellStyle name="Normal 21 4 2" xfId="2148" xr:uid="{61D1842D-BF42-4A0A-B115-F2FAA07D9D5D}"/>
    <cellStyle name="Normal 21 4 3" xfId="16753" xr:uid="{63DDF04F-7C94-4766-A582-AE42ED4F0698}"/>
    <cellStyle name="Normal 21 5" xfId="461" xr:uid="{8BCE4C90-9D14-4CB0-8220-359AC3F67E73}"/>
    <cellStyle name="Normal 21 5 2" xfId="1384" xr:uid="{FA481E7F-32DB-4755-8E69-DFA9414F127B}"/>
    <cellStyle name="Normal 21 5 3" xfId="1207" xr:uid="{DB240411-63F2-4D1F-B186-98772960474D}"/>
    <cellStyle name="Normal 21 5 4" xfId="2149" xr:uid="{42935097-7BE2-4927-95A5-A9DFDA653EB7}"/>
    <cellStyle name="Normal 21 5 5" xfId="16754" xr:uid="{9C0DD147-C755-441B-9A24-2D844C1EBE9F}"/>
    <cellStyle name="Normal 21 6" xfId="1849" xr:uid="{27FFD4D4-7179-4FFB-B337-5CF74F5EC793}"/>
    <cellStyle name="Normal 21 6 2" xfId="17601" xr:uid="{6F34D18A-C45F-4651-BDE8-40C70DEC75F3}"/>
    <cellStyle name="Normal 21 6 3" xfId="12385" xr:uid="{DB567370-3D6D-44FD-96C8-3A2A77CC0EF5}"/>
    <cellStyle name="Normal 21 7" xfId="16470" xr:uid="{EA4895E2-15D3-41E1-A4C1-4F8ACC793F72}"/>
    <cellStyle name="Normal 210" xfId="1209" xr:uid="{5745675C-7F1F-4099-85F1-7F09878CA396}"/>
    <cellStyle name="Normal 211" xfId="894" xr:uid="{7607030A-5D8C-457C-AD3D-E50B4493AD0E}"/>
    <cellStyle name="Normal 211 2" xfId="1409" xr:uid="{3A5A57A2-9750-48F6-AB8B-562572A2211B}"/>
    <cellStyle name="Normal 212" xfId="1351" xr:uid="{263D44AB-B665-427F-A0CF-6F4D7A41BA3C}"/>
    <cellStyle name="Normal 212 2" xfId="1423" xr:uid="{0B02F986-AE6B-4335-AB2D-EC872884CCE4}"/>
    <cellStyle name="Normal 213" xfId="1353" xr:uid="{CA9F15F4-3D14-462B-B83F-6D95ED5C2B10}"/>
    <cellStyle name="Normal 213 2" xfId="1426" xr:uid="{0FB90FC7-70B7-471D-8FDA-0EE25FE2ACAE}"/>
    <cellStyle name="Normal 214" xfId="1354" xr:uid="{BED69E53-954B-4FF1-9ED0-16C265A39BE3}"/>
    <cellStyle name="Normal 214 2" xfId="1427" xr:uid="{AC72B227-0F09-403A-B97D-0123478BD698}"/>
    <cellStyle name="Normal 215" xfId="1355" xr:uid="{A60D7C02-2F19-426D-8CE2-7D38B75D8F89}"/>
    <cellStyle name="Normal 215 2" xfId="1428" xr:uid="{64AF3A9F-BAC1-4D7B-93F7-F078AAF22CC1}"/>
    <cellStyle name="Normal 216" xfId="1356" xr:uid="{D9564DB4-A103-4B50-B117-E21E0F0E95EB}"/>
    <cellStyle name="Normal 216 2" xfId="1429" xr:uid="{E3B212DA-2FFF-42A6-890C-EB62AFD78E35}"/>
    <cellStyle name="Normal 217" xfId="1352" xr:uid="{64B6193C-B8B8-4FED-98A2-19FCCCC32FF6}"/>
    <cellStyle name="Normal 217 2" xfId="1425" xr:uid="{219CE730-4C13-4464-8CC5-007319936124}"/>
    <cellStyle name="Normal 218" xfId="1357" xr:uid="{FA8F12B2-A0EB-43E1-8219-D07FAA73C404}"/>
    <cellStyle name="Normal 218 2" xfId="1430" xr:uid="{8DB03691-07D1-4EFF-BEBC-8982F1D372D9}"/>
    <cellStyle name="Normal 219" xfId="1358" xr:uid="{F921F487-0094-44E1-B8FE-BC250D8B6F12}"/>
    <cellStyle name="Normal 219 2" xfId="1431" xr:uid="{D26BC9B0-A389-4556-800D-78F90DE3CD3B}"/>
    <cellStyle name="Normal 22" xfId="462" xr:uid="{389BA277-A845-466C-8C76-1941561FB994}"/>
    <cellStyle name="Normal 22 2" xfId="463" xr:uid="{F291DBFE-235F-47E4-8C61-30909D09B371}"/>
    <cellStyle name="Normal 22 2 2" xfId="464" xr:uid="{5546F7B0-577A-493B-BB0D-B12D5202F38D}"/>
    <cellStyle name="Normal 22 2 2 2" xfId="2152" xr:uid="{EBC0337D-DAD4-4275-8551-064B9C3A6682}"/>
    <cellStyle name="Normal 22 2 2 3" xfId="16757" xr:uid="{9E1CE204-3DD1-43E6-BD75-FF6CEA6E6B64}"/>
    <cellStyle name="Normal 22 2 3" xfId="1210" xr:uid="{6F8F12A5-CED6-41C2-A0B9-9556C0D536CF}"/>
    <cellStyle name="Normal 22 2 4" xfId="2151" xr:uid="{A580BC6A-CBEF-4D4F-BAF1-700CCF0926B9}"/>
    <cellStyle name="Normal 22 2 5" xfId="16756" xr:uid="{C34E772E-4CA4-41D1-860E-952159385988}"/>
    <cellStyle name="Normal 22 3" xfId="465" xr:uid="{18F639AF-F84C-41B1-B40F-6463F589D363}"/>
    <cellStyle name="Normal 22 3 2" xfId="2153" xr:uid="{FF93864D-1EBB-4708-8F86-B0D7C40EE236}"/>
    <cellStyle name="Normal 22 3 3" xfId="16758" xr:uid="{4A637467-AB0F-48CA-B33B-D96E205D2022}"/>
    <cellStyle name="Normal 22 4" xfId="466" xr:uid="{67A1D89A-7C52-45F2-BEB7-5C71CACF9ACC}"/>
    <cellStyle name="Normal 22 4 2" xfId="2154" xr:uid="{5EA1C6A9-BC53-473A-B14E-41DEF6A46C14}"/>
    <cellStyle name="Normal 22 4 3" xfId="16759" xr:uid="{850B5749-7B5B-40AF-8B39-1C415AB847DA}"/>
    <cellStyle name="Normal 22 5" xfId="467" xr:uid="{CF52EA66-85F7-4774-8068-B467038DA19E}"/>
    <cellStyle name="Normal 22 5 2" xfId="2155" xr:uid="{0DD42A1A-7277-45C1-B2E5-BCD0EB85BC20}"/>
    <cellStyle name="Normal 22 5 3" xfId="16760" xr:uid="{7BB4D0A1-17AC-4CBD-BB51-B7E1276C3435}"/>
    <cellStyle name="Normal 22 6" xfId="2150" xr:uid="{1A817CBD-47A0-4C6F-A4BB-39F4C3189B3D}"/>
    <cellStyle name="Normal 22 6 2" xfId="17777" xr:uid="{9EB658D9-20FB-4ED4-860D-12A773B115AF}"/>
    <cellStyle name="Normal 22 6 3" xfId="15861" xr:uid="{EFDCDE27-86C8-4B89-AAC6-A610ECDDAC91}"/>
    <cellStyle name="Normal 22 7" xfId="16755" xr:uid="{BA9AF36F-7384-437A-936E-EDB70D0E4897}"/>
    <cellStyle name="Normal 220" xfId="1359" xr:uid="{A122C66D-464C-4A97-B0C4-6D3DBD8849EC}"/>
    <cellStyle name="Normal 220 2" xfId="1432" xr:uid="{A630D870-55B3-4D92-BB6C-ADE08D1F1B4C}"/>
    <cellStyle name="Normal 221" xfId="1366" xr:uid="{F1663836-306F-45E6-9806-C4A6BF44E770}"/>
    <cellStyle name="Normal 221 2" xfId="1439" xr:uid="{5753764A-6BC3-4ABE-9A92-C358582D9ECC}"/>
    <cellStyle name="Normal 222" xfId="1367" xr:uid="{3A532EAC-C073-4E9A-AEE4-AF7981CF55D1}"/>
    <cellStyle name="Normal 222 2" xfId="1440" xr:uid="{88EAFBE5-ECEC-483A-A08B-9485EC3EAC90}"/>
    <cellStyle name="Normal 223" xfId="1368" xr:uid="{0A8BFDFC-0110-49F5-BFE0-64981A4021CC}"/>
    <cellStyle name="Normal 223 2" xfId="1441" xr:uid="{B7D2207B-8CFC-43EC-BF62-C1D6B0F35411}"/>
    <cellStyle name="Normal 224" xfId="1388" xr:uid="{C6AE782F-8FAD-4D71-94C6-8CEDD8DCBAF9}"/>
    <cellStyle name="Normal 224 2" xfId="1523" xr:uid="{46D67DE2-344B-4B63-86C8-C0BDDAF3B8C0}"/>
    <cellStyle name="Normal 225" xfId="1397" xr:uid="{C2DADB5F-239C-4ACC-902D-16358B8F132F}"/>
    <cellStyle name="Normal 225 2" xfId="1524" xr:uid="{3A4F7C24-5FDE-43A6-8E07-41EB4C1CB72F}"/>
    <cellStyle name="Normal 226" xfId="1404" xr:uid="{A7AF9C78-1251-4EFF-A00E-A1B0187C81AA}"/>
    <cellStyle name="Normal 226 2" xfId="1525" xr:uid="{C07F92E3-1CE3-4900-8AEA-60A32759C591}"/>
    <cellStyle name="Normal 227" xfId="1406" xr:uid="{971DD584-FDA5-4074-A0A3-F679FEF82949}"/>
    <cellStyle name="Normal 228" xfId="1424" xr:uid="{BF8B9411-006B-44A6-8C48-8DC879076782}"/>
    <cellStyle name="Normal 229" xfId="1472" xr:uid="{FEB17A98-EA7E-4F32-B4DF-E712E301851C}"/>
    <cellStyle name="Normal 23" xfId="468" xr:uid="{A9EB1FCB-1383-4EB6-9655-7F5BF76B5CDC}"/>
    <cellStyle name="Normal 23 2" xfId="469" xr:uid="{AF705678-F575-4347-B51A-13BF3F40BA21}"/>
    <cellStyle name="Normal 23 2 2" xfId="470" xr:uid="{347A6797-0E52-4A30-916D-80BD4228BD03}"/>
    <cellStyle name="Normal 23 2 2 2" xfId="2158" xr:uid="{8CBBA4CA-8BFD-414D-9EB9-1BF83AC5B946}"/>
    <cellStyle name="Normal 23 2 2 3" xfId="16763" xr:uid="{8F4D294A-20FC-4979-B753-4B263ED4A1F4}"/>
    <cellStyle name="Normal 23 2 3" xfId="1211" xr:uid="{824557E6-C6B1-4494-A368-C1EF97FE052B}"/>
    <cellStyle name="Normal 23 2 4" xfId="2157" xr:uid="{8D3CB750-B056-490C-922A-33B3E5C5B882}"/>
    <cellStyle name="Normal 23 2 5" xfId="16762" xr:uid="{9729BB0C-46AB-49EC-A0FE-9A8A4DE2B315}"/>
    <cellStyle name="Normal 23 3" xfId="471" xr:uid="{FE6CB061-AE3A-426B-844E-230545E2C50B}"/>
    <cellStyle name="Normal 23 3 2" xfId="2159" xr:uid="{ECCEC079-4B79-4D21-95F6-8AA53AD3E36E}"/>
    <cellStyle name="Normal 23 3 3" xfId="16764" xr:uid="{0D48C5CA-82CC-49D2-85DD-345030B913D5}"/>
    <cellStyle name="Normal 23 4" xfId="2156" xr:uid="{8A666632-3FF4-4CD4-9C8D-38895547D591}"/>
    <cellStyle name="Normal 23 4 2" xfId="17778" xr:uid="{F60D8DFE-CA82-437D-B10C-C9311AF97CEB}"/>
    <cellStyle name="Normal 23 4 3" xfId="15862" xr:uid="{D1BE4BA4-65A4-40F8-A665-4FC2BE67A03E}"/>
    <cellStyle name="Normal 23 5" xfId="18091" xr:uid="{BDDF4C17-2FF1-422B-9628-5F0A8ADD22EC}"/>
    <cellStyle name="Normal 23 6" xfId="16761" xr:uid="{000E81F1-CD36-4925-9888-99F0B91949C1}"/>
    <cellStyle name="Normal 230" xfId="1421" xr:uid="{A33F207F-8E9D-4B7C-A31A-B4A40A939AFA}"/>
    <cellStyle name="Normal 231" xfId="1405" xr:uid="{F7F99D82-613B-4092-9072-10B5F7E2093C}"/>
    <cellStyle name="Normal 231 2" xfId="1806" xr:uid="{8B3CE416-7F26-4D56-B0E4-ED0EC628AF99}"/>
    <cellStyle name="Normal 231 3" xfId="3288" xr:uid="{4BC670AF-D4FF-4FF7-914B-9AA4F17550DC}"/>
    <cellStyle name="Normal 232" xfId="1474" xr:uid="{34088CEF-3506-44A0-96BF-26866A4384C9}"/>
    <cellStyle name="Normal 232 2" xfId="3324" xr:uid="{65979040-7F13-4ECD-AE8A-9E494791BAED}"/>
    <cellStyle name="Normal 233" xfId="1527" xr:uid="{3C9A2D3C-D1FC-4BCC-8D3F-D6E5010D1FE9}"/>
    <cellStyle name="Normal 233 2" xfId="3372" xr:uid="{46E7D9F3-A2FA-475E-B9E1-07AD602EAAB2}"/>
    <cellStyle name="Normal 234" xfId="1528" xr:uid="{D4E4D671-66CA-4E7F-97DF-4D6FAFBFE860}"/>
    <cellStyle name="Normal 234 2" xfId="3373" xr:uid="{6E2E3C4B-3083-4757-9708-BCAE3A53FE1F}"/>
    <cellStyle name="Normal 235" xfId="1529" xr:uid="{117B6B42-2C95-40BB-B2B8-B756C450B490}"/>
    <cellStyle name="Normal 235 2" xfId="3374" xr:uid="{037D4F3F-2137-4750-BE29-BE71B4F5882C}"/>
    <cellStyle name="Normal 236" xfId="1530" xr:uid="{AEC25786-217E-4890-B1C0-EEB1C1FE26B1}"/>
    <cellStyle name="Normal 236 2" xfId="3375" xr:uid="{CB97466B-6384-4725-BF68-CFE50D2E7447}"/>
    <cellStyle name="Normal 237" xfId="1531" xr:uid="{892B66C4-B119-4EE2-9E12-AB38F8F908F9}"/>
    <cellStyle name="Normal 237 2" xfId="3376" xr:uid="{065B5B46-8756-432F-9E61-56D5C15FD26F}"/>
    <cellStyle name="Normal 238" xfId="1532" xr:uid="{5E38E747-89D7-4BCE-814B-E11DF5AB6F49}"/>
    <cellStyle name="Normal 238 2" xfId="3377" xr:uid="{D84D2B39-BEEE-4AD1-A1BC-8A07AD44D8CB}"/>
    <cellStyle name="Normal 239" xfId="1533" xr:uid="{9C08B228-3269-44D5-A0E9-F346C4745804}"/>
    <cellStyle name="Normal 239 2" xfId="3378" xr:uid="{6EBB22F9-C3FA-44EA-A908-C830CF32B161}"/>
    <cellStyle name="Normal 24" xfId="472" xr:uid="{BEFF8C84-CF04-41DA-9F29-A5B4B3133BD8}"/>
    <cellStyle name="Normal 24 2" xfId="473" xr:uid="{51B950FA-C278-41F4-98E3-1B1148AE5103}"/>
    <cellStyle name="Normal 24 2 2" xfId="474" xr:uid="{C25F07D0-A60D-4EE0-845C-94D4B85E98F3}"/>
    <cellStyle name="Normal 24 2 2 2" xfId="2162" xr:uid="{234A9DF0-EE77-4E63-A53E-C3AC6D8D36BB}"/>
    <cellStyle name="Normal 24 2 2 3" xfId="16767" xr:uid="{246419CC-67AF-47F2-B326-A42F6DC5E334}"/>
    <cellStyle name="Normal 24 2 3" xfId="1212" xr:uid="{4D7C42EF-19B7-4E9F-B047-FD0E3DA576A7}"/>
    <cellStyle name="Normal 24 2 4" xfId="2161" xr:uid="{58621B14-DA21-4467-A630-330C9D756DA7}"/>
    <cellStyle name="Normal 24 2 5" xfId="16766" xr:uid="{DB6E9A1A-8758-407D-AF63-3449B15A4EC1}"/>
    <cellStyle name="Normal 24 3" xfId="475" xr:uid="{F8FCEA1F-EE6F-46E4-B991-F392D36FEE82}"/>
    <cellStyle name="Normal 24 3 2" xfId="2163" xr:uid="{07C2BF74-57E5-42B4-9B8E-6818706D34CE}"/>
    <cellStyle name="Normal 24 3 3" xfId="16768" xr:uid="{20152BF7-7821-4140-8ACA-9D2BB5F5928E}"/>
    <cellStyle name="Normal 24 4" xfId="2160" xr:uid="{5F4B3805-9D0E-4ADC-BB96-5438AE676A82}"/>
    <cellStyle name="Normal 24 4 2" xfId="17779" xr:uid="{BC51C748-073B-4B41-ADC4-C1B34904F148}"/>
    <cellStyle name="Normal 24 4 3" xfId="15863" xr:uid="{A659595A-8FBE-43B0-BDE7-E3D14CA21017}"/>
    <cellStyle name="Normal 24 5" xfId="18092" xr:uid="{36D491F1-96D1-44FF-ABC8-09C18C778DF0}"/>
    <cellStyle name="Normal 24 6" xfId="16765" xr:uid="{1956D978-0A03-4DCB-ACE2-145CBEAC2F76}"/>
    <cellStyle name="Normal 240" xfId="1534" xr:uid="{4AEDC320-0EC5-4BAF-94C0-F24EF6874454}"/>
    <cellStyle name="Normal 240 2" xfId="3379" xr:uid="{8978CDF0-A272-4FAD-AEB3-526651AAE2E1}"/>
    <cellStyle name="Normal 241" xfId="1755" xr:uid="{5754E017-D5C0-4B4D-84FF-869EE5753F4D}"/>
    <cellStyle name="Normal 241 2" xfId="3428" xr:uid="{1675ABED-A1B1-4925-8064-EB9477FF8123}"/>
    <cellStyle name="Normal 242" xfId="1808" xr:uid="{9850AE39-E640-45EE-9EE5-A9E7BE19C0EF}"/>
    <cellStyle name="Normal 242 2" xfId="3478" xr:uid="{FC2EEB60-D8BA-4BBB-9DE0-F7E5BF6359C5}"/>
    <cellStyle name="Normal 243" xfId="1809" xr:uid="{574D5268-D3E2-4DDE-A0F7-20D403C67999}"/>
    <cellStyle name="Normal 243 2" xfId="3479" xr:uid="{5F6EC131-E1D5-4D3F-88B6-4E11B5DE815A}"/>
    <cellStyle name="Normal 244" xfId="1810" xr:uid="{EEF05009-3EA6-48A4-A14D-1C1F1230EC41}"/>
    <cellStyle name="Normal 244 2" xfId="3480" xr:uid="{7F491641-5B5C-4295-ACCD-7D78EFABD417}"/>
    <cellStyle name="Normal 245" xfId="1847" xr:uid="{0F339A27-5EED-4FC1-B6D8-5BC00ACF8EE4}"/>
    <cellStyle name="Normal 245 2" xfId="2904" xr:uid="{663518E5-62AF-442C-9383-F173E534D6E7}"/>
    <cellStyle name="Normal 246" xfId="2907" xr:uid="{8622E899-509B-40F5-B983-D9BE3FCD7DEE}"/>
    <cellStyle name="Normal 246 2" xfId="17840" xr:uid="{A39BB968-BE96-4B9C-93BB-454C4B771430}"/>
    <cellStyle name="Normal 247" xfId="2909" xr:uid="{E17A41DB-E6CE-41EE-96C3-563345E11B34}"/>
    <cellStyle name="Normal 247 2" xfId="17833" xr:uid="{09ED8625-1931-4182-9191-B00C91D99831}"/>
    <cellStyle name="Normal 248" xfId="2911" xr:uid="{AF31FC6E-1FC6-4EDE-92BB-AD55CA75CC1B}"/>
    <cellStyle name="Normal 248 2" xfId="18089" xr:uid="{8AD1F581-781C-4F80-9F67-9BA083DD379D}"/>
    <cellStyle name="Normal 249" xfId="2912" xr:uid="{CA145D52-3F2D-4A76-96BF-80796F0D4B65}"/>
    <cellStyle name="Normal 249 2" xfId="18100" xr:uid="{6A83C4BC-794D-4915-82F9-898885069858}"/>
    <cellStyle name="Normal 25" xfId="476" xr:uid="{C2BA43EA-7F82-454C-AB8C-CD1BC33A9C65}"/>
    <cellStyle name="Normal 25 2" xfId="477" xr:uid="{96E1DB23-8113-418C-8193-96EF4222CD01}"/>
    <cellStyle name="Normal 25 2 2" xfId="2165" xr:uid="{ADDD66B6-1CB2-4949-94E4-F1075C64924E}"/>
    <cellStyle name="Normal 25 2 3" xfId="16770" xr:uid="{9B7D6F13-EB60-4D2C-91BB-668CA0FB1286}"/>
    <cellStyle name="Normal 25 3" xfId="478" xr:uid="{68DA5719-5FB9-413D-BBAF-16B9D47BA7D4}"/>
    <cellStyle name="Normal 25 3 2" xfId="2166" xr:uid="{CA9925C7-679A-4F3D-92D1-FCA462F56F1F}"/>
    <cellStyle name="Normal 25 3 3" xfId="16771" xr:uid="{2338AB20-FCBF-4A9C-8E15-0C192B57629B}"/>
    <cellStyle name="Normal 25 4" xfId="2164" xr:uid="{964845EE-D5A2-4EDD-A599-734ACDBD3267}"/>
    <cellStyle name="Normal 25 4 2" xfId="17780" xr:uid="{1844D79E-B705-47CF-8E17-8E2EE6D79AB4}"/>
    <cellStyle name="Normal 25 4 3" xfId="15864" xr:uid="{3D1FE389-0BBB-4705-B334-6B5EBA50CA87}"/>
    <cellStyle name="Normal 25 5" xfId="18093" xr:uid="{AABB532F-AACE-4224-8334-765B4613E901}"/>
    <cellStyle name="Normal 25 6" xfId="16769" xr:uid="{C4C3C9B1-F890-4E97-B602-729DFCFFC75F}"/>
    <cellStyle name="Normal 250" xfId="2913" xr:uid="{505EAD43-EA70-44C0-9DF3-26AF1CD46E7B}"/>
    <cellStyle name="Normal 250 2" xfId="18101" xr:uid="{18CDA812-6211-47A7-A804-3F44CD2479D1}"/>
    <cellStyle name="Normal 251" xfId="18102" xr:uid="{02F78E7C-72CD-4D51-B991-C9E2A311A4AA}"/>
    <cellStyle name="Normal 252" xfId="18103" xr:uid="{05FB476C-8043-481A-B4EA-1139AFF8DD3E}"/>
    <cellStyle name="Normal 253" xfId="18104" xr:uid="{2128B664-A4DF-437C-96DB-1DD00440F3ED}"/>
    <cellStyle name="Normal 254" xfId="18105" xr:uid="{09121AAF-B02B-483B-8207-A7D6D61B4176}"/>
    <cellStyle name="Normal 255" xfId="18106" xr:uid="{BCC16649-D7B8-41ED-ACB5-6B587B0D3D10}"/>
    <cellStyle name="Normal 256" xfId="18107" xr:uid="{7A20FBE2-9709-4619-9A3F-EC840FBB734B}"/>
    <cellStyle name="Normal 257" xfId="18108" xr:uid="{B006D1C1-B543-4E96-B736-067C3661C1B3}"/>
    <cellStyle name="Normal 258" xfId="18109" xr:uid="{BBB66651-27B2-44F9-AE9E-C5B43D137A16}"/>
    <cellStyle name="Normal 259" xfId="18110" xr:uid="{9101C7F8-DD6A-4055-9FAD-C8844D5DCB54}"/>
    <cellStyle name="Normal 26" xfId="479" xr:uid="{E8BA5866-87D1-45D7-B761-90CDF1D79E09}"/>
    <cellStyle name="Normal 26 2" xfId="480" xr:uid="{F74BAD92-6CEF-4506-9B2A-172295D9359F}"/>
    <cellStyle name="Normal 26 2 2" xfId="2168" xr:uid="{55916AEA-E05A-4977-8A61-DB303C8E9E15}"/>
    <cellStyle name="Normal 26 2 3" xfId="16773" xr:uid="{3F2E5D38-8B63-472E-93A8-1291361E169B}"/>
    <cellStyle name="Normal 26 3" xfId="481" xr:uid="{3625B681-83AA-4765-B614-ABCD3C81CC3A}"/>
    <cellStyle name="Normal 26 3 2" xfId="2169" xr:uid="{668ABC5D-9664-448C-9E51-2FEA72CA54BC}"/>
    <cellStyle name="Normal 26 3 3" xfId="16774" xr:uid="{B3E1392C-AA20-42EF-A2DF-A4F888C885B8}"/>
    <cellStyle name="Normal 26 4" xfId="2167" xr:uid="{DF1D01C1-101A-4773-8A31-87A5EF13A592}"/>
    <cellStyle name="Normal 26 4 2" xfId="17781" xr:uid="{37038FE1-E2D9-408D-BE88-3722FE4649D2}"/>
    <cellStyle name="Normal 26 4 3" xfId="16457" xr:uid="{2F966FD5-B798-4D83-8363-8A5EDB38C3E1}"/>
    <cellStyle name="Normal 26 5" xfId="18094" xr:uid="{C4B44F34-16DF-40E7-AAD2-1EE12AB1DBD6}"/>
    <cellStyle name="Normal 26 6" xfId="16772" xr:uid="{76AD04E2-C73D-4E4C-8EE1-6E2F6F4D7E04}"/>
    <cellStyle name="Normal 260" xfId="18111" xr:uid="{E58723AE-5440-4A98-8E7D-5739CD79818D}"/>
    <cellStyle name="Normal 261" xfId="18112" xr:uid="{44E46EBB-D614-4F41-B06D-64BF708E169E}"/>
    <cellStyle name="Normal 262" xfId="18113" xr:uid="{F0F5B079-5C90-4CA0-BA95-7D4F58E43AD7}"/>
    <cellStyle name="Normal 263" xfId="18132" xr:uid="{9103E2D9-14DC-46A1-8DEE-C35FA4080151}"/>
    <cellStyle name="Normal 264" xfId="18147" xr:uid="{0632323D-BBEF-439B-935C-229F1266DACF}"/>
    <cellStyle name="Normal 265" xfId="16468" xr:uid="{F4BFB4D1-0F7D-418B-8167-04707FCEE7F1}"/>
    <cellStyle name="Normal 266" xfId="17016" xr:uid="{A824AFBA-6C62-4B94-B157-67AD2E36D100}"/>
    <cellStyle name="Normal 267" xfId="3844" xr:uid="{35B2B2AB-31FB-40BF-AA1A-81F95EE2B15B}"/>
    <cellStyle name="Normal 268" xfId="17603" xr:uid="{BC06304A-9BDF-4B64-BCFA-45F3E21D6A74}"/>
    <cellStyle name="Normal 269" xfId="18285" xr:uid="{5F6B4833-3C34-44FE-854A-59EE3B5530DE}"/>
    <cellStyle name="Normal 27" xfId="482" xr:uid="{FF0BA242-A4EE-4C10-8C2B-802A3A00F3CE}"/>
    <cellStyle name="Normal 27 2" xfId="483" xr:uid="{AD7AB8E7-9A41-447F-8399-9BBC5B3E2454}"/>
    <cellStyle name="Normal 27 2 2" xfId="2171" xr:uid="{21CA5BF2-EAB1-4EA7-ADD0-0EE49BB93441}"/>
    <cellStyle name="Normal 27 2 3" xfId="16776" xr:uid="{32C9CA16-81AC-4988-8A48-15A5CD3AB517}"/>
    <cellStyle name="Normal 27 3" xfId="484" xr:uid="{48DE688C-251B-4001-A9C0-400C7B3F3F9E}"/>
    <cellStyle name="Normal 27 3 2" xfId="2172" xr:uid="{80E0A482-1DF3-4801-9688-A14ADB7C6981}"/>
    <cellStyle name="Normal 27 3 3" xfId="16777" xr:uid="{209A5731-E461-46C0-9BF6-C6970CEA385D}"/>
    <cellStyle name="Normal 27 4" xfId="2170" xr:uid="{D612FE3C-6627-4333-AE4D-6A5BE2809FEA}"/>
    <cellStyle name="Normal 27 5" xfId="16775" xr:uid="{07B5360F-ABC0-4469-B464-83A72AF98A87}"/>
    <cellStyle name="Normal 28" xfId="485" xr:uid="{A975BD80-04A1-4941-8738-49976BF98A00}"/>
    <cellStyle name="Normal 28 10" xfId="18237" xr:uid="{8B1B7CB7-A34A-4660-A428-654D2FE01947}"/>
    <cellStyle name="Normal 28 2" xfId="486" xr:uid="{166E2167-3BDC-4137-B98D-EB66B8F1761D}"/>
    <cellStyle name="Normal 28 2 2" xfId="2174" xr:uid="{5E4916BB-215B-48FD-8080-06DDDD87A637}"/>
    <cellStyle name="Normal 28 2 2 2" xfId="12389" xr:uid="{9353A088-E624-4C41-9EC9-88B974DC9A76}"/>
    <cellStyle name="Normal 28 2 2 3" xfId="17783" xr:uid="{39D03604-57FF-4541-A27E-0DAEE3D58F79}"/>
    <cellStyle name="Normal 28 2 2 4" xfId="12388" xr:uid="{5CDB9500-2F77-4261-818B-C4A688DD4088}"/>
    <cellStyle name="Normal 28 2 2_Working Capital Current" xfId="15865" xr:uid="{30962A3F-9AD5-4C3F-8323-6140FC2566A1}"/>
    <cellStyle name="Normal 28 2 3" xfId="12390" xr:uid="{63F7664D-962E-4FE3-8F20-F42DAAA71EB5}"/>
    <cellStyle name="Normal 28 2 4" xfId="12391" xr:uid="{BC050816-FA41-4BCD-A6E7-D4453F511C8C}"/>
    <cellStyle name="Normal 28 2 5" xfId="12387" xr:uid="{816191C8-314C-4447-94F7-3520361DB4B8}"/>
    <cellStyle name="Normal 28 2 6" xfId="16779" xr:uid="{69F38F86-B5E4-4A4F-AB33-8F549FED1EF9}"/>
    <cellStyle name="Normal 28 2 7" xfId="18165" xr:uid="{4EBE121F-A927-44EB-AF38-51841BE1575E}"/>
    <cellStyle name="Normal 28 2_Working Capital Current" xfId="15866" xr:uid="{33FB6A73-EEDB-48B6-99C1-D23D393EB038}"/>
    <cellStyle name="Normal 28 3" xfId="487" xr:uid="{3BD54FA8-DF9E-4B15-9213-336FFEBE7A7A}"/>
    <cellStyle name="Normal 28 3 2" xfId="2175" xr:uid="{872222AF-E178-44B1-9B92-3A6090443C04}"/>
    <cellStyle name="Normal 28 3 2 2" xfId="17784" xr:uid="{23176238-95E6-43C6-813E-50A8FBBEF072}"/>
    <cellStyle name="Normal 28 3 2 3" xfId="12393" xr:uid="{F0AF0872-FD0D-47DA-A016-BC2080C11A86}"/>
    <cellStyle name="Normal 28 3 3" xfId="12392" xr:uid="{C1016FAD-CCDD-4161-8552-CC1DDC096368}"/>
    <cellStyle name="Normal 28 3 4" xfId="16780" xr:uid="{8F30DE74-E717-48DE-95C1-33A24893851C}"/>
    <cellStyle name="Normal 28 3_Working Capital Current" xfId="15867" xr:uid="{83048B4F-4A2A-4369-A5C6-345B6B5FB5A1}"/>
    <cellStyle name="Normal 28 4" xfId="2173" xr:uid="{5D529C40-22FA-438B-AA1A-D27CE42DCFF5}"/>
    <cellStyle name="Normal 28 4 2" xfId="17782" xr:uid="{B8D8562C-2182-4F33-AC07-DE498652E020}"/>
    <cellStyle name="Normal 28 4 3" xfId="12394" xr:uid="{514ABFB4-C9A8-4541-AEAA-614B711975B2}"/>
    <cellStyle name="Normal 28 5" xfId="12395" xr:uid="{98C1C54B-91BA-41D2-9BEC-D1ED660C7A85}"/>
    <cellStyle name="Normal 28 6" xfId="12386" xr:uid="{3586CA5E-A31B-4549-8E4C-D43C302EB201}"/>
    <cellStyle name="Normal 28 7" xfId="16778" xr:uid="{A474423D-31C0-45D2-80C0-74206250D169}"/>
    <cellStyle name="Normal 28 8" xfId="18164" xr:uid="{45E613EC-A58F-497A-A0A3-6AAD2C9A0F17}"/>
    <cellStyle name="Normal 28 9" xfId="17791" xr:uid="{1D7E4C30-E9A2-4A12-98F0-C67535685E12}"/>
    <cellStyle name="Normal 28_Not_for_upload_before_M4_correc" xfId="15868" xr:uid="{15932E13-8B4E-4C00-AA09-9E03A5760889}"/>
    <cellStyle name="Normal 29" xfId="488" xr:uid="{0664EC6C-6E5A-4EC3-80FD-B30FC73048B0}"/>
    <cellStyle name="Normal 29 2" xfId="489" xr:uid="{3F60D559-17BA-4F5E-AB02-B00F3B879D1F}"/>
    <cellStyle name="Normal 29 2 2" xfId="2177" xr:uid="{A4A12999-0C68-499A-8679-BCD6BF2E5621}"/>
    <cellStyle name="Normal 29 2 3" xfId="16782" xr:uid="{6C6A9FDF-F30F-4BB3-AA62-9271B2A5F03E}"/>
    <cellStyle name="Normal 29 3" xfId="490" xr:uid="{B8F1FF4A-0405-4E37-BAC3-8B8FA785B4BD}"/>
    <cellStyle name="Normal 29 3 2" xfId="491" xr:uid="{D5F9D18C-113F-4C0C-A4FE-F767DB2FA599}"/>
    <cellStyle name="Normal 29 3 2 2" xfId="2179" xr:uid="{47984060-5C77-4A37-9F40-DC6ADC52B8DC}"/>
    <cellStyle name="Normal 29 3 2 3" xfId="16784" xr:uid="{5FE81720-F071-4DDF-BE9F-080351C2902B}"/>
    <cellStyle name="Normal 29 3 3" xfId="492" xr:uid="{51767229-4F8B-4E13-85F7-127FA72709E4}"/>
    <cellStyle name="Normal 29 3 3 2" xfId="2180" xr:uid="{DCBCB504-6AAC-45CA-BBA3-8941C869D870}"/>
    <cellStyle name="Normal 29 3 3 3" xfId="16785" xr:uid="{E93E6064-9C8F-443A-BDA2-5ADCB218F2F5}"/>
    <cellStyle name="Normal 29 3 4" xfId="2178" xr:uid="{413CE10F-06D6-4942-8B07-49C8ED2F477F}"/>
    <cellStyle name="Normal 29 3 5" xfId="16783" xr:uid="{EDEB6715-C3B0-4092-B1CE-EAE2AEEC919F}"/>
    <cellStyle name="Normal 29 4" xfId="2176" xr:uid="{5A59A547-D9AA-4622-9E9B-6FFEC99C22A0}"/>
    <cellStyle name="Normal 29 5" xfId="18095" xr:uid="{2452DC40-90F3-47A6-B733-977F0A03CA12}"/>
    <cellStyle name="Normal 29 6" xfId="16781" xr:uid="{A20A6BF3-005F-4917-BFCA-72AC3E0033EF}"/>
    <cellStyle name="Normal 3" xfId="493" xr:uid="{D834DCF4-939E-44F9-B408-A032B96B0F8A}"/>
    <cellStyle name="Normal 3 2" xfId="494" xr:uid="{AEABE32F-E6DE-44AE-9F59-F2E0B0D2CD19}"/>
    <cellStyle name="Normal 3 2 2" xfId="495" xr:uid="{2FC44806-0F1C-47D9-B9D1-1BCA81C1B5F3}"/>
    <cellStyle name="Normal 3 2 2 2" xfId="2183" xr:uid="{AE73AAC3-17A0-425A-A1E7-619F87BB87AD}"/>
    <cellStyle name="Normal 3 2 2 2 2" xfId="17789" xr:uid="{79D42706-C39C-4FC9-B9AF-1BCB51ABD023}"/>
    <cellStyle name="Normal 3 2 2 2 3" xfId="12398" xr:uid="{E0369BFF-836A-4DF2-B03B-2142F8373E2B}"/>
    <cellStyle name="Normal 3 2 2 3" xfId="16788" xr:uid="{364CB171-D779-4AA1-A620-CEA619C9345B}"/>
    <cellStyle name="Normal 3 2 3" xfId="496" xr:uid="{C8616D34-B8EA-477A-B911-AE1C0F949AD7}"/>
    <cellStyle name="Normal 3 2 3 2" xfId="2184" xr:uid="{B1BC22BE-938F-41D8-997B-CCBAFA046600}"/>
    <cellStyle name="Normal 3 2 3 3" xfId="16789" xr:uid="{91EBA8D6-7454-407C-821C-9256A8503885}"/>
    <cellStyle name="Normal 3 2 4" xfId="497" xr:uid="{759BE302-6E64-435E-8CF2-09FFD4F6915A}"/>
    <cellStyle name="Normal 3 2 4 2" xfId="2185" xr:uid="{663615EF-1298-4686-8D7B-A9E8482AE1B3}"/>
    <cellStyle name="Normal 3 2 4 3" xfId="16790" xr:uid="{F6747C12-DD14-4456-970A-5F61D9862993}"/>
    <cellStyle name="Normal 3 2 5" xfId="1213" xr:uid="{1E4291FE-9E3C-423D-8978-76E82A8A2226}"/>
    <cellStyle name="Normal 3 2 5 2" xfId="1214" xr:uid="{444253C3-AE9D-4300-887C-52E4DEA91E57}"/>
    <cellStyle name="Normal 3 2 5 2 2" xfId="1215" xr:uid="{A086E62F-FC44-4B16-BA60-02335E51519B}"/>
    <cellStyle name="Normal 3 2 5 2 3" xfId="1216" xr:uid="{FC42F49C-8BA8-4BFD-BF28-C6868CE4F146}"/>
    <cellStyle name="Normal 3 2 5 3" xfId="17148" xr:uid="{CBD7B785-125C-47FD-8841-4C2BFAF1B422}"/>
    <cellStyle name="Normal 3 2 5 4" xfId="12397" xr:uid="{2D91DB46-FC91-45B9-A9F6-948C4C71D571}"/>
    <cellStyle name="Normal 3 2 6" xfId="1217" xr:uid="{CBF46507-C43B-4E69-B4C5-7ABF2BDA55C2}"/>
    <cellStyle name="Normal 3 2 6 2" xfId="18138" xr:uid="{1428BF97-8AC5-4F37-9647-47053FEEEC2F}"/>
    <cellStyle name="Normal 3 2 7" xfId="2182" xr:uid="{558C1AE8-31EE-4945-98DE-1369A4B65AED}"/>
    <cellStyle name="Normal 3 2 8" xfId="16787" xr:uid="{ED89DBDD-E486-48E7-8DB5-7A17F37D6D67}"/>
    <cellStyle name="Normal 3 2_Working Capital Current" xfId="15869" xr:uid="{15AE6BE1-8F4D-4FBA-BA5B-E08ABF9B3625}"/>
    <cellStyle name="Normal 3 3" xfId="498" xr:uid="{B018A696-CE9D-47BA-8F0A-169EB0EE0E55}"/>
    <cellStyle name="Normal 3 3 2" xfId="1218" xr:uid="{51EDC3CC-79F4-4060-882B-9102E9ADA8B4}"/>
    <cellStyle name="Normal 3 3 2 2" xfId="17149" xr:uid="{3DFC93F3-9BCC-4541-9212-1D28A898E64C}"/>
    <cellStyle name="Normal 3 3 2 3" xfId="12399" xr:uid="{4830ABC9-5C15-4140-B465-6595F9E50622}"/>
    <cellStyle name="Normal 3 3 3" xfId="2186" xr:uid="{51EF0EB8-038A-4AE5-858B-7D4393E143E0}"/>
    <cellStyle name="Normal 3 3 4" xfId="16791" xr:uid="{A2B0A580-0FBA-4F07-B62D-BF4145CD3623}"/>
    <cellStyle name="Normal 3 4" xfId="499" xr:uid="{0D8BDE13-4387-4500-BE1E-E4D8890A3385}"/>
    <cellStyle name="Normal 3 4 2" xfId="2187" xr:uid="{0D4AB038-985D-44E9-B010-5F9B1B44C8F3}"/>
    <cellStyle name="Normal 3 4 2 2" xfId="17790" xr:uid="{2254EE05-B2B3-44C3-B29D-AEB3C9A85461}"/>
    <cellStyle name="Normal 3 4 2 3" xfId="12400" xr:uid="{13ACE9A0-6EAA-4A33-AB1B-5BC3F0FC4B45}"/>
    <cellStyle name="Normal 3 4 3" xfId="16792" xr:uid="{E240E963-8CE7-4946-8439-8124B134CD80}"/>
    <cellStyle name="Normal 3 5" xfId="500" xr:uid="{53A47BF7-7B15-438F-B96B-187295E5AB57}"/>
    <cellStyle name="Normal 3 5 2" xfId="1385" xr:uid="{66074D16-FCFE-467D-B05D-ADFEF53C3A65}"/>
    <cellStyle name="Normal 3 5 3" xfId="1219" xr:uid="{D17F76E8-0964-40A6-8D43-1B2C5926BF92}"/>
    <cellStyle name="Normal 3 5 4" xfId="2188" xr:uid="{10C0E23C-A5AC-4783-BE74-D69C6373A945}"/>
    <cellStyle name="Normal 3 5 5" xfId="18139" xr:uid="{37822780-4CCC-4D2C-A77A-D09DBA1C8C8B}"/>
    <cellStyle name="Normal 3 5 6" xfId="16793" xr:uid="{E6D9B660-0DF3-44B0-B38D-9DF00083BFC7}"/>
    <cellStyle name="Normal 3 6" xfId="2181" xr:uid="{E24458A7-8D85-4C42-B7C3-B315387570FA}"/>
    <cellStyle name="Normal 3 6 2" xfId="18140" xr:uid="{0E7214BE-5BF6-4203-B0BE-F8948AA0230C}"/>
    <cellStyle name="Normal 3 6 3" xfId="17788" xr:uid="{CA23509E-1A6D-45B1-AB3F-8F0974CFAA19}"/>
    <cellStyle name="Normal 3 6 4" xfId="12396" xr:uid="{7B0FFA6D-52BD-4342-B280-4AD94820D492}"/>
    <cellStyle name="Normal 3 7" xfId="18141" xr:uid="{DF034103-213F-415A-8A3C-808A56250030}"/>
    <cellStyle name="Normal 3 8" xfId="16786" xr:uid="{DFACAFE7-3661-4DCF-9694-E217EAD38C07}"/>
    <cellStyle name="Normal 3_Not_for_upload_before_M4_correc" xfId="15870" xr:uid="{BBCD9A37-1EC1-4F97-A6C6-7D01BED219EF}"/>
    <cellStyle name="Normal 30" xfId="501" xr:uid="{FE844849-52F4-47DE-AB2E-5FBE2CB06592}"/>
    <cellStyle name="Normal 30 2" xfId="502" xr:uid="{0F973CA5-CFDC-4F03-837C-BDBACC432360}"/>
    <cellStyle name="Normal 30 2 2" xfId="2190" xr:uid="{2EA2B10D-0452-4383-B775-6F7737F16F6B}"/>
    <cellStyle name="Normal 30 2 3" xfId="16795" xr:uid="{50CB8448-584B-47B7-86B4-5E73E63CABB1}"/>
    <cellStyle name="Normal 30 3" xfId="503" xr:uid="{48AAF56A-130F-4A83-A8D2-CCA25047F002}"/>
    <cellStyle name="Normal 30 3 2" xfId="504" xr:uid="{45BF76C9-F9B8-41A4-975C-C57F5B6D2659}"/>
    <cellStyle name="Normal 30 3 2 2" xfId="2192" xr:uid="{633A237B-0C85-4A81-AAB5-53FD8B850D20}"/>
    <cellStyle name="Normal 30 3 2 3" xfId="16797" xr:uid="{83FBBDD3-16A9-404C-94C9-C1009166D540}"/>
    <cellStyle name="Normal 30 3 3" xfId="505" xr:uid="{1DE4218E-51B1-486F-83E3-7D17BFCFB7AC}"/>
    <cellStyle name="Normal 30 3 3 2" xfId="2193" xr:uid="{53744CC8-B170-4EC4-BE20-D4E84636A202}"/>
    <cellStyle name="Normal 30 3 3 3" xfId="16798" xr:uid="{BA8A9987-5191-44A0-9E00-D0517B56A707}"/>
    <cellStyle name="Normal 30 3 4" xfId="2191" xr:uid="{D221E01F-5FB7-4173-884B-19C12BA6F7A7}"/>
    <cellStyle name="Normal 30 3 5" xfId="16796" xr:uid="{9D705134-ECED-4BEF-831D-897C7C209FC6}"/>
    <cellStyle name="Normal 30 4" xfId="2189" xr:uid="{DF0B8B4D-B882-4DC8-AABB-74A71989E075}"/>
    <cellStyle name="Normal 30 5" xfId="16794" xr:uid="{695D261C-4226-4E76-AD79-16DEA32A3392}"/>
    <cellStyle name="Normal 31" xfId="506" xr:uid="{E1B4BE84-91BC-49D1-A45E-EA44725F6843}"/>
    <cellStyle name="Normal 31 2" xfId="507" xr:uid="{7C62B8CA-D840-4F79-97C9-1BE4548918D7}"/>
    <cellStyle name="Normal 31 2 2" xfId="2195" xr:uid="{81D345DD-8F47-48F5-8564-34637897A4DD}"/>
    <cellStyle name="Normal 31 2 3" xfId="16800" xr:uid="{294378DE-1A85-4E6E-B644-2A7FC89AD82E}"/>
    <cellStyle name="Normal 31 3" xfId="2194" xr:uid="{A8B1AA53-143C-4BAE-957F-FA1DE56BF2DC}"/>
    <cellStyle name="Normal 31 4" xfId="16799" xr:uid="{DBFE1908-60AD-43F7-A901-960D1DB348F8}"/>
    <cellStyle name="Normal 32" xfId="508" xr:uid="{C309356F-0BDC-4629-97F3-CEC652C188E6}"/>
    <cellStyle name="Normal 32 2" xfId="509" xr:uid="{6AF881E4-EB64-4E76-B3D3-02941D13A89B}"/>
    <cellStyle name="Normal 32 2 2" xfId="510" xr:uid="{2C5D3B60-4422-4ADC-9BE2-A94BCB3C869E}"/>
    <cellStyle name="Normal 32 2 2 2" xfId="2198" xr:uid="{4FE6B65A-B111-4B68-9A89-EA5AF93C8492}"/>
    <cellStyle name="Normal 32 2 2 3" xfId="16803" xr:uid="{5AFD459F-639D-4496-855F-6DB2637B7B45}"/>
    <cellStyle name="Normal 32 2 3" xfId="511" xr:uid="{EDAF326F-5EF5-4267-B92D-C2617D8048D3}"/>
    <cellStyle name="Normal 32 2 3 2" xfId="2199" xr:uid="{7281E751-CBEA-49C7-9C1F-37CFFA4E6305}"/>
    <cellStyle name="Normal 32 2 3 3" xfId="16804" xr:uid="{1095D0D8-8896-4961-8AC9-9AA332048F28}"/>
    <cellStyle name="Normal 32 2 4" xfId="2197" xr:uid="{646A0DAF-348B-4072-9B32-6CFD0F5B4EDE}"/>
    <cellStyle name="Normal 32 2 5" xfId="16802" xr:uid="{B6B99479-EB23-46F9-8288-C836DA16B254}"/>
    <cellStyle name="Normal 32 3" xfId="2196" xr:uid="{1F0EB548-A40B-43C6-B00F-39E242FE181C}"/>
    <cellStyle name="Normal 32 4" xfId="16801" xr:uid="{395781DB-6E53-48D4-9751-8E1A145EA310}"/>
    <cellStyle name="Normal 33" xfId="512" xr:uid="{C58C56F2-4975-4AE2-8E5F-8EECCF160EC2}"/>
    <cellStyle name="Normal 33 2" xfId="513" xr:uid="{C38729E6-B47B-4D39-A71E-B1B7B0B649AB}"/>
    <cellStyle name="Normal 33 2 2" xfId="2201" xr:uid="{8A31C579-29AD-46C5-B7D0-946715D22BDF}"/>
    <cellStyle name="Normal 33 2 3" xfId="16806" xr:uid="{8A6C0D3F-5E8B-4001-AEE6-934F65F6ED1C}"/>
    <cellStyle name="Normal 33 3" xfId="2200" xr:uid="{5ED16131-10B8-470C-8758-BF7855D0AE6B}"/>
    <cellStyle name="Normal 33 4" xfId="16805" xr:uid="{99B1310A-11D2-4472-932E-330673A5A122}"/>
    <cellStyle name="Normal 34" xfId="514" xr:uid="{0E3ED0CD-4C75-4251-9624-2416F87C1A27}"/>
    <cellStyle name="Normal 34 2" xfId="515" xr:uid="{7E2AF32F-D32C-4268-A2E0-AA3E7BA607E5}"/>
    <cellStyle name="Normal 34 2 2" xfId="2203" xr:uid="{3C445874-BFA3-4793-9956-FA45FDF7F3C2}"/>
    <cellStyle name="Normal 34 2 3" xfId="16808" xr:uid="{A90CCB08-D712-4DE3-8178-22B079FDD3F8}"/>
    <cellStyle name="Normal 34 3" xfId="516" xr:uid="{C7FF0207-D521-4FFB-A4CF-A761A393B399}"/>
    <cellStyle name="Normal 34 3 2" xfId="2204" xr:uid="{7E35D8CF-0DD6-4EDF-8C7C-2AB0345347F2}"/>
    <cellStyle name="Normal 34 3 3" xfId="16809" xr:uid="{F758E36F-C6DD-4ECB-8066-ED5792D19590}"/>
    <cellStyle name="Normal 34 4" xfId="517" xr:uid="{C79BF580-9B1F-4073-8BB6-29494CD531BA}"/>
    <cellStyle name="Normal 34 4 2" xfId="2205" xr:uid="{21373967-3F16-4955-B5F9-7D657522EAA7}"/>
    <cellStyle name="Normal 34 4 3" xfId="16810" xr:uid="{D8A77E97-51F9-492B-A5CF-7BDA59DEED02}"/>
    <cellStyle name="Normal 34 5" xfId="2202" xr:uid="{5FD45360-B252-40AE-A087-F70276FAD9FE}"/>
    <cellStyle name="Normal 34 6" xfId="16807" xr:uid="{A8FCAA57-D558-4A4C-B1CE-4B642832A392}"/>
    <cellStyle name="Normal 35" xfId="518" xr:uid="{6BC85F0A-7412-47BE-9E53-04E250DC5F38}"/>
    <cellStyle name="Normal 35 2" xfId="519" xr:uid="{1443B1BA-1D32-486F-A56B-2987FCFEEC6B}"/>
    <cellStyle name="Normal 35 2 2" xfId="520" xr:uid="{58CB45AF-4A6A-4EF4-B892-A1A09E26F029}"/>
    <cellStyle name="Normal 35 2 2 2" xfId="2208" xr:uid="{A33A9A8B-8FF7-4A2F-AD4B-2E5DED3E70B0}"/>
    <cellStyle name="Normal 35 2 2 3" xfId="16813" xr:uid="{52CB89C2-88D7-492B-B886-4419A63B94DC}"/>
    <cellStyle name="Normal 35 2 3" xfId="521" xr:uid="{83BF6660-8562-47FE-A7D0-410165970A94}"/>
    <cellStyle name="Normal 35 2 3 2" xfId="2209" xr:uid="{E026FFD7-4669-437A-A762-B8FD56E22577}"/>
    <cellStyle name="Normal 35 2 3 3" xfId="16814" xr:uid="{F89E6C29-09AC-4634-9AF6-861DB47C687D}"/>
    <cellStyle name="Normal 35 2 4" xfId="2207" xr:uid="{D20C8B6C-3199-49B0-A176-4951914C46CB}"/>
    <cellStyle name="Normal 35 2 5" xfId="16812" xr:uid="{7F593CDC-D8A8-4CF6-864A-3539DCAF579B}"/>
    <cellStyle name="Normal 35 3" xfId="522" xr:uid="{89E26CDF-D796-4CB0-B9A1-B0BB2C1A4539}"/>
    <cellStyle name="Normal 35 3 2" xfId="2210" xr:uid="{388C38F4-FFC9-45FB-B631-86A267E4131C}"/>
    <cellStyle name="Normal 35 3 3" xfId="16815" xr:uid="{F867A30F-6D9E-494D-8F2F-7D4FAA76B7FA}"/>
    <cellStyle name="Normal 35 4" xfId="523" xr:uid="{B00C60D9-2CB4-4F24-8680-1EB7702BFDE7}"/>
    <cellStyle name="Normal 35 4 2" xfId="2211" xr:uid="{16AAEF3A-4F6A-4C40-8867-652FD7029C71}"/>
    <cellStyle name="Normal 35 4 3" xfId="16816" xr:uid="{53C6977A-2EB3-4AB2-AF84-65ADD965C23F}"/>
    <cellStyle name="Normal 35 5" xfId="2206" xr:uid="{D742B099-A659-41CA-80C0-183C917B6985}"/>
    <cellStyle name="Normal 35 6" xfId="16811" xr:uid="{ED5DE5B8-A160-484D-8B2E-CE3706D8BE38}"/>
    <cellStyle name="Normal 36" xfId="524" xr:uid="{7FD22820-ABE2-4A59-897D-C2FC1558522A}"/>
    <cellStyle name="Normal 36 2" xfId="525" xr:uid="{4107FFB2-2D89-47DD-AC69-F68EA74DE625}"/>
    <cellStyle name="Normal 36 2 2" xfId="2213" xr:uid="{D3A6B718-1EA0-470B-BA0B-5831A3F8E5F5}"/>
    <cellStyle name="Normal 36 2 3" xfId="16818" xr:uid="{F184073B-9DF5-41BD-8782-1BDE1AEA42E6}"/>
    <cellStyle name="Normal 36 3" xfId="2212" xr:uid="{F2CE8981-DB49-4737-8ADE-D6E13F72678A}"/>
    <cellStyle name="Normal 36 4" xfId="18096" xr:uid="{7C79196D-C9D6-4410-934E-ED0F76B98C55}"/>
    <cellStyle name="Normal 36 5" xfId="16817" xr:uid="{E0B84046-2A76-49C8-9571-CBAFB9ED20B3}"/>
    <cellStyle name="Normal 37" xfId="526" xr:uid="{1860A7F1-2731-40E0-A3D5-BF564119F680}"/>
    <cellStyle name="Normal 37 2" xfId="527" xr:uid="{C07628B3-AF63-480E-A668-6B005966438B}"/>
    <cellStyle name="Normal 37 2 2" xfId="2215" xr:uid="{10269843-C0DA-46E2-8F32-A7DF6E4991F7}"/>
    <cellStyle name="Normal 37 2 3" xfId="16820" xr:uid="{C711196E-A32B-4A06-ADF6-CC6F676ACB49}"/>
    <cellStyle name="Normal 37 3" xfId="2214" xr:uid="{C86D7F84-4A6A-43EF-9082-D13A208C3B20}"/>
    <cellStyle name="Normal 37 4" xfId="18097" xr:uid="{04567181-738E-40AD-8FC1-5EE42971ABDF}"/>
    <cellStyle name="Normal 37 5" xfId="16819" xr:uid="{9FEBE4C8-A1F0-4334-AEC8-36CF98B0F364}"/>
    <cellStyle name="Normal 38" xfId="528" xr:uid="{67784488-9956-4FF2-8630-2EBE1C1F15C6}"/>
    <cellStyle name="Normal 38 2" xfId="529" xr:uid="{715B1D7B-E8BA-41EB-88B4-72C52B6BB5A2}"/>
    <cellStyle name="Normal 38 2 2" xfId="530" xr:uid="{0C583F46-3844-4341-830D-5A9E077008EC}"/>
    <cellStyle name="Normal 38 2 2 2" xfId="2218" xr:uid="{87483A71-8321-4D36-A2ED-D575161F3AD4}"/>
    <cellStyle name="Normal 38 2 2 3" xfId="16823" xr:uid="{CF06C852-4270-4796-A91B-FA837FA84048}"/>
    <cellStyle name="Normal 38 2 3" xfId="531" xr:uid="{5FC23AD9-5744-4436-94DB-F620EBB559C5}"/>
    <cellStyle name="Normal 38 2 3 2" xfId="2219" xr:uid="{E8F9B619-E670-492D-B70E-0DB56A39ACAE}"/>
    <cellStyle name="Normal 38 2 3 3" xfId="16824" xr:uid="{2CB70BFB-1509-4416-A3D2-13AAC15CFFBE}"/>
    <cellStyle name="Normal 38 2 4" xfId="2217" xr:uid="{3CA3D046-F695-484B-92A7-26A2AF4E1A23}"/>
    <cellStyle name="Normal 38 2 5" xfId="16822" xr:uid="{F5ABC85A-1309-4002-937F-56C9254182E7}"/>
    <cellStyle name="Normal 38 3" xfId="2216" xr:uid="{2CCEC782-AB18-4804-BE3D-EFC2514CEF2B}"/>
    <cellStyle name="Normal 38 4" xfId="18098" xr:uid="{E38AC1B2-BC26-40B2-A7D5-AE5CF701862B}"/>
    <cellStyle name="Normal 38 5" xfId="16821" xr:uid="{5B146BD2-37C9-4E39-AEE3-273F8320444C}"/>
    <cellStyle name="Normal 39" xfId="532" xr:uid="{AC7666D7-F237-4F82-952B-E2F9E358CADC}"/>
    <cellStyle name="Normal 39 2" xfId="533" xr:uid="{087674F4-0C98-40A8-8681-502E0B1AFFD0}"/>
    <cellStyle name="Normal 39 2 2" xfId="534" xr:uid="{12DEEB35-7C73-4640-B5A1-7D4592AC0A66}"/>
    <cellStyle name="Normal 39 2 2 2" xfId="2222" xr:uid="{2469D1CF-2F82-401A-BA5A-A759D428E42D}"/>
    <cellStyle name="Normal 39 2 2 3" xfId="16827" xr:uid="{9A845668-EAA0-4F11-A1EC-E748A6F78D6E}"/>
    <cellStyle name="Normal 39 2 3" xfId="535" xr:uid="{1CC0DA71-5265-4C0D-ADAA-C11F0E832D07}"/>
    <cellStyle name="Normal 39 2 3 2" xfId="2223" xr:uid="{8E1C13D2-CCCE-432B-A09D-D7F721158579}"/>
    <cellStyle name="Normal 39 2 3 3" xfId="16828" xr:uid="{E441A0E9-91EC-4056-897F-83BE59DD52D0}"/>
    <cellStyle name="Normal 39 2 4" xfId="2221" xr:uid="{252632DC-E80E-4259-B464-C3AC91E62152}"/>
    <cellStyle name="Normal 39 2 5" xfId="16826" xr:uid="{7012798E-F4CA-4E90-86E8-0C58C1E2AC5D}"/>
    <cellStyle name="Normal 39 3" xfId="2220" xr:uid="{6D93E52E-17CE-446C-BABC-26583A39BC2E}"/>
    <cellStyle name="Normal 39 4" xfId="18099" xr:uid="{0DCC2D26-9BBD-475B-B794-7D1EF49569B1}"/>
    <cellStyle name="Normal 39 5" xfId="16825" xr:uid="{24BFF234-69D6-458B-A550-C138A14350FB}"/>
    <cellStyle name="Normal 4" xfId="536" xr:uid="{6394EDE4-D447-4C75-9EA5-93F79C6C8E4F}"/>
    <cellStyle name="Normal 4 2" xfId="537" xr:uid="{B1DECD94-CB7E-4546-B759-17278EB80FEB}"/>
    <cellStyle name="Normal 4 2 2" xfId="2225" xr:uid="{C17F9E87-90A5-4462-915F-B388BEFE7090}"/>
    <cellStyle name="Normal 4 2 3" xfId="16830" xr:uid="{ED6ABD06-D529-4D68-B111-91775F3435E0}"/>
    <cellStyle name="Normal 4 3" xfId="538" xr:uid="{031CE11F-C1B5-46EB-8CBC-DAAD82710065}"/>
    <cellStyle name="Normal 4 3 2" xfId="539" xr:uid="{AE7A2585-C8A9-4916-ABAE-C835986D6F17}"/>
    <cellStyle name="Normal 4 3 2 2" xfId="2227" xr:uid="{63A04995-0BAC-4ABD-B320-056BC3F76A51}"/>
    <cellStyle name="Normal 4 3 2 3" xfId="16832" xr:uid="{CA8623A6-5C9C-44D8-9056-251FF3B6F222}"/>
    <cellStyle name="Normal 4 3 3" xfId="540" xr:uid="{CBF53A3F-9093-4071-BE56-4DC5A219C71A}"/>
    <cellStyle name="Normal 4 3 3 2" xfId="2228" xr:uid="{063C1DE9-6948-4085-9569-DD295D2DC73C}"/>
    <cellStyle name="Normal 4 3 3 3" xfId="16833" xr:uid="{8E519A2C-45F6-4A9B-BC89-3218997DF422}"/>
    <cellStyle name="Normal 4 3 4" xfId="2226" xr:uid="{8B65363C-72F9-4541-A1AE-FCDA24F7F464}"/>
    <cellStyle name="Normal 4 3 5" xfId="16831" xr:uid="{5ABB6F10-7C2A-4727-8039-485536C30114}"/>
    <cellStyle name="Normal 4 4" xfId="541" xr:uid="{486B4C04-196F-4502-85CE-8F7C41D3C726}"/>
    <cellStyle name="Normal 4 4 2" xfId="2229" xr:uid="{71245A02-DC87-4B46-B704-9D07CF06FAD1}"/>
    <cellStyle name="Normal 4 4 3" xfId="16834" xr:uid="{23B1D695-BB81-418B-94D4-36AED9C2113A}"/>
    <cellStyle name="Normal 4 5" xfId="542" xr:uid="{D8EC1ED2-62E8-4604-907A-56D3C9535D1B}"/>
    <cellStyle name="Normal 4 5 2" xfId="1386" xr:uid="{9630E9BF-F5FC-4464-8FEC-FB8141D2FD93}"/>
    <cellStyle name="Normal 4 5 3" xfId="1220" xr:uid="{21D720A2-85A5-4AE4-B30E-E853FFFD0172}"/>
    <cellStyle name="Normal 4 5 4" xfId="2230" xr:uid="{A28285EC-951D-4FAB-8E82-6F6128DB5AAD}"/>
    <cellStyle name="Normal 4 5 5" xfId="16835" xr:uid="{F297AE8F-1F22-4657-9509-BB98071D8C37}"/>
    <cellStyle name="Normal 4 6" xfId="1221" xr:uid="{FBB91847-BED1-424B-9865-1D7CDB561B79}"/>
    <cellStyle name="Normal 4 6 2" xfId="17150" xr:uid="{E0D363F9-CB6D-4239-8B02-A94E476925A6}"/>
    <cellStyle name="Normal 4 6 3" xfId="12401" xr:uid="{5707B4AA-A4E5-4907-BB5D-834B7ADD0475}"/>
    <cellStyle name="Normal 4 7" xfId="2224" xr:uid="{8129624D-721E-47AC-8027-E288D80089A1}"/>
    <cellStyle name="Normal 4 8" xfId="16829" xr:uid="{1993B04F-A757-494B-ADC7-D5367C64055C}"/>
    <cellStyle name="Normal 40" xfId="543" xr:uid="{66808997-9EA7-47B5-AB2F-4A7C5A43CB7E}"/>
    <cellStyle name="Normal 40 2" xfId="544" xr:uid="{2BA83331-2C8F-4CED-AE42-B4061245AB15}"/>
    <cellStyle name="Normal 40 2 2" xfId="2232" xr:uid="{04098ACF-7C1D-498D-99A7-E8E6BEDB5E13}"/>
    <cellStyle name="Normal 40 2 3" xfId="16837" xr:uid="{74BAC535-8C53-4E1B-9565-A6F41C379724}"/>
    <cellStyle name="Normal 40 3" xfId="2231" xr:uid="{C72D1BA8-70FF-412E-B84A-EA8A3ED4E665}"/>
    <cellStyle name="Normal 40 4" xfId="16836" xr:uid="{D693CDC7-F61E-40A3-A727-FDFFB1CF645A}"/>
    <cellStyle name="Normal 41" xfId="545" xr:uid="{8AE5667D-8E20-4B18-8427-218A927F0B6D}"/>
    <cellStyle name="Normal 41 2" xfId="546" xr:uid="{52719B2B-1DFD-4BF8-B11F-3A82177114BE}"/>
    <cellStyle name="Normal 41 2 2" xfId="547" xr:uid="{9A757C4C-1A02-41F4-94C7-2139A91525B3}"/>
    <cellStyle name="Normal 41 2 2 2" xfId="2235" xr:uid="{544DC5A2-0E95-47F2-9142-73A4FECE4F7F}"/>
    <cellStyle name="Normal 41 2 2 3" xfId="16840" xr:uid="{0AED2C1E-C1E5-490C-A7D3-7BB18814101B}"/>
    <cellStyle name="Normal 41 2 3" xfId="548" xr:uid="{EB65F47D-29CD-4AE2-9A40-73B776DC3EDB}"/>
    <cellStyle name="Normal 41 2 3 2" xfId="2236" xr:uid="{3E62B2BE-C26B-42FA-B433-245C1FE28379}"/>
    <cellStyle name="Normal 41 2 3 3" xfId="16841" xr:uid="{CD4489FB-B935-4F40-83D0-49FF81DD567E}"/>
    <cellStyle name="Normal 41 2 4" xfId="2234" xr:uid="{905A86F8-31D0-4F9E-AF72-3A5D8F6F4D85}"/>
    <cellStyle name="Normal 41 2 5" xfId="16839" xr:uid="{44931E85-9E37-410D-9B84-2291C51A932E}"/>
    <cellStyle name="Normal 41 3" xfId="2233" xr:uid="{9A1DFD95-A3B5-4003-A9FD-1DC5BA7E1FE5}"/>
    <cellStyle name="Normal 41 4" xfId="16838" xr:uid="{BA4E657B-7BEF-4058-8F63-AA4E99407F87}"/>
    <cellStyle name="Normal 42" xfId="549" xr:uid="{DD21650B-53F9-4441-A1D6-D6D0891FE580}"/>
    <cellStyle name="Normal 42 2" xfId="550" xr:uid="{1920795A-452B-43EF-99CD-0FF75844C4C2}"/>
    <cellStyle name="Normal 42 2 2" xfId="551" xr:uid="{513FC620-F711-4F1F-AC3E-BC13FA0B0440}"/>
    <cellStyle name="Normal 42 2 2 2" xfId="2239" xr:uid="{CC912A99-29BB-422F-AF99-023861E84CBB}"/>
    <cellStyle name="Normal 42 2 2 3" xfId="16844" xr:uid="{57908B55-C248-4BF1-A56A-35A10146E7E0}"/>
    <cellStyle name="Normal 42 2 3" xfId="552" xr:uid="{49340A02-D776-4483-BD62-1640E7949B11}"/>
    <cellStyle name="Normal 42 2 3 2" xfId="2240" xr:uid="{B0A2BC9E-21E9-4E9F-B88B-1C12EBD9D12C}"/>
    <cellStyle name="Normal 42 2 3 3" xfId="16845" xr:uid="{79AD671D-4D76-488C-847E-C00177A4DB94}"/>
    <cellStyle name="Normal 42 2 4" xfId="2238" xr:uid="{CA37BD82-4AD1-4795-94B9-0DB6CB728843}"/>
    <cellStyle name="Normal 42 2 5" xfId="16843" xr:uid="{E7A29673-04A9-46A1-B13D-0977886A5096}"/>
    <cellStyle name="Normal 42 3" xfId="2237" xr:uid="{304BE240-E2B8-4244-9F0F-33644B0CB6B7}"/>
    <cellStyle name="Normal 42 4" xfId="16842" xr:uid="{55335D5A-5297-4B6A-97D8-CA9A58FCE009}"/>
    <cellStyle name="Normal 43" xfId="553" xr:uid="{FA3E3E36-B7AE-4EC6-9C6D-D240F375D37D}"/>
    <cellStyle name="Normal 43 2" xfId="554" xr:uid="{C88D5F80-5BF0-46A1-A6BB-17648BD0F1ED}"/>
    <cellStyle name="Normal 43 2 2" xfId="2242" xr:uid="{95413B99-044E-49DB-88C1-F05187D871FF}"/>
    <cellStyle name="Normal 43 2 3" xfId="16847" xr:uid="{A5BCC47F-C74E-43D3-B1C4-37C7E7CB4CD9}"/>
    <cellStyle name="Normal 43 3" xfId="2241" xr:uid="{C8A5E36A-1BA9-4E8B-87D4-E3981168A32F}"/>
    <cellStyle name="Normal 43 4" xfId="16846" xr:uid="{E3BFB1BF-5F2C-4DE4-9784-C5A459241CC0}"/>
    <cellStyle name="Normal 44" xfId="555" xr:uid="{BE67BA41-7203-4225-BF89-774FC6BA9C42}"/>
    <cellStyle name="Normal 44 2" xfId="556" xr:uid="{328FA4D6-CE74-4DAE-A7A5-2D56DC1D2B4C}"/>
    <cellStyle name="Normal 44 2 2" xfId="557" xr:uid="{4E8E748E-E07D-411F-BAB2-26716514A4D9}"/>
    <cellStyle name="Normal 44 2 2 2" xfId="2245" xr:uid="{617F50B2-BE63-40C4-84E5-1E086C256213}"/>
    <cellStyle name="Normal 44 2 2 3" xfId="16850" xr:uid="{941C108E-D470-48E9-B2A1-90CCFC7E72EE}"/>
    <cellStyle name="Normal 44 2 3" xfId="558" xr:uid="{D4F4C7DE-61B5-4A34-9900-E35242412EDA}"/>
    <cellStyle name="Normal 44 2 3 2" xfId="2246" xr:uid="{57DD9E01-D793-48B9-BA08-D8E8D9DD750D}"/>
    <cellStyle name="Normal 44 2 3 3" xfId="16851" xr:uid="{EAECFCC9-A6F9-4804-90C9-E540E009F193}"/>
    <cellStyle name="Normal 44 2 4" xfId="2244" xr:uid="{024BB645-B57A-4FE9-8799-87345CACF44D}"/>
    <cellStyle name="Normal 44 2 5" xfId="16849" xr:uid="{EB4E86BF-38D8-4669-BE2A-B396419F8B60}"/>
    <cellStyle name="Normal 44 3" xfId="2243" xr:uid="{1830BA9F-0E5B-4A6D-930C-0809A3C661A7}"/>
    <cellStyle name="Normal 44 4" xfId="16848" xr:uid="{4C6EB7F8-C9FE-4D5F-8AD9-F2E4E49A830F}"/>
    <cellStyle name="Normal 45" xfId="559" xr:uid="{0523E23A-81C7-4E03-AD98-28C3DBCA55FD}"/>
    <cellStyle name="Normal 45 2" xfId="560" xr:uid="{DBF1AD80-195A-4368-9755-00C3DDEBAB92}"/>
    <cellStyle name="Normal 45 2 2" xfId="2248" xr:uid="{21ADDECC-1F0A-445F-AEB5-7DCEEC241919}"/>
    <cellStyle name="Normal 45 2 3" xfId="16853" xr:uid="{B1ADE744-B398-45BC-8905-7EA66ABD67FC}"/>
    <cellStyle name="Normal 45 3" xfId="2247" xr:uid="{15465036-359C-44B5-9E23-550963386EA1}"/>
    <cellStyle name="Normal 45 4" xfId="16852" xr:uid="{2159EF3A-4D4E-45D3-BB2E-0F469CAC7102}"/>
    <cellStyle name="Normal 46" xfId="561" xr:uid="{72B1F007-D571-40B7-B738-94A8C3196458}"/>
    <cellStyle name="Normal 46 2" xfId="562" xr:uid="{C75DD0EC-F826-4926-A736-67FB1DA84CE7}"/>
    <cellStyle name="Normal 46 2 2" xfId="2250" xr:uid="{E6CAD406-AA5A-43D2-972B-A72D7E68CFEC}"/>
    <cellStyle name="Normal 46 2 3" xfId="16855" xr:uid="{E7D6927E-5BAE-4F3D-95B4-E76F38D2A84C}"/>
    <cellStyle name="Normal 46 3" xfId="2249" xr:uid="{334FBED8-92FE-41FA-9433-E79EFADB0EC5}"/>
    <cellStyle name="Normal 46 4" xfId="16854" xr:uid="{8A0FD9DC-2216-4001-924C-95B483F92DCB}"/>
    <cellStyle name="Normal 47" xfId="563" xr:uid="{1AE46A2E-FB64-4F15-99BA-2F5C1217D991}"/>
    <cellStyle name="Normal 47 2" xfId="1222" xr:uid="{653455FD-E99F-4BA8-8384-6D5A4DD522A7}"/>
    <cellStyle name="Normal 47 3" xfId="2251" xr:uid="{ECCA6CF0-20AE-4C57-A79D-39A539D0ED02}"/>
    <cellStyle name="Normal 47 4" xfId="16856" xr:uid="{448095EF-A60D-4421-B3B7-9907AC871870}"/>
    <cellStyle name="Normal 48" xfId="564" xr:uid="{60A1080B-1304-4768-9051-46F34123CDB3}"/>
    <cellStyle name="Normal 48 2" xfId="1223" xr:uid="{8002728E-E774-4224-AE69-31A370B82EE8}"/>
    <cellStyle name="Normal 48 3" xfId="2252" xr:uid="{C5ECFFA2-6088-4431-87C0-D49E3CFEA3F1}"/>
    <cellStyle name="Normal 48 4" xfId="16857" xr:uid="{7256A5AF-BA2C-4DBA-A01C-F7637A8F081E}"/>
    <cellStyle name="Normal 49" xfId="565" xr:uid="{FDD7442F-09C7-43FA-9568-DBB5D935C61B}"/>
    <cellStyle name="Normal 49 2" xfId="1224" xr:uid="{CBC0198A-9C08-408E-AFE4-9A97A6434667}"/>
    <cellStyle name="Normal 49 3" xfId="2253" xr:uid="{FE83127B-7328-43A5-B70D-EC11E056BD7E}"/>
    <cellStyle name="Normal 49 4" xfId="16858" xr:uid="{78F28C94-93A9-4E0E-85FC-C5751F24D63F}"/>
    <cellStyle name="Normal 5" xfId="566" xr:uid="{87B214E0-5836-4AAE-A116-D6908A43A7FD}"/>
    <cellStyle name="Normal 5 2" xfId="567" xr:uid="{DA187D7D-654B-4A90-91E4-690359B98A51}"/>
    <cellStyle name="Normal 5 2 2" xfId="2255" xr:uid="{0679080C-43D0-4D93-85F7-D19728C6F5DC}"/>
    <cellStyle name="Normal 5 2 3" xfId="16860" xr:uid="{1126CA28-A2E9-40E4-89B9-650D253AECC7}"/>
    <cellStyle name="Normal 5 3" xfId="1225" xr:uid="{0027E60F-6960-48E1-BB8C-E1F7EB65050C}"/>
    <cellStyle name="Normal 5 3 2" xfId="17151" xr:uid="{90833BF3-8580-474C-BA99-E36AD4134C97}"/>
    <cellStyle name="Normal 5 3 3" xfId="12402" xr:uid="{29A167C0-C0F8-42AA-BD2F-02566CE06863}"/>
    <cellStyle name="Normal 5 4" xfId="2254" xr:uid="{3BA12C9C-4868-4C31-A7EE-B1F2589EF5CA}"/>
    <cellStyle name="Normal 5 5" xfId="16859" xr:uid="{F93FC4C1-B48B-4684-8D08-26D577189685}"/>
    <cellStyle name="Normal 50" xfId="568" xr:uid="{A6823022-4512-4E6C-BA11-34425E2FEC40}"/>
    <cellStyle name="Normal 50 2" xfId="1226" xr:uid="{B25480A6-2BCF-41B3-84A1-D92A639F7BC4}"/>
    <cellStyle name="Normal 50 3" xfId="2256" xr:uid="{E633A855-9B5D-436E-956C-74E8E7FE62A1}"/>
    <cellStyle name="Normal 50 4" xfId="16861" xr:uid="{7E3639FE-A7B4-4072-9346-FBBA23684F40}"/>
    <cellStyle name="Normal 51" xfId="569" xr:uid="{B746BD45-48FA-48B3-BDF8-4BE1D9DCD483}"/>
    <cellStyle name="Normal 51 2" xfId="1227" xr:uid="{D6C4E66C-F345-4BC7-9171-4F3851A8B741}"/>
    <cellStyle name="Normal 51 3" xfId="2257" xr:uid="{76FA639D-2768-41A0-B521-D6A4AB1530A0}"/>
    <cellStyle name="Normal 51 4" xfId="16862" xr:uid="{B6771318-8756-45BA-8FC4-EB2896CA1F26}"/>
    <cellStyle name="Normal 52" xfId="570" xr:uid="{1DE17B38-90EB-4E35-9306-5E985127D5AB}"/>
    <cellStyle name="Normal 52 2" xfId="571" xr:uid="{CDED16BB-32A8-4D2F-9A28-8908FC6458B9}"/>
    <cellStyle name="Normal 52 2 2" xfId="2259" xr:uid="{80550157-7D18-4F63-9DBA-D01D9C570B4F}"/>
    <cellStyle name="Normal 52 2 3" xfId="16864" xr:uid="{117A3729-F422-4F68-8A82-F1718259EFF1}"/>
    <cellStyle name="Normal 52 3" xfId="572" xr:uid="{3C22D715-0F0C-4D24-ABC0-E40E4CAA9E84}"/>
    <cellStyle name="Normal 52 3 2" xfId="2260" xr:uid="{EE525A47-1AC6-445A-8625-47DC03F7291C}"/>
    <cellStyle name="Normal 52 3 3" xfId="16865" xr:uid="{D6D12245-308D-4750-8991-2C3E50F15C09}"/>
    <cellStyle name="Normal 52 4" xfId="2258" xr:uid="{FF661E69-C46B-4F61-BDAA-FD476DA6B026}"/>
    <cellStyle name="Normal 52 5" xfId="16863" xr:uid="{C3222618-0DC0-478C-9802-70FB0D0BD8D3}"/>
    <cellStyle name="Normal 53" xfId="573" xr:uid="{6DD3EA49-FE1C-4CED-9435-131CCFE031D3}"/>
    <cellStyle name="Normal 53 2" xfId="574" xr:uid="{032A4F46-2584-4E88-A64D-0963E9805E29}"/>
    <cellStyle name="Normal 53 2 2" xfId="2262" xr:uid="{7B4E69AA-B447-49C4-AE8A-C13BA847B993}"/>
    <cellStyle name="Normal 53 2 3" xfId="16867" xr:uid="{F3C7E3D8-8C6E-43FE-83C0-58CF0458522C}"/>
    <cellStyle name="Normal 53 3" xfId="575" xr:uid="{EF4989AF-8C1E-4998-8524-7A4E878F201E}"/>
    <cellStyle name="Normal 53 3 2" xfId="2263" xr:uid="{723E7EE3-E3D5-4E5F-9544-87BCB280DB82}"/>
    <cellStyle name="Normal 53 3 3" xfId="16868" xr:uid="{7300B65C-AAE4-430C-93EB-C7F7FE35A16A}"/>
    <cellStyle name="Normal 53 4" xfId="2261" xr:uid="{EBB994A6-A11D-4F99-92CB-FBF0397438FA}"/>
    <cellStyle name="Normal 53 5" xfId="16866" xr:uid="{84F0C366-A3D0-4AE2-90E5-11BF189A8C0F}"/>
    <cellStyle name="Normal 54" xfId="576" xr:uid="{D3826917-8951-4888-ADC2-1BF50358E569}"/>
    <cellStyle name="Normal 54 2" xfId="577" xr:uid="{4DF69B8A-6980-4367-BEA1-BB63507E9AE3}"/>
    <cellStyle name="Normal 54 2 2" xfId="578" xr:uid="{637FAC79-95B0-4E95-BA46-27150B425D62}"/>
    <cellStyle name="Normal 54 2 2 2" xfId="2266" xr:uid="{57804858-5C3A-44FF-A869-B6536462C997}"/>
    <cellStyle name="Normal 54 2 2 3" xfId="16871" xr:uid="{3BA014F1-3F8D-42A0-9C7F-A135D04B5149}"/>
    <cellStyle name="Normal 54 2 3" xfId="2265" xr:uid="{3C09BC6C-B771-441A-B493-D96A7A2B319D}"/>
    <cellStyle name="Normal 54 2 4" xfId="16870" xr:uid="{53C11138-601B-49BF-82F0-1ABDC2090950}"/>
    <cellStyle name="Normal 54 3" xfId="579" xr:uid="{66DC7A62-E287-4373-B477-59A33D9F57C1}"/>
    <cellStyle name="Normal 54 3 2" xfId="2267" xr:uid="{AF598E62-1673-43AD-9A18-D45F9B425E59}"/>
    <cellStyle name="Normal 54 3 3" xfId="16872" xr:uid="{9789492B-C62F-4507-B60D-90060952125C}"/>
    <cellStyle name="Normal 54 4" xfId="580" xr:uid="{3FA84B28-3C25-414C-8028-A911CE132BFF}"/>
    <cellStyle name="Normal 54 4 2" xfId="2268" xr:uid="{7924BE6C-557D-4E76-B51C-5DCC94D01B81}"/>
    <cellStyle name="Normal 54 4 3" xfId="16873" xr:uid="{96364BED-C6E6-4A69-AD5B-0C33E207A3FE}"/>
    <cellStyle name="Normal 54 5" xfId="2264" xr:uid="{18F10BFA-B2AB-453B-A4C6-B5CB9982E925}"/>
    <cellStyle name="Normal 54 6" xfId="16869" xr:uid="{3A0E3BC1-4C32-467C-AE36-22D2317BC7B8}"/>
    <cellStyle name="Normal 55" xfId="581" xr:uid="{927968C4-55E1-4BC9-AC8D-6641B8E6EF54}"/>
    <cellStyle name="Normal 55 2" xfId="2269" xr:uid="{6984AC5C-5CBE-4EEC-B94D-7F4CCEED8BEE}"/>
    <cellStyle name="Normal 55 3" xfId="16874" xr:uid="{9787D1B0-6E18-45C7-BBB0-BAD24A75B856}"/>
    <cellStyle name="Normal 56" xfId="582" xr:uid="{77665C0A-42D6-4BA3-8C1F-D248A2305ADD}"/>
    <cellStyle name="Normal 56 2" xfId="2270" xr:uid="{19C95F91-77F9-4D8C-87B9-F5487B1E470C}"/>
    <cellStyle name="Normal 56 3" xfId="16875" xr:uid="{1F08D21A-4B05-4D96-8002-814A9E8FE5AF}"/>
    <cellStyle name="Normal 57" xfId="583" xr:uid="{1D1FD6D7-1FB8-4142-9916-8F392FDEDE79}"/>
    <cellStyle name="Normal 57 2" xfId="584" xr:uid="{E317CF9E-F2B1-4E6E-AAC0-C21D85A07184}"/>
    <cellStyle name="Normal 57 2 2" xfId="2272" xr:uid="{C02D226B-DF15-486F-BBAF-D9BF74A4D49F}"/>
    <cellStyle name="Normal 57 2 3" xfId="16877" xr:uid="{70145D02-0006-4C4B-9874-EAC16B13C1FE}"/>
    <cellStyle name="Normal 57 3" xfId="585" xr:uid="{C14C547B-38CA-4E4D-9B6D-3E3FCC13014A}"/>
    <cellStyle name="Normal 57 3 2" xfId="2273" xr:uid="{C8B15E38-FB1C-4B62-A029-D8145739AB1C}"/>
    <cellStyle name="Normal 57 3 3" xfId="16878" xr:uid="{4EE18B9C-7497-4CDE-902D-66F462459C58}"/>
    <cellStyle name="Normal 57 4" xfId="2271" xr:uid="{9F2F9FFB-CE20-4343-BE31-F8ACFA0854FA}"/>
    <cellStyle name="Normal 57 5" xfId="16876" xr:uid="{11586AE0-72A3-42E0-BFF6-348E65E9C4E9}"/>
    <cellStyle name="Normal 58" xfId="586" xr:uid="{342E5869-1958-4292-99DC-BF0D342583AC}"/>
    <cellStyle name="Normal 58 2" xfId="587" xr:uid="{491E7AD6-DE9F-49A5-A5D9-9F9FAE16A2E3}"/>
    <cellStyle name="Normal 58 2 2" xfId="2275" xr:uid="{2B7C9744-5EE5-4F7C-B012-2A43A5DB3D02}"/>
    <cellStyle name="Normal 58 2 3" xfId="16880" xr:uid="{26292938-872F-4D59-8ACF-E8207F42D39F}"/>
    <cellStyle name="Normal 58 3" xfId="2274" xr:uid="{ADFC757E-61AA-49B9-8079-B3B468CD2DBC}"/>
    <cellStyle name="Normal 58 4" xfId="16879" xr:uid="{EF2FE752-9AC1-49A5-AFEB-0E6FAD0D1ABA}"/>
    <cellStyle name="Normal 59" xfId="588" xr:uid="{E7813E23-AA3A-495B-80A5-E67602498CA2}"/>
    <cellStyle name="Normal 59 2" xfId="2276" xr:uid="{DBEF74E7-56F3-48B0-9CF0-E2A25C2AE95C}"/>
    <cellStyle name="Normal 59 3" xfId="16881" xr:uid="{467E65B1-7F4B-4210-B6DD-CF0E91DAB755}"/>
    <cellStyle name="Normal 6" xfId="589" xr:uid="{E1A8B6E8-082B-4F1D-AA5E-00DCAE3952B8}"/>
    <cellStyle name="Normal 6 2" xfId="590" xr:uid="{97D6CAC4-57F9-4234-8D07-6FDA94E89572}"/>
    <cellStyle name="Normal 6 2 2" xfId="2278" xr:uid="{F9E1BC52-3393-44C5-AAF2-FCA85ABCA561}"/>
    <cellStyle name="Normal 6 2 3" xfId="16883" xr:uid="{C6AE6B2B-0845-4B35-99EB-43890171A844}"/>
    <cellStyle name="Normal 6 3" xfId="1228" xr:uid="{AEFE29FE-3767-4F7E-9E61-CEFDC703DBC0}"/>
    <cellStyle name="Normal 6 3 2" xfId="17152" xr:uid="{B77546C9-1749-492F-A8D2-3C4274D715AD}"/>
    <cellStyle name="Normal 6 3 3" xfId="12403" xr:uid="{8501C604-D9EE-4318-B88E-33E6C45EFB10}"/>
    <cellStyle name="Normal 6 4" xfId="2277" xr:uid="{1AB7685F-14AB-4836-A96E-0A37CDB9F1C5}"/>
    <cellStyle name="Normal 6 5" xfId="16882" xr:uid="{D68758C3-9FA8-49EA-9051-3943D2F9E8DE}"/>
    <cellStyle name="Normal 60" xfId="591" xr:uid="{AC1E7D89-7C07-4118-BF03-863504F30284}"/>
    <cellStyle name="Normal 60 2" xfId="2279" xr:uid="{AD452957-1C63-42A5-AE1C-6187A073286F}"/>
    <cellStyle name="Normal 60 3" xfId="16884" xr:uid="{DD8EFBFB-712C-46DB-A2AC-1DEC9C6294D5}"/>
    <cellStyle name="Normal 61" xfId="592" xr:uid="{C71EC3A5-F2C1-4181-9E2A-ADD0E7E7B586}"/>
    <cellStyle name="Normal 61 2" xfId="2280" xr:uid="{9D83F160-76F7-4428-B7A0-B68DDF196162}"/>
    <cellStyle name="Normal 61 3" xfId="16885" xr:uid="{AC2CBA51-23E9-43D6-BAAF-030A4E696C81}"/>
    <cellStyle name="Normal 62" xfId="593" xr:uid="{00F5CA1B-3C90-433C-96BB-6C2FC14D06D5}"/>
    <cellStyle name="Normal 62 2" xfId="2281" xr:uid="{32DFF21A-CCFE-453A-B610-2885D392623B}"/>
    <cellStyle name="Normal 62 3" xfId="16886" xr:uid="{F975FD6A-93E6-492C-8E8E-0929726DCC1C}"/>
    <cellStyle name="Normal 63" xfId="594" xr:uid="{C6B2703C-C94E-4059-87D9-1FC58AE03865}"/>
    <cellStyle name="Normal 63 2" xfId="2282" xr:uid="{922443FC-23C3-49C3-86B0-3116364D09DD}"/>
    <cellStyle name="Normal 63 3" xfId="16887" xr:uid="{34ED25F9-C2F7-4528-ADD6-F7A50A2DF0E5}"/>
    <cellStyle name="Normal 64" xfId="595" xr:uid="{3D7B31F0-955E-419A-BF1D-E16EC9723304}"/>
    <cellStyle name="Normal 64 2" xfId="596" xr:uid="{650EDCE2-A912-45BF-98E4-97F5FF8E74FA}"/>
    <cellStyle name="Normal 64 2 2" xfId="2284" xr:uid="{B4F0AC17-FCDE-404D-B04E-0B14D366D33E}"/>
    <cellStyle name="Normal 64 2 3" xfId="16889" xr:uid="{452F83CF-3743-4525-B380-ABD717A5D959}"/>
    <cellStyle name="Normal 64 3" xfId="597" xr:uid="{A9DABA10-744B-4D78-9575-F88DBE87AF9D}"/>
    <cellStyle name="Normal 64 3 2" xfId="2285" xr:uid="{0C669257-3FBB-437C-B3D4-D7A9B5F1380E}"/>
    <cellStyle name="Normal 64 3 3" xfId="16890" xr:uid="{0F1D8A64-EEAA-4F65-AD19-44AD4468F892}"/>
    <cellStyle name="Normal 64 4" xfId="1229" xr:uid="{FA9AC36D-2CE1-4E8C-BD49-8BF4E704859E}"/>
    <cellStyle name="Normal 64 5" xfId="2283" xr:uid="{8CC050F4-6795-4E87-B692-756A53BF0410}"/>
    <cellStyle name="Normal 64 6" xfId="16888" xr:uid="{A3B2FD08-229F-4D52-9375-8BE9FAB0FC0C}"/>
    <cellStyle name="Normal 65" xfId="598" xr:uid="{03885B54-4F95-4E80-A93F-7D61AF011A83}"/>
    <cellStyle name="Normal 65 2" xfId="2286" xr:uid="{D7ECF468-26CC-472C-9D6F-8E3C3CCA9072}"/>
    <cellStyle name="Normal 65 3" xfId="16891" xr:uid="{07187831-D1B2-41D0-9414-6752DF913C32}"/>
    <cellStyle name="Normal 66" xfId="599" xr:uid="{A77B2B5E-9E13-4108-9351-FA21ACD9DF61}"/>
    <cellStyle name="Normal 66 2" xfId="2287" xr:uid="{78DC586A-B81E-47BB-A948-F919AD32D8FC}"/>
    <cellStyle name="Normal 66 3" xfId="16892" xr:uid="{ECE544F6-E747-432C-AB60-D33E8D185A70}"/>
    <cellStyle name="Normal 67" xfId="600" xr:uid="{1C110FEF-B915-4666-A60C-9B706E68F3A1}"/>
    <cellStyle name="Normal 67 2" xfId="601" xr:uid="{28326F96-420C-428B-A469-CAB6ECD964DA}"/>
    <cellStyle name="Normal 67 2 2" xfId="2289" xr:uid="{062BF75F-0092-4983-932C-FB1E932E1265}"/>
    <cellStyle name="Normal 67 2 3" xfId="16894" xr:uid="{BE1D59ED-B383-40B9-95C6-37AE4ED0BA74}"/>
    <cellStyle name="Normal 67 3" xfId="1230" xr:uid="{2D4FA501-7526-4E15-9066-B8FFE9C48E6B}"/>
    <cellStyle name="Normal 67 4" xfId="2288" xr:uid="{33A2B002-489C-4919-96B9-3621DC70418C}"/>
    <cellStyle name="Normal 67 5" xfId="16893" xr:uid="{0A7E5FC8-AC23-4568-A310-23BC23AC2A69}"/>
    <cellStyle name="Normal 68" xfId="602" xr:uid="{A0E36546-0347-4DA7-A600-A94569A9A147}"/>
    <cellStyle name="Normal 68 2" xfId="1231" xr:uid="{E08A0434-A631-4800-8053-3E5DB55E2F66}"/>
    <cellStyle name="Normal 68 3" xfId="1232" xr:uid="{1E03ED1E-D06B-4B9C-B9D4-6A0D4FD7056A}"/>
    <cellStyle name="Normal 68 4" xfId="2290" xr:uid="{F68B6F7C-E2EC-4254-8775-844EE56EEFD9}"/>
    <cellStyle name="Normal 68 5" xfId="16895" xr:uid="{3D23EC19-DC86-4A6B-B7F8-86FDC764264F}"/>
    <cellStyle name="Normal 69" xfId="603" xr:uid="{06478530-2067-47B9-A1F5-49B58B0AFF4A}"/>
    <cellStyle name="Normal 69 2" xfId="1233" xr:uid="{ADFE640A-3F69-4335-BC5F-C24B3240D56A}"/>
    <cellStyle name="Normal 69 3" xfId="1234" xr:uid="{5690BD7F-FAA1-4F8B-990E-5831FEAC5395}"/>
    <cellStyle name="Normal 69 4" xfId="2291" xr:uid="{625A8B44-0EAB-4EB5-9B11-BAC227702D29}"/>
    <cellStyle name="Normal 69 5" xfId="16896" xr:uid="{3B7090FA-6533-44D7-9F81-32765C7AA8FC}"/>
    <cellStyle name="Normal 7" xfId="604" xr:uid="{22712742-2096-49BD-8ED1-3081E64CC800}"/>
    <cellStyle name="Normal 7 2" xfId="605" xr:uid="{1BDD948F-02C2-4CC4-94D8-BFB588AD4A84}"/>
    <cellStyle name="Normal 7 2 2" xfId="2293" xr:uid="{65463D62-4FF4-4590-8950-07879980D5F1}"/>
    <cellStyle name="Normal 7 2 3" xfId="16898" xr:uid="{CDA64FF8-A04D-42F7-8D08-4F8760D6D522}"/>
    <cellStyle name="Normal 7 3" xfId="1235" xr:uid="{5333481D-8C11-46AF-B7A3-59AD57D67536}"/>
    <cellStyle name="Normal 7 3 2" xfId="17153" xr:uid="{A9F48D22-CFC9-4E04-9D8B-0E986EF6CF42}"/>
    <cellStyle name="Normal 7 3 3" xfId="12404" xr:uid="{FD8FD685-8C99-4A26-8AF2-AD8EEA893760}"/>
    <cellStyle name="Normal 7 4" xfId="2292" xr:uid="{23B71B9D-7ED8-4886-B91C-A2B7F1448F2D}"/>
    <cellStyle name="Normal 7 5" xfId="16897" xr:uid="{581F226E-18B7-470D-90AF-8F9F8238A18C}"/>
    <cellStyle name="Normal 7_USDTreasury" xfId="606" xr:uid="{8EBED255-5382-4D75-B0EE-AA9882A18B76}"/>
    <cellStyle name="Normal 70" xfId="607" xr:uid="{80E6E211-AA36-4BFC-AD95-96D0A2C13BB4}"/>
    <cellStyle name="Normal 70 2" xfId="608" xr:uid="{BCEFA944-DE64-41BA-9EC4-2366DE77693F}"/>
    <cellStyle name="Normal 70 2 2" xfId="2295" xr:uid="{9ADEEC85-72C7-4451-BDF4-DDC3E7EA493E}"/>
    <cellStyle name="Normal 70 2 3" xfId="16900" xr:uid="{7BC18835-F7AA-4F58-B8B0-8ACB3ED3F53F}"/>
    <cellStyle name="Normal 70 3" xfId="609" xr:uid="{7CB80A01-15DE-4B3C-BA87-5E0590AE0020}"/>
    <cellStyle name="Normal 70 3 2" xfId="2296" xr:uid="{4F1325E7-1593-4C83-81CC-A3F0CD63CAB9}"/>
    <cellStyle name="Normal 70 3 3" xfId="16901" xr:uid="{D20F0736-EFC5-401A-A66B-B17C9545E3F3}"/>
    <cellStyle name="Normal 70 4" xfId="2294" xr:uid="{2D1941FE-8AFA-4ED2-BAC0-52C811BF1EDF}"/>
    <cellStyle name="Normal 70 5" xfId="16899" xr:uid="{C1BD66E6-12D4-46DA-B9DE-19520706A5FE}"/>
    <cellStyle name="Normal 71" xfId="610" xr:uid="{18A4716B-157E-4E67-AD68-8DFD7C368E82}"/>
    <cellStyle name="Normal 71 2" xfId="611" xr:uid="{3AB9EE01-11F6-4217-8860-7E87255A45AE}"/>
    <cellStyle name="Normal 71 2 2" xfId="2298" xr:uid="{7BC0294C-880D-4778-B690-D678A6AAF3CD}"/>
    <cellStyle name="Normal 71 2 3" xfId="16903" xr:uid="{72774572-D428-43FA-8F63-EB9F8772E257}"/>
    <cellStyle name="Normal 71 3" xfId="612" xr:uid="{C36993FE-E0FC-40D2-A6BD-C407105076DF}"/>
    <cellStyle name="Normal 71 3 2" xfId="2299" xr:uid="{F245E617-E89B-4509-943B-1AD756F81865}"/>
    <cellStyle name="Normal 71 3 3" xfId="16904" xr:uid="{CA9BA4F8-6299-48E7-86AD-1D55D13EFA9A}"/>
    <cellStyle name="Normal 71 4" xfId="613" xr:uid="{90AD088B-205E-4EDE-AD8D-5296DC2F342E}"/>
    <cellStyle name="Normal 71 4 2" xfId="2300" xr:uid="{AC06B0B8-D3AF-4359-8E33-4DCCA98EF3A5}"/>
    <cellStyle name="Normal 71 4 3" xfId="16905" xr:uid="{6467C77A-AF47-4C8A-9482-65F0B7D52621}"/>
    <cellStyle name="Normal 71 5" xfId="2297" xr:uid="{038DEE0F-EF3C-4693-889F-A9D33F29DF7C}"/>
    <cellStyle name="Normal 71 6" xfId="16902" xr:uid="{43973FC3-2F88-47B1-A8C5-567D0A3C0296}"/>
    <cellStyle name="Normal 72" xfId="614" xr:uid="{6393942F-7B87-4D83-ADC5-49A7D349C3A2}"/>
    <cellStyle name="Normal 72 2" xfId="2301" xr:uid="{A53ECC57-9EFB-43AC-BA19-AB90D2A1A8A0}"/>
    <cellStyle name="Normal 72 3" xfId="16906" xr:uid="{1270A5B0-C2FD-4CF3-87B7-92557F68CBF5}"/>
    <cellStyle name="Normal 73" xfId="615" xr:uid="{9656BE42-67F9-4CE7-9DAB-D4D2E0F770E2}"/>
    <cellStyle name="Normal 73 2" xfId="616" xr:uid="{9F04C755-A78E-4B8A-8135-13051AC6E60B}"/>
    <cellStyle name="Normal 73 2 2" xfId="617" xr:uid="{5AD28C36-0133-4F61-B74E-A4883AB86A59}"/>
    <cellStyle name="Normal 73 2 2 2" xfId="2304" xr:uid="{F345E870-F709-461A-A0DA-F131EE889213}"/>
    <cellStyle name="Normal 73 2 2 3" xfId="16909" xr:uid="{789C9B42-4284-4872-BB8D-6CB01C2F36DB}"/>
    <cellStyle name="Normal 73 2 3" xfId="2303" xr:uid="{E82C8E25-C3AB-4EC8-BBB8-D535A729D8E8}"/>
    <cellStyle name="Normal 73 2 4" xfId="16908" xr:uid="{5DFCC4CA-7E2D-41C1-BCA9-7E3E6622E6C9}"/>
    <cellStyle name="Normal 73 3" xfId="618" xr:uid="{C991D138-0B6B-42E1-B25B-1466DA33D262}"/>
    <cellStyle name="Normal 73 3 2" xfId="2305" xr:uid="{B56315C9-093F-4EEE-B4F5-14A28972E5D2}"/>
    <cellStyle name="Normal 73 3 3" xfId="16910" xr:uid="{B55CA6CB-A7C4-4DCA-BE4C-B21D965EF4E6}"/>
    <cellStyle name="Normal 73 4" xfId="619" xr:uid="{67C96D95-AE7B-43EF-897D-4728B8D780EF}"/>
    <cellStyle name="Normal 73 4 2" xfId="2306" xr:uid="{EBF262BF-E17E-4904-B271-79AB7B60C3CA}"/>
    <cellStyle name="Normal 73 4 3" xfId="16911" xr:uid="{4AD697AB-50DB-4D9A-A811-A0A5EB215D23}"/>
    <cellStyle name="Normal 73 5" xfId="2302" xr:uid="{11A8D438-5967-4237-8AFB-ECE53E3F612F}"/>
    <cellStyle name="Normal 73 6" xfId="16907" xr:uid="{167A7001-0C87-4F9D-9955-0570E525650F}"/>
    <cellStyle name="Normal 74" xfId="620" xr:uid="{2BA1D0C5-7F0C-43DD-91AA-7162FEA864C1}"/>
    <cellStyle name="Normal 74 2" xfId="2307" xr:uid="{20774912-76EA-4C98-83DD-6A4FC7FC2231}"/>
    <cellStyle name="Normal 74 3" xfId="16912" xr:uid="{E05F68F2-1073-4C7D-8750-070F21B3D2E1}"/>
    <cellStyle name="Normal 75" xfId="621" xr:uid="{3C39A983-1601-41CF-A880-4E0E4EED9A2C}"/>
    <cellStyle name="Normal 75 2" xfId="2308" xr:uid="{5578342D-CF83-4910-9902-7989E2BD9256}"/>
    <cellStyle name="Normal 75 3" xfId="16913" xr:uid="{E347F562-7F15-4417-B09D-3D14D9F48144}"/>
    <cellStyle name="Normal 76" xfId="622" xr:uid="{9AB6AA1F-6BF0-4C5F-89C4-6EE43191A2E9}"/>
    <cellStyle name="Normal 76 2" xfId="623" xr:uid="{AA7A5266-5D70-4D5B-8EAD-C76D40701BD9}"/>
    <cellStyle name="Normal 76 2 2" xfId="1237" xr:uid="{3EAF9395-BE6C-4B46-8DA9-8D188BC29038}"/>
    <cellStyle name="Normal 76 2 3" xfId="1238" xr:uid="{6BC82D66-F5B6-468D-B769-AD1DB4077964}"/>
    <cellStyle name="Normal 76 2 4" xfId="1236" xr:uid="{1C78063A-3B84-4980-B07B-6BB888A3729D}"/>
    <cellStyle name="Normal 76 2 5" xfId="2310" xr:uid="{BE8BF153-532C-48B6-9AC4-92ED49CFEB32}"/>
    <cellStyle name="Normal 76 2 6" xfId="16915" xr:uid="{DB1DFE67-B669-40BA-A174-C222FBA25B3C}"/>
    <cellStyle name="Normal 76 3" xfId="624" xr:uid="{CDE26D4D-5ED6-4AFF-A9F8-050470C1D876}"/>
    <cellStyle name="Normal 76 3 2" xfId="2311" xr:uid="{B8D0A67C-216C-4560-AC30-C877218A0B63}"/>
    <cellStyle name="Normal 76 3 3" xfId="16916" xr:uid="{B4F5652C-D5EF-4F43-B52F-136D4ABEFDD8}"/>
    <cellStyle name="Normal 76 4" xfId="2309" xr:uid="{972E6881-6EDF-4478-B317-875D99BEBE5D}"/>
    <cellStyle name="Normal 76 5" xfId="16914" xr:uid="{41C20690-5588-41E5-BD22-3F762789121C}"/>
    <cellStyle name="Normal 77" xfId="625" xr:uid="{9761DFC2-0075-4FB7-85C7-B6B392C3CB02}"/>
    <cellStyle name="Normal 77 2" xfId="2312" xr:uid="{8CC8184C-FF47-43AC-A1C8-72B67207331E}"/>
    <cellStyle name="Normal 77 3" xfId="16917" xr:uid="{03E9E1C5-F93B-43CD-8BCA-E438BDE19D55}"/>
    <cellStyle name="Normal 78" xfId="626" xr:uid="{7C8C21D2-B172-41D6-8EB7-E518D9A2491C}"/>
    <cellStyle name="Normal 78 2" xfId="627" xr:uid="{4B4FAE16-8819-4F36-8A16-BAB1A8657DAB}"/>
    <cellStyle name="Normal 78 2 2" xfId="2314" xr:uid="{DBDEA389-CE87-445B-B51C-E07B9F4B6E80}"/>
    <cellStyle name="Normal 78 2 3" xfId="16919" xr:uid="{304D5C8C-AD4F-4A81-BF37-75023E0F8600}"/>
    <cellStyle name="Normal 78 3" xfId="628" xr:uid="{44EEBB26-126E-4E7C-9EBF-15000D6A7CE5}"/>
    <cellStyle name="Normal 78 3 2" xfId="2315" xr:uid="{6E2B64FC-F9CB-4091-92C4-6A0E015BD75A}"/>
    <cellStyle name="Normal 78 3 3" xfId="16920" xr:uid="{29FCD95C-46D1-460B-ACD4-804A1CAB17C9}"/>
    <cellStyle name="Normal 78 4" xfId="2313" xr:uid="{BEE81741-64BE-4062-B97A-5C6B268A5EDE}"/>
    <cellStyle name="Normal 78 5" xfId="16918" xr:uid="{6A6AFA7C-759B-436F-9A36-CB77D8D9542F}"/>
    <cellStyle name="Normal 79" xfId="629" xr:uid="{EF44E053-4E15-4D1B-B7B3-971790388B79}"/>
    <cellStyle name="Normal 79 2" xfId="1240" xr:uid="{10A78EE4-6620-42A6-AC07-07AA3CD0F558}"/>
    <cellStyle name="Normal 79 2 2" xfId="1241" xr:uid="{028B50A2-06E7-43C0-A585-2F1B5259B48D}"/>
    <cellStyle name="Normal 79 2 2 2" xfId="1242" xr:uid="{E10EF274-177A-49C8-AC63-E7C80B9A846D}"/>
    <cellStyle name="Normal 79 2 2 3" xfId="1243" xr:uid="{80DC7A14-7518-42DB-9C70-5BA98F30F9A4}"/>
    <cellStyle name="Normal 79 2 3" xfId="1244" xr:uid="{30D7961B-0966-4537-9129-40BA5F5D5799}"/>
    <cellStyle name="Normal 79 3" xfId="1245" xr:uid="{8B3C0067-5430-4003-BC9C-7FA0518653C5}"/>
    <cellStyle name="Normal 79 3 2" xfId="1246" xr:uid="{F63F4896-F89E-4D04-B610-56889855E2C4}"/>
    <cellStyle name="Normal 79 3 3" xfId="1247" xr:uid="{361A3B5B-060B-4656-AE30-9A95DFDF9E3E}"/>
    <cellStyle name="Normal 79 4" xfId="1239" xr:uid="{03D5FCE4-B389-4614-83BD-CEDDC21BF3CF}"/>
    <cellStyle name="Normal 79 5" xfId="2316" xr:uid="{753734C5-AC9F-41DD-92C5-37CC1F0A6357}"/>
    <cellStyle name="Normal 79 6" xfId="16921" xr:uid="{5EB85978-59A6-4B33-BF19-DFF3ABECECD1}"/>
    <cellStyle name="Normal 8" xfId="630" xr:uid="{BC02748E-0AFC-4BA6-B091-2BA97AB147A6}"/>
    <cellStyle name="Normal 8 2" xfId="631" xr:uid="{EA1ADDF7-FFE3-4986-B7A7-C7F1CCD5D84D}"/>
    <cellStyle name="Normal 8 2 2" xfId="2318" xr:uid="{61717FF3-6550-45D0-B196-72A6BA3DE4D9}"/>
    <cellStyle name="Normal 8 2 3" xfId="16923" xr:uid="{15F95508-BE2D-4001-BA9E-F805CAF54696}"/>
    <cellStyle name="Normal 8 3" xfId="632" xr:uid="{9FFFF0CF-405D-4C36-9F44-788839F3DBAC}"/>
    <cellStyle name="Normal 8 3 2" xfId="2319" xr:uid="{CE3326F8-483F-41F9-89BE-18FD70C71FDE}"/>
    <cellStyle name="Normal 8 3 3" xfId="16924" xr:uid="{9902D0A7-205A-4CB3-BDC5-B144A33CAA61}"/>
    <cellStyle name="Normal 8 4" xfId="1248" xr:uid="{7D515938-A0CB-405D-96DF-7704D13D95CC}"/>
    <cellStyle name="Normal 8 4 2" xfId="17163" xr:uid="{D6F17C5B-EA5A-4447-B8EA-105F0A4CE0C1}"/>
    <cellStyle name="Normal 8 4 3" xfId="12405" xr:uid="{E57E9679-13D4-4FB9-BD30-044F9C913473}"/>
    <cellStyle name="Normal 8 5" xfId="2317" xr:uid="{6131EAF5-E160-4129-B1E1-0025C4C57D76}"/>
    <cellStyle name="Normal 8 6" xfId="16922" xr:uid="{F73A97BA-5198-4534-BD95-468BD2A56D8B}"/>
    <cellStyle name="Normal 8_USDTreasury" xfId="633" xr:uid="{91EE3281-1E94-4A06-B512-9F5D1AE5B5D6}"/>
    <cellStyle name="Normal 80" xfId="634" xr:uid="{C2F11D6E-834E-4926-A325-F91F9BEBB1B2}"/>
    <cellStyle name="Normal 80 2" xfId="635" xr:uid="{C233EF21-6335-4764-8931-A9475EB2A223}"/>
    <cellStyle name="Normal 80 2 2" xfId="2321" xr:uid="{50DF53AF-FCF1-4577-8935-0E76F01E049E}"/>
    <cellStyle name="Normal 80 2 3" xfId="16926" xr:uid="{48993971-A644-44B2-B8FB-754FC4B8F03B}"/>
    <cellStyle name="Normal 80 3" xfId="636" xr:uid="{5573B983-4980-4B40-BA48-531B76D9F745}"/>
    <cellStyle name="Normal 80 3 2" xfId="2322" xr:uid="{9E903ECE-8B75-403F-A5E7-D985A8C27BA6}"/>
    <cellStyle name="Normal 80 3 3" xfId="16927" xr:uid="{82B34333-6154-40A7-8B79-DC14A6E7D5BA}"/>
    <cellStyle name="Normal 80 4" xfId="1249" xr:uid="{E13DEC5C-F917-4E5D-B50A-72C4199DCDFA}"/>
    <cellStyle name="Normal 80 5" xfId="2320" xr:uid="{184A1AC8-18B0-4001-BB47-52E478B99AD7}"/>
    <cellStyle name="Normal 80 6" xfId="16925" xr:uid="{911ABE00-109F-4901-8CCF-ACED7EFD7BAD}"/>
    <cellStyle name="Normal 81" xfId="637" xr:uid="{3C522B61-BE48-4090-95FC-8BF1E585DAF1}"/>
    <cellStyle name="Normal 81 2" xfId="638" xr:uid="{14966B54-5394-4B16-9D74-4759B4DBA451}"/>
    <cellStyle name="Normal 81 2 2" xfId="1250" xr:uid="{8B4088C0-40F0-441A-8021-31660ABDB644}"/>
    <cellStyle name="Normal 81 2 3" xfId="1251" xr:uid="{02D737D0-0263-42B2-8C08-26EA06C5EB69}"/>
    <cellStyle name="Normal 81 2 4" xfId="2324" xr:uid="{71D9CE23-0C71-4029-9BFC-B1AB46A8B6AE}"/>
    <cellStyle name="Normal 81 2 5" xfId="16929" xr:uid="{D6957590-30D5-4B78-8398-63E60371177C}"/>
    <cellStyle name="Normal 81 3" xfId="639" xr:uid="{B93E8243-85C1-41B9-8215-6ABDA11A526C}"/>
    <cellStyle name="Normal 81 3 2" xfId="2325" xr:uid="{5DF9E402-081A-41D4-AB8D-278E59CF89A5}"/>
    <cellStyle name="Normal 81 3 3" xfId="16930" xr:uid="{920894CC-ACD0-4256-B3FB-56EF934565E3}"/>
    <cellStyle name="Normal 81 4" xfId="2323" xr:uid="{7F5DEA61-42CA-4CA3-88BA-41FEEC9C1BD9}"/>
    <cellStyle name="Normal 81 5" xfId="16928" xr:uid="{26864AFA-B5AA-4A52-B394-47B99FB97438}"/>
    <cellStyle name="Normal 82" xfId="640" xr:uid="{CD8B44C0-0981-4E25-AF24-6F400A36416A}"/>
    <cellStyle name="Normal 82 2" xfId="1252" xr:uid="{32988A4C-7098-40B1-BF54-B3AF72D9FF38}"/>
    <cellStyle name="Normal 82 2 2" xfId="1253" xr:uid="{DEBE4A79-D418-4DCA-BD72-CE9AC14AA190}"/>
    <cellStyle name="Normal 82 3" xfId="1254" xr:uid="{01895A0D-0472-49A1-A0DF-0171E72EBCE8}"/>
    <cellStyle name="Normal 82 4" xfId="893" xr:uid="{B2F5FE20-DC6D-473D-A762-8C43F743A07B}"/>
    <cellStyle name="Normal 82 5" xfId="2326" xr:uid="{C6719896-1308-438A-9078-1EA0DB51DD3F}"/>
    <cellStyle name="Normal 82 6" xfId="16931" xr:uid="{8B68B70E-80D9-44FA-9018-7AD9EFB9A4E4}"/>
    <cellStyle name="Normal 83" xfId="641" xr:uid="{5C7DEB9C-F2D2-4E08-B026-CDBE7977B158}"/>
    <cellStyle name="Normal 83 2" xfId="1256" xr:uid="{C86C9230-5536-4313-B437-4901CA2915BA}"/>
    <cellStyle name="Normal 83 2 2" xfId="1257" xr:uid="{1F209121-5386-46FA-9BC1-B2104EABB79B}"/>
    <cellStyle name="Normal 83 3" xfId="1258" xr:uid="{817BB0FA-B5DB-42B8-8F0E-CE4E1638D28A}"/>
    <cellStyle name="Normal 83 4" xfId="1255" xr:uid="{F4FC5313-002A-4860-B7A3-326ECE7A0B09}"/>
    <cellStyle name="Normal 83 5" xfId="2327" xr:uid="{13807F69-A7A1-4668-98C2-FCA0E536DCD6}"/>
    <cellStyle name="Normal 83 6" xfId="16932" xr:uid="{3258259E-5D96-4432-BD3B-BEB70E4A2B0D}"/>
    <cellStyle name="Normal 84" xfId="642" xr:uid="{4A28196D-3E07-4752-AB9D-A803C79CBD7C}"/>
    <cellStyle name="Normal 84 2" xfId="2328" xr:uid="{B5022A42-27E3-4796-9104-4F872ABAF213}"/>
    <cellStyle name="Normal 84 3" xfId="16933" xr:uid="{16D5FAE9-2CB6-412E-B3D6-210C053CDB0A}"/>
    <cellStyle name="Normal 85" xfId="643" xr:uid="{29D488F9-DAA6-4A19-81DE-3D3EB74368BC}"/>
    <cellStyle name="Normal 85 2" xfId="2329" xr:uid="{A2A6ADA5-4E84-47F8-9CFF-78496FF68450}"/>
    <cellStyle name="Normal 85 3" xfId="16934" xr:uid="{CA654CEB-805A-478C-982F-3CFE317F65B9}"/>
    <cellStyle name="Normal 86" xfId="644" xr:uid="{B5094117-0EFF-4538-8123-9937CFBC1A7A}"/>
    <cellStyle name="Normal 86 2" xfId="2330" xr:uid="{46278174-F9F4-4FF7-9C8C-475AF11ED51A}"/>
    <cellStyle name="Normal 86 3" xfId="16935" xr:uid="{8571BA3C-F7A7-4F39-BF31-9FA57D43D006}"/>
    <cellStyle name="Normal 87" xfId="645" xr:uid="{3792572A-2015-423A-B6C2-AFE5E0CD7445}"/>
    <cellStyle name="Normal 87 2" xfId="646" xr:uid="{FE8EC87A-21D1-4C53-9946-71968EBEC6DD}"/>
    <cellStyle name="Normal 87 2 2" xfId="2332" xr:uid="{3C512C31-C4DE-4ADB-BB36-436C62A828D6}"/>
    <cellStyle name="Normal 87 2 3" xfId="16937" xr:uid="{38F73E6F-B4A3-425F-9418-000574615335}"/>
    <cellStyle name="Normal 87 3" xfId="647" xr:uid="{C44AF824-BEE6-4C69-9CC8-0B5BF6C5BFF8}"/>
    <cellStyle name="Normal 87 3 2" xfId="2333" xr:uid="{B3128916-5BF1-4B15-9F5E-4F7F5E20C948}"/>
    <cellStyle name="Normal 87 3 3" xfId="16938" xr:uid="{42391E6A-B734-424A-BF5C-377EE88D1F8E}"/>
    <cellStyle name="Normal 87 4" xfId="2331" xr:uid="{37FB9154-8DB6-44E9-9135-CB6437EFBB6F}"/>
    <cellStyle name="Normal 87 5" xfId="16936" xr:uid="{C7BFE644-0DE5-468A-9840-5E5F0824F185}"/>
    <cellStyle name="Normal 88" xfId="648" xr:uid="{D62DD77A-6067-413F-8B92-F59FD98A1633}"/>
    <cellStyle name="Normal 88 2" xfId="1260" xr:uid="{B48C43B2-6B9A-4196-ACE8-34177A20DAE9}"/>
    <cellStyle name="Normal 88 3" xfId="1261" xr:uid="{96FF2876-A4CF-4089-A63A-098EC4BC51BE}"/>
    <cellStyle name="Normal 88 4" xfId="1259" xr:uid="{8B909AFE-18D1-418F-8E20-A02AE8755344}"/>
    <cellStyle name="Normal 88 5" xfId="2334" xr:uid="{79E76FD3-C068-4571-BD5F-124DB33C7CED}"/>
    <cellStyle name="Normal 88 6" xfId="16939" xr:uid="{46B7BC30-B0BF-447B-9A4D-0BF3A7B73D77}"/>
    <cellStyle name="Normal 89" xfId="649" xr:uid="{ADC15AAA-E76D-475C-87B4-36D3A7965C4F}"/>
    <cellStyle name="Normal 89 2" xfId="2335" xr:uid="{86DDDD6F-12AD-4F84-A61B-69D26CE554A5}"/>
    <cellStyle name="Normal 89 3" xfId="16940" xr:uid="{F728688F-6164-43D5-8B15-4CACCD96C10D}"/>
    <cellStyle name="Normal 9" xfId="650" xr:uid="{E432674D-BD6A-4948-A4E2-432CE2A12E90}"/>
    <cellStyle name="Normal 9 2" xfId="651" xr:uid="{4423C29B-22EF-4306-9043-6F56E06898CC}"/>
    <cellStyle name="Normal 9 2 2" xfId="2337" xr:uid="{9D1F856A-EED0-458F-96A1-15D973A1AF5E}"/>
    <cellStyle name="Normal 9 2 3" xfId="16942" xr:uid="{3C04FF01-4A0E-466A-A14B-7F3343D40D7D}"/>
    <cellStyle name="Normal 9 3" xfId="1262" xr:uid="{7EAC0587-919F-4EFA-B416-DB5AEF050C00}"/>
    <cellStyle name="Normal 9 3 2" xfId="17164" xr:uid="{00A37508-FB4B-4249-A40D-99D82DF02AC6}"/>
    <cellStyle name="Normal 9 3 3" xfId="12406" xr:uid="{9B8C27F9-23B0-4FB5-9F09-7B7A1BB7E285}"/>
    <cellStyle name="Normal 9 4" xfId="2336" xr:uid="{DBAD318B-0516-42CA-9EEA-F328F87287CA}"/>
    <cellStyle name="Normal 9 5" xfId="16941" xr:uid="{AD1B9449-54E9-4537-B441-DE2580901321}"/>
    <cellStyle name="Normal 90" xfId="652" xr:uid="{4177C375-C944-4758-8CEE-75D5AF91D2CC}"/>
    <cellStyle name="Normal 90 2" xfId="1264" xr:uid="{360929A3-199B-41FD-8376-3F31AE3B6E89}"/>
    <cellStyle name="Normal 90 3" xfId="1265" xr:uid="{577F9E05-D50E-4248-976D-C868A5C058C4}"/>
    <cellStyle name="Normal 90 4" xfId="1263" xr:uid="{A3E36C7D-7E9F-4E72-94A7-7BB82215D80A}"/>
    <cellStyle name="Normal 90 5" xfId="2338" xr:uid="{0D54AFD2-1602-4342-917F-568D7327094D}"/>
    <cellStyle name="Normal 90 6" xfId="16943" xr:uid="{E6298273-9541-47C2-BDFB-C1BACD2C3953}"/>
    <cellStyle name="Normal 91" xfId="653" xr:uid="{79967F40-A7E2-46BE-9D44-FA1648B82858}"/>
    <cellStyle name="Normal 91 2" xfId="1267" xr:uid="{63661C8B-0D49-45BF-8873-ED7CB3C11F71}"/>
    <cellStyle name="Normal 91 2 2" xfId="1268" xr:uid="{FBC35CE5-C846-4866-8B7F-0E8BA464EDD8}"/>
    <cellStyle name="Normal 91 2 3" xfId="1269" xr:uid="{0AB38186-E22D-4481-87F4-58811054DC13}"/>
    <cellStyle name="Normal 91 3" xfId="1266" xr:uid="{E3835852-C3C1-4BCD-92B0-65406BF02F7B}"/>
    <cellStyle name="Normal 91 4" xfId="2339" xr:uid="{90B14ACE-EE55-4EE7-ACE9-9676E317D21A}"/>
    <cellStyle name="Normal 91 5" xfId="16944" xr:uid="{51B360AC-6349-45D9-8FF9-1E26A9FF4280}"/>
    <cellStyle name="Normal 92" xfId="654" xr:uid="{8E959FE5-13CF-47B4-AFD9-223220FF895E}"/>
    <cellStyle name="Normal 92 2" xfId="2340" xr:uid="{0CA2656B-9162-428A-A849-9E5C03ECB41F}"/>
    <cellStyle name="Normal 92 3" xfId="16945" xr:uid="{F0336A68-B2C0-4BA2-9660-0AEE07A91DBB}"/>
    <cellStyle name="Normal 93" xfId="655" xr:uid="{1EA3DFE2-C08D-4118-90CA-B24F384262D2}"/>
    <cellStyle name="Normal 93 2" xfId="2341" xr:uid="{84044706-5D2A-49D2-BFF0-220C6EDB87CD}"/>
    <cellStyle name="Normal 93 3" xfId="16946" xr:uid="{2368F5E4-3151-4D89-9FD9-E6F22917B978}"/>
    <cellStyle name="Normal 94" xfId="656" xr:uid="{96A9C131-8BEF-44D2-B456-6169D09E63BD}"/>
    <cellStyle name="Normal 94 2" xfId="657" xr:uid="{79284C7E-1FB6-4EFD-834E-E6C837259567}"/>
    <cellStyle name="Normal 94 2 2" xfId="2343" xr:uid="{E8810B89-AAA5-4BE2-BD46-F61C1F81D04B}"/>
    <cellStyle name="Normal 94 2 3" xfId="16948" xr:uid="{AD9B5A85-73D4-400C-8A35-ED09F94E4128}"/>
    <cellStyle name="Normal 94 3" xfId="658" xr:uid="{3002121E-7F75-489E-AAB6-51F45FF02C15}"/>
    <cellStyle name="Normal 94 3 2" xfId="2344" xr:uid="{19C68C81-0505-4115-BF5D-6BB62FAC6845}"/>
    <cellStyle name="Normal 94 3 3" xfId="16949" xr:uid="{637E7272-9BCE-44D4-99C4-37E0BFBF68D2}"/>
    <cellStyle name="Normal 94 4" xfId="1271" xr:uid="{ACB2CE42-26CC-4B08-BF6B-2C5DAAECFDAE}"/>
    <cellStyle name="Normal 94 4 2" xfId="1272" xr:uid="{F90662C5-730A-47FD-8C43-95321A9A717C}"/>
    <cellStyle name="Normal 94 4 3" xfId="1273" xr:uid="{F9944C5E-9813-4952-9CE6-D122160C51EF}"/>
    <cellStyle name="Normal 94 5" xfId="1270" xr:uid="{3B82F62A-0ACF-43E2-BB35-72BF77103954}"/>
    <cellStyle name="Normal 94 6" xfId="2342" xr:uid="{93E439B4-DDA5-4395-BFC4-25A2DDB02F46}"/>
    <cellStyle name="Normal 94 7" xfId="16947" xr:uid="{BB334BF0-0E36-44E7-9364-627E4DF2E6B4}"/>
    <cellStyle name="Normal 95" xfId="659" xr:uid="{2456C67F-A7A3-46B8-AD54-04A79FAF8A45}"/>
    <cellStyle name="Normal 95 2" xfId="2345" xr:uid="{5F037B8A-09BA-4123-BCEF-1E5C33497883}"/>
    <cellStyle name="Normal 95 3" xfId="16950" xr:uid="{ED048557-83F5-46D9-84BA-2B1C3684DFB9}"/>
    <cellStyle name="Normal 96" xfId="660" xr:uid="{C1868B14-A101-4658-ACB8-D61779C39DB1}"/>
    <cellStyle name="Normal 96 2" xfId="2346" xr:uid="{FDB8BEAE-0B29-4772-9B25-DBB4F7B82203}"/>
    <cellStyle name="Normal 96 3" xfId="16951" xr:uid="{04C48C98-69B7-46F8-9BF6-57888A7A6898}"/>
    <cellStyle name="Normal 97" xfId="661" xr:uid="{B450FA75-F9CE-4FA5-8BE7-EDBCB8113D4A}"/>
    <cellStyle name="Normal 97 2" xfId="662" xr:uid="{D5A50D0B-B0F4-4E82-AFBF-6EBA0D5BB477}"/>
    <cellStyle name="Normal 97 2 2" xfId="2348" xr:uid="{AE4723E1-32F4-4B98-89D8-818ED4383512}"/>
    <cellStyle name="Normal 97 2 3" xfId="16953" xr:uid="{4D922A10-3CD0-473D-B3F0-D7148E100F73}"/>
    <cellStyle name="Normal 97 3" xfId="663" xr:uid="{7FE4B683-7DD5-4730-BAED-E9A19A9D496D}"/>
    <cellStyle name="Normal 97 3 2" xfId="2349" xr:uid="{BA8306DD-F72F-409B-B515-815201A02B8D}"/>
    <cellStyle name="Normal 97 3 3" xfId="16954" xr:uid="{796A2B08-D88A-4B63-9EC6-1C5203275928}"/>
    <cellStyle name="Normal 97 4" xfId="1274" xr:uid="{D0D0350B-4A02-4F32-A64D-CCC6A648E0CB}"/>
    <cellStyle name="Normal 97 5" xfId="2347" xr:uid="{700B3004-D813-44B7-871C-AC3E3555702F}"/>
    <cellStyle name="Normal 97 6" xfId="16952" xr:uid="{85F57DD6-5E2D-4C43-995B-CD8E8401B9EC}"/>
    <cellStyle name="Normal 98" xfId="664" xr:uid="{9E15F2F3-3CD9-4CF5-B0CC-1752950BAC66}"/>
    <cellStyle name="Normal 98 2" xfId="1276" xr:uid="{D712D2B6-4571-4B9D-8665-1CF534CC009B}"/>
    <cellStyle name="Normal 98 2 2" xfId="1277" xr:uid="{758E766E-BE2C-4BC6-9E66-C99AC72179EF}"/>
    <cellStyle name="Normal 98 2 3" xfId="1278" xr:uid="{439807FE-3783-4ABB-BB4E-911F0B11CBA3}"/>
    <cellStyle name="Normal 98 3" xfId="1275" xr:uid="{5B817833-CC2B-42AB-A11E-F634429D027F}"/>
    <cellStyle name="Normal 98 4" xfId="2350" xr:uid="{2EF80E03-90A3-438F-B29E-800403FF0D23}"/>
    <cellStyle name="Normal 98 5" xfId="16955" xr:uid="{81A45E0C-D86C-4D53-A334-919EB4648289}"/>
    <cellStyle name="Normal 99" xfId="665" xr:uid="{94AFBB40-E025-4EBC-AEE4-0B0D8EF5F4A3}"/>
    <cellStyle name="Normal 99 2" xfId="1280" xr:uid="{8855EE2A-D151-4426-BA06-585464275C17}"/>
    <cellStyle name="Normal 99 3" xfId="1281" xr:uid="{5025B1F1-D8E6-4647-9BF4-08CB9C3EFC8F}"/>
    <cellStyle name="Normal 99 4" xfId="1279" xr:uid="{933E119F-31C8-4FE5-B3F2-AEAA7776BA6D}"/>
    <cellStyle name="Normal 99 5" xfId="2351" xr:uid="{BD16FA46-6D23-47AB-92E4-291C4D4A0B68}"/>
    <cellStyle name="Normal 99 6" xfId="16956" xr:uid="{5A4EA98B-D1AD-43CD-A86C-D2DF52F7BFC0}"/>
    <cellStyle name="Note" xfId="19" builtinId="10" customBuiltin="1"/>
    <cellStyle name="Note 10" xfId="12407" xr:uid="{2C699041-7846-4146-B2F8-696939819E58}"/>
    <cellStyle name="Note 10 2" xfId="12408" xr:uid="{ABBE51C6-E3A6-4CB2-9EA0-3E845C928D96}"/>
    <cellStyle name="Note 10 2 2" xfId="12409" xr:uid="{B48426B6-217D-4EEF-9957-50161F64BF25}"/>
    <cellStyle name="Note 10 2 2 2" xfId="12410" xr:uid="{899D495A-0AEE-410F-9A84-B32BC1B1F478}"/>
    <cellStyle name="Note 10 2 2_Working Capital Current" xfId="15871" xr:uid="{F8A5B82A-5962-4CB4-A0D4-9CE8972F4E0E}"/>
    <cellStyle name="Note 10 2 3" xfId="12411" xr:uid="{686B3641-84A7-4925-BD11-C4963C4834F7}"/>
    <cellStyle name="Note 10 2 4" xfId="12412" xr:uid="{49D512CF-6FCE-428F-80DD-25F8D4BE7AC2}"/>
    <cellStyle name="Note 10 2_Working Capital Current" xfId="15872" xr:uid="{B8D3303B-2941-45F4-982C-983AC783CE20}"/>
    <cellStyle name="Note 10 3" xfId="12413" xr:uid="{7F1E3CA0-9AC3-4BC4-A689-9F9218968CA9}"/>
    <cellStyle name="Note 10 3 2" xfId="12414" xr:uid="{1BF27191-2A2A-417E-B6CD-C19172A51FF0}"/>
    <cellStyle name="Note 10 3_Working Capital Current" xfId="15873" xr:uid="{15DA6DE5-C592-445E-84C2-A5847EC25338}"/>
    <cellStyle name="Note 10 4" xfId="12415" xr:uid="{6DD99D6E-BF1C-41A8-B207-18F493160740}"/>
    <cellStyle name="Note 10 5" xfId="12416" xr:uid="{C34724DF-DE25-4A18-9BB1-F347D35786AB}"/>
    <cellStyle name="Note 10_Working Capital Current" xfId="15874" xr:uid="{20B85A53-8FEE-4346-BCF9-1A6DB3F40FF7}"/>
    <cellStyle name="Note 11" xfId="12417" xr:uid="{B2FF0C7A-DEB0-4C20-8AB4-B26B73D73A6D}"/>
    <cellStyle name="Note 11 2" xfId="12418" xr:uid="{AA8BF400-F4BA-452D-98D9-1ADFA2936302}"/>
    <cellStyle name="Note 11 2 2" xfId="12419" xr:uid="{B28C9E24-A445-4235-831E-92CD1765F07A}"/>
    <cellStyle name="Note 11 2 2 2" xfId="12420" xr:uid="{5951B7D9-FF62-4B23-ADF5-A2C11F4DD377}"/>
    <cellStyle name="Note 11 2 2_Working Capital Current" xfId="15875" xr:uid="{6FAFD7A0-18E3-4197-888B-7CB2FAECF55A}"/>
    <cellStyle name="Note 11 2 3" xfId="12421" xr:uid="{1A4DC0D0-F084-4499-A59F-532D0E148A53}"/>
    <cellStyle name="Note 11 2 4" xfId="12422" xr:uid="{4CCEE121-67A1-4AFE-B685-78EBD8DB6F59}"/>
    <cellStyle name="Note 11 2_Working Capital Current" xfId="15876" xr:uid="{4B49958F-1047-4697-92E6-19B2D8461676}"/>
    <cellStyle name="Note 11 3" xfId="12423" xr:uid="{56967627-B469-4ADC-8EAB-9A414B7CBD9E}"/>
    <cellStyle name="Note 11 3 2" xfId="12424" xr:uid="{55959291-71BF-41B0-912B-C511EDA6C231}"/>
    <cellStyle name="Note 11 3_Working Capital Current" xfId="15877" xr:uid="{DD3E3941-3C89-4DA3-BB3F-9E739F9035A8}"/>
    <cellStyle name="Note 11 4" xfId="12425" xr:uid="{84CE1B41-06F2-4FF8-B9DD-0F126DBB98C6}"/>
    <cellStyle name="Note 11 5" xfId="12426" xr:uid="{37156C55-A776-4DB4-95F5-27829C9E9CBF}"/>
    <cellStyle name="Note 11_Working Capital Current" xfId="15878" xr:uid="{0E445C6B-BA01-45E8-947E-EFA131B182FD}"/>
    <cellStyle name="Note 12" xfId="12427" xr:uid="{ECF9DE96-494F-46E2-B104-25E15BEB0CCA}"/>
    <cellStyle name="Note 12 2" xfId="12428" xr:uid="{8982D3B5-4ED2-4C0A-81BF-9FE8CE5BA969}"/>
    <cellStyle name="Note 12 2 2" xfId="12429" xr:uid="{8A898A46-9EC2-4DDC-94E7-B92CF5F83E15}"/>
    <cellStyle name="Note 12 2 2 2" xfId="12430" xr:uid="{1C0B8DF8-436F-426C-AA2A-0765AF9C49A0}"/>
    <cellStyle name="Note 12 2 2_Working Capital Current" xfId="15879" xr:uid="{8664FF4B-D114-4F35-9FAD-0BE3668A8444}"/>
    <cellStyle name="Note 12 2 3" xfId="12431" xr:uid="{12112608-3E43-498B-B588-377007853AF6}"/>
    <cellStyle name="Note 12 2 4" xfId="12432" xr:uid="{8CAA9D54-6CB4-4586-B73A-E62BD1B7D830}"/>
    <cellStyle name="Note 12 2_Working Capital Current" xfId="15880" xr:uid="{880D7C48-17AA-4C46-A27A-C02B2ED7A124}"/>
    <cellStyle name="Note 12 3" xfId="12433" xr:uid="{026FCA3C-129E-4A54-8FE5-75347BC4F8F7}"/>
    <cellStyle name="Note 12 3 2" xfId="12434" xr:uid="{3435A62A-0B5D-4393-ADCF-D528C1FC03E9}"/>
    <cellStyle name="Note 12 3_Working Capital Current" xfId="15881" xr:uid="{F70B6FF6-BA1F-47E8-B32F-1C706369AE65}"/>
    <cellStyle name="Note 12 4" xfId="12435" xr:uid="{78D2D236-78B8-4769-8871-327AFF726F82}"/>
    <cellStyle name="Note 12 5" xfId="12436" xr:uid="{C9EE037D-C8B4-47BD-89E7-45524A88094A}"/>
    <cellStyle name="Note 12_Working Capital Current" xfId="15882" xr:uid="{CA0FA7FE-1344-4FCC-BA40-9AAFC7B3372B}"/>
    <cellStyle name="Note 13" xfId="12437" xr:uid="{ACB69858-8A6D-4A1D-8538-825F8714D8B3}"/>
    <cellStyle name="Note 13 2" xfId="12438" xr:uid="{9B39BF06-EA19-4013-8790-1EC45A149C3C}"/>
    <cellStyle name="Note 13 2 2" xfId="12439" xr:uid="{9299688D-598E-4C31-A4E1-327B0CAE2592}"/>
    <cellStyle name="Note 13 2 2 2" xfId="12440" xr:uid="{782775B0-F81B-4F2F-9C90-D99246558FB0}"/>
    <cellStyle name="Note 13 2 2_Working Capital Current" xfId="15883" xr:uid="{69313DF7-B4CC-431A-AC0A-C746C60D99CD}"/>
    <cellStyle name="Note 13 2 3" xfId="12441" xr:uid="{C962524D-6805-4B2D-8D72-C68EB7702531}"/>
    <cellStyle name="Note 13 2 4" xfId="12442" xr:uid="{190AB27F-3EE1-4948-9583-E599E2CD0B04}"/>
    <cellStyle name="Note 13 2_Working Capital Current" xfId="15884" xr:uid="{33FF29B4-540E-4DFC-A725-D9518340FBE2}"/>
    <cellStyle name="Note 13 3" xfId="12443" xr:uid="{5DE9F69C-738A-4281-8295-E803F4F8F231}"/>
    <cellStyle name="Note 13 3 2" xfId="12444" xr:uid="{B8C11867-1B82-4B65-ACCD-9BF60CECDBB7}"/>
    <cellStyle name="Note 13 3_Working Capital Current" xfId="15885" xr:uid="{FFE6BB6F-B3BC-416A-8365-821675F02F5C}"/>
    <cellStyle name="Note 13 4" xfId="12445" xr:uid="{9E0638E7-AE80-4E23-8317-7F578F732273}"/>
    <cellStyle name="Note 13 5" xfId="12446" xr:uid="{D925FFFD-4CBC-4C00-8183-6FB5D4A3F4CE}"/>
    <cellStyle name="Note 13_Working Capital Current" xfId="15886" xr:uid="{B23EFF18-7B96-4540-B4E0-812687182311}"/>
    <cellStyle name="Note 14" xfId="12447" xr:uid="{DFACEB18-D5C4-4C88-B3D0-642169A172EE}"/>
    <cellStyle name="Note 14 2" xfId="12448" xr:uid="{37D09689-2167-452F-8E98-7EF2D45B421B}"/>
    <cellStyle name="Note 14 2 2" xfId="12449" xr:uid="{C222E56E-A5F0-4FBB-B9FB-6E4AA039F87D}"/>
    <cellStyle name="Note 14 2 2 2" xfId="12450" xr:uid="{92A36E05-5C40-4824-8FA3-2B983A1C1161}"/>
    <cellStyle name="Note 14 2 2_Working Capital Current" xfId="15887" xr:uid="{68F16FD1-EA3E-4ED9-8E36-B2F0694B3722}"/>
    <cellStyle name="Note 14 2 3" xfId="12451" xr:uid="{C5324767-402C-4D11-87DF-2AFD95B04BEA}"/>
    <cellStyle name="Note 14 2 4" xfId="12452" xr:uid="{C31062C1-3310-4D93-A456-E251058FD20D}"/>
    <cellStyle name="Note 14 2_Working Capital Current" xfId="15888" xr:uid="{001D7820-914B-41CE-B3B4-00F77DE623CF}"/>
    <cellStyle name="Note 14 3" xfId="12453" xr:uid="{7682D2F0-5544-4A83-A7BE-097A48ECF447}"/>
    <cellStyle name="Note 14 3 2" xfId="12454" xr:uid="{4F776C74-95BD-4D92-98D0-A005AA646D78}"/>
    <cellStyle name="Note 14 3_Working Capital Current" xfId="15889" xr:uid="{3C986A79-2AB4-4BEE-B16D-FE775267F1B6}"/>
    <cellStyle name="Note 14 4" xfId="12455" xr:uid="{B431E493-207A-49B3-BD8F-EE1C30CB6831}"/>
    <cellStyle name="Note 14 5" xfId="12456" xr:uid="{D1E7CED9-C9A9-4B80-9ED9-9D0959E861FB}"/>
    <cellStyle name="Note 14_Working Capital Current" xfId="15890" xr:uid="{DF545B4B-BF93-4E7F-BC89-1EBB311645C5}"/>
    <cellStyle name="Note 15" xfId="12457" xr:uid="{04196450-A35F-4017-A887-94FE25DA73EB}"/>
    <cellStyle name="Note 15 2" xfId="12458" xr:uid="{1A1324C3-F159-4AC6-95BD-61AECC89677D}"/>
    <cellStyle name="Note 15 2 2" xfId="12459" xr:uid="{6690835B-D18B-4A69-91CE-0632C42D4910}"/>
    <cellStyle name="Note 15 2 2 2" xfId="12460" xr:uid="{A6ECB71E-37BA-4BBB-AFB1-16F1F747F184}"/>
    <cellStyle name="Note 15 2 2_Working Capital Current" xfId="15891" xr:uid="{2DA25453-AB16-438C-B09C-E3BFCB6B5FDB}"/>
    <cellStyle name="Note 15 2 3" xfId="12461" xr:uid="{306C46F8-0F14-477C-AAA3-55BC5CF4010F}"/>
    <cellStyle name="Note 15 2 4" xfId="12462" xr:uid="{577CC3AA-8CEA-4D90-9431-B1172FC3C9F3}"/>
    <cellStyle name="Note 15 2_Working Capital Current" xfId="15892" xr:uid="{460070A5-EA06-4C83-B103-7FD9E5D74705}"/>
    <cellStyle name="Note 15 3" xfId="12463" xr:uid="{0AEFE9A6-CCB8-435A-8B3B-9F7CDFFC0381}"/>
    <cellStyle name="Note 15 3 2" xfId="12464" xr:uid="{8419D8F3-CBA8-4C64-AE55-724DA18938D5}"/>
    <cellStyle name="Note 15 3_Working Capital Current" xfId="15893" xr:uid="{9704BBC0-D124-44DE-B021-9D50F6A6C645}"/>
    <cellStyle name="Note 15 4" xfId="12465" xr:uid="{0AEF3475-CBD7-45F2-A105-0C21F6C4C37C}"/>
    <cellStyle name="Note 15 5" xfId="12466" xr:uid="{44D2CFAF-4BC3-40B4-A7B7-3B1C8B947763}"/>
    <cellStyle name="Note 15_Working Capital Current" xfId="15894" xr:uid="{926F4A76-80DC-465D-BC2A-887383F018DD}"/>
    <cellStyle name="Note 16" xfId="12467" xr:uid="{7C3CF18F-4C78-4364-96B9-AFEFE4E55A19}"/>
    <cellStyle name="Note 16 2" xfId="12468" xr:uid="{233C5B11-8FCB-4FAC-9DCA-34FB8867FD5F}"/>
    <cellStyle name="Note 16 2 2" xfId="12469" xr:uid="{C1CDA1C2-399E-4DA2-BFA5-8904104E55EE}"/>
    <cellStyle name="Note 16 2 2 2" xfId="12470" xr:uid="{3109A4A0-2323-48F0-9A54-9E0DC56F8599}"/>
    <cellStyle name="Note 16 2 2_Working Capital Current" xfId="15895" xr:uid="{96B3EFBD-4F83-4473-B6A6-73AE04C2D78C}"/>
    <cellStyle name="Note 16 2 3" xfId="12471" xr:uid="{19B45097-8CE6-42DE-89A1-0A91226283BC}"/>
    <cellStyle name="Note 16 2 4" xfId="12472" xr:uid="{BF313C35-9895-4158-9218-BBC0C74A4EA3}"/>
    <cellStyle name="Note 16 2_Working Capital Current" xfId="15896" xr:uid="{28CB4CB3-06D9-438A-9AD8-8ACE4CD6E243}"/>
    <cellStyle name="Note 16 3" xfId="12473" xr:uid="{D3FCD256-FB3B-47EB-80DF-AE88DB702349}"/>
    <cellStyle name="Note 16 3 2" xfId="12474" xr:uid="{1E607057-591F-47B2-8B7C-2F1563B252C2}"/>
    <cellStyle name="Note 16 3_Working Capital Current" xfId="15897" xr:uid="{052FA22C-BA04-4373-942E-7DE867A2B169}"/>
    <cellStyle name="Note 16 4" xfId="12475" xr:uid="{A351DC4D-113F-4BB1-AC1A-F3C06C8647AE}"/>
    <cellStyle name="Note 16 5" xfId="12476" xr:uid="{198DDB91-1755-472C-BB7D-7DC55CEDD607}"/>
    <cellStyle name="Note 16_Working Capital Current" xfId="15898" xr:uid="{45A99524-3F7D-4E57-9E1D-7A48C7F8ABEE}"/>
    <cellStyle name="Note 17" xfId="12477" xr:uid="{3B1A72D2-4FDB-442B-93C3-8D2067398F95}"/>
    <cellStyle name="Note 17 2" xfId="12478" xr:uid="{E8229790-8078-496E-9C35-9D141E88605F}"/>
    <cellStyle name="Note 17 2 2" xfId="12479" xr:uid="{120F5DA0-8077-402E-BB80-4D98D7ED0531}"/>
    <cellStyle name="Note 17 2 2 2" xfId="12480" xr:uid="{16B4C948-5D64-4B65-A132-FB97CF70B351}"/>
    <cellStyle name="Note 17 2 2_Working Capital Current" xfId="15899" xr:uid="{DA5E4C8B-D5A1-428F-AC83-65BA5C0E7B32}"/>
    <cellStyle name="Note 17 2 3" xfId="12481" xr:uid="{8CA8BFD5-678F-41CA-832C-907EE6024628}"/>
    <cellStyle name="Note 17 2 4" xfId="12482" xr:uid="{587B969D-DE5A-4E2B-94F9-3980C834E708}"/>
    <cellStyle name="Note 17 2_Working Capital Current" xfId="15900" xr:uid="{2A957500-749A-471A-9D19-3894861465DC}"/>
    <cellStyle name="Note 17 3" xfId="12483" xr:uid="{12F64230-2017-469A-83A6-C1DB29878ED2}"/>
    <cellStyle name="Note 17 3 2" xfId="12484" xr:uid="{DCF799F3-9B1A-4CD9-8448-3E49B4B00432}"/>
    <cellStyle name="Note 17 3_Working Capital Current" xfId="15901" xr:uid="{8C652BDA-E4F6-4D4B-9E76-2D023177C89C}"/>
    <cellStyle name="Note 17 4" xfId="12485" xr:uid="{3AC103FC-5B8E-40B9-A4AD-68E1902ADC2B}"/>
    <cellStyle name="Note 17 5" xfId="12486" xr:uid="{79CE41CB-8B91-450B-B668-91449A6B9D61}"/>
    <cellStyle name="Note 17_Working Capital Current" xfId="15902" xr:uid="{05AA6A9A-2E36-4DE4-990D-A2E1C113C552}"/>
    <cellStyle name="Note 18" xfId="12487" xr:uid="{53A5A1A4-E397-4A38-9485-D574D15F5979}"/>
    <cellStyle name="Note 18 2" xfId="12488" xr:uid="{EF6FD91B-B025-4054-A383-8BB4EB440A39}"/>
    <cellStyle name="Note 18 2 2" xfId="12489" xr:uid="{BB2C7C72-1FDE-487C-8E6F-8FB04416C9A9}"/>
    <cellStyle name="Note 18 2 2 2" xfId="12490" xr:uid="{D92C47D0-7288-4FF4-B12F-D052F17D481D}"/>
    <cellStyle name="Note 18 2 2_Working Capital Current" xfId="15903" xr:uid="{D6B983BA-B218-4150-B809-853D6E12CFB7}"/>
    <cellStyle name="Note 18 2 3" xfId="12491" xr:uid="{D33B778D-2852-4C14-87E0-CAAC26DDB326}"/>
    <cellStyle name="Note 18 2 4" xfId="12492" xr:uid="{F8599134-0844-4D25-84A5-25F28E078EA4}"/>
    <cellStyle name="Note 18 2_Working Capital Current" xfId="15904" xr:uid="{C162A40C-A006-49A1-B4BF-1735020E27BB}"/>
    <cellStyle name="Note 18 3" xfId="12493" xr:uid="{DAE23C46-D1C8-4708-A10B-FE36CE4F86EB}"/>
    <cellStyle name="Note 18 3 2" xfId="12494" xr:uid="{DBA934E1-44B6-4611-936A-94278EE7D44C}"/>
    <cellStyle name="Note 18 3_Working Capital Current" xfId="15905" xr:uid="{9BB9C62B-2EB8-41D0-9C0D-76271DAD941B}"/>
    <cellStyle name="Note 18 4" xfId="12495" xr:uid="{D4AF7EBC-B4D6-4F45-A4F1-5349211D633A}"/>
    <cellStyle name="Note 18 5" xfId="12496" xr:uid="{717D0EA3-EC0B-4F4A-8A5E-6C4F0C919252}"/>
    <cellStyle name="Note 18_Working Capital Current" xfId="15906" xr:uid="{726A1446-3679-4AA1-81AF-E7F472B8B744}"/>
    <cellStyle name="Note 19" xfId="12497" xr:uid="{5AF66AEF-AB12-4FBA-BE4F-137BF6B2A04E}"/>
    <cellStyle name="Note 19 2" xfId="12498" xr:uid="{22166731-87CC-4904-879F-4773A9ECCE34}"/>
    <cellStyle name="Note 19 2 2" xfId="12499" xr:uid="{F34B618F-80C1-406E-9CB1-3F80D3A76A63}"/>
    <cellStyle name="Note 19 2 2 2" xfId="12500" xr:uid="{AD3CC872-A95D-4A9F-872B-39C2C8729F0A}"/>
    <cellStyle name="Note 19 2 2_Working Capital Current" xfId="15907" xr:uid="{E81CC0FA-676F-48E9-AA9C-FBC6A24D41B6}"/>
    <cellStyle name="Note 19 2 3" xfId="12501" xr:uid="{2A62CA77-5434-4360-9D75-24056037A18B}"/>
    <cellStyle name="Note 19 2 4" xfId="12502" xr:uid="{0FBFE9D6-8E9E-429A-A25A-A765A671C88B}"/>
    <cellStyle name="Note 19 2_Working Capital Current" xfId="15908" xr:uid="{4F1F9C0F-1895-4A92-949C-EB50115E8E4C}"/>
    <cellStyle name="Note 19 3" xfId="12503" xr:uid="{72718D5E-33EB-4997-BC8B-9B6AA91CB33F}"/>
    <cellStyle name="Note 19 3 2" xfId="12504" xr:uid="{B07FE2A4-FF88-489C-8487-B90E8C6D3865}"/>
    <cellStyle name="Note 19 3_Working Capital Current" xfId="15909" xr:uid="{33F8A731-4F2F-4009-AF77-F5C3F5A135D7}"/>
    <cellStyle name="Note 19 4" xfId="12505" xr:uid="{BBC78B33-EFF6-4217-AB33-63EC3471297F}"/>
    <cellStyle name="Note 19 5" xfId="12506" xr:uid="{507B5E6C-318A-46A0-A821-EAE4C7D8A8CA}"/>
    <cellStyle name="Note 19_Working Capital Current" xfId="15910" xr:uid="{974DF9F2-B895-4264-8750-49CB6E69A801}"/>
    <cellStyle name="Note 2" xfId="666" xr:uid="{49960ACD-23D0-4291-B05E-E2881600D02E}"/>
    <cellStyle name="Note 2 10" xfId="12507" xr:uid="{DEFE6974-5705-467A-BC63-82C7C827233E}"/>
    <cellStyle name="Note 2 11" xfId="16957" xr:uid="{40758754-A52A-4A70-99D5-B7DA341D6AC6}"/>
    <cellStyle name="Note 2 12" xfId="17785" xr:uid="{D1875D37-EDED-4C8F-BB02-C32DBD67FAAF}"/>
    <cellStyle name="Note 2 2" xfId="667" xr:uid="{203407F3-9514-4EA1-8A8F-171B6F5DE37E}"/>
    <cellStyle name="Note 2 2 10" xfId="18236" xr:uid="{E32607F8-6500-4529-82B2-BB769B19AB11}"/>
    <cellStyle name="Note 2 2 2" xfId="2353" xr:uid="{A73A4298-58AC-4497-B248-BC412525707C}"/>
    <cellStyle name="Note 2 2 2 2" xfId="12510" xr:uid="{5E6AD7E3-E71A-4104-ABF8-8D17CFD41D47}"/>
    <cellStyle name="Note 2 2 2 2 2" xfId="12511" xr:uid="{E4A44110-A4F1-43FF-B0F7-49EB3B307667}"/>
    <cellStyle name="Note 2 2 2 2_Working Capital Current" xfId="15911" xr:uid="{57BB52FE-81E8-4D40-AB91-7945F075DF9C}"/>
    <cellStyle name="Note 2 2 2 3" xfId="12512" xr:uid="{5D89968F-3AAC-4F20-9911-227C85961A88}"/>
    <cellStyle name="Note 2 2 2 4" xfId="12513" xr:uid="{CE2F0954-F283-4DC8-AFED-1F3C9A94A996}"/>
    <cellStyle name="Note 2 2 2 5" xfId="17796" xr:uid="{DEB6AAA3-F423-4EEF-B7F8-868F68748322}"/>
    <cellStyle name="Note 2 2 2 5 2" xfId="18330" xr:uid="{A82F2D38-C479-4839-AB6E-B1DA872CCA2D}"/>
    <cellStyle name="Note 2 2 2 6" xfId="18227" xr:uid="{45BF91F1-5A6D-4A98-B18A-502E17A0CCAC}"/>
    <cellStyle name="Note 2 2 2 6 2" xfId="18368" xr:uid="{CB232A58-E133-47F9-9091-C66BA8503D87}"/>
    <cellStyle name="Note 2 2 2 7" xfId="12509" xr:uid="{B0A69E67-F380-4CBE-A0C7-772DD05C5F0F}"/>
    <cellStyle name="Note 2 2 2_Working Capital Current" xfId="15912" xr:uid="{8543E1AC-0BC9-4E9A-89E1-57B5C03FF5E6}"/>
    <cellStyle name="Note 2 2 3" xfId="12514" xr:uid="{EB753E8E-10BA-4E7B-8B9C-132A451C521D}"/>
    <cellStyle name="Note 2 2 3 2" xfId="12515" xr:uid="{4B0BE748-424A-4F6A-BDBE-889CB2FBD111}"/>
    <cellStyle name="Note 2 2 3_Working Capital Current" xfId="15913" xr:uid="{F8D9CE7A-1DC6-4524-8164-67CBC60A6588}"/>
    <cellStyle name="Note 2 2 4" xfId="12516" xr:uid="{00EA30A1-7199-4588-9C10-2D93154D1F6A}"/>
    <cellStyle name="Note 2 2 5" xfId="12517" xr:uid="{A8A88ED4-0BBD-4920-9CFC-EB1BB75D41E9}"/>
    <cellStyle name="Note 2 2 6" xfId="12508" xr:uid="{070EBA84-5DF6-4901-A816-F02AAB75A158}"/>
    <cellStyle name="Note 2 2 7" xfId="16958" xr:uid="{BE328C71-BA60-40A2-B256-E575B5D33B84}"/>
    <cellStyle name="Note 2 2 7 2" xfId="18278" xr:uid="{66B193E0-799F-4F89-A952-F41E1B7E17FA}"/>
    <cellStyle name="Note 2 2 8" xfId="18166" xr:uid="{F53A6A7A-4171-485A-8800-C2C7F3169125}"/>
    <cellStyle name="Note 2 2 8 2" xfId="18364" xr:uid="{3F1A1C64-9277-43D3-BA69-8D7F0A1C9AF9}"/>
    <cellStyle name="Note 2 2 9" xfId="17786" xr:uid="{8EAAA9EF-25EA-4132-9C4B-E068AB96F0DC}"/>
    <cellStyle name="Note 2 2_Working Capital Current" xfId="15914" xr:uid="{46DC81F3-79CB-425F-99A7-7915E377FFC5}"/>
    <cellStyle name="Note 2 3" xfId="668" xr:uid="{BDC21050-19FC-4331-8305-23E4470B3D46}"/>
    <cellStyle name="Note 2 3 10" xfId="18252" xr:uid="{85022B60-B54C-4FE9-ACEE-1867E8CBAED7}"/>
    <cellStyle name="Note 2 3 2" xfId="2354" xr:uid="{F57FF9D4-AE76-49E8-AD84-520CE8FE0E2E}"/>
    <cellStyle name="Note 2 3 2 2" xfId="12520" xr:uid="{E8278CF8-FE43-471F-B17D-430613161064}"/>
    <cellStyle name="Note 2 3 2 2 2" xfId="12521" xr:uid="{6B6EF199-EDBB-44EB-A064-7D08A9D9C248}"/>
    <cellStyle name="Note 2 3 2 2_Working Capital Current" xfId="15915" xr:uid="{1ADAA1B3-8A59-496C-AE24-B4104B6238EB}"/>
    <cellStyle name="Note 2 3 2 3" xfId="12522" xr:uid="{2497A250-673F-4A73-B85F-6C4714D9AAF2}"/>
    <cellStyle name="Note 2 3 2 4" xfId="12523" xr:uid="{F6C68A8F-0DF6-42B0-90B1-3629A534864E}"/>
    <cellStyle name="Note 2 3 2 5" xfId="17797" xr:uid="{8D8533FC-05CB-4F44-AE35-F6CBAEB16409}"/>
    <cellStyle name="Note 2 3 2 5 2" xfId="18331" xr:uid="{CDB02E6D-E7FE-4354-BCC3-721B1E0B1C2A}"/>
    <cellStyle name="Note 2 3 2 6" xfId="18228" xr:uid="{31D31520-3247-4854-BAEF-EA3502952AD5}"/>
    <cellStyle name="Note 2 3 2 6 2" xfId="18369" xr:uid="{02ED2637-D356-4405-B9CB-588BC5E370A2}"/>
    <cellStyle name="Note 2 3 2 7" xfId="12519" xr:uid="{998CD6CD-3E3B-4D13-A82E-C4BEF1DC4111}"/>
    <cellStyle name="Note 2 3 2_Working Capital Current" xfId="15916" xr:uid="{AA640DCD-BF88-42B9-85E8-EB329D5ABC9A}"/>
    <cellStyle name="Note 2 3 3" xfId="12524" xr:uid="{9D0B020E-B9E4-41D5-BDD5-E45ABAA307AA}"/>
    <cellStyle name="Note 2 3 3 2" xfId="12525" xr:uid="{2EEFD832-E82C-4AC8-A287-69DC8FF06C90}"/>
    <cellStyle name="Note 2 3 3_Working Capital Current" xfId="15917" xr:uid="{FAB0678D-7251-400B-9FAD-4024B4F95452}"/>
    <cellStyle name="Note 2 3 4" xfId="12526" xr:uid="{D509899B-8F28-43B4-81DB-8E2E06EA7213}"/>
    <cellStyle name="Note 2 3 5" xfId="12527" xr:uid="{395F824A-C6F0-4529-993F-942C45433BAF}"/>
    <cellStyle name="Note 2 3 6" xfId="12518" xr:uid="{2475F3C2-8F44-4900-87C3-57803B3540D4}"/>
    <cellStyle name="Note 2 3 7" xfId="16959" xr:uid="{DBF6B32E-61DA-4DEF-A2EE-3523B170F484}"/>
    <cellStyle name="Note 2 3 7 2" xfId="18279" xr:uid="{7CE9FC7F-A3DF-43A8-B9D7-A0BFB19208F5}"/>
    <cellStyle name="Note 2 3 8" xfId="18167" xr:uid="{DF2C0524-5F5E-4EB6-8633-9F95D8FA1162}"/>
    <cellStyle name="Note 2 3 8 2" xfId="18365" xr:uid="{7D94A380-E30F-46DA-A387-725B9D4B4413}"/>
    <cellStyle name="Note 2 3 9" xfId="17787" xr:uid="{FEB67D25-7CEE-47E8-BA94-B910449AC6F2}"/>
    <cellStyle name="Note 2 3_Working Capital Current" xfId="15918" xr:uid="{B9D7D441-3A2C-49A7-8BD5-B4F2DBFCE15F}"/>
    <cellStyle name="Note 2 4" xfId="1282" xr:uid="{6A0907E5-CE92-43BA-866C-137969C74230}"/>
    <cellStyle name="Note 2 4 2" xfId="1283" xr:uid="{6811653F-1A1C-40A7-B33C-F10239FFF1B7}"/>
    <cellStyle name="Note 2 4 2 2" xfId="12530" xr:uid="{4CD02625-0F02-4C44-A20B-1AB35F8756DE}"/>
    <cellStyle name="Note 2 4 2 2 2" xfId="12531" xr:uid="{B20C1FD4-C0F0-453A-A44D-DE4AEEDB8DDF}"/>
    <cellStyle name="Note 2 4 2 2_Working Capital Current" xfId="15919" xr:uid="{F1006EB5-57E9-4F8B-8397-DFC0D725DF46}"/>
    <cellStyle name="Note 2 4 2 3" xfId="12532" xr:uid="{1DF63B2A-03A7-46B2-9DC2-85F3E63C5B8E}"/>
    <cellStyle name="Note 2 4 2 4" xfId="12533" xr:uid="{FC741C25-BF43-4288-AB52-464773C49E13}"/>
    <cellStyle name="Note 2 4 2 5" xfId="17167" xr:uid="{1F3A50DA-DC55-41D3-8C8C-E6430D7EFF68}"/>
    <cellStyle name="Note 2 4 2 6" xfId="18172" xr:uid="{6D4F8C09-CB57-4F05-8B9F-10212471C134}"/>
    <cellStyle name="Note 2 4 2 7" xfId="12529" xr:uid="{E97078B0-73B8-4B70-B648-437C7D2BB0C3}"/>
    <cellStyle name="Note 2 4 2_Working Capital Current" xfId="15920" xr:uid="{1B87A372-2A10-4955-9D02-B958693E857E}"/>
    <cellStyle name="Note 2 4 3" xfId="12534" xr:uid="{001E34B1-7271-459D-ADFC-82AFB6BFF029}"/>
    <cellStyle name="Note 2 4 3 2" xfId="12535" xr:uid="{3533B98B-6744-4E62-979D-94787AAD5568}"/>
    <cellStyle name="Note 2 4 3_Working Capital Current" xfId="15921" xr:uid="{633348FC-8549-4235-8580-2DC0B14DFD2E}"/>
    <cellStyle name="Note 2 4 4" xfId="12536" xr:uid="{0040A716-EBD1-4DFD-9189-C776DBA17F17}"/>
    <cellStyle name="Note 2 4 5" xfId="12537" xr:uid="{3A35D897-E3EC-4EA7-84A4-FB87E192BF6F}"/>
    <cellStyle name="Note 2 4 6" xfId="17166" xr:uid="{11F6B94A-FC19-4193-ACEB-B5BEA605DB60}"/>
    <cellStyle name="Note 2 4 6 2" xfId="18308" xr:uid="{BAB5B572-8B11-4B23-9312-7E1DB7D8E3F5}"/>
    <cellStyle name="Note 2 4 7" xfId="18171" xr:uid="{46AC2F3A-EB4A-464B-A448-D73E82779250}"/>
    <cellStyle name="Note 2 4 7 2" xfId="18366" xr:uid="{6DC756C2-CC39-4B0C-BA4D-849832D3A45F}"/>
    <cellStyle name="Note 2 4 8" xfId="12528" xr:uid="{2EB1A885-EDB6-472C-A6E1-D6D99767D5CA}"/>
    <cellStyle name="Note 2 4_Working Capital Current" xfId="15922" xr:uid="{16A222F9-6540-41D1-894A-DFAAAE4EC135}"/>
    <cellStyle name="Note 2 5" xfId="2352" xr:uid="{99A8FB4D-7CC2-4FCF-9FB7-3A615049E9F0}"/>
    <cellStyle name="Note 2 5 2" xfId="12539" xr:uid="{02D5ED2D-E7B6-4084-BEB6-78D183A77854}"/>
    <cellStyle name="Note 2 5 2 2" xfId="12540" xr:uid="{7EAD3738-12D4-4BB9-A99A-31982D4D7DB4}"/>
    <cellStyle name="Note 2 5 2_Working Capital Current" xfId="15923" xr:uid="{9D1B191C-F7DF-4421-AB62-0B43FF880D2A}"/>
    <cellStyle name="Note 2 5 3" xfId="12541" xr:uid="{DF19E48E-24B7-4E29-B635-2843F2D97C7C}"/>
    <cellStyle name="Note 2 5 4" xfId="17795" xr:uid="{5C1B8727-AD28-45EE-98F8-07B733A539F6}"/>
    <cellStyle name="Note 2 5 5" xfId="18226" xr:uid="{3822D140-E4A0-4192-9E01-FA0EC1FF5939}"/>
    <cellStyle name="Note 2 5 6" xfId="12538" xr:uid="{092CD532-09EB-4BE5-8C32-A8E45E502BDA}"/>
    <cellStyle name="Note 2 5_Working Capital Current" xfId="15924" xr:uid="{761E0A37-1137-4849-B77E-71F926851C8E}"/>
    <cellStyle name="Note 2 6" xfId="12542" xr:uid="{CF30FDF3-E7CB-4B40-A4FC-6ADD62C8039D}"/>
    <cellStyle name="Note 2 6 2" xfId="12543" xr:uid="{7700E184-AA7B-4D51-BD7D-9CEE52A53DDB}"/>
    <cellStyle name="Note 2 6_Working Capital Current" xfId="15925" xr:uid="{1532B453-00E9-4F47-9DBB-E5D2EDC0CD24}"/>
    <cellStyle name="Note 2 7" xfId="12544" xr:uid="{B2FD9DE6-1926-4E5B-9107-55E0E0561B4A}"/>
    <cellStyle name="Note 2 7 2" xfId="12545" xr:uid="{1128DEF3-E288-42D3-9946-5450D4719072}"/>
    <cellStyle name="Note 2 7_Working Capital Current" xfId="15926" xr:uid="{BF21D0EB-5BDC-47B8-A656-472B473FE064}"/>
    <cellStyle name="Note 2 8" xfId="12546" xr:uid="{AC695707-9C46-455B-987D-839CD88CA2EC}"/>
    <cellStyle name="Note 2 9" xfId="12547" xr:uid="{89AF6A4F-1409-4847-B987-79013A7BE0E1}"/>
    <cellStyle name="Note 2_Working Capital Current" xfId="15927" xr:uid="{AC275979-79E1-4838-8BF0-1EFBF2F92768}"/>
    <cellStyle name="Note 20" xfId="12548" xr:uid="{67B9F899-4387-4B53-A839-1AA1AEF8B78B}"/>
    <cellStyle name="Note 20 2" xfId="12549" xr:uid="{3DB47347-E5EF-414E-960F-DBD016749986}"/>
    <cellStyle name="Note 20 2 2" xfId="12550" xr:uid="{9103E320-3115-4D51-AFE6-0639253F6F3D}"/>
    <cellStyle name="Note 20 2 2 2" xfId="12551" xr:uid="{87C10C4E-4936-4827-863D-C68A9486575E}"/>
    <cellStyle name="Note 20 2 2_Working Capital Current" xfId="15928" xr:uid="{3CE4DE2E-38B0-4FDD-86E0-2FA666C70A9B}"/>
    <cellStyle name="Note 20 2 3" xfId="12552" xr:uid="{98615EF1-0A4D-45BF-B6FA-DCEED43635D7}"/>
    <cellStyle name="Note 20 2 4" xfId="12553" xr:uid="{57B29265-5416-4F2A-B07A-4FC1FE2C455D}"/>
    <cellStyle name="Note 20 2_Working Capital Current" xfId="15929" xr:uid="{80B3F5DA-C152-4647-87B6-CC6E9E59F690}"/>
    <cellStyle name="Note 20 3" xfId="12554" xr:uid="{F7D3DAF0-51FA-46EB-91C1-14DB7FC25283}"/>
    <cellStyle name="Note 20 3 2" xfId="12555" xr:uid="{9C574797-7CAF-46E1-B1EC-CC2719D2B4F9}"/>
    <cellStyle name="Note 20 3_Working Capital Current" xfId="15930" xr:uid="{CE3F3B76-CDB7-4A8D-9671-A25F450B9CD8}"/>
    <cellStyle name="Note 20 4" xfId="12556" xr:uid="{00CC89A9-7D56-4853-B6A8-5C377326F3C9}"/>
    <cellStyle name="Note 20 5" xfId="12557" xr:uid="{F8D771B1-A942-4C2D-BF51-E32803194488}"/>
    <cellStyle name="Note 20_Working Capital Current" xfId="15931" xr:uid="{188E8CC4-7946-4B56-BA4E-1CED57F8510D}"/>
    <cellStyle name="Note 21" xfId="12558" xr:uid="{C04D71EA-1CFA-449E-B949-A9B30349B89D}"/>
    <cellStyle name="Note 21 2" xfId="12559" xr:uid="{83035560-33E1-4F23-AB8A-43C8D76CCEF1}"/>
    <cellStyle name="Note 21 2 2" xfId="12560" xr:uid="{2D3D1D71-5A20-4E0F-851D-463F9248A4AC}"/>
    <cellStyle name="Note 21 2 2 2" xfId="12561" xr:uid="{50F65F6B-24D8-43EA-982D-B220B0F1D3AB}"/>
    <cellStyle name="Note 21 2 2_Working Capital Current" xfId="15932" xr:uid="{6DC77EE2-94F7-4712-8BBA-7E421498FD94}"/>
    <cellStyle name="Note 21 2 3" xfId="12562" xr:uid="{C8B3BE3A-AD5C-4AF1-9D35-F5D15437D233}"/>
    <cellStyle name="Note 21 2 4" xfId="12563" xr:uid="{10014CA6-1CBD-4CEF-ADD4-D1F2AC326ACB}"/>
    <cellStyle name="Note 21 2_Working Capital Current" xfId="15933" xr:uid="{455DA08E-70A1-4BD6-B3A4-952F462BE611}"/>
    <cellStyle name="Note 21 3" xfId="12564" xr:uid="{B75AE5C6-7E0A-4794-BDBF-9190E81F83AA}"/>
    <cellStyle name="Note 21 3 2" xfId="12565" xr:uid="{597E3AEC-FCBD-4E93-AFAB-67787269D7D8}"/>
    <cellStyle name="Note 21 3_Working Capital Current" xfId="15934" xr:uid="{F699BA05-F603-4B2C-A568-3836F2EFC995}"/>
    <cellStyle name="Note 21 4" xfId="12566" xr:uid="{23EC7385-CD36-4809-8E62-13E66D55D33D}"/>
    <cellStyle name="Note 21 5" xfId="12567" xr:uid="{220B53ED-39DC-458A-A189-6A983B4C3E39}"/>
    <cellStyle name="Note 21_Working Capital Current" xfId="15935" xr:uid="{A3FA99E7-4CA3-4D27-9371-E83D2119E1BA}"/>
    <cellStyle name="Note 22" xfId="12568" xr:uid="{9A90146F-FD38-4454-A805-FAF08A67ED19}"/>
    <cellStyle name="Note 22 2" xfId="12569" xr:uid="{394171F0-56BD-480E-9B12-3515C718D023}"/>
    <cellStyle name="Note 22 2 2" xfId="12570" xr:uid="{E7E220C4-385C-4D6E-B823-BA13E9832FDB}"/>
    <cellStyle name="Note 22 2 2 2" xfId="12571" xr:uid="{1AD91631-B329-4C8D-B97F-9A336242D2D9}"/>
    <cellStyle name="Note 22 2 2_Working Capital Current" xfId="15936" xr:uid="{BE2B2D45-BA0A-4EFF-97AB-8014B21F113A}"/>
    <cellStyle name="Note 22 2 3" xfId="12572" xr:uid="{610C9238-9512-45D9-9D4B-E99ED6D12D99}"/>
    <cellStyle name="Note 22 2 4" xfId="12573" xr:uid="{A1F45AF8-DF11-46B0-9E4B-089FD984CF85}"/>
    <cellStyle name="Note 22 2_Working Capital Current" xfId="15937" xr:uid="{6822C6EB-0DED-44FF-A63C-2E84ACF04A1F}"/>
    <cellStyle name="Note 22 3" xfId="12574" xr:uid="{BA5F9AB3-0072-44C5-8262-42D3EF3F3955}"/>
    <cellStyle name="Note 22 3 2" xfId="12575" xr:uid="{0603733B-0B25-4D52-814D-B58A0A75537D}"/>
    <cellStyle name="Note 22 3_Working Capital Current" xfId="15938" xr:uid="{F942CBBD-B1F7-4777-9C9F-BFE16435117A}"/>
    <cellStyle name="Note 22 4" xfId="12576" xr:uid="{CEE7FE7C-B548-41C8-92FD-340A86CE6550}"/>
    <cellStyle name="Note 22 5" xfId="12577" xr:uid="{42CBC99E-01B6-459B-9E2D-715FDB4A3F58}"/>
    <cellStyle name="Note 22_Working Capital Current" xfId="15939" xr:uid="{901DE49F-04CE-42E3-8B6D-1327F6463EF4}"/>
    <cellStyle name="Note 23" xfId="12578" xr:uid="{3E769815-F6B9-4AB7-9250-7899DDEB56C5}"/>
    <cellStyle name="Note 23 2" xfId="12579" xr:uid="{B7A82B0A-CAEF-476E-82F9-6EDA04E307B6}"/>
    <cellStyle name="Note 23 2 2" xfId="12580" xr:uid="{44C0A9B1-B6C9-4446-A062-629B7429C338}"/>
    <cellStyle name="Note 23 2 2 2" xfId="12581" xr:uid="{19EB8641-D40F-4F78-805C-25D00C0528B9}"/>
    <cellStyle name="Note 23 2 2_Working Capital Current" xfId="15940" xr:uid="{08BFB687-FFCF-4ED9-B240-12D6DBC73085}"/>
    <cellStyle name="Note 23 2 3" xfId="12582" xr:uid="{E8FC62E6-C64A-4BB5-93DD-B989F42666A3}"/>
    <cellStyle name="Note 23 2 4" xfId="12583" xr:uid="{F6C6060D-1E85-4C65-A75F-F36E617E1836}"/>
    <cellStyle name="Note 23 2_Working Capital Current" xfId="15941" xr:uid="{BF736C0C-58C2-480A-A53B-4B7910C793BA}"/>
    <cellStyle name="Note 23 3" xfId="12584" xr:uid="{AA073A23-7497-47F8-803B-DA4E791E676E}"/>
    <cellStyle name="Note 23 3 2" xfId="12585" xr:uid="{404AFAFA-417D-4323-A8FF-44893279BB7C}"/>
    <cellStyle name="Note 23 3_Working Capital Current" xfId="15942" xr:uid="{9A5FC9F4-C41C-4F6D-99FD-D9F68FE740B0}"/>
    <cellStyle name="Note 23 4" xfId="12586" xr:uid="{DC640447-CB1A-420D-BE61-D98F3DA522F3}"/>
    <cellStyle name="Note 23 5" xfId="12587" xr:uid="{6F116E6B-9207-4625-A7CE-B95714968738}"/>
    <cellStyle name="Note 23_Working Capital Current" xfId="15943" xr:uid="{CB9F2D7C-1C5C-47E5-AC83-E371AF0F44C2}"/>
    <cellStyle name="Note 24" xfId="12588" xr:uid="{15707519-056B-4181-AB67-EED5A1271287}"/>
    <cellStyle name="Note 24 2" xfId="12589" xr:uid="{9A2C0237-3315-4A76-B630-E491C7AECFC5}"/>
    <cellStyle name="Note 24 2 2" xfId="12590" xr:uid="{D9611CE4-717A-4FCC-8006-7C4EBF9DD7B7}"/>
    <cellStyle name="Note 24 2 2 2" xfId="12591" xr:uid="{08403805-9447-4954-B15F-319AA4E1032A}"/>
    <cellStyle name="Note 24 2 2_Working Capital Current" xfId="15944" xr:uid="{3A9A0D91-3026-4747-A553-ADC211769841}"/>
    <cellStyle name="Note 24 2 3" xfId="12592" xr:uid="{ADDD99A4-9CCF-4814-A4C7-2C7D5B187B9B}"/>
    <cellStyle name="Note 24 2 4" xfId="12593" xr:uid="{23CFA7BF-6521-4208-A3D5-A48901C429FF}"/>
    <cellStyle name="Note 24 2_Working Capital Current" xfId="15945" xr:uid="{93C64B87-5BCB-4D31-97F6-81324D48D5FC}"/>
    <cellStyle name="Note 24 3" xfId="12594" xr:uid="{DD738326-E202-48CE-AF15-7C9E84E04E0F}"/>
    <cellStyle name="Note 24 3 2" xfId="12595" xr:uid="{E7A93685-4299-45C9-B50B-C6053953ED6D}"/>
    <cellStyle name="Note 24 3_Working Capital Current" xfId="15946" xr:uid="{58F05253-29C8-49C4-96F0-3EE6647E6556}"/>
    <cellStyle name="Note 24 4" xfId="12596" xr:uid="{AEE9158D-1263-4AA5-88C3-4999234146A8}"/>
    <cellStyle name="Note 24 5" xfId="12597" xr:uid="{A12B0A84-61E9-472B-B6A2-5B8E9CD95AFC}"/>
    <cellStyle name="Note 24_Working Capital Current" xfId="15947" xr:uid="{E7CC9CCC-03AF-4703-9681-BA4CFECD128C}"/>
    <cellStyle name="Note 25" xfId="12598" xr:uid="{81420901-82EF-4313-9A88-53A4ED6DFF3E}"/>
    <cellStyle name="Note 25 2" xfId="12599" xr:uid="{136485CB-C657-4049-A186-F3C92BDAC5E9}"/>
    <cellStyle name="Note 25 2 2" xfId="12600" xr:uid="{DD28595A-3B8F-4440-B909-5BCDF00F4E71}"/>
    <cellStyle name="Note 25 2 2 2" xfId="12601" xr:uid="{A96D1F39-330C-45BA-A63D-4B8BBB4DCEB8}"/>
    <cellStyle name="Note 25 2 2_Working Capital Current" xfId="15948" xr:uid="{D4B15295-79AD-41B9-A2F0-AEE80426249E}"/>
    <cellStyle name="Note 25 2 3" xfId="12602" xr:uid="{0411FA00-63BF-498B-A96A-102D7BD136EA}"/>
    <cellStyle name="Note 25 2 4" xfId="12603" xr:uid="{7D00BA03-650A-4149-8A4D-7028D7BE69CD}"/>
    <cellStyle name="Note 25 2_Working Capital Current" xfId="15949" xr:uid="{22FBC40D-DE89-47FF-90B2-13317C252A72}"/>
    <cellStyle name="Note 25 3" xfId="12604" xr:uid="{56B1B578-F682-42AB-A9EF-C63311E7621A}"/>
    <cellStyle name="Note 25 3 2" xfId="12605" xr:uid="{7C74D3DC-B5E2-4B41-8EE2-A8604E85BB74}"/>
    <cellStyle name="Note 25 3_Working Capital Current" xfId="15950" xr:uid="{29D97E83-C515-4001-87C5-2347602A4756}"/>
    <cellStyle name="Note 25 4" xfId="12606" xr:uid="{3FD9C993-63B2-4203-BE98-CCC7549FD7B6}"/>
    <cellStyle name="Note 25 5" xfId="12607" xr:uid="{CBC746A3-6A96-4602-AF0F-3001DEF42514}"/>
    <cellStyle name="Note 25_Working Capital Current" xfId="15951" xr:uid="{C983C016-81B0-4C1B-93D4-7455DD6493D0}"/>
    <cellStyle name="Note 26" xfId="12608" xr:uid="{074EF79C-F794-4D7E-AA52-F6A8B922299A}"/>
    <cellStyle name="Note 26 2" xfId="12609" xr:uid="{6ACFF311-67EA-4DE6-92B2-4CD282A0E3F7}"/>
    <cellStyle name="Note 26 2 2" xfId="12610" xr:uid="{47258F0A-E5E0-4CF0-A6AB-8D3CCF0D2E0D}"/>
    <cellStyle name="Note 26 2 2 2" xfId="12611" xr:uid="{644CD67C-F4D1-4AD7-A016-68EA46B79A49}"/>
    <cellStyle name="Note 26 2 2_Working Capital Current" xfId="15952" xr:uid="{03F61819-CABE-4E81-A889-51426F469200}"/>
    <cellStyle name="Note 26 2 3" xfId="12612" xr:uid="{90DCC212-30C0-4756-BA07-0D9EFC8EB772}"/>
    <cellStyle name="Note 26 2 4" xfId="12613" xr:uid="{68FED061-3828-43E1-95D9-AE55AF003F01}"/>
    <cellStyle name="Note 26 2_Working Capital Current" xfId="15953" xr:uid="{44249A14-105A-4A74-A4A1-9929137ED06D}"/>
    <cellStyle name="Note 26 3" xfId="12614" xr:uid="{643829C2-4AF7-4A8E-AD12-4FE52355133E}"/>
    <cellStyle name="Note 26 3 2" xfId="12615" xr:uid="{309FF7FE-0E2D-4E85-BC2E-B240ECFAC27A}"/>
    <cellStyle name="Note 26 3_Working Capital Current" xfId="15954" xr:uid="{98E68E2D-B334-4536-98FB-AE7651B93E68}"/>
    <cellStyle name="Note 26 4" xfId="12616" xr:uid="{62916916-ACA5-4A1A-B6EB-3A9908EA1E30}"/>
    <cellStyle name="Note 26 5" xfId="12617" xr:uid="{AD56BAB6-ACE2-4129-A614-315C07C00F1B}"/>
    <cellStyle name="Note 26_Working Capital Current" xfId="15955" xr:uid="{A6FB33E6-7B7F-4F9A-BEA6-2A54E6B1F399}"/>
    <cellStyle name="Note 27" xfId="12618" xr:uid="{2773EC56-49FE-465C-8421-005DD1D0DD75}"/>
    <cellStyle name="Note 27 2" xfId="12619" xr:uid="{D0B1F759-374F-4285-AF8C-AF470DFC95FB}"/>
    <cellStyle name="Note 27 2 2" xfId="12620" xr:uid="{95A6072A-4BEE-4A6C-947C-E29393698E26}"/>
    <cellStyle name="Note 27 2 2 2" xfId="12621" xr:uid="{C2007041-7C8D-40FA-AF04-8F35AF154870}"/>
    <cellStyle name="Note 27 2 2_Working Capital Current" xfId="15956" xr:uid="{C809DAAD-38BA-4ADE-BDE8-325AAF2CFFF8}"/>
    <cellStyle name="Note 27 2 3" xfId="12622" xr:uid="{12214918-D47B-44BC-96F2-BF64A52FDFB0}"/>
    <cellStyle name="Note 27 2 4" xfId="12623" xr:uid="{13288F05-5319-412B-B664-2E7F2706ACE9}"/>
    <cellStyle name="Note 27 2_Working Capital Current" xfId="15957" xr:uid="{4426ECEA-0816-4F52-A080-A5035EBA45FF}"/>
    <cellStyle name="Note 27 3" xfId="12624" xr:uid="{55190EAB-6F93-418B-B1DD-E6CE32A129FF}"/>
    <cellStyle name="Note 27 3 2" xfId="12625" xr:uid="{ED9092DB-B32B-4A41-8284-463DB32AA942}"/>
    <cellStyle name="Note 27 3_Working Capital Current" xfId="15958" xr:uid="{5ECD5D7D-07B9-4518-851D-829E9CB6DA00}"/>
    <cellStyle name="Note 27 4" xfId="12626" xr:uid="{2F3E67A3-6548-4255-B89F-B0365BCFB879}"/>
    <cellStyle name="Note 27 5" xfId="12627" xr:uid="{01FF58A6-5899-487E-B313-3E2C1304F31D}"/>
    <cellStyle name="Note 27_Working Capital Current" xfId="15959" xr:uid="{748B9DDB-8047-442C-969E-6E633E452938}"/>
    <cellStyle name="Note 28" xfId="12628" xr:uid="{82CF1C16-2BF4-4367-98E1-C593E79E0B4C}"/>
    <cellStyle name="Note 28 2" xfId="12629" xr:uid="{6EA71C45-5D3A-43DE-834A-24B1110857CE}"/>
    <cellStyle name="Note 28 2 2" xfId="12630" xr:uid="{58A4444E-B82F-4C2E-892F-364E140B1A71}"/>
    <cellStyle name="Note 28 2 2 2" xfId="12631" xr:uid="{A2E72539-5A6A-4B3F-B0A1-9AE35E6E4669}"/>
    <cellStyle name="Note 28 2 2_Working Capital Current" xfId="15960" xr:uid="{CD440C0F-68B6-4934-AACC-927ED62656BC}"/>
    <cellStyle name="Note 28 2 3" xfId="12632" xr:uid="{9029A770-30A0-44B1-BC4D-F19D22C72BE4}"/>
    <cellStyle name="Note 28 2 4" xfId="12633" xr:uid="{E6819866-260B-4DE3-9457-F82C1DB2EDAA}"/>
    <cellStyle name="Note 28 2_Working Capital Current" xfId="15961" xr:uid="{C7630AB2-72B3-427B-A0CB-F66AA92E5065}"/>
    <cellStyle name="Note 28 3" xfId="12634" xr:uid="{06650407-2DC2-4F3D-AA80-2C7AD3FFC6BF}"/>
    <cellStyle name="Note 28 3 2" xfId="12635" xr:uid="{F125AB93-1E88-45F4-AFC6-9D03A0E5DDEF}"/>
    <cellStyle name="Note 28 3_Working Capital Current" xfId="15962" xr:uid="{74D6135A-E2C9-46D9-ACE4-6B552CA7E81C}"/>
    <cellStyle name="Note 28 4" xfId="12636" xr:uid="{F2A8CCA9-9B3E-49BB-8DC5-9C3012A61419}"/>
    <cellStyle name="Note 28 5" xfId="12637" xr:uid="{8BE458D8-5F34-41DE-BE76-21E37BF32895}"/>
    <cellStyle name="Note 28_Working Capital Current" xfId="15963" xr:uid="{65607654-A3A1-403B-87F4-335BFB7D868E}"/>
    <cellStyle name="Note 29" xfId="12638" xr:uid="{6BFA8485-17F2-4DA3-8F1D-681ECC078215}"/>
    <cellStyle name="Note 29 2" xfId="12639" xr:uid="{D19A7588-60EF-4091-B293-87239AA560A5}"/>
    <cellStyle name="Note 29 2 2" xfId="12640" xr:uid="{A4D06D14-88C7-423D-8A65-F13A532B2A4D}"/>
    <cellStyle name="Note 29 2 2 2" xfId="12641" xr:uid="{218C302E-0829-4AAB-A2CF-88C70D6AC54A}"/>
    <cellStyle name="Note 29 2 2_Working Capital Current" xfId="15964" xr:uid="{1F1B0941-D5A1-40C7-A379-D27BE8ED56A2}"/>
    <cellStyle name="Note 29 2 3" xfId="12642" xr:uid="{767F825B-6C20-4FCE-8029-086732E3AC5E}"/>
    <cellStyle name="Note 29 2 4" xfId="12643" xr:uid="{DDA343C0-BD42-4B7E-9130-87660CF96CAC}"/>
    <cellStyle name="Note 29 2_Working Capital Current" xfId="15965" xr:uid="{DC204915-FF7F-44BC-AB00-A52349A2C4A1}"/>
    <cellStyle name="Note 29 3" xfId="12644" xr:uid="{6EDFAEAA-DD04-4DAB-8FBB-AE6E2CB337EF}"/>
    <cellStyle name="Note 29 3 2" xfId="12645" xr:uid="{3148F715-D6A0-479C-A8AD-61F15702F8AD}"/>
    <cellStyle name="Note 29 3_Working Capital Current" xfId="15966" xr:uid="{F70A373E-88E2-4415-ADF9-F81A91DBA3E0}"/>
    <cellStyle name="Note 29 4" xfId="12646" xr:uid="{A8909A14-F2E0-449C-A3EB-5E5E5B0D9541}"/>
    <cellStyle name="Note 29 5" xfId="12647" xr:uid="{F728BE7C-220B-497E-AC86-5B31059E1162}"/>
    <cellStyle name="Note 29_Working Capital Current" xfId="15967" xr:uid="{15E34000-00E0-4D63-B2DE-E05EDEE438D4}"/>
    <cellStyle name="Note 3" xfId="669" xr:uid="{1D9D19B8-19A0-498A-BBB8-DC29785AD7C8}"/>
    <cellStyle name="Note 3 10" xfId="16960" xr:uid="{11BC7049-49E3-45BE-AD7D-3C2CE8B0DD39}"/>
    <cellStyle name="Note 3 10 2" xfId="18280" xr:uid="{5F30391C-4B71-4F92-9CC4-F4CC1CDDCA19}"/>
    <cellStyle name="Note 3 11" xfId="3878" xr:uid="{D3A3EBE5-EBF3-47C0-A2B2-4D3F7D59F8BC}"/>
    <cellStyle name="Note 3 2" xfId="2355" xr:uid="{B3321B98-07FC-4904-A7D5-0B588CD8A4BA}"/>
    <cellStyle name="Note 3 2 2" xfId="12650" xr:uid="{803C344F-1B10-462A-BF51-12C2E406DE7B}"/>
    <cellStyle name="Note 3 2 2 2" xfId="12651" xr:uid="{8283D1CD-5EC8-4578-B306-83900E480450}"/>
    <cellStyle name="Note 3 2 2 2 2" xfId="12652" xr:uid="{EF11DD5B-56B4-4580-B1A5-BA3CE29AFC6E}"/>
    <cellStyle name="Note 3 2 2 2_Working Capital Current" xfId="15968" xr:uid="{AA1D1FC1-3DF1-4A05-88B8-5CE496E50C2E}"/>
    <cellStyle name="Note 3 2 2 3" xfId="12653" xr:uid="{3EC47C9A-D601-4826-AF29-B0B06BAFD480}"/>
    <cellStyle name="Note 3 2 2 4" xfId="12654" xr:uid="{A9488D88-97A5-425C-A268-727887780AE1}"/>
    <cellStyle name="Note 3 2 2_Working Capital Current" xfId="15969" xr:uid="{4A5F6236-91AC-458A-B79F-7A3A5E038814}"/>
    <cellStyle name="Note 3 2 3" xfId="12655" xr:uid="{2F3B3F2B-99E9-49E9-A7D5-10704EDECFE8}"/>
    <cellStyle name="Note 3 2 3 2" xfId="12656" xr:uid="{BBB5E3F0-CF58-4036-8289-9781037AE4C8}"/>
    <cellStyle name="Note 3 2 3_Working Capital Current" xfId="15970" xr:uid="{EF4CCDA7-8886-4770-AEF2-808921301500}"/>
    <cellStyle name="Note 3 2 4" xfId="12657" xr:uid="{ED89ED75-4BF6-49A7-9105-BD1701FE3618}"/>
    <cellStyle name="Note 3 2 5" xfId="12658" xr:uid="{F8BBD715-5CB1-4949-A911-272664A4D82F}"/>
    <cellStyle name="Note 3 2 6" xfId="17798" xr:uid="{D867DB30-3988-4255-AAE8-804745FF9812}"/>
    <cellStyle name="Note 3 2 6 2" xfId="18332" xr:uid="{5F2C8347-6ACD-49D4-BBB8-BDAC52262EE7}"/>
    <cellStyle name="Note 3 2 7" xfId="18229" xr:uid="{0937B8D1-E29E-421C-B18A-05A4FBB0C2D8}"/>
    <cellStyle name="Note 3 2 7 2" xfId="18370" xr:uid="{31CADD5D-01C4-4CC1-A5FD-C228DE557A8A}"/>
    <cellStyle name="Note 3 2 8" xfId="12649" xr:uid="{C2D97C6F-F6AF-4CB1-8C7F-600E31A2EE05}"/>
    <cellStyle name="Note 3 2_Working Capital Current" xfId="15971" xr:uid="{51892089-A570-4C0D-B011-2024DACD7ACA}"/>
    <cellStyle name="Note 3 3" xfId="12659" xr:uid="{B57F0096-7B78-446D-A401-25520B2C4BC5}"/>
    <cellStyle name="Note 3 3 2" xfId="12660" xr:uid="{3CBD3EB4-57C6-40C5-B21D-1B14B8E8B14D}"/>
    <cellStyle name="Note 3 3 2 2" xfId="12661" xr:uid="{D467EF6A-6E03-45B9-A923-03DDA7A39D3B}"/>
    <cellStyle name="Note 3 3 2 2 2" xfId="12662" xr:uid="{54D63F20-EAEE-4A72-8905-EEAB73AC47B0}"/>
    <cellStyle name="Note 3 3 2 2_Working Capital Current" xfId="15972" xr:uid="{8CD4D7E5-687E-4175-9581-334C63725997}"/>
    <cellStyle name="Note 3 3 2 3" xfId="12663" xr:uid="{D33C8B08-ADCF-45FF-958C-0E9D3AD40597}"/>
    <cellStyle name="Note 3 3 2 4" xfId="12664" xr:uid="{6D08A9C9-5C1D-4CE6-B3A5-6C8FAB4DCF3E}"/>
    <cellStyle name="Note 3 3 2_Working Capital Current" xfId="15973" xr:uid="{72CBB089-F205-4F74-B873-ECBCD2F5A1F0}"/>
    <cellStyle name="Note 3 3 3" xfId="12665" xr:uid="{F49C759F-FEB7-4581-A96D-5772EAF7EF84}"/>
    <cellStyle name="Note 3 3 3 2" xfId="12666" xr:uid="{553D17B9-394F-457C-BDFF-9175E3AB67C7}"/>
    <cellStyle name="Note 3 3 3_Working Capital Current" xfId="15974" xr:uid="{33BB6F15-49F1-40D0-A1DD-9B87B0BF6AB3}"/>
    <cellStyle name="Note 3 3 4" xfId="12667" xr:uid="{BC196B65-A5DD-4D2A-B50E-C9E1A307D303}"/>
    <cellStyle name="Note 3 3 5" xfId="12668" xr:uid="{13714A2C-F995-4788-B2E1-1B02506D42A2}"/>
    <cellStyle name="Note 3 3_Working Capital Current" xfId="15975" xr:uid="{1A745ED6-64AA-4A89-B22F-F7904B818F8D}"/>
    <cellStyle name="Note 3 4" xfId="12669" xr:uid="{D0B08A38-F531-4304-B601-ED9DF27A59B8}"/>
    <cellStyle name="Note 3 4 2" xfId="12670" xr:uid="{A75D6087-7257-411B-BFDA-1F2C3FBC6FDC}"/>
    <cellStyle name="Note 3 4 2 2" xfId="12671" xr:uid="{294DF739-6321-49CB-902C-DAFC0AA03C24}"/>
    <cellStyle name="Note 3 4 2 2 2" xfId="12672" xr:uid="{E4D41F4A-F7CC-4FEC-929E-1C9D91CD1E3C}"/>
    <cellStyle name="Note 3 4 2 2_Working Capital Current" xfId="15976" xr:uid="{003D8BAD-D137-45CC-8BBC-CAFD5F04EB1C}"/>
    <cellStyle name="Note 3 4 2 3" xfId="12673" xr:uid="{FABCD06F-1214-4475-A42F-FC7C7E82F836}"/>
    <cellStyle name="Note 3 4 2 4" xfId="12674" xr:uid="{C38259C5-2029-4746-BCC3-25B37659BD60}"/>
    <cellStyle name="Note 3 4 2_Working Capital Current" xfId="15977" xr:uid="{26AC4A35-7099-41B2-B4CB-60BE70A9407C}"/>
    <cellStyle name="Note 3 4 3" xfId="12675" xr:uid="{94E15A54-B662-4A86-B2E5-ACE5E2728A5C}"/>
    <cellStyle name="Note 3 4 3 2" xfId="12676" xr:uid="{B4BC8709-50A7-4452-A5E5-37CCF51245A5}"/>
    <cellStyle name="Note 3 4 3_Working Capital Current" xfId="15978" xr:uid="{BF732831-D7EA-47CC-AED1-01254E8F7771}"/>
    <cellStyle name="Note 3 4 4" xfId="12677" xr:uid="{C66380E3-C676-40DA-B72E-7A4B1C7E2971}"/>
    <cellStyle name="Note 3 4 5" xfId="12678" xr:uid="{E8425619-EBA7-4697-8BAB-4D3D0594FB1B}"/>
    <cellStyle name="Note 3 4_Working Capital Current" xfId="15979" xr:uid="{F3A1BCB7-868C-470A-9BF8-F1F854325DC3}"/>
    <cellStyle name="Note 3 5" xfId="12679" xr:uid="{2E345E32-4292-44E7-A122-7CD16FE9FA53}"/>
    <cellStyle name="Note 3 5 2" xfId="12680" xr:uid="{B47C990C-1BCA-4E0C-845D-DC111117E1AD}"/>
    <cellStyle name="Note 3 5 2 2" xfId="12681" xr:uid="{D21C068D-E53B-4126-A4E3-C83372781769}"/>
    <cellStyle name="Note 3 5 2_Working Capital Current" xfId="15980" xr:uid="{D0F9D963-77C1-4886-9BEE-5281D18811F7}"/>
    <cellStyle name="Note 3 5 3" xfId="12682" xr:uid="{9DEC424E-CA1E-419C-8896-3061C6ECFE65}"/>
    <cellStyle name="Note 3 5 4" xfId="12683" xr:uid="{2361FC3C-8CCB-4A37-96D3-EAE5B787A1DC}"/>
    <cellStyle name="Note 3 5_Working Capital Current" xfId="15981" xr:uid="{9FF63D88-C7B7-4720-85A1-D845E27C91FA}"/>
    <cellStyle name="Note 3 6" xfId="12684" xr:uid="{8B394EE7-8FC6-40A1-BA45-139D908CB9FD}"/>
    <cellStyle name="Note 3 6 2" xfId="12685" xr:uid="{3602A974-7295-45BD-9B26-E976BABB9B78}"/>
    <cellStyle name="Note 3 6_Working Capital Current" xfId="15982" xr:uid="{44CABCBA-2597-402B-B369-AA18FEF39412}"/>
    <cellStyle name="Note 3 7" xfId="12686" xr:uid="{1D72090A-2551-4BA4-9394-B3CAB7DF1CC8}"/>
    <cellStyle name="Note 3 8" xfId="12687" xr:uid="{B7FBFF41-E3AA-4312-A239-4EAED9961B83}"/>
    <cellStyle name="Note 3 9" xfId="12648" xr:uid="{10AA967F-3844-4DDC-90B2-C3ED45781A90}"/>
    <cellStyle name="Note 3_Working Capital Current" xfId="15983" xr:uid="{F3D83546-19C5-4CDF-A400-B29D75442F6E}"/>
    <cellStyle name="Note 30" xfId="12688" xr:uid="{4F7B3C48-9B79-4432-98B3-2963CA128E17}"/>
    <cellStyle name="Note 30 2" xfId="12689" xr:uid="{983EF256-98E7-4D9F-9F99-4A80DB1393AA}"/>
    <cellStyle name="Note 30 2 2" xfId="12690" xr:uid="{C7197E70-66F7-432D-A932-DF0DD3389C33}"/>
    <cellStyle name="Note 30 2_Working Capital Current" xfId="15984" xr:uid="{ACAAE1DB-8220-4AB9-8D65-C9DE763FC5B5}"/>
    <cellStyle name="Note 30 3" xfId="12691" xr:uid="{14254770-7D34-49A3-AA2A-C30BF8E305DA}"/>
    <cellStyle name="Note 30 3 2" xfId="12692" xr:uid="{19F9D72C-5543-4DF0-8F22-9E846CD4D840}"/>
    <cellStyle name="Note 30 3_Working Capital Current" xfId="15985" xr:uid="{77293719-4402-4E1E-9D3A-53252FAAC9B7}"/>
    <cellStyle name="Note 30 4" xfId="12693" xr:uid="{4E455C6C-39CF-494C-A94F-9A4DE4B5AFCB}"/>
    <cellStyle name="Note 30 5" xfId="12694" xr:uid="{11EB3567-52F0-4D7B-AB00-A75834BE0F86}"/>
    <cellStyle name="Note 30_Working Capital Current" xfId="15986" xr:uid="{E166128B-0ADA-478C-ADA1-6D73C2878330}"/>
    <cellStyle name="Note 31" xfId="12695" xr:uid="{9D7C112D-2103-4CAF-AB8A-C5771EF3D1A8}"/>
    <cellStyle name="Note 31 2" xfId="12696" xr:uid="{9E6D7598-859F-4F20-B4ED-CC90D8C48775}"/>
    <cellStyle name="Note 31 2 2" xfId="12697" xr:uid="{42288AA5-BB8C-4B0D-91DE-4E62C6BAC197}"/>
    <cellStyle name="Note 31 2_Working Capital Current" xfId="15987" xr:uid="{0A730AA5-213F-4D05-9069-F9D059AB8406}"/>
    <cellStyle name="Note 31 3" xfId="12698" xr:uid="{8AF8B6C0-E877-4C52-8C61-4C3B71DA8B7D}"/>
    <cellStyle name="Note 31 3 2" xfId="12699" xr:uid="{E7EA939D-1C91-4221-8120-E40644881A38}"/>
    <cellStyle name="Note 31 3_Working Capital Current" xfId="15988" xr:uid="{23E67160-CE16-4D48-BEED-F9B2BC7759D5}"/>
    <cellStyle name="Note 31 4" xfId="12700" xr:uid="{A6147AFD-0F36-4CB1-9D53-0239E227A074}"/>
    <cellStyle name="Note 31 5" xfId="12701" xr:uid="{9777D8AD-D88C-49F8-B252-55099992EDDB}"/>
    <cellStyle name="Note 31_Working Capital Current" xfId="15989" xr:uid="{BDE45619-C62B-4D63-9374-B86FF269913C}"/>
    <cellStyle name="Note 32" xfId="12702" xr:uid="{C2703279-E1C3-43F6-BD64-D495C3041EDA}"/>
    <cellStyle name="Note 32 2" xfId="12703" xr:uid="{1E5EF12D-1BE8-4CE1-94D6-D790845CFB08}"/>
    <cellStyle name="Note 32 2 2" xfId="12704" xr:uid="{787B1BA6-7BB2-41D3-A2A5-5ABCC08F7DE8}"/>
    <cellStyle name="Note 32 2_Working Capital Current" xfId="15990" xr:uid="{CFC16A0A-7416-47D7-9F89-2E1AB85D13FA}"/>
    <cellStyle name="Note 32 3" xfId="12705" xr:uid="{6E656573-4161-45D4-8BCA-67A5CA22695F}"/>
    <cellStyle name="Note 32 4" xfId="12706" xr:uid="{CE6F865C-53C1-4127-9A22-718333770FE5}"/>
    <cellStyle name="Note 32_Working Capital Current" xfId="15991" xr:uid="{021EE536-FF5E-4567-8991-CF134D176E90}"/>
    <cellStyle name="Note 33" xfId="12707" xr:uid="{1EDAE073-6BE6-44F2-83EF-EDE2BA8B71DB}"/>
    <cellStyle name="Note 33 2" xfId="12708" xr:uid="{4C4A1019-4C71-441B-966F-D066A2FF7B2E}"/>
    <cellStyle name="Note 33 2 2" xfId="12709" xr:uid="{5D05CB61-D9A9-463E-9750-002FB9BE0971}"/>
    <cellStyle name="Note 33 2_Working Capital Current" xfId="15992" xr:uid="{7D09C02E-F958-4B5D-AF13-B570206A59C9}"/>
    <cellStyle name="Note 33 3" xfId="12710" xr:uid="{58B25DAF-C286-4D8E-A261-FE60857C2272}"/>
    <cellStyle name="Note 33 4" xfId="12711" xr:uid="{94FC8D8C-A214-4D69-B682-19AA4721EF0C}"/>
    <cellStyle name="Note 33_Working Capital Current" xfId="15993" xr:uid="{D60AFE5C-2B2A-4B16-A2DB-80493DE89938}"/>
    <cellStyle name="Note 34" xfId="12712" xr:uid="{563F2C3C-CF0B-4572-8943-167F4F472676}"/>
    <cellStyle name="Note 34 2" xfId="12713" xr:uid="{B85250CC-ECCD-4CA3-9A6B-5FFEA79971B5}"/>
    <cellStyle name="Note 34 2 2" xfId="12714" xr:uid="{CAE0BF90-208A-4F8C-AF81-CF6BE1BD2A1A}"/>
    <cellStyle name="Note 34 2_Working Capital Current" xfId="15994" xr:uid="{950C29FC-4D35-43DB-BACB-F42777324BD4}"/>
    <cellStyle name="Note 34 3" xfId="12715" xr:uid="{9CB9E0E4-C350-4B42-BEDB-550080BD21DC}"/>
    <cellStyle name="Note 34 4" xfId="12716" xr:uid="{8B1A5015-013B-453F-A248-6ABEA149EEF9}"/>
    <cellStyle name="Note 34_Working Capital Current" xfId="15995" xr:uid="{7F8DF694-7C4D-40E7-B556-785C2DECC668}"/>
    <cellStyle name="Note 35" xfId="12717" xr:uid="{25B6E5C4-13A8-4478-9268-D2E94980F8FB}"/>
    <cellStyle name="Note 35 2" xfId="12718" xr:uid="{D75735E8-2452-4304-8867-CCC6D65291A9}"/>
    <cellStyle name="Note 35 2 2" xfId="12719" xr:uid="{C23E5978-21F3-4085-B936-96F7CE812B33}"/>
    <cellStyle name="Note 35 2_Working Capital Current" xfId="15996" xr:uid="{73396184-E418-4790-9D07-B614DB57CB58}"/>
    <cellStyle name="Note 35 3" xfId="12720" xr:uid="{8BB6934B-5E76-4D86-BEA3-77A512657ACC}"/>
    <cellStyle name="Note 35 4" xfId="12721" xr:uid="{6A0F430F-27CF-4301-8F0B-CAAC9BFF9BAB}"/>
    <cellStyle name="Note 35_Working Capital Current" xfId="15997" xr:uid="{D26851D4-7E2A-4506-9682-613EF190CE6D}"/>
    <cellStyle name="Note 36" xfId="12722" xr:uid="{1F2587D2-4387-468E-AD66-80C2B6BFE4FD}"/>
    <cellStyle name="Note 36 2" xfId="12723" xr:uid="{0291FCEA-F2E3-4AA1-9B47-2BB7CCDAFF4B}"/>
    <cellStyle name="Note 36 2 2" xfId="12724" xr:uid="{779CF306-2DEC-4EE7-954F-C4B00A72EAA4}"/>
    <cellStyle name="Note 36 2_Working Capital Current" xfId="15998" xr:uid="{76A4CA60-BF7A-4E4D-9AC6-4EEBCFDDF934}"/>
    <cellStyle name="Note 36 3" xfId="12725" xr:uid="{AA1F1557-4B2C-486D-AA95-54EB5B89EB36}"/>
    <cellStyle name="Note 36 4" xfId="12726" xr:uid="{0C8B0E41-DF04-4AC7-8D00-CD4C577F4E00}"/>
    <cellStyle name="Note 36_Working Capital Current" xfId="15999" xr:uid="{D39C91F5-E78B-405A-A87A-EBF484661BC2}"/>
    <cellStyle name="Note 37" xfId="12727" xr:uid="{B8ADB12E-A642-441B-A1F8-2635F521681F}"/>
    <cellStyle name="Note 37 2" xfId="12728" xr:uid="{015F452F-5F83-41F4-9429-0266A6E128CF}"/>
    <cellStyle name="Note 37 2 2" xfId="12729" xr:uid="{40C31706-350D-4414-8174-AB8C020EADC2}"/>
    <cellStyle name="Note 37 2_Working Capital Current" xfId="16000" xr:uid="{9E92FDC7-B85E-4052-8757-5655BFB644F9}"/>
    <cellStyle name="Note 37 3" xfId="12730" xr:uid="{C51A9F46-6E9B-4A60-81FE-BCFF48E9DDBC}"/>
    <cellStyle name="Note 37 4" xfId="12731" xr:uid="{F97B0EFA-7908-47F1-A79F-3CBE8C3CD3C2}"/>
    <cellStyle name="Note 37_Working Capital Current" xfId="16001" xr:uid="{71698EC3-CB1B-4FDA-ABA5-B629F84B63E8}"/>
    <cellStyle name="Note 38" xfId="12732" xr:uid="{EC82456E-ED1D-4268-B230-756695FE56CD}"/>
    <cellStyle name="Note 38 2" xfId="12733" xr:uid="{E0216699-5855-4513-B650-FE4BCB803CDE}"/>
    <cellStyle name="Note 38 2 2" xfId="12734" xr:uid="{96D7E2CD-1C30-4BB1-8973-4893CDFA35DB}"/>
    <cellStyle name="Note 38 2_Working Capital Current" xfId="16002" xr:uid="{53217126-2D18-41A5-BD74-E3D8A4B62108}"/>
    <cellStyle name="Note 38 3" xfId="12735" xr:uid="{DAF0AC16-3A94-4436-A3D9-D8CB4A0DBE97}"/>
    <cellStyle name="Note 38 4" xfId="12736" xr:uid="{1635952C-652F-4C65-965E-4C232912294D}"/>
    <cellStyle name="Note 38_Working Capital Current" xfId="16003" xr:uid="{C732FD5D-F5BD-42F4-96D9-1175E3723106}"/>
    <cellStyle name="Note 39" xfId="12737" xr:uid="{EA9F090E-5F3B-4E40-B03A-68FBC5F01152}"/>
    <cellStyle name="Note 39 2" xfId="12738" xr:uid="{9C662C43-5665-469E-85BF-7334CAB3608D}"/>
    <cellStyle name="Note 39 2 2" xfId="12739" xr:uid="{5415C913-2EDC-4C71-A013-85F04F4963A6}"/>
    <cellStyle name="Note 39 2_Working Capital Current" xfId="16004" xr:uid="{5D98B0A7-0BA8-4BB5-9F13-33D62684C34D}"/>
    <cellStyle name="Note 39 3" xfId="12740" xr:uid="{BB895CDC-1B50-48B9-BBE3-C2A7084600BB}"/>
    <cellStyle name="Note 39 4" xfId="12741" xr:uid="{CEF9C334-4FF3-43E8-83B3-2511CE09B450}"/>
    <cellStyle name="Note 39_Working Capital Current" xfId="16005" xr:uid="{EA776B90-F4C5-452D-A20B-B9C6E17BC7DB}"/>
    <cellStyle name="Note 4" xfId="2390" xr:uid="{0E35236A-B414-4A2B-A9A6-91BF13AF5108}"/>
    <cellStyle name="Note 4 10" xfId="18230" xr:uid="{41A30E19-FDF4-432C-AEC8-76FEF5099BD3}"/>
    <cellStyle name="Note 4 11" xfId="12742" xr:uid="{171FDDA1-3B45-4E66-AA48-04C178E57E5D}"/>
    <cellStyle name="Note 4 2" xfId="12743" xr:uid="{2F3CF65A-B1D6-4644-898A-EF9866F09999}"/>
    <cellStyle name="Note 4 2 2" xfId="12744" xr:uid="{8259796C-9FE5-4B79-8E10-75CC2056911E}"/>
    <cellStyle name="Note 4 2 2 2" xfId="12745" xr:uid="{4FA17D69-90F1-413F-99AD-4621294409CE}"/>
    <cellStyle name="Note 4 2 2 2 2" xfId="12746" xr:uid="{A91384B1-E6E5-48B5-B45B-BCE94F418947}"/>
    <cellStyle name="Note 4 2 2 2_Working Capital Current" xfId="16006" xr:uid="{3FFF4D6B-9C47-4C4B-B481-92561979634D}"/>
    <cellStyle name="Note 4 2 2 3" xfId="12747" xr:uid="{DB51021A-B47E-46CB-85CE-591CCC08AA2A}"/>
    <cellStyle name="Note 4 2 2 4" xfId="12748" xr:uid="{1BC1063D-8BF2-4126-94F4-CD01406E9D51}"/>
    <cellStyle name="Note 4 2 2_Working Capital Current" xfId="16007" xr:uid="{62F8BB40-E169-4C8F-98B8-E188D4C3F0A3}"/>
    <cellStyle name="Note 4 2 3" xfId="12749" xr:uid="{D8185429-2092-4E78-B9E9-D00C013FAE07}"/>
    <cellStyle name="Note 4 2 3 2" xfId="12750" xr:uid="{533D6FA3-C33D-42A5-A4C7-CB251D11B1F1}"/>
    <cellStyle name="Note 4 2 3_Working Capital Current" xfId="16008" xr:uid="{133107D1-A377-4DE0-90FA-3E350E9558F6}"/>
    <cellStyle name="Note 4 2 4" xfId="12751" xr:uid="{EF168B54-0EAA-4FA5-9580-E6BD58FFAC0B}"/>
    <cellStyle name="Note 4 2 5" xfId="12752" xr:uid="{37667E72-CDFE-48EE-8CD3-3E99DF7E1517}"/>
    <cellStyle name="Note 4 2_Working Capital Current" xfId="16009" xr:uid="{EB309787-F014-4159-9F03-F0B00C2F441A}"/>
    <cellStyle name="Note 4 3" xfId="12753" xr:uid="{AFD42D0B-09F0-48F9-B340-30537DBBC1FF}"/>
    <cellStyle name="Note 4 3 2" xfId="12754" xr:uid="{96FE988F-F251-48C2-B464-3722ECA8CFF5}"/>
    <cellStyle name="Note 4 3 2 2" xfId="12755" xr:uid="{5D2CD1F8-3F6A-4DB9-9CA4-6083ACAB40E7}"/>
    <cellStyle name="Note 4 3 2 2 2" xfId="12756" xr:uid="{862A0321-D381-45E2-9CD0-B60B850C50F7}"/>
    <cellStyle name="Note 4 3 2 2_Working Capital Current" xfId="16010" xr:uid="{178A6A74-2E20-4C86-A6CC-82BD1CEFEB1E}"/>
    <cellStyle name="Note 4 3 2 3" xfId="12757" xr:uid="{9F3AC5EB-67DE-4B8A-AF2A-361C9A9DE319}"/>
    <cellStyle name="Note 4 3 2 4" xfId="12758" xr:uid="{58A5F790-5151-4E24-9201-B32D89D0EF19}"/>
    <cellStyle name="Note 4 3 2_Working Capital Current" xfId="16011" xr:uid="{F3F8AF40-41DC-447A-8338-149D33A32C69}"/>
    <cellStyle name="Note 4 3 3" xfId="12759" xr:uid="{D7B3B29D-6DA6-4E84-800E-8D3A754D8806}"/>
    <cellStyle name="Note 4 3 3 2" xfId="12760" xr:uid="{26DAB0C0-521C-4EAB-B68B-AD6C00BCC94F}"/>
    <cellStyle name="Note 4 3 3_Working Capital Current" xfId="16012" xr:uid="{54AE9B54-DE30-42D7-86BB-C4893A1F2F59}"/>
    <cellStyle name="Note 4 3 4" xfId="12761" xr:uid="{840CCDBC-C687-43A0-8E1F-6A2AED7A0B0B}"/>
    <cellStyle name="Note 4 3 5" xfId="12762" xr:uid="{4BE4BA04-261E-4FC5-89CF-605AF110D660}"/>
    <cellStyle name="Note 4 3_Working Capital Current" xfId="16013" xr:uid="{AF9FFA03-26F5-4F58-80EC-904A71C2ABD2}"/>
    <cellStyle name="Note 4 4" xfId="12763" xr:uid="{257AD849-A944-44E7-8C77-DE38DAB806EF}"/>
    <cellStyle name="Note 4 4 2" xfId="12764" xr:uid="{820FDB32-9372-4F76-8E49-8E758CDDFD8A}"/>
    <cellStyle name="Note 4 4 2 2" xfId="12765" xr:uid="{AD6D6C90-696A-4F45-898A-CDF584B61B00}"/>
    <cellStyle name="Note 4 4 2 2 2" xfId="12766" xr:uid="{46D8BAE3-FA71-4FB9-913F-4FE7365490E0}"/>
    <cellStyle name="Note 4 4 2 2_Working Capital Current" xfId="16014" xr:uid="{7853E769-7FC3-4027-B485-478151FAB119}"/>
    <cellStyle name="Note 4 4 2 3" xfId="12767" xr:uid="{27AE3BC6-9B38-454E-A8C3-CE4464E078E2}"/>
    <cellStyle name="Note 4 4 2 4" xfId="12768" xr:uid="{9BB64C17-01BD-4E46-B534-4CA490ABFE1F}"/>
    <cellStyle name="Note 4 4 2_Working Capital Current" xfId="16015" xr:uid="{728F2E25-C3B4-4330-9A4C-77645FE5E623}"/>
    <cellStyle name="Note 4 4 3" xfId="12769" xr:uid="{C97469ED-8153-4436-9257-E63CF0F009DC}"/>
    <cellStyle name="Note 4 4 3 2" xfId="12770" xr:uid="{525FF4BD-5F77-4D71-B59E-3FD34F9DE6E8}"/>
    <cellStyle name="Note 4 4 3_Working Capital Current" xfId="16016" xr:uid="{0906D2A0-4D44-4BF8-881E-EA4CD67D3F3A}"/>
    <cellStyle name="Note 4 4 4" xfId="12771" xr:uid="{8618C1A9-8877-4290-8367-ECDD6DDFD2E7}"/>
    <cellStyle name="Note 4 4 5" xfId="12772" xr:uid="{057EF24A-35DF-4D91-AE6D-A9D34EC358A5}"/>
    <cellStyle name="Note 4 4_Working Capital Current" xfId="16017" xr:uid="{5C0E63A9-6B6A-4826-98BC-255B3C6FA112}"/>
    <cellStyle name="Note 4 5" xfId="12773" xr:uid="{4C7C908D-3A76-40A0-A772-D195A120DD43}"/>
    <cellStyle name="Note 4 5 2" xfId="12774" xr:uid="{CF460723-EB38-489E-AEE6-7F7EFEDA699E}"/>
    <cellStyle name="Note 4 5 2 2" xfId="12775" xr:uid="{5F654E89-ADB6-4B40-8F11-A410A5D8F1D0}"/>
    <cellStyle name="Note 4 5 2_Working Capital Current" xfId="16018" xr:uid="{F70582AD-2A2E-4C9E-8E6C-45F179F74F9F}"/>
    <cellStyle name="Note 4 5 3" xfId="12776" xr:uid="{6928B8CD-9490-4E62-8863-E18B539950DD}"/>
    <cellStyle name="Note 4 5 4" xfId="12777" xr:uid="{71DBCA5C-3925-4C89-9716-F5CDC2F98394}"/>
    <cellStyle name="Note 4 5_Working Capital Current" xfId="16019" xr:uid="{F3ADA88E-6EC3-4374-A126-9F7F7C44B987}"/>
    <cellStyle name="Note 4 6" xfId="12778" xr:uid="{013B256D-8377-4FCD-995B-5F22B5C16374}"/>
    <cellStyle name="Note 4 6 2" xfId="12779" xr:uid="{043D6527-61B0-4556-BB87-4370E5F240FB}"/>
    <cellStyle name="Note 4 6_Working Capital Current" xfId="16020" xr:uid="{684A101D-BF79-498E-9EB7-8FA794B44842}"/>
    <cellStyle name="Note 4 7" xfId="12780" xr:uid="{E5DF8486-97F7-4B7A-9BFD-549DB66E3B6F}"/>
    <cellStyle name="Note 4 8" xfId="12781" xr:uid="{72E38D63-22D5-4FE3-96BF-FD4B276EC7A6}"/>
    <cellStyle name="Note 4 9" xfId="17820" xr:uid="{3275B5C2-D375-4E6B-8021-C34EE1F5552B}"/>
    <cellStyle name="Note 4_Working Capital Current" xfId="16021" xr:uid="{688FEF90-C596-4002-B6B8-19056E4C4F0A}"/>
    <cellStyle name="Note 40" xfId="12782" xr:uid="{C3E161CC-BBD0-4D46-A848-DBD17E5642F2}"/>
    <cellStyle name="Note 40 2" xfId="12783" xr:uid="{BF1ACF29-E39E-47C1-814D-7B509753F741}"/>
    <cellStyle name="Note 40 2 2" xfId="12784" xr:uid="{E41474C5-80B3-4643-A322-F51694B89E68}"/>
    <cellStyle name="Note 40 2_Working Capital Current" xfId="16022" xr:uid="{23456715-2F44-4C94-B8F2-538305BB56D2}"/>
    <cellStyle name="Note 40 3" xfId="12785" xr:uid="{415C73E9-0476-4AD5-B46A-9EC3EC76CEB1}"/>
    <cellStyle name="Note 40 4" xfId="12786" xr:uid="{9694E9DF-5733-4B56-91A7-29B9B53DB0B2}"/>
    <cellStyle name="Note 40_Working Capital Current" xfId="16023" xr:uid="{AAFC1E4C-D31A-48B6-9DB3-E4132EFC322B}"/>
    <cellStyle name="Note 41" xfId="12787" xr:uid="{8CCE9A2B-ADD8-479A-AA5A-D9367C5069D7}"/>
    <cellStyle name="Note 41 2" xfId="12788" xr:uid="{53D34257-9D2C-444C-B69B-26824976AAD9}"/>
    <cellStyle name="Note 41 2 2" xfId="12789" xr:uid="{076517DC-E0E9-4A11-B364-0DED2C763426}"/>
    <cellStyle name="Note 41 2_Working Capital Current" xfId="16024" xr:uid="{D483F278-01D3-4D1A-8343-CFF19F4ABF14}"/>
    <cellStyle name="Note 41 3" xfId="12790" xr:uid="{726E1708-AE94-4D8F-9A59-9DB6656C4B53}"/>
    <cellStyle name="Note 41 4" xfId="12791" xr:uid="{E1134C3B-1568-4828-95BE-A4C96F19D07A}"/>
    <cellStyle name="Note 41_Working Capital Current" xfId="16025" xr:uid="{33E31984-E888-473B-9792-E2236249580F}"/>
    <cellStyle name="Note 42" xfId="12792" xr:uid="{55E8A35C-33BE-4677-A2FB-515757CB5CEB}"/>
    <cellStyle name="Note 42 2" xfId="12793" xr:uid="{CFEBB1EF-2383-4F2E-9DAE-E6A97C419ECC}"/>
    <cellStyle name="Note 42 2 2" xfId="12794" xr:uid="{0FBD7EBD-2B88-4C9B-A0CD-696FDDE14596}"/>
    <cellStyle name="Note 42 2_Working Capital Current" xfId="16026" xr:uid="{4819DE8F-D718-4C7A-807D-7FFE90E5C31A}"/>
    <cellStyle name="Note 42 3" xfId="12795" xr:uid="{2ADEF677-BF56-47C0-AA70-AB1D986D9A71}"/>
    <cellStyle name="Note 42 4" xfId="12796" xr:uid="{9230B178-7C3A-4C5F-AB4A-A3DCF33698F3}"/>
    <cellStyle name="Note 42_Working Capital Current" xfId="16027" xr:uid="{89C70E37-55BD-4FA5-8425-8E62EE74FC5B}"/>
    <cellStyle name="Note 43" xfId="12797" xr:uid="{B8909721-2223-4CFD-AE23-86F4F1F755A3}"/>
    <cellStyle name="Note 43 2" xfId="12798" xr:uid="{4F463DB1-AA97-43F0-A8A3-DDFE5EFD0FF5}"/>
    <cellStyle name="Note 43 2 2" xfId="12799" xr:uid="{3D8500D9-DE4B-40DD-A0FE-F8064F9AF98F}"/>
    <cellStyle name="Note 43 2_Working Capital Current" xfId="16028" xr:uid="{F53FB181-06CC-4CC8-9961-9C70505F5323}"/>
    <cellStyle name="Note 43 3" xfId="12800" xr:uid="{FA73B0FA-57CF-4562-B21E-8A400C32A4DF}"/>
    <cellStyle name="Note 43 4" xfId="12801" xr:uid="{4AF935B5-01DB-4500-B609-1B4C6D69FDB4}"/>
    <cellStyle name="Note 43_Working Capital Current" xfId="16029" xr:uid="{9740BFC3-BF3E-430E-BBBB-776AF554AFC4}"/>
    <cellStyle name="Note 44" xfId="12802" xr:uid="{92DFC3ED-A5F6-42B2-913C-BABB4FC203C8}"/>
    <cellStyle name="Note 44 2" xfId="12803" xr:uid="{8478AD67-5AFD-4FBA-9630-1CE90ACCBAB4}"/>
    <cellStyle name="Note 44 2 2" xfId="12804" xr:uid="{5A45A208-03F6-4F0D-AC3D-CAB51C0C2C79}"/>
    <cellStyle name="Note 44 2_Working Capital Current" xfId="16030" xr:uid="{74F2B448-114C-42DF-A7F7-A808E09C7622}"/>
    <cellStyle name="Note 44 3" xfId="12805" xr:uid="{8B47DAB7-0B6F-442F-B845-6F1DF35F9584}"/>
    <cellStyle name="Note 44 4" xfId="12806" xr:uid="{93020327-C9D8-4195-86A1-9136FC8BFF5C}"/>
    <cellStyle name="Note 44_Working Capital Current" xfId="16031" xr:uid="{76288573-3448-441C-B527-6F0E8A96C19C}"/>
    <cellStyle name="Note 45" xfId="12807" xr:uid="{9D2B648C-E738-4F96-8A93-C9915695749B}"/>
    <cellStyle name="Note 45 2" xfId="12808" xr:uid="{BB165A59-F019-41C5-8CC4-649284A7C71B}"/>
    <cellStyle name="Note 45 3" xfId="12809" xr:uid="{ADA6E871-32E4-430A-AF70-99E3A5B8E49F}"/>
    <cellStyle name="Note 45_Working Capital Current" xfId="16032" xr:uid="{43180B9D-F644-4CD2-A751-BD45CBF899C6}"/>
    <cellStyle name="Note 46" xfId="12810" xr:uid="{0B365866-F109-4B27-A7BE-52265DCC6BE2}"/>
    <cellStyle name="Note 46 2" xfId="12811" xr:uid="{70E154F3-784E-4A5B-B900-58B6A2EBD59E}"/>
    <cellStyle name="Note 46 3" xfId="12812" xr:uid="{6FF8CEDF-777B-48DF-9304-066B1A38C16D}"/>
    <cellStyle name="Note 46_Working Capital Current" xfId="16033" xr:uid="{E377473F-D7C2-48DD-A457-D497C93181C8}"/>
    <cellStyle name="Note 47" xfId="12813" xr:uid="{F8E83637-AA8B-4335-9B06-6AB0A5868159}"/>
    <cellStyle name="Note 47 2" xfId="12814" xr:uid="{71EFFBD7-12E2-4218-BF5A-A48F8861FABF}"/>
    <cellStyle name="Note 47 3" xfId="12815" xr:uid="{5A3B86C7-35B8-4755-B6D0-35E1B2C9FC32}"/>
    <cellStyle name="Note 47_Working Capital Current" xfId="16034" xr:uid="{68269631-5FDF-45DD-A8EC-F4C9A29D75F5}"/>
    <cellStyle name="Note 48" xfId="12816" xr:uid="{11CF722D-3E21-4F30-BA1D-63D3D4274014}"/>
    <cellStyle name="Note 49" xfId="12817" xr:uid="{CFA3ADF0-9AC8-406A-96B5-B445874DFDFE}"/>
    <cellStyle name="Note 5" xfId="12818" xr:uid="{899E4E23-34F8-43F8-8BFE-9493E9A03CC1}"/>
    <cellStyle name="Note 5 2" xfId="12819" xr:uid="{340BE39C-81D7-4E94-A894-2A8A08C219E2}"/>
    <cellStyle name="Note 5 2 2" xfId="12820" xr:uid="{2E221676-5CA4-41F8-AE4A-02B742354A73}"/>
    <cellStyle name="Note 5 2 2 2" xfId="12821" xr:uid="{5A24D8AF-E2EA-4459-A88F-517ACD8C416D}"/>
    <cellStyle name="Note 5 2 2_Working Capital Current" xfId="16035" xr:uid="{4D6552EF-1A5D-4C47-A134-EB7FA929CAC6}"/>
    <cellStyle name="Note 5 2 3" xfId="12822" xr:uid="{9832576B-7462-4D3A-91BF-24CD31A4D8EF}"/>
    <cellStyle name="Note 5 2 4" xfId="12823" xr:uid="{85CC534C-03D5-43E7-88E2-35BD6AC5761D}"/>
    <cellStyle name="Note 5 2_Working Capital Current" xfId="16036" xr:uid="{97B36A72-BC9E-49C9-8734-4B250FBA379E}"/>
    <cellStyle name="Note 5 3" xfId="12824" xr:uid="{36DBE1ED-0112-4DA3-A414-4F6A5BA547E3}"/>
    <cellStyle name="Note 5 3 2" xfId="12825" xr:uid="{C23973CC-CA76-40A8-BFC5-A4D99A988564}"/>
    <cellStyle name="Note 5 3_Working Capital Current" xfId="16037" xr:uid="{B18AF518-2C3A-4694-8EA2-B6AEA0CEEEE5}"/>
    <cellStyle name="Note 5 4" xfId="12826" xr:uid="{08C2A480-03FB-405A-B672-B6C39E334BA3}"/>
    <cellStyle name="Note 5 5" xfId="12827" xr:uid="{8A8F4053-6900-4182-B490-7051117F26F5}"/>
    <cellStyle name="Note 5_Working Capital Current" xfId="16038" xr:uid="{C7C92BE1-392A-4D6C-9624-33FBE2642A25}"/>
    <cellStyle name="Note 50" xfId="16039" xr:uid="{4D412BAB-7C3F-4F32-8297-E2C49150A77B}"/>
    <cellStyle name="Note 51" xfId="17054" xr:uid="{38806077-B486-4018-94F9-FC82C6E28F58}"/>
    <cellStyle name="Note 52" xfId="18169" xr:uid="{D0A4B194-5764-489A-AFCB-447CE0D098C6}"/>
    <cellStyle name="Note 53" xfId="17131" xr:uid="{7425E3AA-4441-41C3-8951-0DEF869DB216}"/>
    <cellStyle name="Note 54" xfId="18235" xr:uid="{A5400962-CD26-40C4-A459-914C19335DBC}"/>
    <cellStyle name="Note 6" xfId="12828" xr:uid="{F606135E-6F08-4922-AD8F-1135E91E9CE0}"/>
    <cellStyle name="Note 6 2" xfId="12829" xr:uid="{A81820D1-3D06-428F-926E-D02B3F083171}"/>
    <cellStyle name="Note 6 2 2" xfId="12830" xr:uid="{F4D13DD0-9B73-4E79-A8DB-6E75457F020D}"/>
    <cellStyle name="Note 6 2 2 2" xfId="12831" xr:uid="{AE197B20-7F39-48B7-A848-EC6E9F8746CC}"/>
    <cellStyle name="Note 6 2 2_Working Capital Current" xfId="16040" xr:uid="{CBF5FE3A-BC3D-4106-8857-A7F06953B8A1}"/>
    <cellStyle name="Note 6 2 3" xfId="12832" xr:uid="{3C96C9DF-B973-4319-8E03-4076E7558B35}"/>
    <cellStyle name="Note 6 2 4" xfId="12833" xr:uid="{005BC057-31E8-4CE6-B93C-C8E9586C714E}"/>
    <cellStyle name="Note 6 2_Working Capital Current" xfId="16041" xr:uid="{EE472C9E-07C7-4132-8A7A-954A5C77E63D}"/>
    <cellStyle name="Note 6 3" xfId="12834" xr:uid="{E0E51C29-1F0D-4999-9187-FD6FC50C9A7E}"/>
    <cellStyle name="Note 6 3 2" xfId="12835" xr:uid="{75337469-B629-4B96-B530-8F4A8E63082F}"/>
    <cellStyle name="Note 6 3_Working Capital Current" xfId="16042" xr:uid="{53C5B50C-37E2-4B8D-A8BC-755D2F99A9C7}"/>
    <cellStyle name="Note 6 4" xfId="12836" xr:uid="{4B2CD7B3-5D7D-4297-A056-53198DA341E4}"/>
    <cellStyle name="Note 6 5" xfId="12837" xr:uid="{F676DE7F-B185-4AB2-9D8C-DB3CAC88E4DE}"/>
    <cellStyle name="Note 6_Working Capital Current" xfId="16043" xr:uid="{9B34EAD5-0D04-4254-9D83-659FF4502D7B}"/>
    <cellStyle name="Note 7" xfId="12838" xr:uid="{95981B25-6983-4501-B1F8-388D30EB25E4}"/>
    <cellStyle name="Note 7 2" xfId="12839" xr:uid="{34689668-F31B-4DA6-9D62-0CA3488D23EE}"/>
    <cellStyle name="Note 7 2 2" xfId="12840" xr:uid="{62024501-E76A-491F-A757-083E5EB1285A}"/>
    <cellStyle name="Note 7 2 2 2" xfId="12841" xr:uid="{B21867D2-0C31-4122-BA1F-58959882A2E1}"/>
    <cellStyle name="Note 7 2 2_Working Capital Current" xfId="16044" xr:uid="{367F6635-1F1D-4280-AB72-711C123955D1}"/>
    <cellStyle name="Note 7 2 3" xfId="12842" xr:uid="{0D37BB0C-E79F-466C-B063-2C6F6269D638}"/>
    <cellStyle name="Note 7 2 4" xfId="12843" xr:uid="{131C58D6-C84B-4106-9EE3-EB1DCCF8FDE5}"/>
    <cellStyle name="Note 7 2_Working Capital Current" xfId="16045" xr:uid="{EBED226B-4265-4FEA-BB2A-930B56AE2EA9}"/>
    <cellStyle name="Note 7 3" xfId="12844" xr:uid="{B7ED4B57-E2C6-4DD9-B3E8-B655C0C4A226}"/>
    <cellStyle name="Note 7 3 2" xfId="12845" xr:uid="{4F05DBC3-B96C-4D1C-B6AB-C0057C9D6F9E}"/>
    <cellStyle name="Note 7 3_Working Capital Current" xfId="16046" xr:uid="{EA09E2A1-8DFB-4833-ADAE-2DB957B16570}"/>
    <cellStyle name="Note 7 4" xfId="12846" xr:uid="{31036059-D6AA-4FDB-8554-4F25F576DFB7}"/>
    <cellStyle name="Note 7 5" xfId="12847" xr:uid="{54B3B061-44E3-4C75-8202-95F68EC1E96C}"/>
    <cellStyle name="Note 7_Working Capital Current" xfId="16047" xr:uid="{7C6A7233-08AE-464C-B4A1-5569B00FF97C}"/>
    <cellStyle name="Note 8" xfId="12848" xr:uid="{B13AE257-244E-4EBB-98C7-9A09A7512433}"/>
    <cellStyle name="Note 8 2" xfId="12849" xr:uid="{89A21F1D-D67D-40BA-B351-C010AC04B0B5}"/>
    <cellStyle name="Note 8 2 2" xfId="12850" xr:uid="{ACF92BED-4932-4C2A-BB55-4345DBA3B35C}"/>
    <cellStyle name="Note 8 2 2 2" xfId="12851" xr:uid="{F769D2E0-2A7B-4E88-9AB6-8E914A953E55}"/>
    <cellStyle name="Note 8 2 2_Working Capital Current" xfId="16048" xr:uid="{61C28C94-AC7E-4786-BD18-8293E4A53CA2}"/>
    <cellStyle name="Note 8 2 3" xfId="12852" xr:uid="{078E8B0C-13B2-4461-8738-FD719D8F17B5}"/>
    <cellStyle name="Note 8 2 4" xfId="12853" xr:uid="{84A35E70-0970-4386-828C-C1029E949B31}"/>
    <cellStyle name="Note 8 2_Working Capital Current" xfId="16049" xr:uid="{B76DF4D3-DA2E-4C4D-8CE7-A66F9642A267}"/>
    <cellStyle name="Note 8 3" xfId="12854" xr:uid="{13AEBD4D-6DAF-428A-A39F-52FA8C610A1E}"/>
    <cellStyle name="Note 8 3 2" xfId="12855" xr:uid="{83C71719-C1D4-484E-BD00-DEFEEB28D5C4}"/>
    <cellStyle name="Note 8 3_Working Capital Current" xfId="16050" xr:uid="{94438687-66D1-43A0-9692-B17A5F3F2AF8}"/>
    <cellStyle name="Note 8 4" xfId="12856" xr:uid="{771D8BE4-7F3D-4F3F-B022-AA0B5278AB59}"/>
    <cellStyle name="Note 8 5" xfId="12857" xr:uid="{BD14BA4B-77C5-4C70-86BA-FB8A40C5899A}"/>
    <cellStyle name="Note 8_Working Capital Current" xfId="16051" xr:uid="{A3C8B154-2C25-460C-94FF-4A366F0796ED}"/>
    <cellStyle name="Note 9" xfId="12858" xr:uid="{B75DDB89-1061-4DC3-8AF5-8865C663743A}"/>
    <cellStyle name="Note 9 2" xfId="12859" xr:uid="{67868E88-B06C-47D4-9C2B-F0ADDF9F4983}"/>
    <cellStyle name="Note 9 2 2" xfId="12860" xr:uid="{9B7976B0-B1A9-4F55-89F9-1CAF56DE15FB}"/>
    <cellStyle name="Note 9 2 2 2" xfId="12861" xr:uid="{E9C01FCB-7616-4895-BC07-AD7E85B8D9AC}"/>
    <cellStyle name="Note 9 2 2_Working Capital Current" xfId="16052" xr:uid="{4BC6554A-63F1-4E55-8967-D9CBAA9F8460}"/>
    <cellStyle name="Note 9 2 3" xfId="12862" xr:uid="{4A48EA15-3ABD-4955-898D-B60C04609984}"/>
    <cellStyle name="Note 9 2 4" xfId="12863" xr:uid="{CC76C2D0-34A9-49E1-BB87-F2ACABAD69C9}"/>
    <cellStyle name="Note 9 2_Working Capital Current" xfId="16053" xr:uid="{52050CCF-550F-4C5C-8C8B-B7F856379DB6}"/>
    <cellStyle name="Note 9 3" xfId="12864" xr:uid="{DE50549C-815F-42D2-B88C-569DAA0D5334}"/>
    <cellStyle name="Note 9 3 2" xfId="12865" xr:uid="{DD349730-6E3F-44FB-8A7B-6A8F00AD0DEB}"/>
    <cellStyle name="Note 9 3_Working Capital Current" xfId="16054" xr:uid="{3199DA04-822C-4CEA-B07E-77A6FA2446F6}"/>
    <cellStyle name="Note 9 4" xfId="12866" xr:uid="{8F737DF7-7B25-4A65-B3D4-9A480966894B}"/>
    <cellStyle name="Note 9 5" xfId="12867" xr:uid="{1D3AD381-CCE5-4894-88D1-1ACB6C4C5FD9}"/>
    <cellStyle name="Note 9_Working Capital Current" xfId="16055" xr:uid="{85F1C701-8E1D-4B8D-9D6A-D13574AAB3B6}"/>
    <cellStyle name="ObjectDataColumn" xfId="670" xr:uid="{752B81A7-7417-479A-A9A5-AE5DF608BC93}"/>
    <cellStyle name="ObjectDataColumn 2" xfId="2356" xr:uid="{0B81BF02-3EFE-46B6-819B-DD4FA549BFC3}"/>
    <cellStyle name="ObjectDataColumn 3" xfId="16961" xr:uid="{C2271770-F131-48C2-BB0C-9FCC59FCD9A7}"/>
    <cellStyle name="ObjectDataRow" xfId="671" xr:uid="{FC29037C-E5D3-42B3-818A-2B4806D66803}"/>
    <cellStyle name="ObjectLabelColumn" xfId="672" xr:uid="{6B94AF6C-8106-4C38-89DE-86B22EB0ED23}"/>
    <cellStyle name="ObjectLabelRow" xfId="673" xr:uid="{923C4E66-572F-4497-971D-668B41F54089}"/>
    <cellStyle name="Output" xfId="14" builtinId="21" customBuiltin="1"/>
    <cellStyle name="Output 2" xfId="674" xr:uid="{79DA54B1-225C-4A72-9C4F-0026CACE1407}"/>
    <cellStyle name="Output 2 2" xfId="675" xr:uid="{C29C165F-33B9-4444-A903-DD7EAEB4B3E7}"/>
    <cellStyle name="Output 2 2 2" xfId="2358" xr:uid="{E02B5D66-4A5F-49C7-BE0B-760BBA7ED1FB}"/>
    <cellStyle name="Output 2 2 2 2" xfId="17800" xr:uid="{E0709659-8BE0-4EE9-9B71-22DD481AA255}"/>
    <cellStyle name="Output 2 2 2 2 2" xfId="18334" xr:uid="{09BD758A-BF6B-490E-855B-24EEFF46D90A}"/>
    <cellStyle name="Output 2 2 2 3" xfId="12869" xr:uid="{0B71E293-2914-4890-93D0-982C62326CCA}"/>
    <cellStyle name="Output 2 2 3" xfId="16963" xr:uid="{14AA63F8-C9AF-4605-8065-F71865FF8D0D}"/>
    <cellStyle name="Output 2 2 3 2" xfId="18282" xr:uid="{1D97965E-653F-47FC-8E75-E7EA6CB99A9C}"/>
    <cellStyle name="Output 2 2 4" xfId="3876" xr:uid="{961C663F-C79E-47B5-8172-06332A57DBD6}"/>
    <cellStyle name="Output 2 3" xfId="2357" xr:uid="{D8B92B04-D0B2-4CE2-BBD5-C064C66CFD93}"/>
    <cellStyle name="Output 2 3 2" xfId="17799" xr:uid="{500C5313-3EFC-468D-AB89-8342C6D10250}"/>
    <cellStyle name="Output 2 3 2 2" xfId="18333" xr:uid="{5A50112D-37DE-4992-8352-A3966083852C}"/>
    <cellStyle name="Output 2 3 3" xfId="12868" xr:uid="{FD722C44-22B1-463D-B178-5FD463204E89}"/>
    <cellStyle name="Output 2 4" xfId="16962" xr:uid="{BA81B97C-C82E-44C4-BF11-4CCE7AA1E121}"/>
    <cellStyle name="Output 2 4 2" xfId="18281" xr:uid="{42B7A844-A837-44D7-BE46-DA9098802669}"/>
    <cellStyle name="Output 2 5" xfId="3877" xr:uid="{F28B2F50-FB75-438A-9323-8787E90E4A9B}"/>
    <cellStyle name="Output 2_Working Capital Current" xfId="16056" xr:uid="{E7225782-E6FF-4022-A419-19146540F909}"/>
    <cellStyle name="Output 3" xfId="676" xr:uid="{10DAB358-CBA2-4246-9303-74839BF575DE}"/>
    <cellStyle name="Output 3 2" xfId="2359" xr:uid="{F55AE744-EC70-4F62-AEE6-AFDBB9D2285A}"/>
    <cellStyle name="Output 3 2 2" xfId="17801" xr:uid="{CB98A556-D1FF-4BF1-A1AE-927CB929F1F5}"/>
    <cellStyle name="Output 3 2 2 2" xfId="18335" xr:uid="{0154E546-53F8-4635-B235-09524DF8946F}"/>
    <cellStyle name="Output 3 2 3" xfId="12870" xr:uid="{86076BB2-4481-43F0-B3DC-C6B0A498E7D8}"/>
    <cellStyle name="Output 3 3" xfId="16964" xr:uid="{755EDE43-0060-4D8B-AE43-53BD5EFE3A52}"/>
    <cellStyle name="Output 3 3 2" xfId="18283" xr:uid="{394F2329-5DA2-421D-8A36-5C17BA02FCBF}"/>
    <cellStyle name="Output 3 4" xfId="3875" xr:uid="{6D356961-FFE1-4776-9A45-0CE4805053CE}"/>
    <cellStyle name="Output 4" xfId="1857" xr:uid="{49C0A175-8DC5-496C-8753-4D9CA5572472}"/>
    <cellStyle name="Output 5" xfId="16478" xr:uid="{BAA0BAA7-D197-4CEE-96F1-5CA6186D5319}"/>
    <cellStyle name="Output 6" xfId="17008" xr:uid="{BB149F16-E8CC-4BFB-9A44-DA6D45C39B6A}"/>
    <cellStyle name="Output 7" xfId="17805" xr:uid="{49046BC5-ABAF-4D84-91FC-B4CD67AF1907}"/>
    <cellStyle name="Output 8" xfId="18249" xr:uid="{450CFCE4-4E26-4434-8A74-4EFC02FC8BEA}"/>
    <cellStyle name="OutputDataColumn" xfId="677" xr:uid="{5377FF23-6D58-4FC3-9CE9-8A7D1E580CC3}"/>
    <cellStyle name="OutputDataColumn 2" xfId="2360" xr:uid="{1A0FCD57-CCF7-454E-862B-94AA75D92090}"/>
    <cellStyle name="OutputDataColumn 3" xfId="16965" xr:uid="{C65601E6-7458-4E0E-9ADD-03A65803AE8F}"/>
    <cellStyle name="OutputDataRow" xfId="678" xr:uid="{3DD550EC-9B9C-469B-B50E-8975D3624267}"/>
    <cellStyle name="OutputLabelColumn" xfId="679" xr:uid="{7D187A7D-C16E-4082-8A7A-E60A18A3DA14}"/>
    <cellStyle name="OutputLabelRow" xfId="680" xr:uid="{2E70DE03-AC9D-4912-9990-915A9487192B}"/>
    <cellStyle name="PanelLabel" xfId="681" xr:uid="{FAB0E9D1-1480-4BE1-B258-455D0C5AC546}"/>
    <cellStyle name="PanelLabel 2" xfId="2361" xr:uid="{83D8C647-773B-4C71-A6E6-85FB364FFCD0}"/>
    <cellStyle name="PanelLabel 3" xfId="16966" xr:uid="{DC7042A3-7DE8-41ED-9E65-5635B76D0116}"/>
    <cellStyle name="per.style" xfId="682" xr:uid="{DD7CF6F0-48B7-4C75-AA80-91C285E2BF13}"/>
    <cellStyle name="Percent" xfId="2" builtinId="5"/>
    <cellStyle name="Percent 10" xfId="684" xr:uid="{4E8186CE-187F-4787-87EE-6B94D81BBDDC}"/>
    <cellStyle name="Percent 10 2" xfId="685" xr:uid="{8A43B294-8915-4847-AA84-DF0EB2403E78}"/>
    <cellStyle name="Percent 10 2 2" xfId="686" xr:uid="{2C52BDF2-0785-408D-8080-BB1143DFA262}"/>
    <cellStyle name="Percent 10 2 3" xfId="687" xr:uid="{74F40D8F-F473-406D-85B4-DF91AC5BFA2F}"/>
    <cellStyle name="Percent 10 3" xfId="1285" xr:uid="{4B02FDEA-A1BC-4E15-973F-7CB25B65A12C}"/>
    <cellStyle name="Percent 10 4" xfId="1286" xr:uid="{5CB81620-D354-49E4-9DC3-6C36451068B9}"/>
    <cellStyle name="Percent 10 5" xfId="1287" xr:uid="{4D399559-0C07-45AD-8DBB-605752FE4294}"/>
    <cellStyle name="Percent 11" xfId="688" xr:uid="{A8F9E11C-3F48-4709-8797-E10CC4F074E9}"/>
    <cellStyle name="Percent 11 2" xfId="689" xr:uid="{7D229B3E-8CF6-4143-9381-825DB6DB9D50}"/>
    <cellStyle name="Percent 11 3" xfId="1288" xr:uid="{24AD2FA1-5E05-4F3F-BF5B-FD82E05956C6}"/>
    <cellStyle name="Percent 11 4" xfId="1289" xr:uid="{0F9A02A3-19D4-4C18-8039-13B1552C7672}"/>
    <cellStyle name="Percent 11 5" xfId="1290" xr:uid="{494F0B77-FD3C-448B-A3E2-D510A5E67C1D}"/>
    <cellStyle name="Percent 12" xfId="690" xr:uid="{6D1EA2F4-5251-4C08-A8D4-F953F8EDECB0}"/>
    <cellStyle name="Percent 12 2" xfId="691" xr:uid="{A116D815-67CA-4AC8-BF8B-752A799FADEE}"/>
    <cellStyle name="Percent 12 3" xfId="692" xr:uid="{B8C7749D-3984-4131-9DF6-874A0E1D7AEC}"/>
    <cellStyle name="Percent 12 4" xfId="693" xr:uid="{69CB7359-332C-428F-B120-36C5303C7BD1}"/>
    <cellStyle name="Percent 12 5" xfId="1291" xr:uid="{65D1B1FE-343F-4E9A-9348-187444C478E0}"/>
    <cellStyle name="Percent 12 6" xfId="1292" xr:uid="{EE19869B-E851-4848-A2AC-AA8599C46BD2}"/>
    <cellStyle name="Percent 13" xfId="694" xr:uid="{080CF0D7-06DB-4116-B3B0-835FDDEC305F}"/>
    <cellStyle name="Percent 13 2" xfId="695" xr:uid="{EFD7F3B8-985C-4FB7-B0C8-2A0C93789484}"/>
    <cellStyle name="Percent 13 3" xfId="1293" xr:uid="{0AFD374A-4FDF-481D-A811-3B3D3214A4CA}"/>
    <cellStyle name="Percent 13 4" xfId="1294" xr:uid="{AAA30D73-3C17-4FB2-AF9C-F9F6CEAFD970}"/>
    <cellStyle name="Percent 14" xfId="696" xr:uid="{107022CF-84F8-4A0E-BF76-4483FD9A77B4}"/>
    <cellStyle name="Percent 14 2" xfId="697" xr:uid="{6799E7D1-95FB-4420-A9BE-B4FBC7DB919A}"/>
    <cellStyle name="Percent 14 3" xfId="1295" xr:uid="{2A7619CA-88D7-466E-8E50-E9402C672386}"/>
    <cellStyle name="Percent 15" xfId="698" xr:uid="{E12CD3C7-5244-4B7F-B34B-64E65DF24682}"/>
    <cellStyle name="Percent 15 2" xfId="699" xr:uid="{8A2D4E94-E7B2-4D35-A664-BE7D1F80CF7B}"/>
    <cellStyle name="Percent 15 3" xfId="700" xr:uid="{662B2000-B763-4F6D-A5BD-CA2E42D63678}"/>
    <cellStyle name="Percent 16" xfId="701" xr:uid="{CF883022-30C8-458B-A70D-03FF7991E3EA}"/>
    <cellStyle name="Percent 16 2" xfId="702" xr:uid="{3C683F62-E214-4BF7-AC65-EDF3F74FA1AE}"/>
    <cellStyle name="Percent 16 3" xfId="703" xr:uid="{971D8E3A-D87F-4AEE-87A9-E85F99C2113F}"/>
    <cellStyle name="Percent 17" xfId="704" xr:uid="{CE1551D2-D225-4B8A-A343-725F132B9636}"/>
    <cellStyle name="Percent 17 2" xfId="705" xr:uid="{A8DF49CC-A790-4A5D-A50F-E8B744E1F2C0}"/>
    <cellStyle name="Percent 18" xfId="706" xr:uid="{AF17A83B-228B-4033-B609-14E140183076}"/>
    <cellStyle name="Percent 18 2" xfId="707" xr:uid="{5A43693E-4E16-45C9-B1A9-0C4FA69FF485}"/>
    <cellStyle name="Percent 19" xfId="708" xr:uid="{43A651E6-E565-4E22-9D1C-FDA6FA9D6B68}"/>
    <cellStyle name="Percent 19 2" xfId="709" xr:uid="{48395CDA-0880-45C8-A25A-7CC083E75C76}"/>
    <cellStyle name="Percent 19 3" xfId="1296" xr:uid="{0ED59FD6-8E1C-4778-834B-002A426DA685}"/>
    <cellStyle name="Percent 2" xfId="710" xr:uid="{3645DB72-17DE-48EC-87A1-780E065ED948}"/>
    <cellStyle name="Percent 2 2" xfId="711" xr:uid="{73BEC8EA-0B08-4971-9F12-94254E217ECC}"/>
    <cellStyle name="Percent 2 2 2" xfId="712" xr:uid="{4915774D-57AE-43D9-8063-E24629AE9E13}"/>
    <cellStyle name="Percent 2 2 3" xfId="1297" xr:uid="{089F2B4C-C56D-481A-AA2D-7E2A52C608FC}"/>
    <cellStyle name="Percent 2 3" xfId="713" xr:uid="{6F67C7A3-36F5-4D42-901B-09A85B340C5A}"/>
    <cellStyle name="Percent 2 3 2" xfId="714" xr:uid="{414725D5-E326-4F68-8EA1-3A55CE34E2A6}"/>
    <cellStyle name="Percent 2 4" xfId="715" xr:uid="{715CC271-F97D-4922-9DDC-2CC78890F4F6}"/>
    <cellStyle name="Percent 2 5" xfId="716" xr:uid="{C00E852A-E03F-4BF5-9AC4-4BBCA96EF25A}"/>
    <cellStyle name="Percent 2 6" xfId="717" xr:uid="{5EADF649-C3A2-480E-A112-B8E918009D42}"/>
    <cellStyle name="Percent 2 7" xfId="718" xr:uid="{085BB04E-85E5-4EEA-A7DE-5497AD53F231}"/>
    <cellStyle name="Percent 2 7 2" xfId="719" xr:uid="{6B1CC00B-DAB4-4039-8FA2-A37EB2525561}"/>
    <cellStyle name="Percent 2 8" xfId="18142" xr:uid="{504709E5-A6E1-4FA2-8CB7-F5B3E7F484BA}"/>
    <cellStyle name="Percent 20" xfId="720" xr:uid="{BE44097C-F4E1-433D-BC43-ECAD730278CD}"/>
    <cellStyle name="Percent 20 2" xfId="721" xr:uid="{CCF6EB96-F963-41E5-AAF1-3AE516AEBFD8}"/>
    <cellStyle name="Percent 21" xfId="722" xr:uid="{ABBDD52B-47F0-41B9-9C81-EA2F5BD26DA6}"/>
    <cellStyle name="Percent 21 2" xfId="723" xr:uid="{974421B3-0DA7-45F3-96B0-584132A90BBE}"/>
    <cellStyle name="Percent 22" xfId="724" xr:uid="{97CBC909-6FFF-467F-94BF-E8F23CA89A5E}"/>
    <cellStyle name="Percent 22 2" xfId="725" xr:uid="{6D67FCC3-83E1-47E0-A76E-2FA226C9E76E}"/>
    <cellStyle name="Percent 22 3" xfId="1298" xr:uid="{A0E25FCD-428B-4A5B-AF3E-93DBECCD5133}"/>
    <cellStyle name="Percent 23" xfId="726" xr:uid="{12380B77-BD57-4119-AE9F-09EB74CA63CA}"/>
    <cellStyle name="Percent 23 2" xfId="727" xr:uid="{5376A997-6FA8-4645-A28D-BCBFA8C31F7F}"/>
    <cellStyle name="Percent 24" xfId="728" xr:uid="{E1B2F891-1AAC-43CD-8E8C-44EB617E2396}"/>
    <cellStyle name="Percent 24 2" xfId="729" xr:uid="{4C9E30EE-2097-4082-A9CE-406F48E58D9B}"/>
    <cellStyle name="Percent 25" xfId="730" xr:uid="{0D168845-F85B-4EA2-B3D4-EF5BF1BB7925}"/>
    <cellStyle name="Percent 25 2" xfId="731" xr:uid="{DF7D8A8B-63B1-4065-A8DE-2BA87CD12E88}"/>
    <cellStyle name="Percent 26" xfId="732" xr:uid="{CFE3C982-64CE-42EC-BFE7-709183052669}"/>
    <cellStyle name="Percent 26 2" xfId="733" xr:uid="{8A7EF518-3145-4079-A48D-1501690CDE1B}"/>
    <cellStyle name="Percent 27" xfId="734" xr:uid="{AE22EC6B-5640-4E3E-A60B-8149197322AB}"/>
    <cellStyle name="Percent 27 2" xfId="735" xr:uid="{E111FF14-52CC-4CCF-A578-DFE846D90ABB}"/>
    <cellStyle name="Percent 28" xfId="736" xr:uid="{6FB97256-DBDD-48D4-9417-A39E538605DF}"/>
    <cellStyle name="Percent 28 2" xfId="737" xr:uid="{2C6B9243-1473-4D40-B968-34F84D829BE9}"/>
    <cellStyle name="Percent 28 3" xfId="18143" xr:uid="{8BFBFC00-695C-4D9B-8FEE-8EFAF1F180D0}"/>
    <cellStyle name="Percent 29" xfId="738" xr:uid="{8B467CE8-A092-41B8-A1D4-89A8C7D141E2}"/>
    <cellStyle name="Percent 29 2" xfId="739" xr:uid="{2B9C2505-EEF2-4032-860E-BE664A0CD605}"/>
    <cellStyle name="Percent 3" xfId="740" xr:uid="{2665FC04-5510-4EA9-817E-747C8E3BE586}"/>
    <cellStyle name="Percent 3 2" xfId="741" xr:uid="{2D949E13-6416-48A1-9BD4-BCDFA379C191}"/>
    <cellStyle name="Percent 3 2 2" xfId="742" xr:uid="{84EBEDF6-FC48-4443-A4A1-2A34C91303F6}"/>
    <cellStyle name="Percent 3 2 3" xfId="1299" xr:uid="{F0616589-0A60-489C-9AFE-2BE1F43CBFD0}"/>
    <cellStyle name="Percent 3 2 4" xfId="1300" xr:uid="{CA1AFE28-997B-4A76-BA0A-ABB111F6904A}"/>
    <cellStyle name="Percent 3 2 5" xfId="1301" xr:uid="{6818D50C-AD55-49FC-84EF-6C921D21D280}"/>
    <cellStyle name="Percent 3 3" xfId="743" xr:uid="{D2A4E693-FA6F-400B-8293-390400C8A34E}"/>
    <cellStyle name="Percent 3 4" xfId="744" xr:uid="{EDC911B1-0239-4596-9C87-470461236D5C}"/>
    <cellStyle name="Percent 3 5" xfId="745" xr:uid="{0964AF76-E77C-4EE3-A01F-678DD446419C}"/>
    <cellStyle name="Percent 3 5 2" xfId="746" xr:uid="{09E87F25-1D09-402C-87C5-31186316A774}"/>
    <cellStyle name="Percent 3 6" xfId="1302" xr:uid="{A4562BB8-C5BB-4DF3-AD5D-BAE1A7AD5482}"/>
    <cellStyle name="Percent 3 6 2" xfId="18144" xr:uid="{C16ACCD0-1E50-46EF-8A27-ABD5E518B01E}"/>
    <cellStyle name="Percent 3 7" xfId="18145" xr:uid="{8A96DE7F-C842-4657-A1FE-7E85BF6E1D28}"/>
    <cellStyle name="Percent 30" xfId="747" xr:uid="{FF9813EA-74B4-497E-9318-991EDB30DA2D}"/>
    <cellStyle name="Percent 30 2" xfId="748" xr:uid="{63916F42-EA61-4C10-8990-3B62B60E7B3B}"/>
    <cellStyle name="Percent 30 3" xfId="749" xr:uid="{AD70D2CB-21A1-4539-8701-44B8B9B06F51}"/>
    <cellStyle name="Percent 31" xfId="750" xr:uid="{C7121D25-0C10-44CD-91ED-FE0AF79018D6}"/>
    <cellStyle name="Percent 31 2" xfId="751" xr:uid="{BDD84DF3-5BA2-49A4-8149-0016235C36DF}"/>
    <cellStyle name="Percent 32" xfId="752" xr:uid="{90326C0E-2087-4CEB-B77C-9A19F47B0F61}"/>
    <cellStyle name="Percent 32 2" xfId="753" xr:uid="{9CB1356F-8C09-4F1F-9BEE-41FDC42950DA}"/>
    <cellStyle name="Percent 32 3" xfId="754" xr:uid="{C873D56A-6263-44E3-AF5F-EDB49591B4FE}"/>
    <cellStyle name="Percent 33" xfId="755" xr:uid="{BA6048AB-A5BC-416B-AAD9-3A204F1AE269}"/>
    <cellStyle name="Percent 33 2" xfId="756" xr:uid="{7B798E17-473A-4375-A52D-DC2AFC9293CA}"/>
    <cellStyle name="Percent 34" xfId="757" xr:uid="{52F62925-A0A7-4616-B34A-7A0C66D55981}"/>
    <cellStyle name="Percent 34 2" xfId="1303" xr:uid="{1AF065E6-A387-4726-B237-CC7270819508}"/>
    <cellStyle name="Percent 35" xfId="758" xr:uid="{76684FE2-B9DF-4AE5-9485-BF0D6087F46B}"/>
    <cellStyle name="Percent 35 2" xfId="759" xr:uid="{C88525BF-333A-4BD9-A856-E1424454B05B}"/>
    <cellStyle name="Percent 36" xfId="683" xr:uid="{3FD277B9-5777-49D7-8D5C-E397F6EE62DC}"/>
    <cellStyle name="Percent 36 2" xfId="859" xr:uid="{49F1C38C-FB25-4800-B3C1-A2E46D77AB54}"/>
    <cellStyle name="Percent 36 3" xfId="1387" xr:uid="{FE24A3B3-373E-4E37-A464-C2F477B263A0}"/>
    <cellStyle name="Percent 36 3 2" xfId="1457" xr:uid="{4ED3AD1A-14BB-4955-B216-219FD868CDA9}"/>
    <cellStyle name="Percent 36 4" xfId="16967" xr:uid="{583A0B57-F157-4E8A-AEDF-A004B6AAFC69}"/>
    <cellStyle name="Percent 37" xfId="829" xr:uid="{C68BB833-A42C-4CCD-8FCA-26FEAB99D4AB}"/>
    <cellStyle name="Percent 37 2" xfId="868" xr:uid="{2EA49F94-3149-4F5B-8E18-18B67E12FF69}"/>
    <cellStyle name="Percent 37 3" xfId="17040" xr:uid="{66280119-7E19-4298-923A-9EBFB442B0CF}"/>
    <cellStyle name="Percent 38" xfId="842" xr:uid="{FC11D415-479E-426B-9F2B-060EB8FECA5F}"/>
    <cellStyle name="Percent 38 2" xfId="1305" xr:uid="{991FB69B-3505-4C42-B44E-5B350A44761C}"/>
    <cellStyle name="Percent 38 3" xfId="1304" xr:uid="{A51D5474-9B8D-4EBC-B816-747DF1252F7C}"/>
    <cellStyle name="Percent 38 4" xfId="17051" xr:uid="{8FA5AF50-062B-40D9-A66D-25A8C970E55A}"/>
    <cellStyle name="Percent 39" xfId="1306" xr:uid="{67EF7ED9-F47D-418E-8E77-F2F7D88D321B}"/>
    <cellStyle name="Percent 39 2" xfId="1307" xr:uid="{BDB878FD-65F9-4E58-A9B7-5511C9E9363E}"/>
    <cellStyle name="Percent 39 3" xfId="17168" xr:uid="{21B4CD34-DFA2-416F-AB5A-AC6A9AD4801D}"/>
    <cellStyle name="Percent 39 4" xfId="16466" xr:uid="{F8617DAD-529A-4CAA-9903-F6417866E480}"/>
    <cellStyle name="Percent 4" xfId="760" xr:uid="{51769B6F-E2F8-4246-A69F-CCF05FF09389}"/>
    <cellStyle name="Percent 4 2" xfId="761" xr:uid="{21166AFA-B733-4639-A613-DB42040B8257}"/>
    <cellStyle name="Percent 4 2 2" xfId="762" xr:uid="{6BB363DF-79B5-48E8-AB0D-B066813C13B8}"/>
    <cellStyle name="Percent 4 2 3" xfId="763" xr:uid="{C5B0BA9B-7829-4113-A9E9-87FF1EA1075A}"/>
    <cellStyle name="Percent 4 2 4" xfId="1308" xr:uid="{2DA8047C-B191-4DA9-9216-1CA5254D2667}"/>
    <cellStyle name="Percent 4 2 5" xfId="1309" xr:uid="{EE1068B7-C178-4C28-8A55-42C493BB6AFB}"/>
    <cellStyle name="Percent 4 3" xfId="764" xr:uid="{254B62E3-0515-48CD-ABAF-83DE50166C7D}"/>
    <cellStyle name="Percent 4 3 2" xfId="765" xr:uid="{221B4B85-FFEA-40E6-8E16-486AD04DC02E}"/>
    <cellStyle name="Percent 4 4" xfId="766" xr:uid="{300B6F2C-3533-459A-B4B2-2BFBAA74A7B1}"/>
    <cellStyle name="Percent 4 5" xfId="767" xr:uid="{CA56D9E0-2758-43B0-995E-5D2835EF7731}"/>
    <cellStyle name="Percent 4 6" xfId="18146" xr:uid="{EBEC2ACE-7292-4510-A5E9-6B8CD3CD9354}"/>
    <cellStyle name="Percent 40" xfId="1310" xr:uid="{CE461956-7CCE-4F7F-8CC1-4A92B63B65E6}"/>
    <cellStyle name="Percent 40 2" xfId="1311" xr:uid="{77CF5C6F-738A-4C82-B328-FEA7D1860673}"/>
    <cellStyle name="Percent 41" xfId="1312" xr:uid="{6687AADE-EB61-4BF3-836D-0FDD8A458A87}"/>
    <cellStyle name="Percent 41 2" xfId="1313" xr:uid="{EE1600BD-BE3D-4C2A-826A-364B6E57FAF7}"/>
    <cellStyle name="Percent 41 3" xfId="1314" xr:uid="{1DB74887-00E4-4AB9-82F0-CF55740A631E}"/>
    <cellStyle name="Percent 42" xfId="1315" xr:uid="{334B1CAF-3D9C-4871-995F-2CA43D4F0D04}"/>
    <cellStyle name="Percent 42 2" xfId="1316" xr:uid="{CBCB7D4C-83AB-4692-9342-A9FAFB50F199}"/>
    <cellStyle name="Percent 43" xfId="1317" xr:uid="{A53A3380-264D-4802-BBAD-C5637EF05425}"/>
    <cellStyle name="Percent 43 2" xfId="1318" xr:uid="{F27B5614-093C-4A24-8A6C-61714F2AEDA7}"/>
    <cellStyle name="Percent 44" xfId="1319" xr:uid="{BE9ACDA1-B328-4625-AB30-EC088E1421BA}"/>
    <cellStyle name="Percent 44 2" xfId="1320" xr:uid="{7DC56DC8-45F4-4801-909B-DBE4F120CB0E}"/>
    <cellStyle name="Percent 45" xfId="1321" xr:uid="{76FDDD3C-7F9B-427D-8049-D71F5E4D665F}"/>
    <cellStyle name="Percent 45 2" xfId="1322" xr:uid="{95FC44D7-4B12-44AD-961F-3F0CF4A06DD7}"/>
    <cellStyle name="Percent 46" xfId="1323" xr:uid="{81D74DDD-2B71-436A-8524-67F6B7E818FC}"/>
    <cellStyle name="Percent 46 2" xfId="1324" xr:uid="{132ED013-E321-4B74-BEB3-1EFC6DD74322}"/>
    <cellStyle name="Percent 47" xfId="1325" xr:uid="{224278AD-43E9-4276-B6E4-17E2F6C7E1EF}"/>
    <cellStyle name="Percent 47 2" xfId="1326" xr:uid="{792D748E-95DE-494D-86B4-A6D6447504C9}"/>
    <cellStyle name="Percent 48" xfId="1327" xr:uid="{CC8992C5-1F6E-4ED8-8E08-08E937382FBA}"/>
    <cellStyle name="Percent 48 2" xfId="1328" xr:uid="{590A7C67-B7C1-46C5-8E4F-91E6BC37EF57}"/>
    <cellStyle name="Percent 49" xfId="1329" xr:uid="{19DDB313-D2D3-4037-92A2-26577AEEA0EE}"/>
    <cellStyle name="Percent 49 2" xfId="1330" xr:uid="{81F23865-4F73-4002-B3F3-F39C81B849B3}"/>
    <cellStyle name="Percent 5" xfId="768" xr:uid="{7A2B4C01-EAA6-4386-B02A-47DB1209EE7B}"/>
    <cellStyle name="Percent 5 2" xfId="769" xr:uid="{12D3DA44-7089-4B2F-ACE4-F9ABCDB5E6AA}"/>
    <cellStyle name="Percent 5 3" xfId="770" xr:uid="{B5F61EC3-B646-4D1E-981E-0FE17E8F1CF8}"/>
    <cellStyle name="Percent 5 4" xfId="771" xr:uid="{0B7AF9A6-D779-4667-9606-0C3EE7942EE3}"/>
    <cellStyle name="Percent 5 5" xfId="772" xr:uid="{32DE617E-7A8E-4A8D-A0E1-58B88D3F2D30}"/>
    <cellStyle name="Percent 50" xfId="1331" xr:uid="{51324D94-641D-44C9-BB42-4B65ACDDA7C3}"/>
    <cellStyle name="Percent 50 2" xfId="1332" xr:uid="{95DECD56-379E-4789-9184-D7E2ED96A4F7}"/>
    <cellStyle name="Percent 51" xfId="1333" xr:uid="{0E500730-9E11-4390-A92D-D8B1960F7CC5}"/>
    <cellStyle name="Percent 51 2" xfId="1334" xr:uid="{E4353873-406A-4BD7-A927-4495C9F4D9AA}"/>
    <cellStyle name="Percent 52" xfId="1335" xr:uid="{1AD045E7-BE67-44D1-933F-D0CAB5639DCC}"/>
    <cellStyle name="Percent 53" xfId="1336" xr:uid="{63839311-63C4-4684-84DC-BE7ADBA63966}"/>
    <cellStyle name="Percent 54" xfId="1284" xr:uid="{9BDC3B97-7717-46EE-A6F4-58DC9E3E467D}"/>
    <cellStyle name="Percent 54 2" xfId="1420" xr:uid="{820A62D3-9307-476E-9FE5-0F3B328DA65C}"/>
    <cellStyle name="Percent 55" xfId="1396" xr:uid="{C57EFB69-F386-4EF0-9EB4-F7DB131FD81E}"/>
    <cellStyle name="Percent 55 2" xfId="1526" xr:uid="{E56F5005-F632-4967-8200-06C9A0ED6D26}"/>
    <cellStyle name="Percent 56" xfId="1807" xr:uid="{EEE3834D-C5E0-42FE-B2B5-F02330060D0E}"/>
    <cellStyle name="Percent 56 2" xfId="3477" xr:uid="{2F99390D-AD07-4AA0-B347-068FA9D13CD9}"/>
    <cellStyle name="Percent 57" xfId="2906" xr:uid="{7DD52C10-5D68-4CD8-AC1B-63F5AFEB2AC9}"/>
    <cellStyle name="Percent 58" xfId="2910" xr:uid="{89D18FE1-D294-46BD-A110-EA4F0E85A90C}"/>
    <cellStyle name="Percent 6" xfId="773" xr:uid="{4A50D1FD-7DB7-495A-A135-36212DC101FF}"/>
    <cellStyle name="Percent 6 2" xfId="774" xr:uid="{5C4CCDD4-BB67-4335-A406-68C9B0EAFDBD}"/>
    <cellStyle name="Percent 6 3" xfId="1337" xr:uid="{79893E3C-4033-46AB-A1D9-4FE4CAAB1044}"/>
    <cellStyle name="Percent 6 4" xfId="1338" xr:uid="{B0E1B89F-FC2F-4BFB-8DF1-8A3B28EB07A6}"/>
    <cellStyle name="Percent 6 5" xfId="1339" xr:uid="{671B875F-4A5F-4C0F-8D67-5E4646A763FC}"/>
    <cellStyle name="Percent 7" xfId="775" xr:uid="{CC50722A-1ABD-4AB6-B315-0834723B758E}"/>
    <cellStyle name="Percent 7 2" xfId="776" xr:uid="{CC036B26-0C71-4444-B632-43EDF7E0137C}"/>
    <cellStyle name="Percent 7 3" xfId="1340" xr:uid="{173F5995-B7EE-487F-8333-1645583FD814}"/>
    <cellStyle name="Percent 7 4" xfId="1341" xr:uid="{82496211-E14B-4F94-823A-1CEDB3C1F391}"/>
    <cellStyle name="Percent 7 5" xfId="1342" xr:uid="{D2332666-0FBC-4230-9B15-D0CB16F777B5}"/>
    <cellStyle name="Percent 8" xfId="777" xr:uid="{C8C23907-B277-402B-9F1B-7A4566425378}"/>
    <cellStyle name="Percent 8 2" xfId="778" xr:uid="{A9476D3A-CF5E-4830-9384-998E0C2B5F14}"/>
    <cellStyle name="Percent 8 3" xfId="1343" xr:uid="{4E4FDE5C-9607-44C7-94C1-353AE02409F0}"/>
    <cellStyle name="Percent 8 4" xfId="1344" xr:uid="{95B44E35-DC16-41E0-ADA5-D87F98C655C1}"/>
    <cellStyle name="Percent 8 5" xfId="1345" xr:uid="{2351180E-311A-4A1A-8CAB-30837B027A12}"/>
    <cellStyle name="Percent 8 6" xfId="1346" xr:uid="{ABF6E291-F78B-4A36-9361-582A77EEF9BF}"/>
    <cellStyle name="Percent 9" xfId="779" xr:uid="{69835AA8-8D18-4125-87B4-B7D5B8A5EC26}"/>
    <cellStyle name="Percent 9 2" xfId="780" xr:uid="{DDE1E040-D4C9-472F-B015-BCFA6D56383C}"/>
    <cellStyle name="Percent 9 2 2" xfId="1347" xr:uid="{0BDCE209-7119-497E-AFCD-87DBD739047C}"/>
    <cellStyle name="Percent 9 3" xfId="781" xr:uid="{039DD8D3-BCC0-4915-A327-B9498D8215C7}"/>
    <cellStyle name="Percent 9 4" xfId="782" xr:uid="{4F548BDC-95E6-4AAD-96B1-E3064834A1D3}"/>
    <cellStyle name="Percent 9 5" xfId="1348" xr:uid="{104C1A32-CCA6-4D9D-8D64-0870D26C7A19}"/>
    <cellStyle name="Percent 9 6" xfId="1349" xr:uid="{ED0243FB-9C4B-49F4-9610-437C0B45ED76}"/>
    <cellStyle name="Percent 9 7" xfId="1350" xr:uid="{578C661C-AE0F-472A-86A2-6765E2EB23F0}"/>
    <cellStyle name="result" xfId="783" xr:uid="{6467C23F-0947-4A83-AB06-B52CC27C5349}"/>
    <cellStyle name="SAPBEXstdData" xfId="12871" xr:uid="{2194EB78-83B3-4A15-8922-2D48C5F79D3E}"/>
    <cellStyle name="SAPBEXstdItem" xfId="12872" xr:uid="{F3D21EC7-A042-449A-8A6A-41077D3E4326}"/>
    <cellStyle name="SmallTableTitle" xfId="784" xr:uid="{335536B6-92A3-4007-B057-9EE5A616ADA1}"/>
    <cellStyle name="SmallTableTitle 2" xfId="2362" xr:uid="{E35B6F31-841A-4B63-BDC9-E1C9F9B19C18}"/>
    <cellStyle name="SmallTableTitle 2 2" xfId="18336" xr:uid="{2E090573-C423-43F9-8502-59F30CDCA6A8}"/>
    <cellStyle name="SmallTableTitle 3" xfId="17003" xr:uid="{CE4DEF0A-2C1B-4969-A157-A3273E5F1413}"/>
    <cellStyle name="SmallTableTitle 3 2" xfId="18286" xr:uid="{EB7E0B44-93BF-4444-841B-5A6635AFFE60}"/>
    <cellStyle name="SmallTableTitle 4" xfId="17775" xr:uid="{A79EB2F4-2205-4995-90B1-2117D219AB73}"/>
    <cellStyle name="spreads" xfId="785" xr:uid="{719A9190-29AB-4292-BA58-D588BEA9572E}"/>
    <cellStyle name="Stock Balances Cans0c3" xfId="12873" xr:uid="{EF976556-7E18-4FFC-A9EA-77BE34D06CEB}"/>
    <cellStyle name="Stock Balances Cans0c3 2" xfId="12874" xr:uid="{27574581-A4E9-41E8-8BA0-8151EF8C57B5}"/>
    <cellStyle name="Stock Balances Cans0c3 3" xfId="12875" xr:uid="{A64C30A7-35F4-4725-A8B7-AE67188BC3DB}"/>
    <cellStyle name="Stock Balances Cans0c3_Working Capital Current" xfId="16057" xr:uid="{57048556-E955-4D82-A819-0C4C8737EF9D}"/>
    <cellStyle name="Style 1" xfId="786" xr:uid="{5D0B55C1-802F-4D3D-A5D4-B35CBE4798AC}"/>
    <cellStyle name="Style 1 2" xfId="787" xr:uid="{EFF0B319-4042-4AC0-89C9-271984FC667F}"/>
    <cellStyle name="Style 1 2 2" xfId="2364" xr:uid="{FD6F2133-EA2F-4A8F-9A0D-0C6099A3FB00}"/>
    <cellStyle name="Style 1 2 3" xfId="17006" xr:uid="{47C9C053-1735-4E5F-BB04-4614ECB6A0A6}"/>
    <cellStyle name="Style 1 3" xfId="2363" xr:uid="{0A7D200A-040F-45D5-B301-1D42F6A9B8EF}"/>
    <cellStyle name="Style 1 4" xfId="17005" xr:uid="{8A847026-2510-443A-BAA2-334785A476BD}"/>
    <cellStyle name="swaptn" xfId="788" xr:uid="{145FF00A-2C9C-45B5-8A5C-26AE765AAC85}"/>
    <cellStyle name="Table" xfId="789" xr:uid="{E6EA7CFF-D288-45AE-824B-F45C7623B621}"/>
    <cellStyle name="Table 2" xfId="3846" xr:uid="{CC95856C-C759-4B19-A51E-94A92D71CFEC}"/>
    <cellStyle name="Table4" xfId="790" xr:uid="{62D978C5-0076-4983-ACD6-510523B17F51}"/>
    <cellStyle name="Table4 2" xfId="17147" xr:uid="{F21E6008-DC1D-4440-BD9F-B11399B82B73}"/>
    <cellStyle name="TableBlue" xfId="791" xr:uid="{D8360E25-62B8-4C16-8099-FE795840832B}"/>
    <cellStyle name="TableBlue 2" xfId="17146" xr:uid="{A61C8752-492D-400F-BD7B-4ED3D6FDFEFF}"/>
    <cellStyle name="TableBlue4" xfId="792" xr:uid="{B74A73FD-68F6-4E7D-AD6A-913CDFC1095C}"/>
    <cellStyle name="TableBlue4 2" xfId="17145" xr:uid="{4E5EE875-D474-46DC-A570-01B517BAFB9B}"/>
    <cellStyle name="TableDataColumn" xfId="793" xr:uid="{2F8DC046-109B-4954-8FE1-F17964AF3C67}"/>
    <cellStyle name="TableDataRow" xfId="794" xr:uid="{043E96C2-B2D0-4B68-B092-236B47C3F0F5}"/>
    <cellStyle name="TableLabelColumn" xfId="795" xr:uid="{FFD9E029-2055-4595-9F2F-4C9612D76C7A}"/>
    <cellStyle name="TableLabelRow" xfId="796" xr:uid="{76CF825C-C89D-4623-80E7-66780D8CE73A}"/>
    <cellStyle name="TableLabelTop" xfId="797" xr:uid="{1E382737-7D36-40DC-B8D0-869FAF4EFF69}"/>
    <cellStyle name="TableLightBlue" xfId="798" xr:uid="{D73334B2-93CC-430E-8815-E9D526B107E4}"/>
    <cellStyle name="TableLightBlue 2" xfId="17142" xr:uid="{F94E8488-A3E8-4644-A5FA-8878D312E8DF}"/>
    <cellStyle name="TableLightBlue4" xfId="799" xr:uid="{DFD7EF4B-5578-4DE6-B66C-5C588EA19C58}"/>
    <cellStyle name="TableLightBlue4 2" xfId="17141" xr:uid="{B755D1B1-2B4D-46E7-B035-A4E2043F6A25}"/>
    <cellStyle name="TablePink" xfId="800" xr:uid="{7466E3B3-C90F-47B4-824C-34C0B8C32C41}"/>
    <cellStyle name="TablePink 2" xfId="17140" xr:uid="{45D359E4-3521-4D58-8454-F9C703BC23AE}"/>
    <cellStyle name="TablePink4" xfId="801" xr:uid="{FA49C585-DCE5-40E1-9C29-DF5D1D5FA255}"/>
    <cellStyle name="TablePink4 2" xfId="3872" xr:uid="{7A73253D-DD8C-42BD-AB38-8F336E05B87E}"/>
    <cellStyle name="TableRed" xfId="802" xr:uid="{26AF8F3B-64AB-4061-9029-917E8950E159}"/>
    <cellStyle name="TableRed 2" xfId="17773" xr:uid="{9FC88550-91CA-4419-9589-652D4279FE8A}"/>
    <cellStyle name="TableRed4" xfId="803" xr:uid="{DF6FABB1-402D-43B7-A87A-1E067E3CF7F6}"/>
    <cellStyle name="TableRed4 2" xfId="3871" xr:uid="{ACACFBF3-C4DA-4C9C-AA89-0912C95FC941}"/>
    <cellStyle name="TableTenor" xfId="804" xr:uid="{E01A15BF-74F4-4B40-A627-CB85F551072F}"/>
    <cellStyle name="TableTenor 2" xfId="2365" xr:uid="{F6895EA7-ED12-4C2E-8DB7-AA01095A473F}"/>
    <cellStyle name="TableTenor 2 2" xfId="18337" xr:uid="{1E36D07E-AC1F-47D0-A5D6-961C304DBDCC}"/>
    <cellStyle name="TableTenor 3" xfId="17017" xr:uid="{165F6121-EDA7-42B6-8470-8A147BF3478E}"/>
    <cellStyle name="TableTenor 3 2" xfId="18287" xr:uid="{9B36494B-B1DE-455F-BDC7-98436E4C27CC}"/>
    <cellStyle name="TableTenor 4" xfId="3870" xr:uid="{1496A60D-7268-4720-BD90-823E876835BC}"/>
    <cellStyle name="TableYellow" xfId="805" xr:uid="{25E80776-5ACF-40BB-AE45-6EFFB8D2033B}"/>
    <cellStyle name="TableYellow 2" xfId="17138" xr:uid="{5EC0A103-A3F4-4401-9DE6-F7C0F6511019}"/>
    <cellStyle name="TableYellow4" xfId="806" xr:uid="{0700B8D7-58BA-4A33-A06A-E3C9D8717B4E}"/>
    <cellStyle name="TableYellow4 2" xfId="17771" xr:uid="{F3A61294-1173-4CA3-8B31-FD10E22F9024}"/>
    <cellStyle name="TabStyle1" xfId="807" xr:uid="{30B57C18-F2DE-4001-A25A-510C2AA71276}"/>
    <cellStyle name="TabStyle1 2" xfId="2366" xr:uid="{9A72BAD0-CB27-4E79-9666-F69EA584135A}"/>
    <cellStyle name="TabStyle1 2 2" xfId="18338" xr:uid="{E5A2144D-8D04-4DDC-A7DB-74075ACB5123}"/>
    <cellStyle name="TabStyle1 3" xfId="17018" xr:uid="{E1190B36-E65F-461C-9FCD-B00F12AA9EA1}"/>
    <cellStyle name="TabStyle1 3 2" xfId="18288" xr:uid="{68AEA5FD-ABB8-434A-8A52-7F1A44BD8495}"/>
    <cellStyle name="TabStyle1 4" xfId="3869" xr:uid="{6B3804B7-5970-4E6C-9FFD-8597289686C0}"/>
    <cellStyle name="Title" xfId="5" builtinId="15" customBuiltin="1"/>
    <cellStyle name="Title 2" xfId="809" xr:uid="{B0D3908B-EA6B-4825-BBEB-3B2A3CF0D10C}"/>
    <cellStyle name="Title 2 2" xfId="2368" xr:uid="{8E976F8A-D460-4621-B6B1-30DF1102327B}"/>
    <cellStyle name="Title 2 2 2" xfId="17806" xr:uid="{FC94AD23-87D0-4D72-8B2F-40FFE37C8100}"/>
    <cellStyle name="Title 2 2 3" xfId="12877" xr:uid="{0B8AF0A8-DFEF-4368-9BB8-2F456B1BBBD2}"/>
    <cellStyle name="Title 2 3" xfId="12876" xr:uid="{0529E06B-1F9A-48DC-A47E-1403DF888604}"/>
    <cellStyle name="Title 2 4" xfId="17020" xr:uid="{042A83EE-9DBD-4445-9F40-48CC2FD3200C}"/>
    <cellStyle name="Title 2_Working Capital Current" xfId="16058" xr:uid="{8ADE1106-5323-49D9-AD5A-8ADE734247BD}"/>
    <cellStyle name="Title 3" xfId="810" xr:uid="{0E6C82D3-979F-4DDE-BEB4-089B56B0ED86}"/>
    <cellStyle name="Title 3 2" xfId="2369" xr:uid="{859D8863-9672-425F-B676-0C8B05CAA638}"/>
    <cellStyle name="Title 3 2 2" xfId="17807" xr:uid="{595BACE3-2C4E-448A-8B00-F4653C2EB35E}"/>
    <cellStyle name="Title 3 2 3" xfId="12878" xr:uid="{17DEFF59-8F10-42EB-ABBE-FDC7E84003B3}"/>
    <cellStyle name="Title 3 3" xfId="17021" xr:uid="{EB9CC09B-18FF-43D9-82F9-5F709260B990}"/>
    <cellStyle name="Title 4" xfId="808" xr:uid="{43B779C5-5AB6-4E46-91FB-9F717F5DE116}"/>
    <cellStyle name="Title 4 2" xfId="2367" xr:uid="{AFBBDFFE-2A35-4256-A503-788512D0654D}"/>
    <cellStyle name="Title 4 3" xfId="17019" xr:uid="{075C2B53-BCE4-4BA4-B1A1-AD59ACC0D4E7}"/>
    <cellStyle name="Title 5" xfId="1464" xr:uid="{9F8D4695-6646-49B6-8E8D-11A731E347D9}"/>
    <cellStyle name="Total" xfId="21" builtinId="25" customBuiltin="1"/>
    <cellStyle name="Total 2" xfId="811" xr:uid="{B6EBD61C-BFD7-44DD-AB09-B3618483A451}"/>
    <cellStyle name="Total 2 2" xfId="812" xr:uid="{68A01CC0-0725-4233-95D7-27B4F036E4EE}"/>
    <cellStyle name="Total 2 2 2" xfId="2371" xr:uid="{4E922F00-81D8-402C-849E-928874CDF5CC}"/>
    <cellStyle name="Total 2 2 2 2" xfId="17809" xr:uid="{75A2F7AE-134D-43BF-8E95-90E00F9B4F76}"/>
    <cellStyle name="Total 2 2 2 2 2" xfId="18343" xr:uid="{C104ED8E-2EC4-4AC0-9D95-64A3C2EABAEF}"/>
    <cellStyle name="Total 2 2 2 3" xfId="12880" xr:uid="{E7180AC1-22E6-4E15-ACC4-04D70104B68F}"/>
    <cellStyle name="Total 2 2 3" xfId="17023" xr:uid="{4252A34D-A267-4EB3-AF82-1950C303BDF2}"/>
    <cellStyle name="Total 2 2 3 2" xfId="18293" xr:uid="{96498A6B-F32C-4EAD-910F-43A317FC02A7}"/>
    <cellStyle name="Total 2 2 4" xfId="17135" xr:uid="{5CBC4757-D8C3-49ED-A6C0-D73E8F79CBD1}"/>
    <cellStyle name="Total 2 3" xfId="2370" xr:uid="{A8FA3630-50F1-4C03-AB79-8960FA1B1FF2}"/>
    <cellStyle name="Total 2 3 2" xfId="17808" xr:uid="{9A10D5AF-4B7F-4279-B411-04138A7AB6AF}"/>
    <cellStyle name="Total 2 3 2 2" xfId="18342" xr:uid="{AB3FD452-E8F4-43BC-BD75-6B3BB14D5CA2}"/>
    <cellStyle name="Total 2 3 3" xfId="12879" xr:uid="{D8FB48DB-43E8-4B89-86A8-414BA8FFAD48}"/>
    <cellStyle name="Total 2 4" xfId="17022" xr:uid="{AA01C58C-2EA1-4564-96F3-9D9266B0106D}"/>
    <cellStyle name="Total 2 4 2" xfId="18292" xr:uid="{EAE70E16-AE7A-420E-894E-92FFB0118734}"/>
    <cellStyle name="Total 2 5" xfId="17136" xr:uid="{D3C3A323-A9CF-4FD9-8A0C-962FF93FA059}"/>
    <cellStyle name="Total 2_Working Capital Current" xfId="16059" xr:uid="{D5143445-D881-4339-8059-4849AA6C97EF}"/>
    <cellStyle name="Total 3" xfId="813" xr:uid="{EA9C5422-8330-4A77-A260-CE3DAF163036}"/>
    <cellStyle name="Total 3 2" xfId="814" xr:uid="{D7EC0EFB-ECD0-4E37-B792-958F9908716F}"/>
    <cellStyle name="Total 3 2 2" xfId="2373" xr:uid="{1A9393E1-4024-4AF6-8DB0-D45AEF2BEE5F}"/>
    <cellStyle name="Total 3 2 2 2" xfId="18345" xr:uid="{16E36A64-8812-46E2-A0CD-CD28DACB486D}"/>
    <cellStyle name="Total 3 2 3" xfId="17025" xr:uid="{8F17D651-7F43-4BB8-B59F-7D0C7F4D632D}"/>
    <cellStyle name="Total 3 2 3 2" xfId="18295" xr:uid="{BAFB676E-03C9-458B-A7CB-C170C2E00936}"/>
    <cellStyle name="Total 3 2 4" xfId="3868" xr:uid="{94C3DC0E-E417-4CD3-8C54-6A0C21C7C8E1}"/>
    <cellStyle name="Total 3 3" xfId="2372" xr:uid="{E7DC5F73-D6A6-4957-AB77-B42C1B8F6CA2}"/>
    <cellStyle name="Total 3 3 2" xfId="17810" xr:uid="{FA56E60A-AE35-45DC-ACAA-02584B951237}"/>
    <cellStyle name="Total 3 3 3" xfId="12881" xr:uid="{432A7415-3B95-4681-ABDE-12168026060F}"/>
    <cellStyle name="Total 3 4" xfId="17024" xr:uid="{41F48169-6031-4215-9DAF-D1083F89FB04}"/>
    <cellStyle name="Total 4" xfId="1863" xr:uid="{8AB26D02-C7D9-42E7-B9ED-704846DF15DC}"/>
    <cellStyle name="Total 5" xfId="16484" xr:uid="{DF83E849-4F6F-4D2C-8794-D759B48074B6}"/>
    <cellStyle name="Total 6" xfId="16999" xr:uid="{6ADCFCDC-6999-4A49-98CA-6B85B433B3D7}"/>
    <cellStyle name="Total 7" xfId="3912" xr:uid="{ED74E285-1E21-42D3-8325-F6ABEDB16F88}"/>
    <cellStyle name="Total 8" xfId="18294" xr:uid="{8F917CCB-EA78-47E6-9A3B-B4F2814291D8}"/>
    <cellStyle name="Warning Text" xfId="18" builtinId="11" customBuiltin="1"/>
    <cellStyle name="Warning Text 2" xfId="815" xr:uid="{6CA0AB0E-035B-496F-8801-A2616807BC84}"/>
    <cellStyle name="Warning Text 2 2" xfId="816" xr:uid="{8705A6E4-91BD-4D2C-BF71-AF705BD697E8}"/>
    <cellStyle name="Warning Text 2 2 2" xfId="2375" xr:uid="{E3A5398C-B70C-49F3-85B0-4655045022F7}"/>
    <cellStyle name="Warning Text 2 2 2 2" xfId="17812" xr:uid="{AFBF8678-A4CC-41C8-B632-864DFF0F730E}"/>
    <cellStyle name="Warning Text 2 2 2 3" xfId="12883" xr:uid="{57503C58-A904-459C-832D-A264D244D82F}"/>
    <cellStyle name="Warning Text 2 2 3" xfId="17027" xr:uid="{48AE9764-8B8F-4025-A4EA-742843EE9FB0}"/>
    <cellStyle name="Warning Text 2 3" xfId="2374" xr:uid="{C105AD9A-65AB-49D4-ACB0-3EC596FFB260}"/>
    <cellStyle name="Warning Text 2 3 2" xfId="17811" xr:uid="{657F7E35-A699-4CEF-BD2E-2BF36DDEBA8B}"/>
    <cellStyle name="Warning Text 2 3 3" xfId="12882" xr:uid="{A126774D-36B2-4641-B885-612E394A86BC}"/>
    <cellStyle name="Warning Text 2 4" xfId="17026" xr:uid="{14EAA73A-BC07-4287-8E39-874475105932}"/>
    <cellStyle name="Warning Text 2_Working Capital Current" xfId="16060" xr:uid="{209C1BD3-419A-421C-91BE-6F8809E19C5E}"/>
    <cellStyle name="Warning Text 3" xfId="817" xr:uid="{71D2229B-C01B-4F60-9B9B-A97562E10680}"/>
    <cellStyle name="Warning Text 3 2" xfId="2376" xr:uid="{490DE4FF-1931-42C6-8019-AFA79A21E427}"/>
    <cellStyle name="Warning Text 3 2 2" xfId="17813" xr:uid="{8B513846-5575-4571-ADE9-CB03B395CC97}"/>
    <cellStyle name="Warning Text 3 2 3" xfId="12884" xr:uid="{B0E6D1AB-7F0B-48AB-98B3-3534708DB43D}"/>
    <cellStyle name="Warning Text 3 3" xfId="17028" xr:uid="{072772DA-98C6-415D-A118-1C971DE533BB}"/>
    <cellStyle name="Warning Text 4" xfId="1861" xr:uid="{B78F66ED-44DC-466B-83F1-10B059C5D83D}"/>
    <cellStyle name="Warning Text 5" xfId="16482" xr:uid="{AD299E0C-B4F9-418C-A8CB-5797AF18C386}"/>
    <cellStyle name="Warning Text 6" xfId="17001" xr:uid="{76253329-3530-4C35-97D3-3B2ECF958C18}"/>
    <cellStyle name="Warning Text 7" xfId="16467" xr:uid="{6B734C77-95D1-437A-B360-041737CD01DE}"/>
    <cellStyle name="Warning Text 8" xfId="18258" xr:uid="{AB406F5C-9FF7-446C-A2D8-1D5D5297958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54.78</v>
        <stp/>
        <stp>##V3_BDPV12</stp>
        <stp>CLZ1 Comdty</stp>
        <stp>PX_ASK</stp>
        <stp>[QwackPricer.xlsx]Energy!R20C32</stp>
        <tr r="AF20" s="3"/>
      </tp>
      <tp>
        <v>57.31</v>
        <stp/>
        <stp>##V3_BDPV12</stp>
        <stp>CLN1 Comdty</stp>
        <stp>PX_ASK</stp>
        <stp>[QwackPricer.xlsx]Energy!R15C32</stp>
        <tr r="AF15" s="3"/>
      </tp>
      <tp>
        <v>58.56</v>
        <stp/>
        <stp>##V3_BDPV12</stp>
        <stp>CLH1 Comdty</stp>
        <stp>PX_ASK</stp>
        <stp>[QwackPricer.xlsx]Energy!R11C32</stp>
        <tr r="AF11" s="3"/>
      </tp>
      <tp>
        <v>57.78</v>
        <stp/>
        <stp>##V3_BDPV12</stp>
        <stp>CLM1 Comdty</stp>
        <stp>PX_ASK</stp>
        <stp>[QwackPricer.xlsx]Energy!R14C32</stp>
        <tr r="AF14" s="3"/>
      </tp>
      <tp>
        <v>58.43</v>
        <stp/>
        <stp>##V3_BDPV12</stp>
        <stp>CLJ1 Comdty</stp>
        <stp>PX_ASK</stp>
        <stp>[QwackPricer.xlsx]Energy!R12C32</stp>
        <tr r="AF12" s="3"/>
      </tp>
      <tp>
        <v>58.17</v>
        <stp/>
        <stp>##V3_BDPV12</stp>
        <stp>CLK1 Comdty</stp>
        <stp>PX_ASK</stp>
        <stp>[QwackPricer.xlsx]Energy!R13C32</stp>
        <tr r="AF13" s="3"/>
      </tp>
      <tp>
        <v>56.230000000000004</v>
        <stp/>
        <stp>##V3_BDPV12</stp>
        <stp>CLU1 Comdty</stp>
        <stp>PX_ASK</stp>
        <stp>[QwackPricer.xlsx]Energy!R17C32</stp>
        <tr r="AF17" s="3"/>
      </tp>
      <tp>
        <v>55.22</v>
        <stp/>
        <stp>##V3_BDPV12</stp>
        <stp>CLX1 Comdty</stp>
        <stp>PX_ASK</stp>
        <stp>[QwackPricer.xlsx]Energy!R19C32</stp>
        <tr r="AF19" s="3"/>
      </tp>
      <tp>
        <v>56.78</v>
        <stp/>
        <stp>##V3_BDPV12</stp>
        <stp>CLQ1 Comdty</stp>
        <stp>PX_ASK</stp>
        <stp>[QwackPricer.xlsx]Energy!R16C32</stp>
        <tr r="AF16" s="3"/>
      </tp>
      <tp>
        <v>55.7</v>
        <stp/>
        <stp>##V3_BDPV12</stp>
        <stp>CLV1 Comdty</stp>
        <stp>PX_ASK</stp>
        <stp>[QwackPricer.xlsx]Energy!R18C32</stp>
        <tr r="AF18" s="3"/>
      </tp>
      <tp>
        <v>499.5</v>
        <stp/>
        <stp>##V3_BDPV12</stp>
        <stp>QSZ1 Comdty</stp>
        <stp>PX_ASK</stp>
        <stp>[QwackPricer.xlsx]Energy!R20C14</stp>
        <tr r="N20" s="3"/>
      </tp>
      <tp>
        <v>502.75</v>
        <stp/>
        <stp>##V3_BDPV12</stp>
        <stp>QSN1 Comdty</stp>
        <stp>PX_ASK</stp>
        <stp>[QwackPricer.xlsx]Energy!R15C14</stp>
        <tr r="N15" s="3"/>
      </tp>
      <tp>
        <v>501.75</v>
        <stp/>
        <stp>##V3_BDPV12</stp>
        <stp>QSH1 Comdty</stp>
        <stp>PX_ASK</stp>
        <stp>[QwackPricer.xlsx]Energy!R11C14</stp>
        <tr r="N11" s="3"/>
      </tp>
      <tp>
        <v>503</v>
        <stp/>
        <stp>##V3_BDPV12</stp>
        <stp>QSM1 Comdty</stp>
        <stp>PX_ASK</stp>
        <stp>[QwackPricer.xlsx]Energy!R14C14</stp>
        <tr r="N14" s="3"/>
      </tp>
      <tp>
        <v>502.75</v>
        <stp/>
        <stp>##V3_BDPV12</stp>
        <stp>QSJ1 Comdty</stp>
        <stp>PX_ASK</stp>
        <stp>[QwackPricer.xlsx]Energy!R12C14</stp>
        <tr r="N12" s="3"/>
      </tp>
      <tp>
        <v>503.25</v>
        <stp/>
        <stp>##V3_BDPV12</stp>
        <stp>QSK1 Comdty</stp>
        <stp>PX_ASK</stp>
        <stp>[QwackPricer.xlsx]Energy!R13C14</stp>
        <tr r="N13" s="3"/>
      </tp>
      <tp>
        <v>502.5</v>
        <stp/>
        <stp>##V3_BDPV12</stp>
        <stp>QSU1 Comdty</stp>
        <stp>PX_ASK</stp>
        <stp>[QwackPricer.xlsx]Energy!R17C14</stp>
        <tr r="N17" s="3"/>
      </tp>
      <tp>
        <v>501.5</v>
        <stp/>
        <stp>##V3_BDPV12</stp>
        <stp>QSX1 Comdty</stp>
        <stp>PX_ASK</stp>
        <stp>[QwackPricer.xlsx]Energy!R19C14</stp>
        <tr r="N19" s="3"/>
      </tp>
      <tp>
        <v>502.75</v>
        <stp/>
        <stp>##V3_BDPV12</stp>
        <stp>QSQ1 Comdty</stp>
        <stp>PX_ASK</stp>
        <stp>[QwackPricer.xlsx]Energy!R16C14</stp>
        <tr r="N16" s="3"/>
      </tp>
      <tp>
        <v>502.75</v>
        <stp/>
        <stp>##V3_BDPV12</stp>
        <stp>QSV1 Comdty</stp>
        <stp>PX_ASK</stp>
        <stp>[QwackPricer.xlsx]Energy!R18C14</stp>
        <tr r="N18" s="3"/>
      </tp>
      <tp>
        <v>177.29</v>
        <stp/>
        <stp>##V3_BDPV12</stp>
        <stp>XBN1 Comdty</stp>
        <stp>PX_ASK</stp>
        <stp>[QwackPricer.xlsx]Energy!R15C23</stp>
        <tr r="W15" s="3"/>
      </tp>
      <tp>
        <v>165.61</v>
        <stp/>
        <stp>##V3_BDPV12</stp>
        <stp>XBH1 Comdty</stp>
        <stp>PX_ASK</stp>
        <stp>[QwackPricer.xlsx]Energy!R11C23</stp>
        <tr r="W11" s="3"/>
      </tp>
      <tp>
        <v>178.6</v>
        <stp/>
        <stp>##V3_BDPV12</stp>
        <stp>XBM1 Comdty</stp>
        <stp>PX_ASK</stp>
        <stp>[QwackPricer.xlsx]Energy!R14C23</stp>
        <tr r="W14" s="3"/>
      </tp>
      <tp>
        <v>178.39000000000001</v>
        <stp/>
        <stp>##V3_BDPV12</stp>
        <stp>XBJ1 Comdty</stp>
        <stp>PX_ASK</stp>
        <stp>[QwackPricer.xlsx]Energy!R12C23</stp>
        <tr r="W12" s="3"/>
      </tp>
      <tp>
        <v>179.01</v>
        <stp/>
        <stp>##V3_BDPV12</stp>
        <stp>XBK1 Comdty</stp>
        <stp>PX_ASK</stp>
        <stp>[QwackPricer.xlsx]Energy!R13C23</stp>
        <tr r="W13" s="3"/>
      </tp>
      <tp>
        <v>172.29</v>
        <stp/>
        <stp>##V3_BDPV12</stp>
        <stp>XBU1 Comdty</stp>
        <stp>PX_ASK</stp>
        <stp>[QwackPricer.xlsx]Energy!R17C23</stp>
        <tr r="W17" s="3"/>
      </tp>
      <tp>
        <v>157.41</v>
        <stp/>
        <stp>##V3_BDPV12</stp>
        <stp>XBX1 Comdty</stp>
        <stp>PX_ASK</stp>
        <stp>[QwackPricer.xlsx]Energy!R19C23</stp>
        <tr r="W19" s="3"/>
      </tp>
      <tp>
        <v>175.22</v>
        <stp/>
        <stp>##V3_BDPV12</stp>
        <stp>XBQ1 Comdty</stp>
        <stp>PX_ASK</stp>
        <stp>[QwackPricer.xlsx]Energy!R16C23</stp>
        <tr r="W16" s="3"/>
      </tp>
      <tp>
        <v>160.77000000000001</v>
        <stp/>
        <stp>##V3_BDPV12</stp>
        <stp>XBV1 Comdty</stp>
        <stp>PX_ASK</stp>
        <stp>[QwackPricer.xlsx]Energy!R18C23</stp>
        <tr r="W18" s="3"/>
      </tp>
      <tp>
        <v>155.02000000000001</v>
        <stp/>
        <stp>##V3_BDPV12</stp>
        <stp>XBZ1 Comdty</stp>
        <stp>PX_ASK</stp>
        <stp>[QwackPricer.xlsx]Energy!R20C23</stp>
        <tr r="W20" s="3"/>
      </tp>
      <tp>
        <v>53.44</v>
        <stp/>
        <stp>##V3_BDPV12</stp>
        <stp>COZ3 Comdty</stp>
        <stp>PX_SETTLE</stp>
        <stp>[QwackPricer.xlsx]Energy!R43C4</stp>
        <tr r="D43" s="3"/>
      </tp>
      <tp>
        <v>0.77449999999999997</v>
        <stp/>
        <stp>##V3_BDPV12</stp>
        <stp>AUD Curncy</stp>
        <stp>PX_LAST</stp>
        <stp>[QwackPricer.xlsx]FX-IR!R14C4</stp>
        <tr r="D14" s="1"/>
      </tp>
      <tp>
        <v>52.730000000000004</v>
        <stp/>
        <stp>##V3_BDPV12</stp>
        <stp>COV4 Comdty</stp>
        <stp>PX_SETTLE</stp>
        <stp>[QwackPricer.xlsx]Energy!R53C4</stp>
        <tr r="D53" s="3"/>
      </tp>
      <tp>
        <v>52.35</v>
        <stp/>
        <stp>##V3_BDPV12</stp>
        <stp>COQ5 Comdty</stp>
        <stp>PX_SETTLE</stp>
        <stp>[QwackPricer.xlsx]Energy!R63C4</stp>
        <tr r="D63" s="3"/>
      </tp>
      <tp>
        <v>60.6</v>
        <stp/>
        <stp>##V3_BDPV12</stp>
        <stp>COM1 Comdty</stp>
        <stp>PX_SETTLE</stp>
        <stp>[QwackPricer.xlsx]Energy!R13C4</stp>
        <tr r="D13" s="3"/>
      </tp>
      <tp>
        <v>56.74</v>
        <stp/>
        <stp>##V3_BDPV12</stp>
        <stp>COJ2 Comdty</stp>
        <stp>PX_SETTLE</stp>
        <stp>[QwackPricer.xlsx]Energy!R23C4</stp>
        <tr r="D23" s="3"/>
      </tp>
      <tp>
        <v>54.65</v>
        <stp/>
        <stp>##V3_BDPV12</stp>
        <stp>COG3 Comdty</stp>
        <stp>PX_SETTLE</stp>
        <stp>[QwackPricer.xlsx]Energy!R33C4</stp>
        <tr r="D33" s="3"/>
      </tp>
      <tp>
        <v>-7.92</v>
        <stp/>
        <stp>##V3_BDPV12</stp>
        <stp>FROSM V21 Index</stp>
        <stp>PX_LAST</stp>
        <stp>[QwackPricer.xlsx]Energy!R80C14</stp>
        <tr r="N80" s="3"/>
      </tp>
      <tp>
        <v>-7.02</v>
        <stp/>
        <stp>##V3_BDPV12</stp>
        <stp>FROSM Q21 Index</stp>
        <stp>PX_LAST</stp>
        <stp>[QwackPricer.xlsx]Energy!R78C14</stp>
        <tr r="N78" s="3"/>
      </tp>
      <tp>
        <v>-8.3699999999999992</v>
        <stp/>
        <stp>##V3_BDPV12</stp>
        <stp>FROSM X21 Index</stp>
        <stp>PX_LAST</stp>
        <stp>[QwackPricer.xlsx]Energy!R81C14</stp>
        <tr r="N81" s="3"/>
      </tp>
      <tp>
        <v>-8.68</v>
        <stp/>
        <stp>##V3_BDPV12</stp>
        <stp>FROSM Z21 Index</stp>
        <stp>PX_LAST</stp>
        <stp>[QwackPricer.xlsx]Energy!R82C14</stp>
        <tr r="N82" s="3"/>
      </tp>
      <tp>
        <v>-7.41</v>
        <stp/>
        <stp>##V3_BDPV12</stp>
        <stp>FROSM U21 Index</stp>
        <stp>PX_LAST</stp>
        <stp>[QwackPricer.xlsx]Energy!R79C14</stp>
        <tr r="N79" s="3"/>
      </tp>
      <tp>
        <v>-6.67</v>
        <stp/>
        <stp>##V3_BDPV12</stp>
        <stp>FROSM J21 Index</stp>
        <stp>PX_LAST</stp>
        <stp>[QwackPricer.xlsx]Energy!R74C14</stp>
        <tr r="N74" s="3"/>
      </tp>
      <tp>
        <v>-6.48</v>
        <stp/>
        <stp>##V3_BDPV12</stp>
        <stp>FROSM K21 Index</stp>
        <stp>PX_LAST</stp>
        <stp>[QwackPricer.xlsx]Energy!R75C14</stp>
        <tr r="N75" s="3"/>
      </tp>
      <tp>
        <v>-7</v>
        <stp/>
        <stp>##V3_BDPV12</stp>
        <stp>FROSM H21 Index</stp>
        <stp>PX_LAST</stp>
        <stp>[QwackPricer.xlsx]Energy!R73C14</stp>
        <tr r="N73" s="3"/>
      </tp>
      <tp>
        <v>-6.77</v>
        <stp/>
        <stp>##V3_BDPV12</stp>
        <stp>FROSM N21 Index</stp>
        <stp>PX_LAST</stp>
        <stp>[QwackPricer.xlsx]Energy!R77C14</stp>
        <tr r="N77" s="3"/>
      </tp>
      <tp>
        <v>-6.62</v>
        <stp/>
        <stp>##V3_BDPV12</stp>
        <stp>FROSM M21 Index</stp>
        <stp>PX_LAST</stp>
        <stp>[QwackPricer.xlsx]Energy!R76C14</stp>
        <tr r="N76" s="3"/>
      </tp>
      <tp>
        <v>-7.52</v>
        <stp/>
        <stp>##V3_BDPV12</stp>
        <stp>FROSM G21 Index</stp>
        <stp>PX_LAST</stp>
        <stp>[QwackPricer.xlsx]Energy!R72C14</stp>
        <tr r="N72" s="3"/>
      </tp>
      <tp>
        <v>19.507999999999999</v>
        <stp/>
        <stp>##V3_BDPV12</stp>
        <stp>FS1SM G21 Index</stp>
        <stp>PX_LAST</stp>
        <stp>[QwackPricer.xlsx]Energy!R72C22</stp>
        <tr r="V72" s="3"/>
      </tp>
      <tp>
        <v>20.5</v>
        <stp/>
        <stp>##V3_BDPV12</stp>
        <stp>FS1SM J21 Index</stp>
        <stp>PX_LAST</stp>
        <stp>[QwackPricer.xlsx]Energy!R74C22</stp>
        <tr r="V74" s="3"/>
      </tp>
      <tp>
        <v>20.5</v>
        <stp/>
        <stp>##V3_BDPV12</stp>
        <stp>FS1SM K21 Index</stp>
        <stp>PX_LAST</stp>
        <stp>[QwackPricer.xlsx]Energy!R75C22</stp>
        <tr r="V75" s="3"/>
      </tp>
      <tp>
        <v>21.257999999999999</v>
        <stp/>
        <stp>##V3_BDPV12</stp>
        <stp>FS1SM H21 Index</stp>
        <stp>PX_LAST</stp>
        <stp>[QwackPricer.xlsx]Energy!R73C22</stp>
        <tr r="V73" s="3"/>
      </tp>
      <tp>
        <v>24.265999999999998</v>
        <stp/>
        <stp>##V3_BDPV12</stp>
        <stp>FS1SM N21 Index</stp>
        <stp>PX_LAST</stp>
        <stp>[QwackPricer.xlsx]Energy!R77C22</stp>
        <tr r="V77" s="3"/>
      </tp>
      <tp>
        <v>22.5</v>
        <stp/>
        <stp>##V3_BDPV12</stp>
        <stp>FS1SM M21 Index</stp>
        <stp>PX_LAST</stp>
        <stp>[QwackPricer.xlsx]Energy!R76C22</stp>
        <tr r="V76" s="3"/>
      </tp>
      <tp>
        <v>25.282</v>
        <stp/>
        <stp>##V3_BDPV12</stp>
        <stp>FS1SM Q21 Index</stp>
        <stp>PX_LAST</stp>
        <stp>[QwackPricer.xlsx]Energy!R78C22</stp>
        <tr r="V78" s="3"/>
      </tp>
      <tp>
        <v>28.524000000000001</v>
        <stp/>
        <stp>##V3_BDPV12</stp>
        <stp>FS1SM X21 Index</stp>
        <stp>PX_LAST</stp>
        <stp>[QwackPricer.xlsx]Energy!R81C22</stp>
        <tr r="V81" s="3"/>
      </tp>
      <tp>
        <v>29.515999999999998</v>
        <stp/>
        <stp>##V3_BDPV12</stp>
        <stp>FS1SM Z21 Index</stp>
        <stp>PX_LAST</stp>
        <stp>[QwackPricer.xlsx]Energy!R82C22</stp>
        <tr r="V82" s="3"/>
      </tp>
      <tp>
        <v>26.524000000000001</v>
        <stp/>
        <stp>##V3_BDPV12</stp>
        <stp>FS1SM U21 Index</stp>
        <stp>PX_LAST</stp>
        <stp>[QwackPricer.xlsx]Energy!R79C22</stp>
        <tr r="V79" s="3"/>
      </tp>
      <tp>
        <v>27.524000000000001</v>
        <stp/>
        <stp>##V3_BDPV12</stp>
        <stp>FS1SM V21 Index</stp>
        <stp>PX_LAST</stp>
        <stp>[QwackPricer.xlsx]Energy!R80C22</stp>
        <tr r="V80" s="3"/>
      </tp>
      <tp>
        <v>53.550000000000004</v>
        <stp/>
        <stp>##V3_BDPV12</stp>
        <stp>COX3 Comdty</stp>
        <stp>PX_SETTLE</stp>
        <stp>[QwackPricer.xlsx]Energy!R42C4</stp>
        <tr r="D42" s="3"/>
      </tp>
      <tp>
        <v>52.79</v>
        <stp/>
        <stp>##V3_BDPV12</stp>
        <stp>COU4 Comdty</stp>
        <stp>PX_SETTLE</stp>
        <stp>[QwackPricer.xlsx]Energy!R52C4</stp>
        <tr r="D52" s="3"/>
      </tp>
      <tp>
        <v>52.38</v>
        <stp/>
        <stp>##V3_BDPV12</stp>
        <stp>CON5 Comdty</stp>
        <stp>PX_SETTLE</stp>
        <stp>[QwackPricer.xlsx]Energy!R62C4</stp>
        <tr r="D62" s="3"/>
      </tp>
      <tp>
        <v>57</v>
        <stp/>
        <stp>##V3_BDPV12</stp>
        <stp>COH2 Comdty</stp>
        <stp>PX_SETTLE</stp>
        <stp>[QwackPricer.xlsx]Energy!R22C4</stp>
        <tr r="D22" s="3"/>
      </tp>
      <tp>
        <v>61.07</v>
        <stp/>
        <stp>##V3_BDPV12</stp>
        <stp>COK1 Comdty</stp>
        <stp>PX_SETTLE</stp>
        <stp>[QwackPricer.xlsx]Energy!R12C4</stp>
        <tr r="D12" s="3"/>
      </tp>
      <tp>
        <v>54.79</v>
        <stp/>
        <stp>##V3_BDPV12</stp>
        <stp>COF3 Comdty</stp>
        <stp>PX_SETTLE</stp>
        <stp>[QwackPricer.xlsx]Energy!R32C4</stp>
        <tr r="D32" s="3"/>
      </tp>
      <tp>
        <v>-9.1199999999999992</v>
        <stp/>
        <stp>##V3_BDPV12</stp>
        <stp>FROSM U22 Index</stp>
        <stp>PX_LAST</stp>
        <stp>[QwackPricer.xlsx]Energy!R91C14</stp>
        <tr r="N91" s="3"/>
      </tp>
      <tp>
        <v>-9.19</v>
        <stp/>
        <stp>##V3_BDPV12</stp>
        <stp>FROSM V22 Index</stp>
        <stp>PX_LAST</stp>
        <stp>[QwackPricer.xlsx]Energy!R92C14</stp>
        <tr r="N92" s="3"/>
      </tp>
      <tp>
        <v>-9.06</v>
        <stp/>
        <stp>##V3_BDPV12</stp>
        <stp>FROSM Q22 Index</stp>
        <stp>PX_LAST</stp>
        <stp>[QwackPricer.xlsx]Energy!R90C14</stp>
        <tr r="N90" s="3"/>
      </tp>
      <tp>
        <v>-9.27</v>
        <stp/>
        <stp>##V3_BDPV12</stp>
        <stp>FROSM X22 Index</stp>
        <stp>PX_LAST</stp>
        <stp>[QwackPricer.xlsx]Energy!R93C14</stp>
        <tr r="N93" s="3"/>
      </tp>
      <tp>
        <v>-9.3800000000000008</v>
        <stp/>
        <stp>##V3_BDPV12</stp>
        <stp>FROSM Z22 Index</stp>
        <stp>PX_LAST</stp>
        <stp>[QwackPricer.xlsx]Energy!R94C14</stp>
        <tr r="N94" s="3"/>
      </tp>
      <tp>
        <v>-8.7200000000000006</v>
        <stp/>
        <stp>##V3_BDPV12</stp>
        <stp>FROSM G22 Index</stp>
        <stp>PX_LAST</stp>
        <stp>[QwackPricer.xlsx]Energy!R84C14</stp>
        <tr r="N84" s="3"/>
      </tp>
      <tp>
        <v>-8.6999999999999993</v>
        <stp/>
        <stp>##V3_BDPV12</stp>
        <stp>FROSM F22 Index</stp>
        <stp>PX_LAST</stp>
        <stp>[QwackPricer.xlsx]Energy!R83C14</stp>
        <tr r="N83" s="3"/>
      </tp>
      <tp>
        <v>-8.9</v>
        <stp/>
        <stp>##V3_BDPV12</stp>
        <stp>FROSM M22 Index</stp>
        <stp>PX_LAST</stp>
        <stp>[QwackPricer.xlsx]Energy!R88C14</stp>
        <tr r="N88" s="3"/>
      </tp>
      <tp>
        <v>-8.98</v>
        <stp/>
        <stp>##V3_BDPV12</stp>
        <stp>FROSM N22 Index</stp>
        <stp>PX_LAST</stp>
        <stp>[QwackPricer.xlsx]Energy!R89C14</stp>
        <tr r="N89" s="3"/>
      </tp>
      <tp>
        <v>-8.75</v>
        <stp/>
        <stp>##V3_BDPV12</stp>
        <stp>FROSM H22 Index</stp>
        <stp>PX_LAST</stp>
        <stp>[QwackPricer.xlsx]Energy!R85C14</stp>
        <tr r="N85" s="3"/>
      </tp>
      <tp>
        <v>-8.84</v>
        <stp/>
        <stp>##V3_BDPV12</stp>
        <stp>FROSM K22 Index</stp>
        <stp>PX_LAST</stp>
        <stp>[QwackPricer.xlsx]Energy!R87C14</stp>
        <tr r="N87" s="3"/>
      </tp>
      <tp>
        <v>-8.7899999999999991</v>
        <stp/>
        <stp>##V3_BDPV12</stp>
        <stp>FROSM J22 Index</stp>
        <stp>PX_LAST</stp>
        <stp>[QwackPricer.xlsx]Energy!R86C14</stp>
        <tr r="N86" s="3"/>
      </tp>
      <tp>
        <v>35.024000000000001</v>
        <stp/>
        <stp>##V3_BDPV12</stp>
        <stp>FS1SM M22 Index</stp>
        <stp>PX_LAST</stp>
        <stp>[QwackPricer.xlsx]Energy!R88C22</stp>
        <tr r="V88" s="3"/>
      </tp>
      <tp>
        <v>35.024000000000001</v>
        <stp/>
        <stp>##V3_BDPV12</stp>
        <stp>FS1SM N22 Index</stp>
        <stp>PX_LAST</stp>
        <stp>[QwackPricer.xlsx]Energy!R89C22</stp>
        <tr r="V89" s="3"/>
      </tp>
      <tp>
        <v>35.75</v>
        <stp/>
        <stp>##V3_BDPV12</stp>
        <stp>FS1SM H22 Index</stp>
        <stp>PX_LAST</stp>
        <stp>[QwackPricer.xlsx]Energy!R85C22</stp>
        <tr r="V85" s="3"/>
      </tp>
      <tp>
        <v>35.024000000000001</v>
        <stp/>
        <stp>##V3_BDPV12</stp>
        <stp>FS1SM K22 Index</stp>
        <stp>PX_LAST</stp>
        <stp>[QwackPricer.xlsx]Energy!R87C22</stp>
        <tr r="V87" s="3"/>
      </tp>
      <tp>
        <v>35.024000000000001</v>
        <stp/>
        <stp>##V3_BDPV12</stp>
        <stp>FS1SM J22 Index</stp>
        <stp>PX_LAST</stp>
        <stp>[QwackPricer.xlsx]Energy!R86C22</stp>
        <tr r="V86" s="3"/>
      </tp>
      <tp>
        <v>30.184000000000001</v>
        <stp/>
        <stp>##V3_BDPV12</stp>
        <stp>FS1SM G22 Index</stp>
        <stp>PX_LAST</stp>
        <stp>[QwackPricer.xlsx]Energy!R84C22</stp>
        <tr r="V84" s="3"/>
      </tp>
      <tp>
        <v>30.218</v>
        <stp/>
        <stp>##V3_BDPV12</stp>
        <stp>FS1SM F22 Index</stp>
        <stp>PX_LAST</stp>
        <stp>[QwackPricer.xlsx]Energy!R83C22</stp>
        <tr r="V83" s="3"/>
      </tp>
      <tp>
        <v>35.515999999999998</v>
        <stp/>
        <stp>##V3_BDPV12</stp>
        <stp>FS1SM X22 Index</stp>
        <stp>PX_LAST</stp>
        <stp>[QwackPricer.xlsx]Energy!R93C22</stp>
        <tr r="V93" s="3"/>
      </tp>
      <tp>
        <v>35.758000000000003</v>
        <stp/>
        <stp>##V3_BDPV12</stp>
        <stp>FS1SM Z22 Index</stp>
        <stp>PX_LAST</stp>
        <stp>[QwackPricer.xlsx]Energy!R94C22</stp>
        <tr r="V94" s="3"/>
      </tp>
      <tp>
        <v>35.031999999999996</v>
        <stp/>
        <stp>##V3_BDPV12</stp>
        <stp>FS1SM U22 Index</stp>
        <stp>PX_LAST</stp>
        <stp>[QwackPricer.xlsx]Energy!R91C22</stp>
        <tr r="V91" s="3"/>
      </tp>
      <tp>
        <v>35.274000000000001</v>
        <stp/>
        <stp>##V3_BDPV12</stp>
        <stp>FS1SM V22 Index</stp>
        <stp>PX_LAST</stp>
        <stp>[QwackPricer.xlsx]Energy!R92C22</stp>
        <tr r="V92" s="3"/>
      </tp>
      <tp>
        <v>35.031999999999996</v>
        <stp/>
        <stp>##V3_BDPV12</stp>
        <stp>FS1SM Q22 Index</stp>
        <stp>PX_LAST</stp>
        <stp>[QwackPricer.xlsx]Energy!R90C22</stp>
        <tr r="V90" s="3"/>
      </tp>
      <tp>
        <v>51.15</v>
        <stp/>
        <stp>##V3_BDPV12</stp>
        <stp>CLG3 Comdty</stp>
        <stp>PX_ASK</stp>
        <stp>[QwackPricer.xlsx]Energy!R34C32</stp>
        <tr r="AF34" s="3"/>
      </tp>
      <tp>
        <v>50.43</v>
        <stp/>
        <stp>##V3_BDPV12</stp>
        <stp>CLN3 Comdty</stp>
        <stp>PX_ASK</stp>
        <stp>[QwackPricer.xlsx]Energy!R39C32</stp>
        <tr r="AF39" s="3"/>
      </tp>
      <tp>
        <v>51.36</v>
        <stp/>
        <stp>##V3_BDPV12</stp>
        <stp>CLF3 Comdty</stp>
        <stp>PX_ASK</stp>
        <stp>[QwackPricer.xlsx]Energy!R33C32</stp>
        <tr r="AF33" s="3"/>
      </tp>
      <tp>
        <v>50.050000000000004</v>
        <stp/>
        <stp>##V3_BDPV12</stp>
        <stp>CLM3 Comdty</stp>
        <stp>PX_ASK</stp>
        <stp>[QwackPricer.xlsx]Energy!R38C32</stp>
        <tr r="AF38" s="3"/>
      </tp>
      <tp>
        <v>50.92</v>
        <stp/>
        <stp>##V3_BDPV12</stp>
        <stp>CLH3 Comdty</stp>
        <stp>PX_ASK</stp>
        <stp>[QwackPricer.xlsx]Energy!R35C32</stp>
        <tr r="AF35" s="3"/>
      </tp>
      <tp>
        <v>50.870000000000005</v>
        <stp/>
        <stp>##V3_BDPV12</stp>
        <stp>CLJ3 Comdty</stp>
        <stp>PX_ASK</stp>
        <stp>[QwackPricer.xlsx]Energy!R36C32</stp>
        <tr r="AF36" s="3"/>
      </tp>
      <tp>
        <v>50.76</v>
        <stp/>
        <stp>##V3_BDPV12</stp>
        <stp>CLK3 Comdty</stp>
        <stp>PX_ASK</stp>
        <stp>[QwackPricer.xlsx]Energy!R37C32</stp>
        <tr r="AF37" s="3"/>
      </tp>
      <tp>
        <v>50.31</v>
        <stp/>
        <stp>##V3_BDPV12</stp>
        <stp>CLQ3 Comdty</stp>
        <stp>PX_ASK</stp>
        <stp>[QwackPricer.xlsx]Energy!R40C32</stp>
        <tr r="AF40" s="3"/>
      </tp>
      <tp>
        <v>50.17</v>
        <stp/>
        <stp>##V3_BDPV12</stp>
        <stp>CLU3 Comdty</stp>
        <stp>PX_ASK</stp>
        <stp>[QwackPricer.xlsx]Energy!R41C32</stp>
        <tr r="AF41" s="3"/>
      </tp>
      <tp>
        <v>50.09</v>
        <stp/>
        <stp>##V3_BDPV12</stp>
        <stp>CLV3 Comdty</stp>
        <stp>PX_ASK</stp>
        <stp>[QwackPricer.xlsx]Energy!R42C32</stp>
        <tr r="AF42" s="3"/>
      </tp>
      <tp>
        <v>49.96</v>
        <stp/>
        <stp>##V3_BDPV12</stp>
        <stp>CLX3 Comdty</stp>
        <stp>PX_ASK</stp>
        <stp>[QwackPricer.xlsx]Energy!R43C32</stp>
        <tr r="AF43" s="3"/>
      </tp>
      <tp>
        <v>49.26</v>
        <stp/>
        <stp>##V3_BDPV12</stp>
        <stp>CLZ3 Comdty</stp>
        <stp>PX_ASK</stp>
        <stp>[QwackPricer.xlsx]Energy!R44C32</stp>
        <tr r="AF44" s="3"/>
      </tp>
      <tp t="s">
        <v>#N/A N/A</v>
        <stp/>
        <stp>##V3_BDPV12</stp>
        <stp>QSG3 Comdty</stp>
        <stp>PX_ASK</stp>
        <stp>[QwackPricer.xlsx]Energy!R34C14</stp>
        <tr r="N34" s="3"/>
      </tp>
      <tp t="s">
        <v>#N/A N/A</v>
        <stp/>
        <stp>##V3_BDPV12</stp>
        <stp>QSN3 Comdty</stp>
        <stp>PX_ASK</stp>
        <stp>[QwackPricer.xlsx]Energy!R39C14</stp>
        <tr r="N39" s="3"/>
      </tp>
      <tp t="s">
        <v>#N/A N/A</v>
        <stp/>
        <stp>##V3_BDPV12</stp>
        <stp>QSF3 Comdty</stp>
        <stp>PX_ASK</stp>
        <stp>[QwackPricer.xlsx]Energy!R33C14</stp>
        <tr r="N33" s="3"/>
      </tp>
      <tp>
        <v>489</v>
        <stp/>
        <stp>##V3_BDPV12</stp>
        <stp>QSM3 Comdty</stp>
        <stp>PX_ASK</stp>
        <stp>[QwackPricer.xlsx]Energy!R38C14</stp>
        <tr r="N38" s="3"/>
      </tp>
      <tp t="s">
        <v>#N/A N/A</v>
        <stp/>
        <stp>##V3_BDPV12</stp>
        <stp>QSH3 Comdty</stp>
        <stp>PX_ASK</stp>
        <stp>[QwackPricer.xlsx]Energy!R35C14</stp>
        <tr r="N35" s="3"/>
      </tp>
      <tp t="s">
        <v>#N/A N/A</v>
        <stp/>
        <stp>##V3_BDPV12</stp>
        <stp>QSJ3 Comdty</stp>
        <stp>PX_ASK</stp>
        <stp>[QwackPricer.xlsx]Energy!R36C14</stp>
        <tr r="N36" s="3"/>
      </tp>
      <tp t="s">
        <v>#N/A N/A</v>
        <stp/>
        <stp>##V3_BDPV12</stp>
        <stp>QSK3 Comdty</stp>
        <stp>PX_ASK</stp>
        <stp>[QwackPricer.xlsx]Energy!R37C14</stp>
        <tr r="N37" s="3"/>
      </tp>
      <tp t="s">
        <v>#N/A N/A</v>
        <stp/>
        <stp>##V3_BDPV12</stp>
        <stp>QSQ3 Comdty</stp>
        <stp>PX_ASK</stp>
        <stp>[QwackPricer.xlsx]Energy!R40C14</stp>
        <tr r="N40" s="3"/>
      </tp>
      <tp t="s">
        <v>#N/A N/A</v>
        <stp/>
        <stp>##V3_BDPV12</stp>
        <stp>QSU3 Comdty</stp>
        <stp>PX_ASK</stp>
        <stp>[QwackPricer.xlsx]Energy!R41C14</stp>
        <tr r="N41" s="3"/>
      </tp>
      <tp t="s">
        <v>#N/A N/A</v>
        <stp/>
        <stp>##V3_BDPV12</stp>
        <stp>QSV3 Comdty</stp>
        <stp>PX_ASK</stp>
        <stp>[QwackPricer.xlsx]Energy!R42C14</stp>
        <tr r="N42" s="3"/>
      </tp>
      <tp t="s">
        <v>#N/A N/A</v>
        <stp/>
        <stp>##V3_BDPV12</stp>
        <stp>QSX3 Comdty</stp>
        <stp>PX_ASK</stp>
        <stp>[QwackPricer.xlsx]Energy!R43C14</stp>
        <tr r="N43" s="3"/>
      </tp>
      <tp>
        <v>487</v>
        <stp/>
        <stp>##V3_BDPV12</stp>
        <stp>QSZ3 Comdty</stp>
        <stp>PX_ASK</stp>
        <stp>[QwackPricer.xlsx]Energy!R44C14</stp>
        <tr r="N44" s="3"/>
      </tp>
      <tp t="s">
        <v>#N/A N/A</v>
        <stp/>
        <stp>##V3_BDPV12</stp>
        <stp>XBQ3 Comdty</stp>
        <stp>PX_ASK</stp>
        <stp>[QwackPricer.xlsx]Energy!R40C23</stp>
        <tr r="W40" s="3"/>
      </tp>
      <tp t="s">
        <v>#N/A N/A</v>
        <stp/>
        <stp>##V3_BDPV12</stp>
        <stp>XBU3 Comdty</stp>
        <stp>PX_ASK</stp>
        <stp>[QwackPricer.xlsx]Energy!R41C23</stp>
        <tr r="W41" s="3"/>
      </tp>
      <tp t="s">
        <v>#N/A N/A</v>
        <stp/>
        <stp>##V3_BDPV12</stp>
        <stp>XBV3 Comdty</stp>
        <stp>PX_ASK</stp>
        <stp>[QwackPricer.xlsx]Energy!R42C23</stp>
        <tr r="W42" s="3"/>
      </tp>
      <tp t="s">
        <v>#N/A N/A</v>
        <stp/>
        <stp>##V3_BDPV12</stp>
        <stp>XBX3 Comdty</stp>
        <stp>PX_ASK</stp>
        <stp>[QwackPricer.xlsx]Energy!R43C23</stp>
        <tr r="W43" s="3"/>
      </tp>
      <tp t="s">
        <v>#N/A N/A</v>
        <stp/>
        <stp>##V3_BDPV12</stp>
        <stp>XBZ3 Comdty</stp>
        <stp>PX_ASK</stp>
        <stp>[QwackPricer.xlsx]Energy!R44C23</stp>
        <tr r="W44" s="3"/>
      </tp>
      <tp t="s">
        <v>#N/A N/A</v>
        <stp/>
        <stp>##V3_BDPV12</stp>
        <stp>XBG3 Comdty</stp>
        <stp>PX_ASK</stp>
        <stp>[QwackPricer.xlsx]Energy!R34C23</stp>
        <tr r="W34" s="3"/>
      </tp>
      <tp t="s">
        <v>#N/A N/A</v>
        <stp/>
        <stp>##V3_BDPV12</stp>
        <stp>XBN3 Comdty</stp>
        <stp>PX_ASK</stp>
        <stp>[QwackPricer.xlsx]Energy!R39C23</stp>
        <tr r="W39" s="3"/>
      </tp>
      <tp>
        <v>150.37</v>
        <stp/>
        <stp>##V3_BDPV12</stp>
        <stp>XBF3 Comdty</stp>
        <stp>PX_ASK</stp>
        <stp>[QwackPricer.xlsx]Energy!R33C23</stp>
        <tr r="W33" s="3"/>
      </tp>
      <tp t="s">
        <v>#N/A N/A</v>
        <stp/>
        <stp>##V3_BDPV12</stp>
        <stp>XBM3 Comdty</stp>
        <stp>PX_ASK</stp>
        <stp>[QwackPricer.xlsx]Energy!R38C23</stp>
        <tr r="W38" s="3"/>
      </tp>
      <tp t="s">
        <v>#N/A N/A</v>
        <stp/>
        <stp>##V3_BDPV12</stp>
        <stp>XBH3 Comdty</stp>
        <stp>PX_ASK</stp>
        <stp>[QwackPricer.xlsx]Energy!R35C23</stp>
        <tr r="W35" s="3"/>
      </tp>
      <tp t="s">
        <v>#N/A N/A</v>
        <stp/>
        <stp>##V3_BDPV12</stp>
        <stp>XBJ3 Comdty</stp>
        <stp>PX_ASK</stp>
        <stp>[QwackPricer.xlsx]Energy!R36C23</stp>
        <tr r="W36" s="3"/>
      </tp>
      <tp t="s">
        <v>#N/A N/A</v>
        <stp/>
        <stp>##V3_BDPV12</stp>
        <stp>XBK3 Comdty</stp>
        <stp>PX_ASK</stp>
        <stp>[QwackPricer.xlsx]Energy!R37C23</stp>
        <tr r="W37" s="3"/>
      </tp>
      <tp>
        <v>54.97</v>
        <stp/>
        <stp>##V3_BDPV12</stp>
        <stp>COZ2 Comdty</stp>
        <stp>PX_SETTLE</stp>
        <stp>[QwackPricer.xlsx]Energy!R31C4</stp>
        <tr r="D31" s="3"/>
      </tp>
      <tp>
        <v>53.67</v>
        <stp/>
        <stp>##V3_BDPV12</stp>
        <stp>COV3 Comdty</stp>
        <stp>PX_SETTLE</stp>
        <stp>[QwackPricer.xlsx]Energy!R41C4</stp>
        <tr r="D41" s="3"/>
      </tp>
      <tp>
        <v>52.85</v>
        <stp/>
        <stp>##V3_BDPV12</stp>
        <stp>COQ4 Comdty</stp>
        <stp>PX_SETTLE</stp>
        <stp>[QwackPricer.xlsx]Energy!R51C4</stp>
        <tr r="D51" s="3"/>
      </tp>
      <tp>
        <v>52.410000000000004</v>
        <stp/>
        <stp>##V3_BDPV12</stp>
        <stp>COM5 Comdty</stp>
        <stp>PX_SETTLE</stp>
        <stp>[QwackPricer.xlsx]Energy!R61C4</stp>
        <tr r="D61" s="3"/>
      </tp>
    </main>
    <main first="bloomberg.rtd">
      <tp>
        <v>61.47</v>
        <stp/>
        <stp>##V3_BDPV12</stp>
        <stp>COJ1 Comdty</stp>
        <stp>PX_SETTLE</stp>
        <stp>[QwackPricer.xlsx]Energy!R11C4</stp>
        <tr r="D11" s="3"/>
      </tp>
      <tp>
        <v>57.28</v>
        <stp/>
        <stp>##V3_BDPV12</stp>
        <stp>COG2 Comdty</stp>
        <stp>PX_SETTLE</stp>
        <stp>[QwackPricer.xlsx]Energy!R21C4</stp>
        <tr r="D21" s="3"/>
      </tp>
      <tp>
        <v>-9.42</v>
        <stp/>
        <stp>##V3_BDPV12</stp>
        <stp>FROSM F23 Index</stp>
        <stp>PX_LAST</stp>
        <stp>[QwackPricer.xlsx]Energy!R95C14</stp>
        <tr r="N95" s="3"/>
      </tp>
      <tp>
        <v>-9.18</v>
        <stp/>
        <stp>##V3_BDPV12</stp>
        <stp>FROSM G23 Index</stp>
        <stp>PX_LAST</stp>
        <stp>[QwackPricer.xlsx]Energy!R96C14</stp>
        <tr r="N96" s="3"/>
      </tp>
      <tp>
        <v>-8.9600000000000009</v>
        <stp/>
        <stp>##V3_BDPV12</stp>
        <stp>FROSM H23 Index</stp>
        <stp>PX_LAST</stp>
        <stp>[QwackPricer.xlsx]Energy!R97C14</stp>
        <tr r="N97" s="3"/>
      </tp>
      <tp>
        <v>-8.77</v>
        <stp/>
        <stp>##V3_BDPV12</stp>
        <stp>FROSM J23 Index</stp>
        <stp>PX_LAST</stp>
        <stp>[QwackPricer.xlsx]Energy!R98C14</stp>
        <tr r="N98" s="3"/>
      </tp>
      <tp>
        <v>-8.58</v>
        <stp/>
        <stp>##V3_BDPV12</stp>
        <stp>FROSM K23 Index</stp>
        <stp>PX_LAST</stp>
        <stp>[QwackPricer.xlsx]Energy!R99C14</stp>
        <tr r="N99" s="3"/>
      </tp>
      <tp>
        <v>35.758000000000003</v>
        <stp/>
        <stp>##V3_BDPV12</stp>
        <stp>FS1SM H23 Index</stp>
        <stp>PX_LAST</stp>
        <stp>[QwackPricer.xlsx]Energy!R97C22</stp>
        <tr r="V97" s="3"/>
      </tp>
      <tp>
        <v>35.758000000000003</v>
        <stp/>
        <stp>##V3_BDPV12</stp>
        <stp>FS1SM J23 Index</stp>
        <stp>PX_LAST</stp>
        <stp>[QwackPricer.xlsx]Energy!R98C22</stp>
        <tr r="V98" s="3"/>
      </tp>
      <tp>
        <v>37.694000000000003</v>
        <stp/>
        <stp>##V3_BDPV12</stp>
        <stp>FS1SM K23 Index</stp>
        <stp>PX_LAST</stp>
        <stp>[QwackPricer.xlsx]Energy!R99C22</stp>
        <tr r="V99" s="3"/>
      </tp>
      <tp>
        <v>35.758000000000003</v>
        <stp/>
        <stp>##V3_BDPV12</stp>
        <stp>FS1SM F23 Index</stp>
        <stp>PX_LAST</stp>
        <stp>[QwackPricer.xlsx]Energy!R95C22</stp>
        <tr r="V95" s="3"/>
      </tp>
      <tp>
        <v>35.758000000000003</v>
        <stp/>
        <stp>##V3_BDPV12</stp>
        <stp>FS1SM G23 Index</stp>
        <stp>PX_LAST</stp>
        <stp>[QwackPricer.xlsx]Energy!R96C22</stp>
        <tr r="V96" s="3"/>
      </tp>
      <tp>
        <v>54.36</v>
        <stp/>
        <stp>##V3_BDPV12</stp>
        <stp>CLF2 Comdty</stp>
        <stp>PX_ASK</stp>
        <stp>[QwackPricer.xlsx]Energy!R21C32</stp>
        <tr r="AF21" s="3"/>
      </tp>
      <tp>
        <v>53.97</v>
        <stp/>
        <stp>##V3_BDPV12</stp>
        <stp>CLG2 Comdty</stp>
        <stp>PX_ASK</stp>
        <stp>[QwackPricer.xlsx]Energy!R22C32</stp>
        <tr r="AF22" s="3"/>
      </tp>
      <tp>
        <v>53.95</v>
        <stp/>
        <stp>##V3_BDPV12</stp>
        <stp>CLH2 Comdty</stp>
        <stp>PX_ASK</stp>
        <stp>[QwackPricer.xlsx]Energy!R23C32</stp>
        <tr r="AF23" s="3"/>
      </tp>
      <tp>
        <v>52.7</v>
        <stp/>
        <stp>##V3_BDPV12</stp>
        <stp>CLM2 Comdty</stp>
        <stp>PX_ASK</stp>
        <stp>[QwackPricer.xlsx]Energy!R26C32</stp>
        <tr r="AF26" s="3"/>
      </tp>
      <tp>
        <v>52.9</v>
        <stp/>
        <stp>##V3_BDPV12</stp>
        <stp>CLN2 Comdty</stp>
        <stp>PX_ASK</stp>
        <stp>[QwackPricer.xlsx]Energy!R27C32</stp>
        <tr r="AF27" s="3"/>
      </tp>
      <tp>
        <v>53.63</v>
        <stp/>
        <stp>##V3_BDPV12</stp>
        <stp>CLJ2 Comdty</stp>
        <stp>PX_ASK</stp>
        <stp>[QwackPricer.xlsx]Energy!R24C32</stp>
        <tr r="AF24" s="3"/>
      </tp>
      <tp>
        <v>53.44</v>
        <stp/>
        <stp>##V3_BDPV12</stp>
        <stp>CLK2 Comdty</stp>
        <stp>PX_ASK</stp>
        <stp>[QwackPricer.xlsx]Energy!R25C32</stp>
        <tr r="AF25" s="3"/>
      </tp>
      <tp>
        <v>52.67</v>
        <stp/>
        <stp>##V3_BDPV12</stp>
        <stp>CLQ2 Comdty</stp>
        <stp>PX_ASK</stp>
        <stp>[QwackPricer.xlsx]Energy!R28C32</stp>
        <tr r="AF28" s="3"/>
      </tp>
      <tp>
        <v>52.43</v>
        <stp/>
        <stp>##V3_BDPV12</stp>
        <stp>CLU2 Comdty</stp>
        <stp>PX_ASK</stp>
        <stp>[QwackPricer.xlsx]Energy!R29C32</stp>
        <tr r="AF29" s="3"/>
      </tp>
      <tp>
        <v>51.89</v>
        <stp/>
        <stp>##V3_BDPV12</stp>
        <stp>CLV2 Comdty</stp>
        <stp>PX_ASK</stp>
        <stp>[QwackPricer.xlsx]Energy!R30C32</stp>
        <tr r="AF30" s="3"/>
      </tp>
      <tp>
        <v>51.92</v>
        <stp/>
        <stp>##V3_BDPV12</stp>
        <stp>CLX2 Comdty</stp>
        <stp>PX_ASK</stp>
        <stp>[QwackPricer.xlsx]Energy!R31C32</stp>
        <tr r="AF31" s="3"/>
      </tp>
      <tp>
        <v>51.230000000000004</v>
        <stp/>
        <stp>##V3_BDPV12</stp>
        <stp>CLZ2 Comdty</stp>
        <stp>PX_ASK</stp>
        <stp>[QwackPricer.xlsx]Energy!R32C32</stp>
        <tr r="AF32" s="3"/>
      </tp>
      <tp t="s">
        <v>#N/A N/A</v>
        <stp/>
        <stp>##V3_BDPV12</stp>
        <stp>QSV2 Comdty</stp>
        <stp>PX_ASK</stp>
        <stp>[QwackPricer.xlsx]Energy!R30C14</stp>
        <tr r="N30" s="3"/>
      </tp>
      <tp t="s">
        <v>#N/A N/A</v>
        <stp/>
        <stp>##V3_BDPV12</stp>
        <stp>QSX2 Comdty</stp>
        <stp>PX_ASK</stp>
        <stp>[QwackPricer.xlsx]Energy!R31C14</stp>
        <tr r="N31" s="3"/>
      </tp>
      <tp>
        <v>491</v>
        <stp/>
        <stp>##V3_BDPV12</stp>
        <stp>QSZ2 Comdty</stp>
        <stp>PX_ASK</stp>
        <stp>[QwackPricer.xlsx]Energy!R32C14</stp>
        <tr r="N32" s="3"/>
      </tp>
      <tp>
        <v>499.25</v>
        <stp/>
        <stp>##V3_BDPV12</stp>
        <stp>QSF2 Comdty</stp>
        <stp>PX_ASK</stp>
        <stp>[QwackPricer.xlsx]Energy!R21C14</stp>
        <tr r="N21" s="3"/>
      </tp>
      <tp>
        <v>502.5</v>
        <stp/>
        <stp>##V3_BDPV12</stp>
        <stp>QSG2 Comdty</stp>
        <stp>PX_ASK</stp>
        <stp>[QwackPricer.xlsx]Energy!R22C14</stp>
        <tr r="N22" s="3"/>
      </tp>
      <tp>
        <v>501.75</v>
        <stp/>
        <stp>##V3_BDPV12</stp>
        <stp>QSH2 Comdty</stp>
        <stp>PX_ASK</stp>
        <stp>[QwackPricer.xlsx]Energy!R23C14</stp>
        <tr r="N23" s="3"/>
      </tp>
      <tp>
        <v>494.25</v>
        <stp/>
        <stp>##V3_BDPV12</stp>
        <stp>QSM2 Comdty</stp>
        <stp>PX_ASK</stp>
        <stp>[QwackPricer.xlsx]Energy!R26C14</stp>
        <tr r="N26" s="3"/>
      </tp>
      <tp>
        <v>498.5</v>
        <stp/>
        <stp>##V3_BDPV12</stp>
        <stp>QSN2 Comdty</stp>
        <stp>PX_ASK</stp>
        <stp>[QwackPricer.xlsx]Energy!R27C14</stp>
        <tr r="N27" s="3"/>
      </tp>
      <tp>
        <v>501</v>
        <stp/>
        <stp>##V3_BDPV12</stp>
        <stp>QSJ2 Comdty</stp>
        <stp>PX_ASK</stp>
        <stp>[QwackPricer.xlsx]Energy!R24C14</stp>
        <tr r="N24" s="3"/>
      </tp>
      <tp>
        <v>500</v>
        <stp/>
        <stp>##V3_BDPV12</stp>
        <stp>QSK2 Comdty</stp>
        <stp>PX_ASK</stp>
        <stp>[QwackPricer.xlsx]Energy!R25C14</stp>
        <tr r="N25" s="3"/>
      </tp>
      <tp>
        <v>499</v>
        <stp/>
        <stp>##V3_BDPV12</stp>
        <stp>QSQ2 Comdty</stp>
        <stp>PX_ASK</stp>
        <stp>[QwackPricer.xlsx]Energy!R28C14</stp>
        <tr r="N28" s="3"/>
      </tp>
      <tp>
        <v>499</v>
        <stp/>
        <stp>##V3_BDPV12</stp>
        <stp>QSU2 Comdty</stp>
        <stp>PX_ASK</stp>
        <stp>[QwackPricer.xlsx]Energy!R29C14</stp>
        <tr r="N29" s="3"/>
      </tp>
      <tp>
        <v>157.62</v>
        <stp/>
        <stp>##V3_BDPV12</stp>
        <stp>XBV2 Comdty</stp>
        <stp>PX_ASK</stp>
        <stp>[QwackPricer.xlsx]Energy!R30C23</stp>
        <tr r="W30" s="3"/>
      </tp>
      <tp>
        <v>152.70000000000002</v>
        <stp/>
        <stp>##V3_BDPV12</stp>
        <stp>XBX2 Comdty</stp>
        <stp>PX_ASK</stp>
        <stp>[QwackPricer.xlsx]Energy!R31C23</stp>
        <tr r="W31" s="3"/>
      </tp>
      <tp>
        <v>147.71</v>
        <stp/>
        <stp>##V3_BDPV12</stp>
        <stp>XBZ2 Comdty</stp>
        <stp>PX_ASK</stp>
        <stp>[QwackPricer.xlsx]Energy!R32C23</stp>
        <tr r="W32" s="3"/>
      </tp>
      <tp>
        <v>154.26</v>
        <stp/>
        <stp>##V3_BDPV12</stp>
        <stp>XBF2 Comdty</stp>
        <stp>PX_ASK</stp>
        <stp>[QwackPricer.xlsx]Energy!R21C23</stp>
        <tr r="W21" s="3"/>
      </tp>
      <tp t="s">
        <v>#N/A N/A</v>
        <stp/>
        <stp>##V3_BDPV12</stp>
        <stp>XBG2 Comdty</stp>
        <stp>PX_ASK</stp>
        <stp>[QwackPricer.xlsx]Energy!R22C23</stp>
        <tr r="W22" s="3"/>
      </tp>
      <tp>
        <v>158.35</v>
        <stp/>
        <stp>##V3_BDPV12</stp>
        <stp>XBH2 Comdty</stp>
        <stp>PX_ASK</stp>
        <stp>[QwackPricer.xlsx]Energy!R23C23</stp>
        <tr r="W23" s="3"/>
      </tp>
      <tp>
        <v>169.78</v>
        <stp/>
        <stp>##V3_BDPV12</stp>
        <stp>XBM2 Comdty</stp>
        <stp>PX_ASK</stp>
        <stp>[QwackPricer.xlsx]Energy!R26C23</stp>
        <tr r="W26" s="3"/>
      </tp>
      <tp>
        <v>171.64000000000001</v>
        <stp/>
        <stp>##V3_BDPV12</stp>
        <stp>XBN2 Comdty</stp>
        <stp>PX_ASK</stp>
        <stp>[QwackPricer.xlsx]Energy!R27C23</stp>
        <tr r="W27" s="3"/>
      </tp>
      <tp>
        <v>171.12</v>
        <stp/>
        <stp>##V3_BDPV12</stp>
        <stp>XBJ2 Comdty</stp>
        <stp>PX_ASK</stp>
        <stp>[QwackPricer.xlsx]Energy!R24C23</stp>
        <tr r="W24" s="3"/>
      </tp>
      <tp>
        <v>172.19</v>
        <stp/>
        <stp>##V3_BDPV12</stp>
        <stp>XBK2 Comdty</stp>
        <stp>PX_ASK</stp>
        <stp>[QwackPricer.xlsx]Energy!R25C23</stp>
        <tr r="W25" s="3"/>
      </tp>
      <tp>
        <v>170.27</v>
        <stp/>
        <stp>##V3_BDPV12</stp>
        <stp>XBQ2 Comdty</stp>
        <stp>PX_ASK</stp>
        <stp>[QwackPricer.xlsx]Energy!R28C23</stp>
        <tr r="W28" s="3"/>
      </tp>
      <tp>
        <v>168.09</v>
        <stp/>
        <stp>##V3_BDPV12</stp>
        <stp>XBU2 Comdty</stp>
        <stp>PX_ASK</stp>
        <stp>[QwackPricer.xlsx]Energy!R29C23</stp>
        <tr r="W29" s="3"/>
      </tp>
      <tp>
        <v>55.17</v>
        <stp/>
        <stp>##V3_BDPV12</stp>
        <stp>COX2 Comdty</stp>
        <stp>PX_SETTLE</stp>
        <stp>[QwackPricer.xlsx]Energy!R30C4</stp>
        <tr r="D30" s="3"/>
      </tp>
      <tp>
        <v>53.78</v>
        <stp/>
        <stp>##V3_BDPV12</stp>
        <stp>COU3 Comdty</stp>
        <stp>PX_SETTLE</stp>
        <stp>[QwackPricer.xlsx]Energy!R40C4</stp>
        <tr r="D40" s="3"/>
      </tp>
      <tp>
        <v>52.92</v>
        <stp/>
        <stp>##V3_BDPV12</stp>
        <stp>CON4 Comdty</stp>
        <stp>PX_SETTLE</stp>
        <stp>[QwackPricer.xlsx]Energy!R50C4</stp>
        <tr r="D50" s="3"/>
      </tp>
      <tp>
        <v>52.44</v>
        <stp/>
        <stp>##V3_BDPV12</stp>
        <stp>COK5 Comdty</stp>
        <stp>PX_SETTLE</stp>
        <stp>[QwackPricer.xlsx]Energy!R60C4</stp>
        <tr r="D60" s="3"/>
      </tp>
      <tp>
        <v>57.6</v>
        <stp/>
        <stp>##V3_BDPV12</stp>
        <stp>COF2 Comdty</stp>
        <stp>PX_SETTLE</stp>
        <stp>[QwackPricer.xlsx]Energy!R20C4</stp>
        <tr r="D20" s="3"/>
      </tp>
      <tp t="s">
        <v>#N/A N/A</v>
        <stp/>
        <stp>##V3_BDPV12</stp>
        <stp>CLJ5 Comdty</stp>
        <stp>PX_ASK</stp>
        <stp>[QwackPricer.xlsx]Energy!R60C32</stp>
        <tr r="AF60" s="3"/>
      </tp>
      <tp t="s">
        <v>#N/A N/A</v>
        <stp/>
        <stp>##V3_BDPV12</stp>
        <stp>CLK5 Comdty</stp>
        <stp>PX_ASK</stp>
        <stp>[QwackPricer.xlsx]Energy!R61C32</stp>
        <tr r="AF61" s="3"/>
      </tp>
      <tp t="s">
        <v>#N/A N/A</v>
        <stp/>
        <stp>##V3_BDPV12</stp>
        <stp>CLM5 Comdty</stp>
        <stp>PX_ASK</stp>
        <stp>[QwackPricer.xlsx]Energy!R62C32</stp>
        <tr r="AF62" s="3"/>
      </tp>
      <tp t="s">
        <v>#N/A N/A</v>
        <stp/>
        <stp>##V3_BDPV12</stp>
        <stp>CLN5 Comdty</stp>
        <stp>PX_ASK</stp>
        <stp>[QwackPricer.xlsx]Energy!R63C32</stp>
        <tr r="AF63" s="3"/>
      </tp>
      <tp t="s">
        <v>#N/A N/A</v>
        <stp/>
        <stp>##V3_BDPV12</stp>
        <stp>CLU5 Comdty</stp>
        <stp>PX_ASK</stp>
        <stp>[QwackPricer.xlsx]Energy!R65C32</stp>
        <tr r="AF65" s="3"/>
      </tp>
      <tp t="s">
        <v>#N/A N/A</v>
        <stp/>
        <stp>##V3_BDPV12</stp>
        <stp>CLV5 Comdty</stp>
        <stp>PX_ASK</stp>
        <stp>[QwackPricer.xlsx]Energy!R66C32</stp>
        <tr r="AF66" s="3"/>
      </tp>
      <tp t="s">
        <v>#N/A N/A</v>
        <stp/>
        <stp>##V3_BDPV12</stp>
        <stp>CLQ5 Comdty</stp>
        <stp>PX_ASK</stp>
        <stp>[QwackPricer.xlsx]Energy!R64C32</stp>
        <tr r="AF64" s="3"/>
      </tp>
      <tp t="s">
        <v>#N/A N/A</v>
        <stp/>
        <stp>##V3_BDPV12</stp>
        <stp>CLX5 Comdty</stp>
        <stp>PX_ASK</stp>
        <stp>[QwackPricer.xlsx]Energy!R67C32</stp>
        <tr r="AF67" s="3"/>
      </tp>
      <tp t="s">
        <v>#N/A N/A</v>
        <stp/>
        <stp>##V3_BDPV12</stp>
        <stp>CLF5 Comdty</stp>
        <stp>PX_ASK</stp>
        <stp>[QwackPricer.xlsx]Energy!R57C32</stp>
        <tr r="AF57" s="3"/>
      </tp>
      <tp t="s">
        <v>#N/A N/A</v>
        <stp/>
        <stp>##V3_BDPV12</stp>
        <stp>CLH5 Comdty</stp>
        <stp>PX_ASK</stp>
        <stp>[QwackPricer.xlsx]Energy!R59C32</stp>
        <tr r="AF59" s="3"/>
      </tp>
      <tp t="s">
        <v>#N/A N/A</v>
        <stp/>
        <stp>##V3_BDPV12</stp>
        <stp>CLG5 Comdty</stp>
        <stp>PX_ASK</stp>
        <stp>[QwackPricer.xlsx]Energy!R58C32</stp>
        <tr r="AF58" s="3"/>
      </tp>
      <tp t="s">
        <v>#N/A N/A</v>
        <stp/>
        <stp>##V3_BDPV12</stp>
        <stp>QSJ5 Comdty</stp>
        <stp>PX_ASK</stp>
        <stp>[QwackPricer.xlsx]Energy!R60C14</stp>
        <tr r="N60" s="3"/>
      </tp>
      <tp t="s">
        <v>#N/A N/A</v>
        <stp/>
        <stp>##V3_BDPV12</stp>
        <stp>QSK5 Comdty</stp>
        <stp>PX_ASK</stp>
        <stp>[QwackPricer.xlsx]Energy!R61C14</stp>
        <tr r="N61" s="3"/>
      </tp>
      <tp>
        <v>506.25</v>
        <stp/>
        <stp>##V3_BDPV12</stp>
        <stp>QSM5 Comdty</stp>
        <stp>PX_ASK</stp>
        <stp>[QwackPricer.xlsx]Energy!R62C14</stp>
        <tr r="N62" s="3"/>
      </tp>
      <tp t="s">
        <v>#N/A N/A</v>
        <stp/>
        <stp>##V3_BDPV12</stp>
        <stp>QSN5 Comdty</stp>
        <stp>PX_ASK</stp>
        <stp>[QwackPricer.xlsx]Energy!R63C14</stp>
        <tr r="N63" s="3"/>
      </tp>
      <tp t="s">
        <v>#N/A N/A</v>
        <stp/>
        <stp>##V3_BDPV12</stp>
        <stp>QSU5 Comdty</stp>
        <stp>PX_ASK</stp>
        <stp>[QwackPricer.xlsx]Energy!R65C14</stp>
        <tr r="N65" s="3"/>
      </tp>
      <tp t="s">
        <v>#N/A N/A</v>
        <stp/>
        <stp>##V3_BDPV12</stp>
        <stp>QSV5 Comdty</stp>
        <stp>PX_ASK</stp>
        <stp>[QwackPricer.xlsx]Energy!R66C14</stp>
        <tr r="N66" s="3"/>
      </tp>
      <tp t="s">
        <v>#N/A N/A</v>
        <stp/>
        <stp>##V3_BDPV12</stp>
        <stp>QSQ5 Comdty</stp>
        <stp>PX_ASK</stp>
        <stp>[QwackPricer.xlsx]Energy!R64C14</stp>
        <tr r="N64" s="3"/>
      </tp>
      <tp t="s">
        <v>#N/A N/A</v>
        <stp/>
        <stp>##V3_BDPV12</stp>
        <stp>QSX5 Comdty</stp>
        <stp>PX_ASK</stp>
        <stp>[QwackPricer.xlsx]Energy!R67C14</stp>
        <tr r="N67" s="3"/>
      </tp>
      <tp t="s">
        <v>#N/A N/A</v>
        <stp/>
        <stp>##V3_BDPV12</stp>
        <stp>QSF5 Comdty</stp>
        <stp>PX_ASK</stp>
        <stp>[QwackPricer.xlsx]Energy!R57C14</stp>
        <tr r="N57" s="3"/>
      </tp>
      <tp t="s">
        <v>#N/A N/A</v>
        <stp/>
        <stp>##V3_BDPV12</stp>
        <stp>QSH5 Comdty</stp>
        <stp>PX_ASK</stp>
        <stp>[QwackPricer.xlsx]Energy!R59C14</stp>
        <tr r="N59" s="3"/>
      </tp>
      <tp t="s">
        <v>#N/A N/A</v>
        <stp/>
        <stp>##V3_BDPV12</stp>
        <stp>QSG5 Comdty</stp>
        <stp>PX_ASK</stp>
        <stp>[QwackPricer.xlsx]Energy!R58C14</stp>
        <tr r="N58" s="3"/>
      </tp>
      <tp>
        <v>52.230000000000004</v>
        <stp/>
        <stp>##V3_BDPV12</stp>
        <stp>COZ5 Comdty</stp>
        <stp>PX_SETTLE</stp>
        <stp>[QwackPricer.xlsx]Energy!R67C4</stp>
        <tr r="D67" s="3"/>
      </tp>
      <tp>
        <v>58.730000000000004</v>
        <stp/>
        <stp>##V3_BDPV12</stp>
        <stp>COV1 Comdty</stp>
        <stp>PX_SETTLE</stp>
        <stp>[QwackPricer.xlsx]Energy!R17C4</stp>
        <tr r="D17" s="3"/>
      </tp>
      <tp>
        <v>55.78</v>
        <stp/>
        <stp>##V3_BDPV12</stp>
        <stp>COQ2 Comdty</stp>
        <stp>PX_SETTLE</stp>
        <stp>[QwackPricer.xlsx]Energy!R27C4</stp>
        <tr r="D27" s="3"/>
      </tp>
      <tp>
        <v>54.160000000000004</v>
        <stp/>
        <stp>##V3_BDPV12</stp>
        <stp>COM3 Comdty</stp>
        <stp>PX_SETTLE</stp>
        <stp>[QwackPricer.xlsx]Energy!R37C4</stp>
        <tr r="D37" s="3"/>
      </tp>
      <tp>
        <v>53.120000000000005</v>
        <stp/>
        <stp>##V3_BDPV12</stp>
        <stp>COJ4 Comdty</stp>
        <stp>PX_SETTLE</stp>
        <stp>[QwackPricer.xlsx]Energy!R47C4</stp>
        <tr r="D47" s="3"/>
      </tp>
      <tp>
        <v>52.550000000000004</v>
        <stp/>
        <stp>##V3_BDPV12</stp>
        <stp>COG5 Comdty</stp>
        <stp>PX_SETTLE</stp>
        <stp>[QwackPricer.xlsx]Energy!R57C4</stp>
        <tr r="D57" s="3"/>
      </tp>
      <tp>
        <v>3.5</v>
        <stp/>
        <stp>##V3_BDPV12</stp>
        <stp>LMCADS 0003 Comdty</stp>
        <stp>PX_SETTLE</stp>
        <stp>[QwackPricer.xlsx]Base!R16C9</stp>
        <tr r="I16" s="2"/>
      </tp>
      <tp>
        <v>49.71</v>
        <stp/>
        <stp>##V3_BDPV12</stp>
        <stp>CLF4 Comdty</stp>
        <stp>PX_ASK</stp>
        <stp>[QwackPricer.xlsx]Energy!R45C32</stp>
        <tr r="AF45" s="3"/>
      </tp>
      <tp t="s">
        <v>#N/A N/A</v>
        <stp/>
        <stp>##V3_BDPV12</stp>
        <stp>CLJ4 Comdty</stp>
        <stp>PX_ASK</stp>
        <stp>[QwackPricer.xlsx]Energy!R48C32</stp>
        <tr r="AF48" s="3"/>
      </tp>
      <tp t="s">
        <v>#N/A N/A</v>
        <stp/>
        <stp>##V3_BDPV12</stp>
        <stp>CLK4 Comdty</stp>
        <stp>PX_ASK</stp>
        <stp>[QwackPricer.xlsx]Energy!R49C32</stp>
        <tr r="AF49" s="3"/>
      </tp>
      <tp t="s">
        <v>#N/A N/A</v>
        <stp/>
        <stp>##V3_BDPV12</stp>
        <stp>CLG4 Comdty</stp>
        <stp>PX_ASK</stp>
        <stp>[QwackPricer.xlsx]Energy!R46C32</stp>
        <tr r="AF46" s="3"/>
      </tp>
      <tp t="s">
        <v>#N/A N/A</v>
        <stp/>
        <stp>##V3_BDPV12</stp>
        <stp>CLH4 Comdty</stp>
        <stp>PX_ASK</stp>
        <stp>[QwackPricer.xlsx]Energy!R47C32</stp>
        <tr r="AF47" s="3"/>
      </tp>
      <tp t="s">
        <v>#N/A N/A</v>
        <stp/>
        <stp>##V3_BDPV12</stp>
        <stp>CLN4 Comdty</stp>
        <stp>PX_ASK</stp>
        <stp>[QwackPricer.xlsx]Energy!R51C32</stp>
        <tr r="AF51" s="3"/>
      </tp>
      <tp>
        <v>49.14</v>
        <stp/>
        <stp>##V3_BDPV12</stp>
        <stp>CLM4 Comdty</stp>
        <stp>PX_ASK</stp>
        <stp>[QwackPricer.xlsx]Energy!R50C32</stp>
        <tr r="AF50" s="3"/>
      </tp>
      <tp t="s">
        <v>#N/A N/A</v>
        <stp/>
        <stp>##V3_BDPV12</stp>
        <stp>CLQ4 Comdty</stp>
        <stp>PX_ASK</stp>
        <stp>[QwackPricer.xlsx]Energy!R52C32</stp>
        <tr r="AF52" s="3"/>
      </tp>
      <tp t="s">
        <v>#N/A N/A</v>
        <stp/>
        <stp>##V3_BDPV12</stp>
        <stp>CLV4 Comdty</stp>
        <stp>PX_ASK</stp>
        <stp>[QwackPricer.xlsx]Energy!R54C32</stp>
        <tr r="AF54" s="3"/>
      </tp>
      <tp t="s">
        <v>#N/A N/A</v>
        <stp/>
        <stp>##V3_BDPV12</stp>
        <stp>CLU4 Comdty</stp>
        <stp>PX_ASK</stp>
        <stp>[QwackPricer.xlsx]Energy!R53C32</stp>
        <tr r="AF53" s="3"/>
      </tp>
      <tp t="s">
        <v>#N/A N/A</v>
        <stp/>
        <stp>##V3_BDPV12</stp>
        <stp>CLX4 Comdty</stp>
        <stp>PX_ASK</stp>
        <stp>[QwackPricer.xlsx]Energy!R55C32</stp>
        <tr r="AF55" s="3"/>
      </tp>
      <tp>
        <v>48.78</v>
        <stp/>
        <stp>##V3_BDPV12</stp>
        <stp>CLZ4 Comdty</stp>
        <stp>PX_ASK</stp>
        <stp>[QwackPricer.xlsx]Energy!R56C32</stp>
        <tr r="AF56" s="3"/>
      </tp>
      <tp t="s">
        <v>#N/A N/A</v>
        <stp/>
        <stp>##V3_BDPV12</stp>
        <stp>QSN4 Comdty</stp>
        <stp>PX_ASK</stp>
        <stp>[QwackPricer.xlsx]Energy!R51C14</stp>
        <tr r="N51" s="3"/>
      </tp>
      <tp>
        <v>492.75</v>
        <stp/>
        <stp>##V3_BDPV12</stp>
        <stp>QSM4 Comdty</stp>
        <stp>PX_ASK</stp>
        <stp>[QwackPricer.xlsx]Energy!R50C14</stp>
        <tr r="N50" s="3"/>
      </tp>
      <tp t="s">
        <v>#N/A N/A</v>
        <stp/>
        <stp>##V3_BDPV12</stp>
        <stp>QSQ4 Comdty</stp>
        <stp>PX_ASK</stp>
        <stp>[QwackPricer.xlsx]Energy!R52C14</stp>
        <tr r="N52" s="3"/>
      </tp>
      <tp t="s">
        <v>#N/A N/A</v>
        <stp/>
        <stp>##V3_BDPV12</stp>
        <stp>QSV4 Comdty</stp>
        <stp>PX_ASK</stp>
        <stp>[QwackPricer.xlsx]Energy!R54C14</stp>
        <tr r="N54" s="3"/>
      </tp>
      <tp t="s">
        <v>#N/A N/A</v>
        <stp/>
        <stp>##V3_BDPV12</stp>
        <stp>QSU4 Comdty</stp>
        <stp>PX_ASK</stp>
        <stp>[QwackPricer.xlsx]Energy!R53C14</stp>
        <tr r="N53" s="3"/>
      </tp>
      <tp t="s">
        <v>#N/A N/A</v>
        <stp/>
        <stp>##V3_BDPV12</stp>
        <stp>QSX4 Comdty</stp>
        <stp>PX_ASK</stp>
        <stp>[QwackPricer.xlsx]Energy!R55C14</stp>
        <tr r="N55" s="3"/>
      </tp>
      <tp>
        <v>496.5</v>
        <stp/>
        <stp>##V3_BDPV12</stp>
        <stp>QSZ4 Comdty</stp>
        <stp>PX_ASK</stp>
        <stp>[QwackPricer.xlsx]Energy!R56C14</stp>
        <tr r="N56" s="3"/>
      </tp>
      <tp t="s">
        <v>#N/A N/A</v>
        <stp/>
        <stp>##V3_BDPV12</stp>
        <stp>QSF4 Comdty</stp>
        <stp>PX_ASK</stp>
        <stp>[QwackPricer.xlsx]Energy!R45C14</stp>
        <tr r="N45" s="3"/>
      </tp>
      <tp t="s">
        <v>#N/A N/A</v>
        <stp/>
        <stp>##V3_BDPV12</stp>
        <stp>QSJ4 Comdty</stp>
        <stp>PX_ASK</stp>
        <stp>[QwackPricer.xlsx]Energy!R48C14</stp>
        <tr r="N48" s="3"/>
      </tp>
      <tp t="s">
        <v>#N/A N/A</v>
        <stp/>
        <stp>##V3_BDPV12</stp>
        <stp>QSK4 Comdty</stp>
        <stp>PX_ASK</stp>
        <stp>[QwackPricer.xlsx]Energy!R49C14</stp>
        <tr r="N49" s="3"/>
      </tp>
      <tp t="s">
        <v>#N/A N/A</v>
        <stp/>
        <stp>##V3_BDPV12</stp>
        <stp>QSG4 Comdty</stp>
        <stp>PX_ASK</stp>
        <stp>[QwackPricer.xlsx]Energy!R46C14</stp>
        <tr r="N46" s="3"/>
      </tp>
      <tp t="s">
        <v>#N/A N/A</v>
        <stp/>
        <stp>##V3_BDPV12</stp>
        <stp>QSH4 Comdty</stp>
        <stp>PX_ASK</stp>
        <stp>[QwackPricer.xlsx]Energy!R47C14</stp>
        <tr r="N47" s="3"/>
      </tp>
      <tp t="s">
        <v>#N/A N/A</v>
        <stp/>
        <stp>##V3_BDPV12</stp>
        <stp>XBN4 Comdty</stp>
        <stp>PX_ASK</stp>
        <stp>[QwackPricer.xlsx]Energy!R51C23</stp>
        <tr r="W51" s="3"/>
      </tp>
      <tp t="s">
        <v>#N/A N/A</v>
        <stp/>
        <stp>##V3_BDPV12</stp>
        <stp>XBM4 Comdty</stp>
        <stp>PX_ASK</stp>
        <stp>[QwackPricer.xlsx]Energy!R50C23</stp>
        <tr r="W50" s="3"/>
      </tp>
      <tp t="s">
        <v>#N/A N/A</v>
        <stp/>
        <stp>##V3_BDPV12</stp>
        <stp>XBQ4 Comdty</stp>
        <stp>PX_ASK</stp>
        <stp>[QwackPricer.xlsx]Energy!R52C23</stp>
        <tr r="W52" s="3"/>
      </tp>
      <tp t="s">
        <v>#N/A N/A</v>
        <stp/>
        <stp>##V3_BDPV12</stp>
        <stp>XBV4 Comdty</stp>
        <stp>PX_ASK</stp>
        <stp>[QwackPricer.xlsx]Energy!R54C23</stp>
        <tr r="W54" s="3"/>
      </tp>
      <tp t="s">
        <v>#N/A N/A</v>
        <stp/>
        <stp>##V3_BDPV12</stp>
        <stp>XBU4 Comdty</stp>
        <stp>PX_ASK</stp>
        <stp>[QwackPricer.xlsx]Energy!R53C23</stp>
        <tr r="W53" s="3"/>
      </tp>
      <tp t="s">
        <v>#N/A N/A</v>
        <stp/>
        <stp>##V3_BDPV12</stp>
        <stp>XBF4 Comdty</stp>
        <stp>PX_ASK</stp>
        <stp>[QwackPricer.xlsx]Energy!R45C23</stp>
        <tr r="W45" s="3"/>
      </tp>
      <tp t="s">
        <v>#N/A N/A</v>
        <stp/>
        <stp>##V3_BDPV12</stp>
        <stp>XBJ4 Comdty</stp>
        <stp>PX_ASK</stp>
        <stp>[QwackPricer.xlsx]Energy!R48C23</stp>
        <tr r="W48" s="3"/>
      </tp>
      <tp t="s">
        <v>#N/A N/A</v>
        <stp/>
        <stp>##V3_BDPV12</stp>
        <stp>XBK4 Comdty</stp>
        <stp>PX_ASK</stp>
        <stp>[QwackPricer.xlsx]Energy!R49C23</stp>
        <tr r="W49" s="3"/>
      </tp>
      <tp t="s">
        <v>#N/A N/A</v>
        <stp/>
        <stp>##V3_BDPV12</stp>
        <stp>XBG4 Comdty</stp>
        <stp>PX_ASK</stp>
        <stp>[QwackPricer.xlsx]Energy!R46C23</stp>
        <tr r="W46" s="3"/>
      </tp>
      <tp t="s">
        <v>#N/A N/A</v>
        <stp/>
        <stp>##V3_BDPV12</stp>
        <stp>XBH4 Comdty</stp>
        <stp>PX_ASK</stp>
        <stp>[QwackPricer.xlsx]Energy!R47C23</stp>
        <tr r="W47" s="3"/>
      </tp>
      <tp>
        <v>52.26</v>
        <stp/>
        <stp>##V3_BDPV12</stp>
        <stp>COX5 Comdty</stp>
        <stp>PX_SETTLE</stp>
        <stp>[QwackPricer.xlsx]Energy!R66C4</stp>
        <tr r="D66" s="3"/>
      </tp>
      <tp>
        <v>59.18</v>
        <stp/>
        <stp>##V3_BDPV12</stp>
        <stp>COU1 Comdty</stp>
        <stp>PX_SETTLE</stp>
        <stp>[QwackPricer.xlsx]Energy!R16C4</stp>
        <tr r="D16" s="3"/>
      </tp>
      <tp>
        <v>56.01</v>
        <stp/>
        <stp>##V3_BDPV12</stp>
        <stp>CON2 Comdty</stp>
        <stp>PX_SETTLE</stp>
        <stp>[QwackPricer.xlsx]Energy!R26C4</stp>
        <tr r="D26" s="3"/>
      </tp>
      <tp>
        <v>53.19</v>
        <stp/>
        <stp>##V3_BDPV12</stp>
        <stp>COH4 Comdty</stp>
        <stp>PX_SETTLE</stp>
        <stp>[QwackPricer.xlsx]Energy!R46C4</stp>
        <tr r="D46" s="3"/>
      </tp>
      <tp>
        <v>54.29</v>
        <stp/>
        <stp>##V3_BDPV12</stp>
        <stp>COK3 Comdty</stp>
        <stp>PX_SETTLE</stp>
        <stp>[QwackPricer.xlsx]Energy!R36C4</stp>
        <tr r="D36" s="3"/>
      </tp>
      <tp>
        <v>52.58</v>
        <stp/>
        <stp>##V3_BDPV12</stp>
        <stp>COF5 Comdty</stp>
        <stp>PX_SETTLE</stp>
        <stp>[QwackPricer.xlsx]Energy!R56C4</stp>
        <tr r="D56" s="3"/>
      </tp>
      <tp>
        <v>52.61</v>
        <stp/>
        <stp>##V3_BDPV12</stp>
        <stp>COZ4 Comdty</stp>
        <stp>PX_SETTLE</stp>
        <stp>[QwackPricer.xlsx]Energy!R55C4</stp>
        <tr r="D55" s="3"/>
      </tp>
      <tp>
        <v>2373.06</v>
        <stp/>
        <stp>##V3_BDPV12</stp>
        <stp>XPD Curncy</stp>
        <stp>PX_LAST</stp>
        <stp>[QwackPricer.xlsx]FX-IR!R17C4</stp>
        <tr r="D17" s="1"/>
      </tp>
      <tp>
        <v>52.29</v>
        <stp/>
        <stp>##V3_BDPV12</stp>
        <stp>COV5 Comdty</stp>
        <stp>PX_SETTLE</stp>
        <stp>[QwackPricer.xlsx]Energy!R65C4</stp>
        <tr r="D65" s="3"/>
      </tp>
      <tp>
        <v>59.64</v>
        <stp/>
        <stp>##V3_BDPV12</stp>
        <stp>COQ1 Comdty</stp>
        <stp>PX_SETTLE</stp>
        <stp>[QwackPricer.xlsx]Energy!R15C4</stp>
        <tr r="D15" s="3"/>
      </tp>
      <tp>
        <v>56.24</v>
        <stp/>
        <stp>##V3_BDPV12</stp>
        <stp>COM2 Comdty</stp>
        <stp>PX_SETTLE</stp>
        <stp>[QwackPricer.xlsx]Energy!R25C4</stp>
        <tr r="D25" s="3"/>
      </tp>
      <tp>
        <v>54.410000000000004</v>
        <stp/>
        <stp>##V3_BDPV12</stp>
        <stp>COJ3 Comdty</stp>
        <stp>PX_SETTLE</stp>
        <stp>[QwackPricer.xlsx]Energy!R35C4</stp>
        <tr r="D35" s="3"/>
      </tp>
      <tp>
        <v>53.27</v>
        <stp/>
        <stp>##V3_BDPV12</stp>
        <stp>COG4 Comdty</stp>
        <stp>PX_SETTLE</stp>
        <stp>[QwackPricer.xlsx]Energy!R45C4</stp>
        <tr r="D45" s="3"/>
      </tp>
      <tp>
        <v>-4.16</v>
        <stp/>
        <stp>##V3_BDPV12</stp>
        <stp>LMAHDS 0003 Comdty</stp>
        <stp>PX_SETTLE</stp>
        <stp>[QwackPricer.xlsx]Base!R16C5</stp>
        <tr r="E16" s="2"/>
      </tp>
      <tp>
        <v>52.67</v>
        <stp/>
        <stp>##V3_BDPV12</stp>
        <stp>COX4 Comdty</stp>
        <stp>PX_SETTLE</stp>
        <stp>[QwackPricer.xlsx]Energy!R54C4</stp>
        <tr r="D54" s="3"/>
      </tp>
      <tp>
        <v>52.32</v>
        <stp/>
        <stp>##V3_BDPV12</stp>
        <stp>COU5 Comdty</stp>
        <stp>PX_SETTLE</stp>
        <stp>[QwackPricer.xlsx]Energy!R64C4</stp>
        <tr r="D64" s="3"/>
      </tp>
      <tp>
        <v>60.1</v>
        <stp/>
        <stp>##V3_BDPV12</stp>
        <stp>CON1 Comdty</stp>
        <stp>PX_SETTLE</stp>
        <stp>[QwackPricer.xlsx]Energy!R14C4</stp>
        <tr r="D14" s="3"/>
      </tp>
      <tp>
        <v>54.52</v>
        <stp/>
        <stp>##V3_BDPV12</stp>
        <stp>COH3 Comdty</stp>
        <stp>PX_SETTLE</stp>
        <stp>[QwackPricer.xlsx]Energy!R34C4</stp>
        <tr r="D34" s="3"/>
      </tp>
      <tp>
        <v>56.49</v>
        <stp/>
        <stp>##V3_BDPV12</stp>
        <stp>COK2 Comdty</stp>
        <stp>PX_SETTLE</stp>
        <stp>[QwackPricer.xlsx]Energy!R24C4</stp>
        <tr r="D24" s="3"/>
      </tp>
      <tp>
        <v>53.35</v>
        <stp/>
        <stp>##V3_BDPV12</stp>
        <stp>COF4 Comdty</stp>
        <stp>PX_SETTLE</stp>
        <stp>[QwackPricer.xlsx]Energy!R44C4</stp>
        <tr r="D44" s="3"/>
      </tp>
      <tp>
        <v>1.2132000000000001</v>
        <stp/>
        <stp>##V3_BDPV12</stp>
        <stp>EUR Curncy</stp>
        <stp>PX_LAST</stp>
        <stp>[QwackPricer.xlsx]FX-IR!R13C4</stp>
        <tr r="D13" s="1"/>
      </tp>
      <tp>
        <v>1263.96</v>
        <stp/>
        <stp>##V3_BDPV12</stp>
        <stp>XPT Curncy</stp>
        <stp>PX_LAST</stp>
        <stp>[QwackPricer.xlsx]FX-IR!R18C4</stp>
        <tr r="D18" s="1"/>
      </tp>
      <tp>
        <v>57.95</v>
        <stp/>
        <stp>##V3_BDPV12</stp>
        <stp>COZ1 Comdty</stp>
        <stp>PX_SETTLE</stp>
        <stp>[QwackPricer.xlsx]Energy!R19C4</stp>
        <tr r="D19" s="3"/>
      </tp>
      <tp>
        <v>55.370000000000005</v>
        <stp/>
        <stp>##V3_BDPV12</stp>
        <stp>COV2 Comdty</stp>
        <stp>PX_SETTLE</stp>
        <stp>[QwackPricer.xlsx]Energy!R29C4</stp>
        <tr r="D29" s="3"/>
      </tp>
      <tp>
        <v>53.9</v>
        <stp/>
        <stp>##V3_BDPV12</stp>
        <stp>COQ3 Comdty</stp>
        <stp>PX_SETTLE</stp>
        <stp>[QwackPricer.xlsx]Energy!R39C4</stp>
        <tr r="D39" s="3"/>
      </tp>
      <tp>
        <v>52.99</v>
        <stp/>
        <stp>##V3_BDPV12</stp>
        <stp>COM4 Comdty</stp>
        <stp>PX_SETTLE</stp>
        <stp>[QwackPricer.xlsx]Energy!R49C4</stp>
        <tr r="D49" s="3"/>
      </tp>
      <tp>
        <v>52.480000000000004</v>
        <stp/>
        <stp>##V3_BDPV12</stp>
        <stp>COJ5 Comdty</stp>
        <stp>PX_SETTLE</stp>
        <stp>[QwackPricer.xlsx]Energy!R59C4</stp>
        <tr r="D59" s="3"/>
      </tp>
      <tp>
        <v>58.32</v>
        <stp/>
        <stp>##V3_BDPV12</stp>
        <stp>COX1 Comdty</stp>
        <stp>PX_SETTLE</stp>
        <stp>[QwackPricer.xlsx]Energy!R18C4</stp>
        <tr r="D18" s="3"/>
      </tp>
      <tp>
        <v>55.57</v>
        <stp/>
        <stp>##V3_BDPV12</stp>
        <stp>COU2 Comdty</stp>
        <stp>PX_SETTLE</stp>
        <stp>[QwackPricer.xlsx]Energy!R28C4</stp>
        <tr r="D28" s="3"/>
      </tp>
      <tp>
        <v>54.03</v>
        <stp/>
        <stp>##V3_BDPV12</stp>
        <stp>CON3 Comdty</stp>
        <stp>PX_SETTLE</stp>
        <stp>[QwackPricer.xlsx]Energy!R38C4</stp>
        <tr r="D38" s="3"/>
      </tp>
      <tp>
        <v>52.52</v>
        <stp/>
        <stp>##V3_BDPV12</stp>
        <stp>COH5 Comdty</stp>
        <stp>PX_SETTLE</stp>
        <stp>[QwackPricer.xlsx]Energy!R58C4</stp>
        <tr r="D58" s="3"/>
      </tp>
      <tp>
        <v>53.050000000000004</v>
        <stp/>
        <stp>##V3_BDPV12</stp>
        <stp>COK4 Comdty</stp>
        <stp>PX_SETTLE</stp>
        <stp>[QwackPricer.xlsx]Energy!R48C4</stp>
        <tr r="D48" s="3"/>
      </tp>
      <tp>
        <v>625.5</v>
        <stp/>
        <stp>##V3_BDPV12</stp>
        <stp>LMCADS 03X25 Comdty</stp>
        <stp>PX_SETTLE</stp>
        <stp>[QwackPricer.xlsx]Base!R75C9</stp>
        <tr r="I75" s="2"/>
      </tp>
      <tp>
        <v>538</v>
        <stp/>
        <stp>##V3_BDPV12</stp>
        <stp>LMCADS 03Z24 Comdty</stp>
        <stp>PX_SETTLE</stp>
        <stp>[QwackPricer.xlsx]Base!R64C9</stp>
        <tr r="I64" s="2"/>
      </tp>
      <tp>
        <v>-23.09</v>
        <stp/>
        <stp>##V3_BDPV12</stp>
        <stp>LMAHDS 03Z21 Comdty</stp>
        <stp>PX_SETTLE</stp>
        <stp>[QwackPricer.xlsx]Base!R28C5</stp>
        <tr r="E28" s="2"/>
      </tp>
      <tp>
        <v>274</v>
        <stp/>
        <stp>##V3_BDPV12</stp>
        <stp>LMCADS 03H23 Comdty</stp>
        <stp>PX_SETTLE</stp>
        <stp>[QwackPricer.xlsx]Base!R43C9</stp>
        <tr r="I43" s="2"/>
      </tp>
      <tp>
        <v>1.75</v>
        <stp/>
        <stp>##V3_BDPV12</stp>
        <stp>LMCADS 03K21 Comdty</stp>
        <stp>PX_SETTLE</stp>
        <stp>[QwackPricer.xlsx]Base!R21C9</stp>
        <tr r="I21" s="2"/>
      </tp>
      <tp>
        <v>129.25</v>
        <stp/>
        <stp>##V3_BDPV12</stp>
        <stp>LMCADS 03J22 Comdty</stp>
        <stp>PX_SETTLE</stp>
        <stp>[QwackPricer.xlsx]Base!R32C9</stp>
        <tr r="I32" s="2"/>
      </tp>
      <tp>
        <v>406</v>
        <stp/>
        <stp>##V3_BDPV12</stp>
        <stp>LMCADS 03G24 Comdty</stp>
        <stp>PX_SETTLE</stp>
        <stp>[QwackPricer.xlsx]Base!R54C9</stp>
        <tr r="I54" s="2"/>
      </tp>
      <tp>
        <v>548</v>
        <stp/>
        <stp>##V3_BDPV12</stp>
        <stp>LMCADS 03F25 Comdty</stp>
        <stp>PX_SETTLE</stp>
        <stp>[QwackPricer.xlsx]Base!R65C9</stp>
        <tr r="I65" s="2"/>
      </tp>
    </main>
    <main first="bofaddin.rtdserver">
      <tp t="e">
        <v>#N/A</v>
        <stp/>
        <stp>BDH|13777066382051342012</stp>
        <tr r="H142" s="1"/>
      </tp>
      <tp t="e">
        <v>#N/A</v>
        <stp/>
        <stp>BDH|13038811622922566166</stp>
        <tr r="G176" s="1"/>
      </tp>
      <tp t="e">
        <v>#N/A</v>
        <stp/>
        <stp>BDH|16341259817959360607</stp>
        <tr r="E172" s="1"/>
      </tp>
      <tp t="e">
        <v>#N/A</v>
        <stp/>
        <stp>BDH|18355166533960145032</stp>
        <tr r="D154" s="1"/>
      </tp>
      <tp t="e">
        <v>#N/A</v>
        <stp/>
        <stp>BDH|11225745773649192208</stp>
        <tr r="E125" s="1"/>
      </tp>
      <tp t="e">
        <v>#N/A</v>
        <stp/>
        <stp>BDH|14409242613824370971</stp>
        <tr r="G185" s="1"/>
      </tp>
      <tp t="e">
        <v>#N/A</v>
        <stp/>
        <stp>BDH|14433824430232511758</stp>
        <tr r="G165" s="1"/>
      </tp>
      <tp t="e">
        <v>#N/A</v>
        <stp/>
        <stp>BDH|17154965838747960002</stp>
        <tr r="G119" s="1"/>
      </tp>
      <tp t="e">
        <v>#N/A</v>
        <stp/>
        <stp>BDH|14327782294259832910</stp>
        <tr r="G154" s="1"/>
      </tp>
      <tp t="e">
        <v>#N/A</v>
        <stp/>
        <stp>BDH|10130417479101317832</stp>
        <tr r="F158" s="1"/>
      </tp>
      <tp t="e">
        <v>#N/A</v>
        <stp/>
        <stp>BDH|17715675918799276307</stp>
        <tr r="E137" s="1"/>
      </tp>
      <tp t="e">
        <v>#N/A</v>
        <stp/>
        <stp>BDH|18199438931490690583</stp>
        <tr r="N27" s="1"/>
      </tp>
      <tp t="e">
        <v>#N/A</v>
        <stp/>
        <stp>BDH|11951511527338677452</stp>
        <tr r="D99" s="1"/>
      </tp>
    </main>
    <main first="bloomberg.rtd">
      <tp>
        <v>378</v>
        <stp/>
        <stp>##V3_BDPV12</stp>
        <stp>LMCADS 03Z23 Comdty</stp>
        <stp>PX_SETTLE</stp>
        <stp>[QwackPricer.xlsx]Base!R52C9</stp>
        <tr r="I52" s="2"/>
      </tp>
      <tp>
        <v>620</v>
        <stp/>
        <stp>##V3_BDPV12</stp>
        <stp>LMCADS 03V25 Comdty</stp>
        <stp>PX_SETTLE</stp>
        <stp>[QwackPricer.xlsx]Base!R74C9</stp>
        <tr r="I74" s="2"/>
      </tp>
      <tp>
        <v>420</v>
        <stp/>
        <stp>##V3_BDPV12</stp>
        <stp>LMCADS 03H24 Comdty</stp>
        <stp>PX_SETTLE</stp>
        <stp>[QwackPricer.xlsx]Base!R55C9</stp>
        <tr r="I55" s="2"/>
      </tp>
      <tp>
        <v>142.75</v>
        <stp/>
        <stp>##V3_BDPV12</stp>
        <stp>LMCADS 03K22 Comdty</stp>
        <stp>PX_SETTLE</stp>
        <stp>[QwackPricer.xlsx]Base!R33C9</stp>
        <tr r="I33" s="2"/>
      </tp>
      <tp>
        <v>262</v>
        <stp/>
        <stp>##V3_BDPV12</stp>
        <stp>LMCADS 03G23 Comdty</stp>
        <stp>PX_SETTLE</stp>
        <stp>[QwackPricer.xlsx]Base!R42C9</stp>
        <tr r="I42" s="2"/>
      </tp>
      <tp>
        <v>631</v>
        <stp/>
        <stp>##V3_BDPV12</stp>
        <stp>LMCADS 03F26 Comdty</stp>
        <stp>PX_SETTLE</stp>
        <stp>[QwackPricer.xlsx]Base!R77C9</stp>
        <tr r="I77" s="2"/>
      </tp>
    </main>
    <main first="bofaddin.rtdserver">
      <tp t="e">
        <v>#N/A</v>
        <stp/>
        <stp>BDH|14477179898707305080</stp>
        <tr r="F142" s="1"/>
      </tp>
      <tp t="e">
        <v>#N/A</v>
        <stp/>
        <stp>BDH|13321652963849725102</stp>
        <tr r="G189" s="1"/>
      </tp>
      <tp t="e">
        <v>#N/A</v>
        <stp/>
        <stp>BDH|13273353085740566337</stp>
        <tr r="F148" s="1"/>
      </tp>
      <tp t="e">
        <v>#N/A</v>
        <stp/>
        <stp>BDH|16568329906398751616</stp>
        <tr r="D150" s="1"/>
      </tp>
      <tp t="e">
        <v>#N/A</v>
        <stp/>
        <stp>BDH|16249174362932314834</stp>
        <tr r="F117" s="1"/>
      </tp>
      <tp t="e">
        <v>#N/A</v>
        <stp/>
        <stp>BDH|11174811237487601680</stp>
        <tr r="E198" s="1"/>
      </tp>
      <tp t="e">
        <v>#N/A</v>
        <stp/>
        <stp>BDH|12606628364910113981</stp>
        <tr r="G149" s="1"/>
      </tp>
      <tp t="e">
        <v>#N/A</v>
        <stp/>
        <stp>BDH|14339637985938858961</stp>
        <tr r="N25" s="1"/>
      </tp>
      <tp t="e">
        <v>#N/A</v>
        <stp/>
        <stp>BDH|15688645699174018565</stp>
        <tr r="H132" s="1"/>
      </tp>
      <tp t="e">
        <v>#N/A</v>
        <stp/>
        <stp>BDH|12905435501254628913</stp>
        <tr r="F175" s="1"/>
      </tp>
      <tp t="e">
        <v>#N/A</v>
        <stp/>
        <stp>BDH|10362489092124657210</stp>
        <tr r="G139" s="1"/>
      </tp>
      <tp t="e">
        <v>#N/A</v>
        <stp/>
        <stp>BDH|16395886555104978494</stp>
        <tr r="F140" s="1"/>
      </tp>
    </main>
    <main first="bloomberg.rtd">
      <tp>
        <v>0.15362999999999999</v>
        <stp/>
        <stp>##V3_BDPV12</stp>
        <stp>US0002M Index</stp>
        <stp>PX_LAST</stp>
        <stp>[QwackPricer.xlsx]FX-IR!R69C3</stp>
        <tr r="C69" s="1"/>
      </tp>
      <tp>
        <v>14.660600000000001</v>
        <stp/>
        <stp>##V3_BDPV12</stp>
        <stp>ZAR Curncy</stp>
        <stp>PX_LAST</stp>
        <stp>[QwackPricer.xlsx]FX-IR!R12C4</stp>
        <tr r="D12" s="1"/>
      </tp>
      <tp>
        <v>-77.59</v>
        <stp/>
        <stp>##V3_BDPV12</stp>
        <stp>LMAHDS 03Q23 Comdty</stp>
        <stp>PX_SETTLE</stp>
        <stp>[QwackPricer.xlsx]Base!R48C5</stp>
        <tr r="E48" s="2"/>
      </tp>
      <tp>
        <v>367</v>
        <stp/>
        <stp>##V3_BDPV12</stp>
        <stp>LMCADS 03X23 Comdty</stp>
        <stp>PX_SETTLE</stp>
        <stp>[QwackPricer.xlsx]Base!R51C9</stp>
        <tr r="I51" s="2"/>
      </tp>
      <tp>
        <v>238</v>
        <stp/>
        <stp>##V3_BDPV12</stp>
        <stp>LMCADS 03Z22 Comdty</stp>
        <stp>PX_SETTLE</stp>
        <stp>[QwackPricer.xlsx]Base!R40C9</stp>
        <tr r="I40" s="2"/>
      </tp>
      <tp>
        <v>-53.09</v>
        <stp/>
        <stp>##V3_BDPV12</stp>
        <stp>LMAHDS 03X22 Comdty</stp>
        <stp>PX_SETTLE</stp>
        <stp>[QwackPricer.xlsx]Base!R39C5</stp>
        <tr r="E39" s="2"/>
      </tp>
      <tp>
        <v>15</v>
        <stp/>
        <stp>##V3_BDPV12</stp>
        <stp>LMCADS 03N21 Comdty</stp>
        <stp>PX_SETTLE</stp>
        <stp>[QwackPricer.xlsx]Base!R23C9</stp>
        <tr r="I23" s="2"/>
      </tp>
      <tp>
        <v>568</v>
        <stp/>
        <stp>##V3_BDPV12</stp>
        <stp>LMCADS 03H25 Comdty</stp>
        <stp>PX_SETTLE</stp>
        <stp>[QwackPricer.xlsx]Base!R67C9</stp>
        <tr r="I67" s="2"/>
      </tp>
      <tp>
        <v>-26.34</v>
        <stp/>
        <stp>##V3_BDPV12</stp>
        <stp>LMAHDS 03F22 Comdty</stp>
        <stp>PX_SETTLE</stp>
        <stp>[QwackPricer.xlsx]Base!R29C5</stp>
        <tr r="E29" s="2"/>
      </tp>
      <tp>
        <v>434</v>
        <stp/>
        <stp>##V3_BDPV12</stp>
        <stp>LMCADS 03J24 Comdty</stp>
        <stp>PX_SETTLE</stp>
        <stp>[QwackPricer.xlsx]Base!R56C9</stp>
        <tr r="I56" s="2"/>
      </tp>
      <tp>
        <v>101</v>
        <stp/>
        <stp>##V3_BDPV12</stp>
        <stp>LMCADS 03G22 Comdty</stp>
        <stp>PX_SETTLE</stp>
        <stp>[QwackPricer.xlsx]Base!R30C9</stp>
        <tr r="I30" s="2"/>
      </tp>
      <tp>
        <v>250</v>
        <stp/>
        <stp>##V3_BDPV12</stp>
        <stp>LMCADS 03F23 Comdty</stp>
        <stp>PX_SETTLE</stp>
        <stp>[QwackPricer.xlsx]Base!R41C9</stp>
        <tr r="I41" s="2"/>
      </tp>
    </main>
    <main first="bofaddin.rtdserver">
      <tp t="e">
        <v>#N/A</v>
        <stp/>
        <stp>BDH|12673616542231198941</stp>
        <tr r="F184" s="1"/>
      </tp>
      <tp t="e">
        <v>#N/A</v>
        <stp/>
        <stp>BDH|10838832340615993116</stp>
        <tr r="D167" s="1"/>
      </tp>
      <tp t="e">
        <v>#N/A</v>
        <stp/>
        <stp>BDH|11954987402607178776</stp>
        <tr r="D181" s="1"/>
      </tp>
      <tp t="e">
        <v>#N/A</v>
        <stp/>
        <stp>BDH|11490937329243972138</stp>
        <tr r="D116" s="1"/>
      </tp>
      <tp t="e">
        <v>#N/A</v>
        <stp/>
        <stp>BDH|15976709974628557507</stp>
        <tr r="H166" s="1"/>
      </tp>
      <tp t="e">
        <v>#N/A</v>
        <stp/>
        <stp>BDH|11876238999221914332</stp>
        <tr r="D134" s="1"/>
      </tp>
      <tp t="e">
        <v>#N/A</v>
        <stp/>
        <stp>BDH|10593074778248306719</stp>
        <tr r="E139" s="1"/>
      </tp>
      <tp t="e">
        <v>#N/A</v>
        <stp/>
        <stp>BDH|14411217832778479583</stp>
        <tr r="D186" s="1"/>
      </tp>
      <tp t="e">
        <v>#N/A</v>
        <stp/>
        <stp>BDH|16270522779778377459</stp>
        <tr r="H190" s="1"/>
      </tp>
      <tp t="e">
        <v>#N/A</v>
        <stp/>
        <stp>BDH|15786278598072613417</stp>
        <tr r="F105" s="1"/>
      </tp>
    </main>
    <main first="bloomberg.rtd">
      <tp>
        <v>0.1095</v>
        <stp/>
        <stp>##V3_BDPV12</stp>
        <stp>US0001M Index</stp>
        <stp>PX_LAST</stp>
        <stp>[QwackPricer.xlsx]FX-IR!R68C3</stp>
        <tr r="C68" s="1"/>
      </tp>
      <tp>
        <v>-81.09</v>
        <stp/>
        <stp>##V3_BDPV12</stp>
        <stp>LMAHDS 03U23 Comdty</stp>
        <stp>PX_SETTLE</stp>
        <stp>[QwackPricer.xlsx]Base!R49C5</stp>
        <tr r="E49" s="2"/>
      </tp>
      <tp>
        <v>-50.34</v>
        <stp/>
        <stp>##V3_BDPV12</stp>
        <stp>LMAHDS 03V22 Comdty</stp>
        <stp>PX_SETTLE</stp>
        <stp>[QwackPricer.xlsx]Base!R38C5</stp>
        <tr r="E38" s="2"/>
      </tp>
      <tp>
        <v>631</v>
        <stp/>
        <stp>##V3_BDPV12</stp>
        <stp>LMCADS 03Z25 Comdty</stp>
        <stp>PX_SETTLE</stp>
        <stp>[QwackPricer.xlsx]Base!R76C9</stp>
        <tr r="I76" s="2"/>
      </tp>
      <tp>
        <v>356</v>
        <stp/>
        <stp>##V3_BDPV12</stp>
        <stp>LMCADS 03V23 Comdty</stp>
        <stp>PX_SETTLE</stp>
        <stp>[QwackPricer.xlsx]Base!R50C9</stp>
        <tr r="I50" s="2"/>
      </tp>
      <tp>
        <v>7.25</v>
        <stp/>
        <stp>##V3_BDPV12</stp>
        <stp>LMCADS 03M21 Comdty</stp>
        <stp>PX_SETTLE</stp>
        <stp>[QwackPricer.xlsx]Base!R22C9</stp>
        <tr r="I22" s="2"/>
      </tp>
      <tp>
        <v>116</v>
        <stp/>
        <stp>##V3_BDPV12</stp>
        <stp>LMCADS 03H22 Comdty</stp>
        <stp>PX_SETTLE</stp>
        <stp>[QwackPricer.xlsx]Base!R31C9</stp>
        <tr r="I31" s="2"/>
      </tp>
      <tp>
        <v>447</v>
        <stp/>
        <stp>##V3_BDPV12</stp>
        <stp>LMCADS 03K24 Comdty</stp>
        <stp>PX_SETTLE</stp>
        <stp>[QwackPricer.xlsx]Base!R57C9</stp>
        <tr r="I57" s="2"/>
      </tp>
      <tp>
        <v>558</v>
        <stp/>
        <stp>##V3_BDPV12</stp>
        <stp>LMCADS 03G25 Comdty</stp>
        <stp>PX_SETTLE</stp>
        <stp>[QwackPricer.xlsx]Base!R66C9</stp>
        <tr r="I66" s="2"/>
      </tp>
    </main>
    <main first="bofaddin.rtdserver">
      <tp t="e">
        <v>#N/A</v>
        <stp/>
        <stp>BDH|14183943937876387102</stp>
        <tr r="H187" s="1"/>
      </tp>
      <tp t="e">
        <v>#N/A</v>
        <stp/>
        <stp>BDH|15207011680536441265</stp>
        <tr r="F135" s="1"/>
      </tp>
      <tp t="e">
        <v>#N/A</v>
        <stp/>
        <stp>BDH|15957201963221850928</stp>
        <tr r="C105" s="3"/>
      </tp>
      <tp t="e">
        <v>#N/A</v>
        <stp/>
        <stp>BDH|14205763630781732806</stp>
        <tr r="D200" s="1"/>
      </tp>
      <tp t="e">
        <v>#N/A</v>
        <stp/>
        <stp>BDH|10433969414467622628</stp>
        <tr r="D122" s="1"/>
      </tp>
      <tp t="e">
        <v>#N/A</v>
        <stp/>
        <stp>BDH|17874488885554577651</stp>
        <tr r="E138" s="1"/>
      </tp>
      <tp t="e">
        <v>#N/A</v>
        <stp/>
        <stp>BDH|11874581554441173916</stp>
        <tr r="G153" s="1"/>
      </tp>
      <tp t="e">
        <v>#N/A</v>
        <stp/>
        <stp>BDH|12975325181420390009</stp>
        <tr r="G173" s="1"/>
      </tp>
      <tp t="e">
        <v>#N/A</v>
        <stp/>
        <stp>BDH|13514091461475223963</stp>
        <tr r="H173" s="1"/>
      </tp>
      <tp t="e">
        <v>#N/A</v>
        <stp/>
        <stp>BDH|11487288155036201933</stp>
        <tr r="D189" s="1"/>
      </tp>
      <tp t="e">
        <v>#N/A</v>
        <stp/>
        <stp>BDH|11787904762494840364</stp>
        <tr r="D198" s="1"/>
      </tp>
      <tp t="e">
        <v>#N/A</v>
        <stp/>
        <stp>BDH|11858936374034726230</stp>
        <tr r="D100" s="1"/>
      </tp>
      <tp t="e">
        <v>#N/A</v>
        <stp/>
        <stp>BDH|14059729036369683080</stp>
        <tr r="F165" s="1"/>
      </tp>
      <tp t="e">
        <v>#N/A</v>
        <stp/>
        <stp>BDH|12222496892565051354</stp>
        <tr r="G204" s="1"/>
      </tp>
    </main>
    <main first="bloomberg.rtd">
      <tp>
        <v>34.5</v>
        <stp/>
        <stp>##V3_BDPV12</stp>
        <stp>LMCADS 03U21 Comdty</stp>
        <stp>PX_SETTLE</stp>
        <stp>[QwackPricer.xlsx]Base!R25C9</stp>
        <tr r="I25" s="2"/>
      </tp>
      <tp>
        <v>183.25</v>
        <stp/>
        <stp>##V3_BDPV12</stp>
        <stp>LMCADS 03Q22 Comdty</stp>
        <stp>PX_SETTLE</stp>
        <stp>[QwackPricer.xlsx]Base!R36C9</stp>
        <tr r="I36" s="2"/>
      </tp>
      <tp>
        <v>486</v>
        <stp/>
        <stp>##V3_BDPV12</stp>
        <stp>LMCADS 03Q24 Comdty</stp>
        <stp>PX_SETTLE</stp>
        <stp>[QwackPricer.xlsx]Base!R60C9</stp>
        <tr r="I60" s="2"/>
      </tp>
      <tp>
        <v>322</v>
        <stp/>
        <stp>##V3_BDPV12</stp>
        <stp>LMCADS 03N23 Comdty</stp>
        <stp>PX_SETTLE</stp>
        <stp>[QwackPricer.xlsx]Base!R47C9</stp>
        <tr r="I47" s="2"/>
      </tp>
      <tp>
        <v>603.5</v>
        <stp/>
        <stp>##V3_BDPV12</stp>
        <stp>LMCADS 03N25 Comdty</stp>
        <stp>PX_SETTLE</stp>
        <stp>[QwackPricer.xlsx]Base!R71C9</stp>
        <tr r="I71" s="2"/>
      </tp>
      <tp>
        <v>-141.09</v>
        <stp/>
        <stp>##V3_BDPV12</stp>
        <stp>LMAHDS 03J25 Comdty</stp>
        <stp>PX_SETTLE</stp>
        <stp>[QwackPricer.xlsx]Base!R68C5</stp>
        <tr r="E68" s="2"/>
      </tp>
      <tp>
        <v>-107.59</v>
        <stp/>
        <stp>##V3_BDPV12</stp>
        <stp>LMAHDS 03N24 Comdty</stp>
        <stp>PX_SETTLE</stp>
        <stp>[QwackPricer.xlsx]Base!R59C5</stp>
        <tr r="E59" s="2"/>
      </tp>
    </main>
    <main first="bofaddin.rtdserver">
      <tp t="e">
        <v>#N/A</v>
        <stp/>
        <stp>BDH|16714556386480384520</stp>
        <tr r="F201" s="1"/>
      </tp>
      <tp t="e">
        <v>#N/A</v>
        <stp/>
        <stp>BDH|12466513788072948305</stp>
        <tr r="H206" s="1"/>
      </tp>
      <tp t="e">
        <v>#N/A</v>
        <stp/>
        <stp>BDH|10072305091507814301</stp>
        <tr r="D156" s="1"/>
      </tp>
      <tp t="e">
        <v>#N/A</v>
        <stp/>
        <stp>BDH|16307944935433298182</stp>
        <tr r="E134" s="1"/>
      </tp>
      <tp t="e">
        <v>#N/A</v>
        <stp/>
        <stp>BDH|17810775189015424380</stp>
        <tr r="E103" s="1"/>
      </tp>
      <tp t="e">
        <v>#N/A</v>
        <stp/>
        <stp>BDH|11284349361958812224</stp>
        <tr r="H122" s="1"/>
      </tp>
      <tp t="e">
        <v>#N/A</v>
        <stp/>
        <stp>BDH|11542555096037958426</stp>
        <tr r="G150" s="1"/>
      </tp>
      <tp t="e">
        <v>#N/A</v>
        <stp/>
        <stp>BDH|11939590495533135086</stp>
        <tr r="G104" s="1"/>
      </tp>
      <tp t="e">
        <v>#N/A</v>
        <stp/>
        <stp>BDH|10070205337747105899</stp>
        <tr r="H109" s="1"/>
      </tp>
      <tp t="e">
        <v>#N/A</v>
        <stp/>
        <stp>BDH|12080875814697956247</stp>
        <tr r="N23" s="1"/>
        <tr r="N22" s="1"/>
      </tp>
      <tp t="e">
        <v>#N/A</v>
        <stp/>
        <stp>BDH|12050322492452868466</stp>
        <tr r="H157" s="1"/>
      </tp>
    </main>
    <main first="bloomberg.rtd">
      <tp>
        <v>1843.42</v>
        <stp/>
        <stp>##V3_BDPV12</stp>
        <stp>XAU Curncy</stp>
        <stp>PX_LAST</stp>
        <stp>[QwackPricer.xlsx]FX-IR!R15C4</stp>
        <tr r="D15" s="1"/>
      </tp>
      <tp>
        <v>196.75</v>
        <stp/>
        <stp>##V3_BDPV12</stp>
        <stp>LMCADS 03U22 Comdty</stp>
        <stp>PX_SETTLE</stp>
        <stp>[QwackPricer.xlsx]Base!R37C9</stp>
        <tr r="I37" s="2"/>
      </tp>
      <tp>
        <v>499</v>
        <stp/>
        <stp>##V3_BDPV12</stp>
        <stp>LMCADS 03U24 Comdty</stp>
        <stp>PX_SETTLE</stp>
        <stp>[QwackPricer.xlsx]Base!R61C9</stp>
        <tr r="I61" s="2"/>
      </tp>
      <tp>
        <v>25</v>
        <stp/>
        <stp>##V3_BDPV12</stp>
        <stp>LMCADS 03Q21 Comdty</stp>
        <stp>PX_SETTLE</stp>
        <stp>[QwackPricer.xlsx]Base!R24C9</stp>
        <tr r="I24" s="2"/>
      </tp>
      <tp>
        <v>310</v>
        <stp/>
        <stp>##V3_BDPV12</stp>
        <stp>LMCADS 03M23 Comdty</stp>
        <stp>PX_SETTLE</stp>
        <stp>[QwackPricer.xlsx]Base!R46C9</stp>
        <tr r="I46" s="2"/>
      </tp>
      <tp>
        <v>598</v>
        <stp/>
        <stp>##V3_BDPV12</stp>
        <stp>LMCADS 03M25 Comdty</stp>
        <stp>PX_SETTLE</stp>
        <stp>[QwackPricer.xlsx]Base!R70C9</stp>
        <tr r="I70" s="2"/>
      </tp>
      <tp>
        <v>-146.09</v>
        <stp/>
        <stp>##V3_BDPV12</stp>
        <stp>LMAHDS 03K25 Comdty</stp>
        <stp>PX_SETTLE</stp>
        <stp>[QwackPricer.xlsx]Base!R69C5</stp>
        <tr r="E69" s="2"/>
      </tp>
      <tp>
        <v>-105.09</v>
        <stp/>
        <stp>##V3_BDPV12</stp>
        <stp>LMAHDS 03M24 Comdty</stp>
        <stp>PX_SETTLE</stp>
        <stp>[QwackPricer.xlsx]Base!R58C5</stp>
        <tr r="E58" s="2"/>
      </tp>
    </main>
    <main first="bofaddin.rtdserver">
      <tp t="e">
        <v>#N/A</v>
        <stp/>
        <stp>BDH|16465883356094802005</stp>
        <tr r="E104" s="1"/>
      </tp>
      <tp t="e">
        <v>#N/A</v>
        <stp/>
        <stp>BDH|17507601680846501050</stp>
        <tr r="F167" s="1"/>
      </tp>
      <tp t="e">
        <v>#N/A</v>
        <stp/>
        <stp>BDH|17306141895175409530</stp>
        <tr r="C154" s="2"/>
      </tp>
      <tp t="e">
        <v>#N/A</v>
        <stp/>
        <stp>BDH|14996544163551347956</stp>
        <tr r="F154" s="1"/>
      </tp>
      <tp t="e">
        <v>#N/A</v>
        <stp/>
        <stp>BDH|11299262692083922674</stp>
        <tr r="D137" s="1"/>
      </tp>
      <tp t="e">
        <v>#N/A</v>
        <stp/>
        <stp>BDH|17229168178408477635</stp>
        <tr r="D206" s="1"/>
      </tp>
      <tp t="e">
        <v>#N/A</v>
        <stp/>
        <stp>BDH|14768013600598573382</stp>
        <tr r="C105" s="3"/>
      </tp>
      <tp t="e">
        <v>#N/A</v>
        <stp/>
        <stp>BDH|11102186536539397515</stp>
        <tr r="H185" s="1"/>
      </tp>
      <tp t="e">
        <v>#N/A</v>
        <stp/>
        <stp>BDH|12572349737558896526</stp>
        <tr r="E107" s="1"/>
      </tp>
      <tp t="e">
        <v>#N/A</v>
        <stp/>
        <stp>BDH|18225987395736680160</stp>
        <tr r="G169" s="1"/>
      </tp>
      <tp t="e">
        <v>#N/A</v>
        <stp/>
        <stp>BDH|11751981761995706470</stp>
        <tr r="F200" s="1"/>
      </tp>
      <tp t="e">
        <v>#N/A</v>
        <stp/>
        <stp>BDH|17290654249529899386</stp>
        <tr r="F108" s="1"/>
      </tp>
    </main>
    <main first="bloomberg.rtd">
      <tp>
        <v>27.150099999999998</v>
        <stp/>
        <stp>##V3_BDPV12</stp>
        <stp>XAG Curncy</stp>
        <stp>PX_LAST</stp>
        <stp>[QwackPricer.xlsx]FX-IR!R16C4</stp>
        <tr r="D16" s="1"/>
      </tp>
      <tp>
        <v>58</v>
        <stp/>
        <stp>##V3_BDPV12</stp>
        <stp>LMCADS 03X21 Comdty</stp>
        <stp>PX_SETTLE</stp>
        <stp>[QwackPricer.xlsx]Base!R27C9</stp>
        <tr r="I27" s="2"/>
      </tp>
      <tp>
        <v>614.5</v>
        <stp/>
        <stp>##V3_BDPV12</stp>
        <stp>LMCADS 03U25 Comdty</stp>
        <stp>PX_SETTLE</stp>
        <stp>[QwackPricer.xlsx]Base!R73C9</stp>
        <tr r="I73" s="2"/>
      </tp>
      <tp>
        <v>512</v>
        <stp/>
        <stp>##V3_BDPV12</stp>
        <stp>LMCADS 03V24 Comdty</stp>
        <stp>PX_SETTLE</stp>
        <stp>[QwackPricer.xlsx]Base!R62C9</stp>
        <tr r="I62" s="2"/>
      </tp>
      <tp>
        <v>156.25</v>
        <stp/>
        <stp>##V3_BDPV12</stp>
        <stp>LMCADS 03M22 Comdty</stp>
        <stp>PX_SETTLE</stp>
        <stp>[QwackPricer.xlsx]Base!R34C9</stp>
        <tr r="I34" s="2"/>
      </tp>
      <tp>
        <v>298</v>
        <stp/>
        <stp>##V3_BDPV12</stp>
        <stp>LMCADS 03K23 Comdty</stp>
        <stp>PX_SETTLE</stp>
        <stp>[QwackPricer.xlsx]Base!R45C9</stp>
        <tr r="I45" s="2"/>
      </tp>
    </main>
    <main first="bofaddin.rtdserver">
      <tp t="e">
        <v>#N/A</v>
        <stp/>
        <stp>BDH|12361599583962949109</stp>
        <tr r="G109" s="1"/>
      </tp>
      <tp t="e">
        <v>#N/A</v>
        <stp/>
        <stp>BDH|18061212229050942444</stp>
        <tr r="E165" s="1"/>
      </tp>
      <tp t="e">
        <v>#N/A</v>
        <stp/>
        <stp>BDH|12615598222100075968</stp>
        <tr r="D199" s="1"/>
      </tp>
      <tp t="e">
        <v>#N/A</v>
        <stp/>
        <stp>BDH|11664626390904104697</stp>
        <tr r="F198" s="1"/>
      </tp>
      <tp t="e">
        <v>#N/A</v>
        <stp/>
        <stp>BDH|15871030288886588785</stp>
        <tr r="E186" s="1"/>
      </tp>
      <tp t="e">
        <v>#N/A</v>
        <stp/>
        <stp>BDH|10915039045521107909</stp>
        <tr r="D159" s="1"/>
      </tp>
    </main>
    <main first="bloomberg.rtd">
      <tp>
        <v>525</v>
        <stp/>
        <stp>##V3_BDPV12</stp>
        <stp>LMCADS 03X24 Comdty</stp>
        <stp>PX_SETTLE</stp>
        <stp>[QwackPricer.xlsx]Base!R63C9</stp>
        <tr r="I63" s="2"/>
      </tp>
      <tp>
        <v>44</v>
        <stp/>
        <stp>##V3_BDPV12</stp>
        <stp>LMCADS 03V21 Comdty</stp>
        <stp>PX_SETTLE</stp>
        <stp>[QwackPricer.xlsx]Base!R26C9</stp>
        <tr r="I26" s="2"/>
      </tp>
      <tp>
        <v>609</v>
        <stp/>
        <stp>##V3_BDPV12</stp>
        <stp>LMCADS 03Q25 Comdty</stp>
        <stp>PX_SETTLE</stp>
        <stp>[QwackPricer.xlsx]Base!R72C9</stp>
        <tr r="I72" s="2"/>
      </tp>
      <tp>
        <v>169.75</v>
        <stp/>
        <stp>##V3_BDPV12</stp>
        <stp>LMCADS 03N22 Comdty</stp>
        <stp>PX_SETTLE</stp>
        <stp>[QwackPricer.xlsx]Base!R35C9</stp>
        <tr r="I35" s="2"/>
      </tp>
      <tp>
        <v>286</v>
        <stp/>
        <stp>##V3_BDPV12</stp>
        <stp>LMCADS 03J23 Comdty</stp>
        <stp>PX_SETTLE</stp>
        <stp>[QwackPricer.xlsx]Base!R44C9</stp>
        <tr r="I44" s="2"/>
      </tp>
      <tp>
        <v>392</v>
        <stp/>
        <stp>##V3_BDPV12</stp>
        <stp>LMCADS 03F24 Comdty</stp>
        <stp>PX_SETTLE</stp>
        <stp>[QwackPricer.xlsx]Base!R53C9</stp>
        <tr r="I53" s="2"/>
      </tp>
    </main>
    <main first="bofaddin.rtdserver">
      <tp t="e">
        <v>#N/A</v>
        <stp/>
        <stp>BDH|11308317223315646875</stp>
        <tr r="G120" s="1"/>
      </tp>
      <tp t="e">
        <v>#N/A</v>
        <stp/>
        <stp>BDH|12016454855518340605</stp>
        <tr r="F101" s="1"/>
      </tp>
      <tp t="e">
        <v>#N/A</v>
        <stp/>
        <stp>BDH|14646307618279907237</stp>
        <tr r="E185" s="1"/>
      </tp>
      <tp t="e">
        <v>#N/A</v>
        <stp/>
        <stp>BDH|10403625624228544100</stp>
        <tr r="E136" s="1"/>
      </tp>
      <tp t="e">
        <v>#N/A</v>
        <stp/>
        <stp>BDH|18406475069304142360</stp>
        <tr r="F100" s="1"/>
      </tp>
      <tp t="e">
        <v>#N/A</v>
        <stp/>
        <stp>BDH|11770844989204584801</stp>
        <tr r="D176" s="1"/>
      </tp>
      <tp t="e">
        <v>#N/A</v>
        <stp/>
        <stp>BDH|15085393827098679170</stp>
        <tr r="E190" s="1"/>
      </tp>
      <tp t="e">
        <v>#N/A</v>
        <stp/>
        <stp>BDH|13910288062199478396</stp>
        <tr r="G148" s="1"/>
      </tp>
    </main>
    <main first="bloomberg.rtd">
      <tp>
        <v>9771</v>
        <stp/>
        <stp>##V3_BDPV12</stp>
        <stp>ZAR18m Curncy</stp>
        <stp>PX_BID</stp>
        <stp>[QwackPricer.xlsx]FX-IR!R42C3</stp>
        <tr r="C42" s="1"/>
      </tp>
      <tp>
        <v>-169.09</v>
        <stp/>
        <stp>##V3_BDPV12</stp>
        <stp>LMAHDS 03V25 Comdty</stp>
        <stp>PX_SETTLE</stp>
        <stp>[QwackPricer.xlsx]Base!R74C5</stp>
        <tr r="E74" s="2"/>
      </tp>
      <tp>
        <v>-90.09</v>
        <stp/>
        <stp>##V3_BDPV12</stp>
        <stp>LMAHDS 03Z23 Comdty</stp>
        <stp>PX_SETTLE</stp>
        <stp>[QwackPricer.xlsx]Base!R52C5</stp>
        <tr r="E52" s="2"/>
      </tp>
      <tp>
        <v>-61.59</v>
        <stp/>
        <stp>##V3_BDPV12</stp>
        <stp>LMAHDS 03G23 Comdty</stp>
        <stp>PX_SETTLE</stp>
        <stp>[QwackPricer.xlsx]Base!R42C5</stp>
        <tr r="E42" s="2"/>
      </tp>
      <tp>
        <v>-182.59</v>
        <stp/>
        <stp>##V3_BDPV12</stp>
        <stp>LMAHDS 03F26 Comdty</stp>
        <stp>PX_SETTLE</stp>
        <stp>[QwackPricer.xlsx]Base!R77C5</stp>
        <tr r="E77" s="2"/>
      </tp>
      <tp>
        <v>-97.59</v>
        <stp/>
        <stp>##V3_BDPV12</stp>
        <stp>LMAHDS 03H24 Comdty</stp>
        <stp>PX_SETTLE</stp>
        <stp>[QwackPricer.xlsx]Base!R55C5</stp>
        <tr r="E55" s="2"/>
      </tp>
      <tp>
        <v>-35.840000000000003</v>
        <stp/>
        <stp>##V3_BDPV12</stp>
        <stp>LMAHDS 03K22 Comdty</stp>
        <stp>PX_SETTLE</stp>
        <stp>[QwackPricer.xlsx]Base!R33C5</stp>
        <tr r="E33" s="2"/>
      </tp>
    </main>
    <main first="bofaddin.rtdserver">
      <tp t="e">
        <v>#N/A</v>
        <stp/>
        <stp>BDH|14339945110888677611</stp>
        <tr r="H165" s="1"/>
      </tp>
      <tp t="e">
        <v>#N/A</v>
        <stp/>
        <stp>BDH|14541218666544855680</stp>
        <tr r="H200" s="1"/>
      </tp>
      <tp t="e">
        <v>#N/A</v>
        <stp/>
        <stp>BDH|14594120969772161385</stp>
        <tr r="F203" s="1"/>
      </tp>
      <tp t="e">
        <v>#N/A</v>
        <stp/>
        <stp>BDH|15397955995934854332</stp>
        <tr r="H186" s="1"/>
      </tp>
      <tp t="e">
        <v>#N/A</v>
        <stp/>
        <stp>BDH|12633234635672053380</stp>
        <tr r="F204" s="1"/>
      </tp>
      <tp t="e">
        <v>#N/A</v>
        <stp/>
        <stp>BDH|18147847329554305438</stp>
        <tr r="H119" s="1"/>
      </tp>
      <tp t="e">
        <v>#N/A</v>
        <stp/>
        <stp>BDH|14633973230554850853</stp>
        <tr r="E109" s="1"/>
      </tp>
      <tp t="e">
        <v>#N/A</v>
        <stp/>
        <stp>BDH|11686577300664714294</stp>
        <tr r="E102" s="1"/>
      </tp>
    </main>
    <main first="bloomberg.rtd">
      <tp>
        <v>73</v>
        <stp/>
        <stp>##V3_BDPV12</stp>
        <stp>LMCADS 03Z21 Comdty</stp>
        <stp>PX_SETTLE</stp>
        <stp>[QwackPricer.xlsx]Base!R28C9</stp>
        <tr r="I28" s="2"/>
      </tp>
      <tp>
        <v>-174.09</v>
        <stp/>
        <stp>##V3_BDPV12</stp>
        <stp>LMAHDS 03X25 Comdty</stp>
        <stp>PX_SETTLE</stp>
        <stp>[QwackPricer.xlsx]Base!R75C5</stp>
        <tr r="E75" s="2"/>
      </tp>
      <tp>
        <v>-122.59</v>
        <stp/>
        <stp>##V3_BDPV12</stp>
        <stp>LMAHDS 03Z24 Comdty</stp>
        <stp>PX_SETTLE</stp>
        <stp>[QwackPricer.xlsx]Base!R64C5</stp>
        <tr r="E64" s="2"/>
      </tp>
      <tp>
        <v>-95.34</v>
        <stp/>
        <stp>##V3_BDPV12</stp>
        <stp>LMAHDS 03G24 Comdty</stp>
        <stp>PX_SETTLE</stp>
        <stp>[QwackPricer.xlsx]Base!R54C5</stp>
        <tr r="E54" s="2"/>
      </tp>
      <tp>
        <v>-127.09</v>
        <stp/>
        <stp>##V3_BDPV12</stp>
        <stp>LMAHDS 03F25 Comdty</stp>
        <stp>PX_SETTLE</stp>
        <stp>[QwackPricer.xlsx]Base!R65C5</stp>
        <tr r="E65" s="2"/>
      </tp>
      <tp>
        <v>-64.34</v>
        <stp/>
        <stp>##V3_BDPV12</stp>
        <stp>LMAHDS 03H23 Comdty</stp>
        <stp>PX_SETTLE</stp>
        <stp>[QwackPricer.xlsx]Base!R43C5</stp>
        <tr r="E43" s="2"/>
      </tp>
      <tp>
        <v>-1.84</v>
        <stp/>
        <stp>##V3_BDPV12</stp>
        <stp>LMAHDS 03K21 Comdty</stp>
        <stp>PX_SETTLE</stp>
        <stp>[QwackPricer.xlsx]Base!R21C5</stp>
        <tr r="E21" s="2"/>
      </tp>
      <tp>
        <v>-33.590000000000003</v>
        <stp/>
        <stp>##V3_BDPV12</stp>
        <stp>LMAHDS 03J22 Comdty</stp>
        <stp>PX_SETTLE</stp>
        <stp>[QwackPricer.xlsx]Base!R32C5</stp>
        <tr r="E32" s="2"/>
      </tp>
    </main>
    <main first="bofaddin.rtdserver">
      <tp t="e">
        <v>#N/A</v>
        <stp/>
        <stp>BDH|14689447727849299870</stp>
        <tr r="C151" s="2"/>
      </tp>
      <tp t="e">
        <v>#N/A</v>
        <stp/>
        <stp>BDH|17948722132468239886</stp>
        <tr r="H201" s="1"/>
      </tp>
      <tp t="e">
        <v>#N/A</v>
        <stp/>
        <stp>BDH|13729858817040774908</stp>
        <tr r="G171" s="1"/>
      </tp>
      <tp t="e">
        <v>#N/A</v>
        <stp/>
        <stp>BDH|10809742134344872322</stp>
        <tr r="H192" s="1"/>
      </tp>
      <tp t="e">
        <v>#N/A</v>
        <stp/>
        <stp>BDH|17808625294148893315</stp>
        <tr r="H198" s="1"/>
      </tp>
      <tp t="e">
        <v>#N/A</v>
        <stp/>
        <stp>BDH|17131202762436145647</stp>
        <tr r="H188" s="1"/>
      </tp>
      <tp t="e">
        <v>#N/A</v>
        <stp/>
        <stp>BDH|16028295066723623238</stp>
        <tr r="G100" s="1"/>
      </tp>
      <tp t="e">
        <v>#N/A</v>
        <stp/>
        <stp>BDH|16669736658817392036</stp>
        <tr r="G168" s="1"/>
      </tp>
      <tp t="e">
        <v>#N/A</v>
        <stp/>
        <stp>BDH|14419554449574732235</stp>
        <tr r="D142" s="1"/>
      </tp>
      <tp t="e">
        <v>#N/A</v>
        <stp/>
        <stp>BDH|10271673038972697472</stp>
        <tr r="D188" s="1"/>
      </tp>
      <tp t="e">
        <v>#N/A</v>
        <stp/>
        <stp>BDH|16075301950175842646</stp>
        <tr r="E123" s="1"/>
      </tp>
      <tp t="e">
        <v>#N/A</v>
        <stp/>
        <stp>BDH|17539963160013864840</stp>
        <tr r="H197" s="1"/>
      </tp>
      <tp t="e">
        <v>#N/A</v>
        <stp/>
        <stp>BDH|12938525706242451672</stp>
        <tr r="E188" s="1"/>
      </tp>
    </main>
    <main first="bloomberg.rtd">
      <tp>
        <v>-83.84</v>
        <stp/>
        <stp>##V3_BDPV12</stp>
        <stp>LMAHDS 03V23 Comdty</stp>
        <stp>PX_SETTLE</stp>
        <stp>[QwackPricer.xlsx]Base!R50C5</stp>
        <tr r="E50" s="2"/>
      </tp>
      <tp>
        <v>345</v>
        <stp/>
        <stp>##V3_BDPV12</stp>
        <stp>LMCADS 03U23 Comdty</stp>
        <stp>PX_SETTLE</stp>
        <stp>[QwackPricer.xlsx]Base!R49C9</stp>
        <tr r="I49" s="2"/>
      </tp>
      <tp>
        <v>210.25</v>
        <stp/>
        <stp>##V3_BDPV12</stp>
        <stp>LMCADS 03V22 Comdty</stp>
        <stp>PX_SETTLE</stp>
        <stp>[QwackPricer.xlsx]Base!R38C9</stp>
        <tr r="I38" s="2"/>
      </tp>
      <tp>
        <v>-178.59</v>
        <stp/>
        <stp>##V3_BDPV12</stp>
        <stp>LMAHDS 03Z25 Comdty</stp>
        <stp>PX_SETTLE</stp>
        <stp>[QwackPricer.xlsx]Base!R76C5</stp>
        <tr r="E76" s="2"/>
      </tp>
      <tp>
        <v>-132.09</v>
        <stp/>
        <stp>##V3_BDPV12</stp>
        <stp>LMAHDS 03G25 Comdty</stp>
        <stp>PX_SETTLE</stp>
        <stp>[QwackPricer.xlsx]Base!R66C5</stp>
        <tr r="E66" s="2"/>
      </tp>
      <tp>
        <v>-31.09</v>
        <stp/>
        <stp>##V3_BDPV12</stp>
        <stp>LMAHDS 03H22 Comdty</stp>
        <stp>PX_SETTLE</stp>
        <stp>[QwackPricer.xlsx]Base!R31C5</stp>
        <tr r="E31" s="2"/>
      </tp>
      <tp>
        <v>-102.09</v>
        <stp/>
        <stp>##V3_BDPV12</stp>
        <stp>LMAHDS 03K24 Comdty</stp>
        <stp>PX_SETTLE</stp>
        <stp>[QwackPricer.xlsx]Base!R57C5</stp>
        <tr r="E57" s="2"/>
      </tp>
      <tp>
        <v>-5.84</v>
        <stp/>
        <stp>##V3_BDPV12</stp>
        <stp>LMAHDS 03M21 Comdty</stp>
        <stp>PX_SETTLE</stp>
        <stp>[QwackPricer.xlsx]Base!R22C5</stp>
        <tr r="E22" s="2"/>
      </tp>
    </main>
    <main first="bofaddin.rtdserver">
      <tp t="e">
        <v>#N/A</v>
        <stp/>
        <stp>BDH|13674349102186514644</stp>
        <tr r="E132" s="1"/>
      </tp>
      <tp t="e">
        <v>#N/A</v>
        <stp/>
        <stp>BDH|11079203892979185308</stp>
        <tr r="E168" s="1"/>
      </tp>
      <tp t="e">
        <v>#N/A</v>
        <stp/>
        <stp>BDH|11127368653135783200</stp>
        <tr r="H135" s="1"/>
      </tp>
      <tp t="e">
        <v>#N/A</v>
        <stp/>
        <stp>BDH|16362329326932458502</stp>
        <tr r="H205" s="1"/>
      </tp>
      <tp t="e">
        <v>#N/A</v>
        <stp/>
        <stp>BDH|10723971924702772905</stp>
        <tr r="H204" s="1"/>
      </tp>
      <tp t="e">
        <v>#N/A</v>
        <stp/>
        <stp>BDH|14619758953924643247</stp>
        <tr r="F191" s="1"/>
      </tp>
      <tp t="e">
        <v>#N/A</v>
        <stp/>
        <stp>BDH|14515476603267683758</stp>
        <tr r="E208" s="1"/>
      </tp>
      <tp t="e">
        <v>#N/A</v>
        <stp/>
        <stp>BDH|10758213025320328058</stp>
        <tr r="E151" s="1"/>
      </tp>
      <tp t="e">
        <v>#N/A</v>
        <stp/>
        <stp>BDH|15648001682858844594</stp>
        <tr r="F98" s="1"/>
      </tp>
      <tp t="e">
        <v>#N/A</v>
        <stp/>
        <stp>BDH|15457417026727754401</stp>
        <tr r="E182" s="1"/>
      </tp>
      <tp t="e">
        <v>#N/A</v>
        <stp/>
        <stp>BDH|12202497079328354986</stp>
        <tr r="F123" s="1"/>
      </tp>
      <tp t="e">
        <v>#N/A</v>
        <stp/>
        <stp>BDH|12985657684478402471</stp>
        <tr r="D132" s="1"/>
      </tp>
      <tp t="e">
        <v>#N/A</v>
        <stp/>
        <stp>BDH|14610393806955145227</stp>
        <tr r="G175" s="1"/>
      </tp>
      <tp t="e">
        <v>#N/A</v>
        <stp/>
        <stp>BDH|16245302269677424439</stp>
        <tr r="H191" s="1"/>
      </tp>
      <tp t="e">
        <v>#N/A</v>
        <stp/>
        <stp>BDH|12761792674142463020</stp>
        <tr r="C149" s="2"/>
      </tp>
    </main>
    <main first="bloomberg.rtd">
      <tp>
        <v>0.20088</v>
        <stp/>
        <stp>##V3_BDPV12</stp>
        <stp>US0003M Index</stp>
        <stp>PX_LAST</stp>
        <stp>[QwackPricer.xlsx]FX-IR!R70C3</stp>
        <tr r="C70" s="1"/>
      </tp>
      <tp>
        <v>6510</v>
        <stp/>
        <stp>##V3_BDPV12</stp>
        <stp>ZAR12m Curncy</stp>
        <stp>PX_BID</stp>
        <stp>[QwackPricer.xlsx]FX-IR!R41C3</stp>
        <tr r="C41" s="1"/>
      </tp>
      <tp>
        <v>224</v>
        <stp/>
        <stp>##V3_BDPV12</stp>
        <stp>LMCADS 03X22 Comdty</stp>
        <stp>PX_SETTLE</stp>
        <stp>[QwackPricer.xlsx]Base!R39C9</stp>
        <tr r="I39" s="2"/>
      </tp>
      <tp>
        <v>-86.59</v>
        <stp/>
        <stp>##V3_BDPV12</stp>
        <stp>LMAHDS 03X23 Comdty</stp>
        <stp>PX_SETTLE</stp>
        <stp>[QwackPricer.xlsx]Base!R51C5</stp>
        <tr r="E51" s="2"/>
      </tp>
      <tp>
        <v>-56.09</v>
        <stp/>
        <stp>##V3_BDPV12</stp>
        <stp>LMAHDS 03Z22 Comdty</stp>
        <stp>PX_SETTLE</stp>
        <stp>[QwackPricer.xlsx]Base!R40C5</stp>
        <tr r="E40" s="2"/>
      </tp>
      <tp>
        <v>334</v>
        <stp/>
        <stp>##V3_BDPV12</stp>
        <stp>LMCADS 03Q23 Comdty</stp>
        <stp>PX_SETTLE</stp>
        <stp>[QwackPricer.xlsx]Base!R48C9</stp>
        <tr r="I48" s="2"/>
      </tp>
      <tp>
        <v>-28.59</v>
        <stp/>
        <stp>##V3_BDPV12</stp>
        <stp>LMAHDS 03G22 Comdty</stp>
        <stp>PX_SETTLE</stp>
        <stp>[QwackPricer.xlsx]Base!R30C5</stp>
        <tr r="E30" s="2"/>
      </tp>
      <tp>
        <v>-58.84</v>
        <stp/>
        <stp>##V3_BDPV12</stp>
        <stp>LMAHDS 03F23 Comdty</stp>
        <stp>PX_SETTLE</stp>
        <stp>[QwackPricer.xlsx]Base!R41C5</stp>
        <tr r="E41" s="2"/>
      </tp>
      <tp>
        <v>-136.59</v>
        <stp/>
        <stp>##V3_BDPV12</stp>
        <stp>LMAHDS 03H25 Comdty</stp>
        <stp>PX_SETTLE</stp>
        <stp>[QwackPricer.xlsx]Base!R67C5</stp>
        <tr r="E67" s="2"/>
      </tp>
      <tp>
        <v>86</v>
        <stp/>
        <stp>##V3_BDPV12</stp>
        <stp>LMCADS 03F22 Comdty</stp>
        <stp>PX_SETTLE</stp>
        <stp>[QwackPricer.xlsx]Base!R29C9</stp>
        <tr r="I29" s="2"/>
      </tp>
      <tp>
        <v>-99.84</v>
        <stp/>
        <stp>##V3_BDPV12</stp>
        <stp>LMAHDS 03J24 Comdty</stp>
        <stp>PX_SETTLE</stp>
        <stp>[QwackPricer.xlsx]Base!R56C5</stp>
        <tr r="E56" s="2"/>
      </tp>
      <tp>
        <v>-9.59</v>
        <stp/>
        <stp>##V3_BDPV12</stp>
        <stp>LMAHDS 03N21 Comdty</stp>
        <stp>PX_SETTLE</stp>
        <stp>[QwackPricer.xlsx]Base!R23C5</stp>
        <tr r="E23" s="2"/>
      </tp>
    </main>
    <main first="bofaddin.rtdserver">
      <tp t="e">
        <v>#N/A</v>
        <stp/>
        <stp>BDH|10956894274438403607</stp>
        <tr r="D208" s="1"/>
      </tp>
      <tp t="e">
        <v>#N/A</v>
        <stp/>
        <stp>BDH|10040610963566159705</stp>
        <tr r="E158" s="1"/>
      </tp>
      <tp t="e">
        <v>#N/A</v>
        <stp/>
        <stp>BDH|13209733270282133029</stp>
        <tr r="D172" s="1"/>
      </tp>
      <tp t="e">
        <v>#N/A</v>
        <stp/>
        <stp>BDH|12177313564594602277</stp>
        <tr r="E121" s="1"/>
      </tp>
      <tp t="e">
        <v>#N/A</v>
        <stp/>
        <stp>BDH|10565218185483839821</stp>
        <tr r="G138" s="1"/>
      </tp>
      <tp t="e">
        <v>#N/A</v>
        <stp/>
        <stp>BDH|17598173338380558454</stp>
        <tr r="G131" s="1"/>
      </tp>
      <tp t="e">
        <v>#N/A</v>
        <stp/>
        <stp>BDH|11325594231722549422</stp>
        <tr r="D171" s="1"/>
      </tp>
      <tp t="e">
        <v>#N/A</v>
        <stp/>
        <stp>BDH|13518796562326108530</stp>
        <tr r="H101" s="1"/>
      </tp>
    </main>
    <main first="bloomberg.rtd">
      <tp>
        <v>9.0499999999999997E-2</v>
        <stp/>
        <stp>##V3_BDPV12</stp>
        <stp>US0001W Index</stp>
        <stp>PX_LAST</stp>
        <stp>[QwackPricer.xlsx]FX-IR!R67C3</stp>
        <tr r="C67" s="1"/>
      </tp>
      <tp>
        <v>-13.34</v>
        <stp/>
        <stp>##V3_BDPV12</stp>
        <stp>LMAHDS 03Q21 Comdty</stp>
        <stp>PX_SETTLE</stp>
        <stp>[QwackPricer.xlsx]Base!R24C5</stp>
        <tr r="E24" s="2"/>
      </tp>
      <tp>
        <v>-47.59</v>
        <stp/>
        <stp>##V3_BDPV12</stp>
        <stp>LMAHDS 03U22 Comdty</stp>
        <stp>PX_SETTLE</stp>
        <stp>[QwackPricer.xlsx]Base!R37C5</stp>
        <tr r="E37" s="2"/>
      </tp>
      <tp>
        <v>-113.84</v>
        <stp/>
        <stp>##V3_BDPV12</stp>
        <stp>LMAHDS 03U24 Comdty</stp>
        <stp>PX_SETTLE</stp>
        <stp>[QwackPricer.xlsx]Base!R61C5</stp>
        <tr r="E61" s="2"/>
      </tp>
      <tp>
        <v>460</v>
        <stp/>
        <stp>##V3_BDPV12</stp>
        <stp>LMCADS 03M24 Comdty</stp>
        <stp>PX_SETTLE</stp>
        <stp>[QwackPricer.xlsx]Base!R58C9</stp>
        <tr r="I58" s="2"/>
      </tp>
      <tp>
        <v>588</v>
        <stp/>
        <stp>##V3_BDPV12</stp>
        <stp>LMCADS 03K25 Comdty</stp>
        <stp>PX_SETTLE</stp>
        <stp>[QwackPricer.xlsx]Base!R69C9</stp>
        <tr r="I69" s="2"/>
      </tp>
      <tp>
        <v>-150.59</v>
        <stp/>
        <stp>##V3_BDPV12</stp>
        <stp>LMAHDS 03M25 Comdty</stp>
        <stp>PX_SETTLE</stp>
        <stp>[QwackPricer.xlsx]Base!R70C5</stp>
        <tr r="E70" s="2"/>
      </tp>
      <tp>
        <v>-72.59</v>
        <stp/>
        <stp>##V3_BDPV12</stp>
        <stp>LMAHDS 03M23 Comdty</stp>
        <stp>PX_SETTLE</stp>
        <stp>[QwackPricer.xlsx]Base!R46C5</stp>
        <tr r="E46" s="2"/>
      </tp>
    </main>
    <main first="bofaddin.rtdserver">
      <tp t="e">
        <v>#N/A</v>
        <stp/>
        <stp>BDH|13043319864424058445</stp>
        <tr r="H152" s="1"/>
      </tp>
      <tp t="e">
        <v>#N/A</v>
        <stp/>
        <stp>BDH|13155930461129501368</stp>
        <tr r="F208" s="1"/>
      </tp>
      <tp t="e">
        <v>#N/A</v>
        <stp/>
        <stp>BDH|11710910894057048025</stp>
        <tr r="G184" s="1"/>
      </tp>
      <tp t="e">
        <v>#N/A</v>
        <stp/>
        <stp>BDH|14539025134013768271</stp>
        <tr r="F170" s="1"/>
      </tp>
      <tp t="e">
        <v>#N/A</v>
        <stp/>
        <stp>BDH|10659028110091732611</stp>
        <tr r="G158" s="1"/>
      </tp>
      <tp t="e">
        <v>#N/A</v>
        <stp/>
        <stp>BDH|14974375273044806276</stp>
        <tr r="D168" s="1"/>
      </tp>
      <tp t="e">
        <v>#N/A</v>
        <stp/>
        <stp>BDH|15092718875282176114</stp>
        <tr r="D153" s="1"/>
      </tp>
      <tp t="e">
        <v>#N/A</v>
        <stp/>
        <stp>BDH|18264811829190576499</stp>
        <tr r="H108" s="1"/>
      </tp>
      <tp t="e">
        <v>#N/A</v>
        <stp/>
        <stp>BDH|10915431963845514152</stp>
        <tr r="E118" s="1"/>
      </tp>
      <tp t="e">
        <v>#N/A</v>
        <stp/>
        <stp>BDH|10888546600260070370</stp>
        <tr r="G122" s="1"/>
      </tp>
      <tp t="e">
        <v>#N/A</v>
        <stp/>
        <stp>BDH|15163629524146463186</stp>
        <tr r="H154" s="1"/>
      </tp>
      <tp t="e">
        <v>#N/A</v>
        <stp/>
        <stp>BDH|17296391366446133214</stp>
        <tr r="D207" s="1"/>
      </tp>
      <tp t="e">
        <v>#N/A</v>
        <stp/>
        <stp>BDH|17839277363546942390</stp>
        <tr r="G181" s="1"/>
      </tp>
    </main>
    <main first="bloomberg.rtd">
      <tp>
        <v>-43.09</v>
        <stp/>
        <stp>##V3_BDPV12</stp>
        <stp>LMAHDS 03Q22 Comdty</stp>
        <stp>PX_SETTLE</stp>
        <stp>[QwackPricer.xlsx]Base!R36C5</stp>
        <tr r="E36" s="2"/>
      </tp>
      <tp>
        <v>-111.09</v>
        <stp/>
        <stp>##V3_BDPV12</stp>
        <stp>LMAHDS 03Q24 Comdty</stp>
        <stp>PX_SETTLE</stp>
        <stp>[QwackPricer.xlsx]Base!R60C5</stp>
        <tr r="E60" s="2"/>
      </tp>
      <tp>
        <v>-16.34</v>
        <stp/>
        <stp>##V3_BDPV12</stp>
        <stp>LMAHDS 03U21 Comdty</stp>
        <stp>PX_SETTLE</stp>
        <stp>[QwackPricer.xlsx]Base!R25C5</stp>
        <tr r="E25" s="2"/>
      </tp>
      <tp>
        <v>473</v>
        <stp/>
        <stp>##V3_BDPV12</stp>
        <stp>LMCADS 03N24 Comdty</stp>
        <stp>PX_SETTLE</stp>
        <stp>[QwackPricer.xlsx]Base!R59C9</stp>
        <tr r="I59" s="2"/>
      </tp>
      <tp>
        <v>578</v>
        <stp/>
        <stp>##V3_BDPV12</stp>
        <stp>LMCADS 03J25 Comdty</stp>
        <stp>PX_SETTLE</stp>
        <stp>[QwackPricer.xlsx]Base!R68C9</stp>
        <tr r="I68" s="2"/>
      </tp>
      <tp>
        <v>-155.09</v>
        <stp/>
        <stp>##V3_BDPV12</stp>
        <stp>LMAHDS 03N25 Comdty</stp>
        <stp>PX_SETTLE</stp>
        <stp>[QwackPricer.xlsx]Base!R71C5</stp>
        <tr r="E71" s="2"/>
      </tp>
      <tp>
        <v>-75.09</v>
        <stp/>
        <stp>##V3_BDPV12</stp>
        <stp>LMAHDS 03N23 Comdty</stp>
        <stp>PX_SETTLE</stp>
        <stp>[QwackPricer.xlsx]Base!R47C5</stp>
        <tr r="E47" s="2"/>
      </tp>
    </main>
    <main first="bofaddin.rtdserver">
      <tp t="e">
        <v>#N/A</v>
        <stp/>
        <stp>BDH|14808140165060039495</stp>
        <tr r="D192" s="1"/>
      </tp>
      <tp t="e">
        <v>#N/A</v>
        <stp/>
        <stp>BDH|12863810638339720758</stp>
        <tr r="E167" s="1"/>
      </tp>
      <tp t="e">
        <v>#N/A</v>
        <stp/>
        <stp>BDH|11114386406464439184</stp>
        <tr r="E149" s="1"/>
      </tp>
      <tp t="e">
        <v>#N/A</v>
        <stp/>
        <stp>BDH|16487119011847395627</stp>
        <tr r="E204" s="1"/>
      </tp>
      <tp t="e">
        <v>#N/A</v>
        <stp/>
        <stp>BDH|16273530865917285527</stp>
        <tr r="F151" s="1"/>
      </tp>
      <tp t="e">
        <v>#N/A</v>
        <stp/>
        <stp>BDH|15301052573900398514</stp>
        <tr r="G121" s="1"/>
      </tp>
      <tp t="e">
        <v>#N/A</v>
        <stp/>
        <stp>BDH|15994768433877907137</stp>
        <tr r="H158" s="1"/>
      </tp>
      <tp t="e">
        <v>#N/A</v>
        <stp/>
        <stp>BDH|10901915687710607602</stp>
        <tr r="F137" s="1"/>
      </tp>
      <tp t="e">
        <v>#N/A</v>
        <stp/>
        <stp>BDH|15507198028532987364</stp>
        <tr r="D155" s="1"/>
      </tp>
      <tp t="e">
        <v>#N/A</v>
        <stp/>
        <stp>BDH|10174229612805823166</stp>
        <tr r="G170" s="1"/>
      </tp>
      <tp t="e">
        <v>#N/A</v>
        <stp/>
        <stp>BDH|10543687721230406360</stp>
        <tr r="G125" s="1"/>
      </tp>
    </main>
    <main first="bloomberg.rtd">
      <tp>
        <v>-160.09</v>
        <stp/>
        <stp>##V3_BDPV12</stp>
        <stp>LMAHDS 03Q25 Comdty</stp>
        <stp>PX_SETTLE</stp>
        <stp>[QwackPricer.xlsx]Base!R72C5</stp>
        <tr r="E72" s="2"/>
      </tp>
      <tp>
        <v>-19.34</v>
        <stp/>
        <stp>##V3_BDPV12</stp>
        <stp>LMAHDS 03V21 Comdty</stp>
        <stp>PX_SETTLE</stp>
        <stp>[QwackPricer.xlsx]Base!R26C5</stp>
        <tr r="E26" s="2"/>
      </tp>
      <tp>
        <v>-120.09</v>
        <stp/>
        <stp>##V3_BDPV12</stp>
        <stp>LMAHDS 03X24 Comdty</stp>
        <stp>PX_SETTLE</stp>
        <stp>[QwackPricer.xlsx]Base!R63C5</stp>
        <tr r="E63" s="2"/>
      </tp>
      <tp>
        <v>-92.34</v>
        <stp/>
        <stp>##V3_BDPV12</stp>
        <stp>LMAHDS 03F24 Comdty</stp>
        <stp>PX_SETTLE</stp>
        <stp>[QwackPricer.xlsx]Base!R53C5</stp>
        <tr r="E53" s="2"/>
      </tp>
      <tp>
        <v>-67.59</v>
        <stp/>
        <stp>##V3_BDPV12</stp>
        <stp>LMAHDS 03J23 Comdty</stp>
        <stp>PX_SETTLE</stp>
        <stp>[QwackPricer.xlsx]Base!R44C5</stp>
        <tr r="E44" s="2"/>
      </tp>
      <tp>
        <v>-40.840000000000003</v>
        <stp/>
        <stp>##V3_BDPV12</stp>
        <stp>LMAHDS 03N22 Comdty</stp>
        <stp>PX_SETTLE</stp>
        <stp>[QwackPricer.xlsx]Base!R35C5</stp>
        <tr r="E35" s="2"/>
      </tp>
    </main>
    <main first="bofaddin.rtdserver">
      <tp t="e">
        <v>#N/A</v>
        <stp/>
        <stp>BDH|11405770494932111976</stp>
        <tr r="H150" s="1"/>
      </tp>
      <tp t="e">
        <v>#N/A</v>
        <stp/>
        <stp>BDH|11196112025792267471</stp>
        <tr r="E157" s="1"/>
      </tp>
      <tp t="e">
        <v>#N/A</v>
        <stp/>
        <stp>BDH|12408512833434672458</stp>
        <tr r="E159" s="1"/>
      </tp>
      <tp t="e">
        <v>#N/A</v>
        <stp/>
        <stp>BDH|15464072655774417074</stp>
        <tr r="D157" s="1"/>
      </tp>
      <tp t="e">
        <v>#N/A</v>
        <stp/>
        <stp>BDH|16074255232577554476</stp>
        <tr r="H174" s="1"/>
      </tp>
      <tp t="e">
        <v>#N/A</v>
        <stp/>
        <stp>BDH|15446304017286274559</stp>
        <tr r="F120" s="1"/>
      </tp>
      <tp t="e">
        <v>#N/A</v>
        <stp/>
        <stp>BDH|13024776136095394640</stp>
        <tr r="H134" s="1"/>
      </tp>
      <tp t="e">
        <v>#N/A</v>
        <stp/>
        <stp>BDH|14881152155394650060</stp>
        <tr r="E191" s="1"/>
      </tp>
      <tp t="e">
        <v>#N/A</v>
        <stp/>
        <stp>BDH|15242368729643644339</stp>
        <tr r="F176" s="1"/>
      </tp>
      <tp t="e">
        <v>#N/A</v>
        <stp/>
        <stp>BDH|14055358534857069796</stp>
        <tr r="E203" s="1"/>
      </tp>
      <tp t="e">
        <v>#N/A</v>
        <stp/>
        <stp>BDH|15830623491736782864</stp>
        <tr r="G159" s="1"/>
      </tp>
      <tp t="e">
        <v>#N/A</v>
        <stp/>
        <stp>BDH|11873118166200759226</stp>
        <tr r="G203" s="1"/>
      </tp>
      <tp t="e">
        <v>#N/A</v>
        <stp/>
        <stp>BDH|11481683402616437503</stp>
        <tr r="F125" s="1"/>
      </tp>
      <tp t="e">
        <v>#N/A</v>
        <stp/>
        <stp>BDH|12284179021220196595</stp>
        <tr r="H106" s="1"/>
      </tp>
      <tp t="e">
        <v>#N/A</v>
        <stp/>
        <stp>BDH|12200888324548678447</stp>
        <tr r="H208" s="1"/>
      </tp>
      <tp t="e">
        <v>#N/A</v>
        <stp/>
        <stp>BDH|13790499730945079519</stp>
        <tr r="H148" s="1"/>
      </tp>
    </main>
    <main first="bloomberg.rtd">
      <tp>
        <v>-164.59</v>
        <stp/>
        <stp>##V3_BDPV12</stp>
        <stp>LMAHDS 03U25 Comdty</stp>
        <stp>PX_SETTLE</stp>
        <stp>[QwackPricer.xlsx]Base!R73C5</stp>
        <tr r="E73" s="2"/>
      </tp>
      <tp>
        <v>-116.84</v>
        <stp/>
        <stp>##V3_BDPV12</stp>
        <stp>LMAHDS 03V24 Comdty</stp>
        <stp>PX_SETTLE</stp>
        <stp>[QwackPricer.xlsx]Base!R62C5</stp>
        <tr r="E62" s="2"/>
      </tp>
      <tp>
        <v>-21.09</v>
        <stp/>
        <stp>##V3_BDPV12</stp>
        <stp>LMAHDS 03X21 Comdty</stp>
        <stp>PX_SETTLE</stp>
        <stp>[QwackPricer.xlsx]Base!R27C5</stp>
        <tr r="E27" s="2"/>
      </tp>
      <tp>
        <v>-69.84</v>
        <stp/>
        <stp>##V3_BDPV12</stp>
        <stp>LMAHDS 03K23 Comdty</stp>
        <stp>PX_SETTLE</stp>
        <stp>[QwackPricer.xlsx]Base!R45C5</stp>
        <tr r="E45" s="2"/>
      </tp>
      <tp>
        <v>-38.090000000000003</v>
        <stp/>
        <stp>##V3_BDPV12</stp>
        <stp>LMAHDS 03M22 Comdty</stp>
        <stp>PX_SETTLE</stp>
        <stp>[QwackPricer.xlsx]Base!R34C5</stp>
        <tr r="E34" s="2"/>
      </tp>
    </main>
    <main first="bofaddin.rtdserver">
      <tp t="e">
        <v>#N/A</v>
        <stp/>
        <stp>BDH|17309742706671489444</stp>
        <tr r="E201" s="1"/>
      </tp>
      <tp t="e">
        <v>#N/A</v>
        <stp/>
        <stp>BDH|14332545463334301669</stp>
        <tr r="E126" s="1"/>
      </tp>
      <tp t="e">
        <v>#N/A</v>
        <stp/>
        <stp>BDH|13002490432145365480</stp>
        <tr r="D117" s="1"/>
      </tp>
      <tp t="e">
        <v>#N/A</v>
        <stp/>
        <stp>BDH|14581579028606021099</stp>
        <tr r="H99" s="1"/>
      </tp>
      <tp t="e">
        <v>#N/A</v>
        <stp/>
        <stp>BDH|17661850190682161111</stp>
        <tr r="G174" s="1"/>
      </tp>
      <tp t="e">
        <v>#N/A</v>
        <stp/>
        <stp>BDH|17069597707444954346</stp>
        <tr r="E166" s="1"/>
      </tp>
      <tp t="e">
        <v>#N/A</v>
        <stp/>
        <stp>BDH|13898662465153795580</stp>
        <tr r="G142" s="1"/>
      </tp>
      <tp t="e">
        <v>#N/A</v>
        <stp/>
        <stp>BDH|17224193213182780092</stp>
        <tr r="F107" s="1"/>
      </tp>
      <tp t="e">
        <v>#N/A</v>
        <stp/>
        <stp>BDH|17827599714081832747</stp>
        <tr r="D98" s="1"/>
      </tp>
      <tp t="e">
        <v>#N/A</v>
        <stp/>
        <stp>BDH|18136232593003916510</stp>
        <tr r="E202" s="1"/>
      </tp>
      <tp t="e">
        <v>#N/A</v>
        <stp/>
        <stp>BDH|17076710440557853625</stp>
        <tr r="G151" s="1"/>
      </tp>
      <tp t="e">
        <v>#N/A</v>
        <stp/>
        <stp>BDH|10997371757913192051</stp>
        <tr r="E117" s="1"/>
      </tp>
      <tp t="e">
        <v>#N/A</v>
        <stp/>
        <stp>BDH|10562783761490034415</stp>
        <tr r="F149" s="1"/>
      </tp>
      <tp t="e">
        <v>#N/A</v>
        <stp/>
        <stp>BDH|10111564243505939106</stp>
        <tr r="D102" s="1"/>
      </tp>
      <tp t="e">
        <v>#N/A</v>
        <stp/>
        <stp>BDH|12870270282774428966</stp>
        <tr r="D101" s="1"/>
      </tp>
      <tp t="e">
        <v>#N/A</v>
        <stp/>
        <stp>BDH|15339277406451549394</stp>
        <tr r="H107" s="1"/>
      </tp>
    </main>
    <main first="bloomberg.rtd">
      <tp t="s">
        <v>#N/A N/A</v>
        <stp/>
        <stp>##V3_BDPV12</stp>
        <stp>COF4 Comdty</stp>
        <stp>PX_ASK</stp>
        <stp>[QwackPricer.xlsx]Energy!R44C5</stp>
        <tr r="E44" s="3"/>
      </tp>
      <tp t="s">
        <v>#N/A N/A</v>
        <stp/>
        <stp>##V3_BDPV12</stp>
        <stp>COG4 Comdty</stp>
        <stp>PX_ASK</stp>
        <stp>[QwackPricer.xlsx]Energy!R45C5</stp>
        <tr r="E45" s="3"/>
      </tp>
    </main>
    <main first="bloomberg.rtd">
      <tp>
        <v>17.679510116577148</v>
        <stp/>
        <stp>##V3_BDPV12</stp>
        <stp>LA JUN22 25DP VOL LME Comdty</stp>
        <stp>PX_LAST</stp>
        <stp>[QwackPricer.xlsx]Base!R98C5</stp>
        <tr r="E98" s="2"/>
      </tp>
      <tp>
        <v>16.179737091064453</v>
        <stp/>
        <stp>##V3_BDPV12</stp>
        <stp>LA JUN22 25DC VOL LME Comdty</stp>
        <stp>PX_LAST</stp>
        <stp>[QwackPricer.xlsx]Base!R98C7</stp>
        <tr r="G98" s="2"/>
      </tp>
      <tp>
        <v>17.289663314819336</v>
        <stp/>
        <stp>##V3_BDPV12</stp>
        <stp>LA AUG21 25DP VOL LME Comdty</stp>
        <stp>PX_LAST</stp>
        <stp>[QwackPricer.xlsx]Base!R88C5</stp>
        <tr r="E88" s="2"/>
      </tp>
      <tp>
        <v>17.489498138427734</v>
        <stp/>
        <stp>##V3_BDPV12</stp>
        <stp>LA AUG21 25DC VOL LME Comdty</stp>
        <stp>PX_LAST</stp>
        <stp>[QwackPricer.xlsx]Base!R88C7</stp>
        <tr r="G88" s="2"/>
      </tp>
      <tp>
        <v>19.04</v>
        <stp/>
        <stp>##V3_BDPV12</stp>
        <stp>AUD2y Curncy</stp>
        <stp>PX_LAST</stp>
        <stp>[QwackPricer.xlsx]FX-IR!R43C5</stp>
        <tr r="E43" s="1"/>
      </tp>
      <tp>
        <v>204.63</v>
        <stp/>
        <stp>##V3_BDPV12</stp>
        <stp>EUR2y Curncy</stp>
        <stp>PX_LAST</stp>
        <stp>[QwackPricer.xlsx]FX-IR!R43C4</stp>
        <tr r="D43" s="1"/>
      </tp>
      <tp>
        <v>21.899995803833008</v>
        <stp/>
        <stp>##V3_BDPV12</stp>
        <stp>LX JAN22 10DC VOL LME Comdty</stp>
        <stp>PX_LAST</stp>
        <stp>[QwackPricer.xlsx]Base!R93C30</stp>
        <tr r="AD93" s="2"/>
      </tp>
      <tp>
        <v>21.969982147216797</v>
        <stp/>
        <stp>##V3_BDPV12</stp>
        <stp>LX JAN22 25DC VOL LME Comdty</stp>
        <stp>PX_LAST</stp>
        <stp>[QwackPricer.xlsx]Base!R93C29</stp>
        <tr r="AC93" s="2"/>
      </tp>
      <tp>
        <v>24.659389495849609</v>
        <stp/>
        <stp>##V3_BDPV12</stp>
        <stp>LP JAN22 25DC VOL LME Comdty</stp>
        <stp>PX_LAST</stp>
        <stp>[QwackPricer.xlsx]Base!R93C18</stp>
        <tr r="R93" s="2"/>
      </tp>
      <tp>
        <v>25.68937873840332</v>
        <stp/>
        <stp>##V3_BDPV12</stp>
        <stp>LP JAN22 10DC VOL LME Comdty</stp>
        <stp>PX_LAST</stp>
        <stp>[QwackPricer.xlsx]Base!R93C19</stp>
        <tr r="S93" s="2"/>
      </tp>
      <tp t="s">
        <v>#N/A N/A</v>
        <stp/>
        <stp>##V3_BDPV12</stp>
        <stp>COJ5 Comdty</stp>
        <stp>PX_ASK</stp>
        <stp>[QwackPricer.xlsx]Energy!R59C5</stp>
        <tr r="E59" s="3"/>
      </tp>
      <tp t="s">
        <v>#N/A N/A</v>
        <stp/>
        <stp>##V3_BDPV12</stp>
        <stp>COK4 Comdty</stp>
        <stp>PX_ASK</stp>
        <stp>[QwackPricer.xlsx]Energy!R48C5</stp>
        <tr r="E48" s="3"/>
      </tp>
      <tp>
        <v>23.889488220214844</v>
        <stp/>
        <stp>##V3_BDPV12</stp>
        <stp>LP JUL22 25DP VOL LME Comdty</stp>
        <stp>PX_LAST</stp>
        <stp>[QwackPricer.xlsx]Base!R99C16</stp>
        <tr r="P99" s="2"/>
      </tp>
      <tp>
        <v>25.679319381713867</v>
        <stp/>
        <stp>##V3_BDPV12</stp>
        <stp>LP JUL22 10DP VOL LME Comdty</stp>
        <stp>PX_LAST</stp>
        <stp>[QwackPricer.xlsx]Base!R99C15</stp>
        <tr r="O99" s="2"/>
      </tp>
      <tp>
        <v>24.019485473632813</v>
        <stp/>
        <stp>##V3_BDPV12</stp>
        <stp>LP JUN22 25DP VOL LME Comdty</stp>
        <stp>PX_LAST</stp>
        <stp>[QwackPricer.xlsx]Base!R98C16</stp>
        <tr r="P98" s="2"/>
      </tp>
      <tp>
        <v>25.779319763183594</v>
        <stp/>
        <stp>##V3_BDPV12</stp>
        <stp>LP JUN22 10DP VOL LME Comdty</stp>
        <stp>PX_LAST</stp>
        <stp>[QwackPricer.xlsx]Base!R98C15</stp>
        <tr r="O98" s="2"/>
      </tp>
      <tp>
        <v>23.879486083984375</v>
        <stp/>
        <stp>##V3_BDPV12</stp>
        <stp>LX JUL22 25DP VOL LME Comdty</stp>
        <stp>PX_LAST</stp>
        <stp>[QwackPricer.xlsx]Base!R99C27</stp>
        <tr r="AA99" s="2"/>
      </tp>
      <tp>
        <v>25.869155883789063</v>
        <stp/>
        <stp>##V3_BDPV12</stp>
        <stp>LX JUN22 10DP VOL LME Comdty</stp>
        <stp>PX_LAST</stp>
        <stp>[QwackPricer.xlsx]Base!R98C26</stp>
        <tr r="Z98" s="2"/>
      </tp>
      <tp>
        <v>23.849475860595703</v>
        <stp/>
        <stp>##V3_BDPV12</stp>
        <stp>LX JUN22 25DP VOL LME Comdty</stp>
        <stp>PX_LAST</stp>
        <stp>[QwackPricer.xlsx]Base!R98C27</stp>
        <tr r="AA98" s="2"/>
      </tp>
      <tp>
        <v>25.919162750244141</v>
        <stp/>
        <stp>##V3_BDPV12</stp>
        <stp>LX JUL22 10DP VOL LME Comdty</stp>
        <stp>PX_LAST</stp>
        <stp>[QwackPricer.xlsx]Base!R99C26</stp>
        <tr r="Z99" s="2"/>
      </tp>
      <tp>
        <v>30.929561614990234</v>
        <stp/>
        <stp>##V3_BDPV12</stp>
        <stp>LN JUL22 10DP VOL LME Comdty</stp>
        <stp>PX_LAST</stp>
        <stp>[QwackPricer.xlsx]Base!R99C37</stp>
        <tr r="AK99" s="2"/>
      </tp>
      <tp>
        <v>30.949563980102539</v>
        <stp/>
        <stp>##V3_BDPV12</stp>
        <stp>LN JUN22 10DP VOL LME Comdty</stp>
        <stp>PX_LAST</stp>
        <stp>[QwackPricer.xlsx]Base!R98C37</stp>
        <tr r="AK98" s="2"/>
      </tp>
      <tp>
        <v>32.349262237548828</v>
        <stp/>
        <stp>##V3_BDPV12</stp>
        <stp>LN JAN22 10DC VOL LME Comdty</stp>
        <stp>PX_LAST</stp>
        <stp>[QwackPricer.xlsx]Base!R93C41</stp>
        <tr r="AO93" s="2"/>
      </tp>
      <tp>
        <v>31.089134216308594</v>
        <stp/>
        <stp>##V3_BDPV12</stp>
        <stp>LN JAN22 25DC VOL LME Comdty</stp>
        <stp>PX_LAST</stp>
        <stp>[QwackPricer.xlsx]Base!R93C40</stp>
        <tr r="AN93" s="2"/>
      </tp>
      <tp>
        <v>29.959840774536133</v>
        <stp/>
        <stp>##V3_BDPV12</stp>
        <stp>LN JUL22 25DP VOL LME Comdty</stp>
        <stp>PX_LAST</stp>
        <stp>[QwackPricer.xlsx]Base!R99C38</stp>
        <tr r="AL99" s="2"/>
      </tp>
      <tp>
        <v>29.999835968017578</v>
        <stp/>
        <stp>##V3_BDPV12</stp>
        <stp>LN JUN22 25DP VOL LME Comdty</stp>
        <stp>PX_LAST</stp>
        <stp>[QwackPricer.xlsx]Base!R98C38</stp>
        <tr r="AL98" s="2"/>
      </tp>
      <tp>
        <v>25.759471893310547</v>
        <stp/>
        <stp>##V3_BDPV12</stp>
        <stp>LP JAN22 25DP VOL LME Comdty</stp>
        <stp>PX_LAST</stp>
        <stp>[QwackPricer.xlsx]Base!R93C16</stp>
        <tr r="P93" s="2"/>
      </tp>
      <tp>
        <v>27.569259643554688</v>
        <stp/>
        <stp>##V3_BDPV12</stp>
        <stp>LP JAN22 10DP VOL LME Comdty</stp>
        <stp>PX_LAST</stp>
        <stp>[QwackPricer.xlsx]Base!R93C15</stp>
        <tr r="O93" s="2"/>
      </tp>
      <tp>
        <v>25.709169387817383</v>
        <stp/>
        <stp>##V3_BDPV12</stp>
        <stp>LX JAN22 10DP VOL LME Comdty</stp>
        <stp>PX_LAST</stp>
        <stp>[QwackPricer.xlsx]Base!R93C26</stp>
        <tr r="Z93" s="2"/>
      </tp>
      <tp>
        <v>23.729442596435547</v>
        <stp/>
        <stp>##V3_BDPV12</stp>
        <stp>LX JAN22 25DP VOL LME Comdty</stp>
        <stp>PX_LAST</stp>
        <stp>[QwackPricer.xlsx]Base!R93C27</stp>
        <tr r="AA93" s="2"/>
      </tp>
      <tp>
        <v>30.849584579467773</v>
        <stp/>
        <stp>##V3_BDPV12</stp>
        <stp>LN JAN22 10DP VOL LME Comdty</stp>
        <stp>PX_LAST</stp>
        <stp>[QwackPricer.xlsx]Base!R93C37</stp>
        <tr r="AK93" s="2"/>
      </tp>
      <tp>
        <v>31.219049453735352</v>
        <stp/>
        <stp>##V3_BDPV12</stp>
        <stp>LN JUL22 25DC VOL LME Comdty</stp>
        <stp>PX_LAST</stp>
        <stp>[QwackPricer.xlsx]Base!R99C40</stp>
        <tr r="AN99" s="2"/>
      </tp>
      <tp>
        <v>32.469272613525391</v>
        <stp/>
        <stp>##V3_BDPV12</stp>
        <stp>LN JUN22 10DC VOL LME Comdty</stp>
        <stp>PX_LAST</stp>
        <stp>[QwackPricer.xlsx]Base!R98C41</stp>
        <tr r="AO98" s="2"/>
      </tp>
      <tp>
        <v>31.239063262939453</v>
        <stp/>
        <stp>##V3_BDPV12</stp>
        <stp>LN JUN22 25DC VOL LME Comdty</stp>
        <stp>PX_LAST</stp>
        <stp>[QwackPricer.xlsx]Base!R98C40</stp>
        <tr r="AN98" s="2"/>
      </tp>
      <tp>
        <v>32.459274291992188</v>
        <stp/>
        <stp>##V3_BDPV12</stp>
        <stp>LN JUL22 10DC VOL LME Comdty</stp>
        <stp>PX_LAST</stp>
        <stp>[QwackPricer.xlsx]Base!R99C41</stp>
        <tr r="AO99" s="2"/>
      </tp>
      <tp>
        <v>29.989822387695313</v>
        <stp/>
        <stp>##V3_BDPV12</stp>
        <stp>LN JAN22 25DP VOL LME Comdty</stp>
        <stp>PX_LAST</stp>
        <stp>[QwackPricer.xlsx]Base!R93C38</stp>
        <tr r="AL93" s="2"/>
      </tp>
      <tp>
        <v>21.839998245239258</v>
        <stp/>
        <stp>##V3_BDPV12</stp>
        <stp>LX JUL22 10DC VOL LME Comdty</stp>
        <stp>PX_LAST</stp>
        <stp>[QwackPricer.xlsx]Base!R99C30</stp>
        <tr r="AD99" s="2"/>
      </tp>
      <tp>
        <v>21.799997329711914</v>
        <stp/>
        <stp>##V3_BDPV12</stp>
        <stp>LX JUN22 10DC VOL LME Comdty</stp>
        <stp>PX_LAST</stp>
        <stp>[QwackPricer.xlsx]Base!R98C30</stp>
        <tr r="AD98" s="2"/>
      </tp>
      <tp>
        <v>21.939990997314453</v>
        <stp/>
        <stp>##V3_BDPV12</stp>
        <stp>LX JUN22 25DC VOL LME Comdty</stp>
        <stp>PX_LAST</stp>
        <stp>[QwackPricer.xlsx]Base!R98C29</stp>
        <tr r="AC98" s="2"/>
      </tp>
      <tp>
        <v>21.969989776611328</v>
        <stp/>
        <stp>##V3_BDPV12</stp>
        <stp>LX JUL22 25DC VOL LME Comdty</stp>
        <stp>PX_LAST</stp>
        <stp>[QwackPricer.xlsx]Base!R99C29</stp>
        <tr r="AC99" s="2"/>
      </tp>
      <tp>
        <v>22.399515151977539</v>
        <stp/>
        <stp>##V3_BDPV12</stp>
        <stp>LP JUN22 25DC VOL LME Comdty</stp>
        <stp>PX_LAST</stp>
        <stp>[QwackPricer.xlsx]Base!R98C18</stp>
        <tr r="R98" s="2"/>
      </tp>
      <tp>
        <v>23.009489059448242</v>
        <stp/>
        <stp>##V3_BDPV12</stp>
        <stp>LP JUL22 10DC VOL LME Comdty</stp>
        <stp>PX_LAST</stp>
        <stp>[QwackPricer.xlsx]Base!R99C19</stp>
        <tr r="S99" s="2"/>
      </tp>
      <tp>
        <v>22.219522476196289</v>
        <stp/>
        <stp>##V3_BDPV12</stp>
        <stp>LP JUL22 25DC VOL LME Comdty</stp>
        <stp>PX_LAST</stp>
        <stp>[QwackPricer.xlsx]Base!R99C18</stp>
        <tr r="R99" s="2"/>
      </tp>
      <tp>
        <v>23.189479827880859</v>
        <stp/>
        <stp>##V3_BDPV12</stp>
        <stp>LP JUN22 10DC VOL LME Comdty</stp>
        <stp>PX_LAST</stp>
        <stp>[QwackPricer.xlsx]Base!R98C19</stp>
        <tr r="S98" s="2"/>
      </tp>
      <tp>
        <v>17.649517059326172</v>
        <stp/>
        <stp>##V3_BDPV12</stp>
        <stp>LA JUL22 25DP VOL LME Comdty</stp>
        <stp>PX_LAST</stp>
        <stp>[QwackPricer.xlsx]Base!R99C5</stp>
        <tr r="E99" s="2"/>
      </tp>
      <tp>
        <v>16.139747619628906</v>
        <stp/>
        <stp>##V3_BDPV12</stp>
        <stp>LA JUL22 25DC VOL LME Comdty</stp>
        <stp>PX_LAST</stp>
        <stp>[QwackPricer.xlsx]Base!R99C7</stp>
        <tr r="G99" s="2"/>
      </tp>
      <tp>
        <v>17.249563217163086</v>
        <stp/>
        <stp>##V3_BDPV12</stp>
        <stp>LA SEP21 25DC VOL LME Comdty</stp>
        <stp>PX_LAST</stp>
        <stp>[QwackPricer.xlsx]Base!R89C7</stp>
        <tr r="G89" s="2"/>
      </tp>
      <tp>
        <v>17.559585571289063</v>
        <stp/>
        <stp>##V3_BDPV12</stp>
        <stp>LA SEP21 25DP VOL LME Comdty</stp>
        <stp>PX_LAST</stp>
        <stp>[QwackPricer.xlsx]Base!R89C5</stp>
        <tr r="E89" s="2"/>
      </tp>
      <tp>
        <v>9.2100000000000009</v>
        <stp/>
        <stp>##V3_BDPV12</stp>
        <stp>AUD5y Curncy</stp>
        <stp>PX_LAST</stp>
        <stp>[QwackPricer.xlsx]FX-IR!R45C5</stp>
        <tr r="E45" s="1"/>
      </tp>
      <tp>
        <v>692.5</v>
        <stp/>
        <stp>##V3_BDPV12</stp>
        <stp>EUR5y Curncy</stp>
        <stp>PX_LAST</stp>
        <stp>[QwackPricer.xlsx]FX-IR!R45C4</stp>
        <tr r="D45" s="1"/>
      </tp>
      <tp t="s">
        <v>#N/A N/A</v>
        <stp/>
        <stp>##V3_BDPV12</stp>
        <stp>COF5 Comdty</stp>
        <stp>PX_ASK</stp>
        <stp>[QwackPricer.xlsx]Energy!R56C5</stp>
        <tr r="E56" s="3"/>
      </tp>
      <tp t="s">
        <v>#N/A N/A</v>
        <stp/>
        <stp>##V3_BDPV12</stp>
        <stp>COG5 Comdty</stp>
        <stp>PX_ASK</stp>
        <stp>[QwackPricer.xlsx]Energy!R57C5</stp>
        <tr r="E57" s="3"/>
      </tp>
      <tp t="s">
        <v>#N/A N/A</v>
        <stp/>
        <stp>##V3_BDPV12</stp>
        <stp>COH5 Comdty</stp>
        <stp>PX_ASK</stp>
        <stp>[QwackPricer.xlsx]Energy!R58C5</stp>
        <tr r="E58" s="3"/>
      </tp>
      <tp>
        <v>27.519304275512695</v>
        <stp/>
        <stp>##V3_BDPV12</stp>
        <stp>LP JUL21 10DP VOL LME Comdty</stp>
        <stp>PX_LAST</stp>
        <stp>[QwackPricer.xlsx]Base!R87C15</stp>
        <tr r="O87" s="2"/>
      </tp>
      <tp>
        <v>25.989473342895508</v>
        <stp/>
        <stp>##V3_BDPV12</stp>
        <stp>LP JUL21 25DP VOL LME Comdty</stp>
        <stp>PX_LAST</stp>
        <stp>[QwackPricer.xlsx]Base!R87C16</stp>
        <tr r="P87" s="2"/>
      </tp>
      <tp>
        <v>27.439321517944336</v>
        <stp/>
        <stp>##V3_BDPV12</stp>
        <stp>LP JUN21 10DP VOL LME Comdty</stp>
        <stp>PX_LAST</stp>
        <stp>[QwackPricer.xlsx]Base!R86C15</stp>
        <tr r="O86" s="2"/>
      </tp>
      <tp>
        <v>25.969472885131836</v>
        <stp/>
        <stp>##V3_BDPV12</stp>
        <stp>LP JUN21 25DP VOL LME Comdty</stp>
        <stp>PX_LAST</stp>
        <stp>[QwackPricer.xlsx]Base!R86C16</stp>
        <tr r="P86" s="2"/>
      </tp>
      <tp>
        <v>26.369293212890625</v>
        <stp/>
        <stp>##V3_BDPV12</stp>
        <stp>LX JUN21 10DP VOL LME Comdty</stp>
        <stp>PX_LAST</stp>
        <stp>[QwackPricer.xlsx]Base!R86C26</stp>
        <tr r="Z86" s="2"/>
      </tp>
      <tp>
        <v>24.58946418762207</v>
        <stp/>
        <stp>##V3_BDPV12</stp>
        <stp>LX JUL21 25DP VOL LME Comdty</stp>
        <stp>PX_LAST</stp>
        <stp>[QwackPricer.xlsx]Base!R87C27</stp>
        <tr r="AA87" s="2"/>
      </tp>
      <tp>
        <v>26.159278869628906</v>
        <stp/>
        <stp>##V3_BDPV12</stp>
        <stp>LX JUL21 10DP VOL LME Comdty</stp>
        <stp>PX_LAST</stp>
        <stp>[QwackPricer.xlsx]Base!R87C26</stp>
        <tr r="Z87" s="2"/>
      </tp>
      <tp>
        <v>24.839454650878906</v>
        <stp/>
        <stp>##V3_BDPV12</stp>
        <stp>LX JUN21 25DP VOL LME Comdty</stp>
        <stp>PX_LAST</stp>
        <stp>[QwackPricer.xlsx]Base!R86C27</stp>
        <tr r="AA86" s="2"/>
      </tp>
      <tp>
        <v>30.749555587768555</v>
        <stp/>
        <stp>##V3_BDPV12</stp>
        <stp>LN JUL21 10DP VOL LME Comdty</stp>
        <stp>PX_LAST</stp>
        <stp>[QwackPricer.xlsx]Base!R87C37</stp>
        <tr r="AK87" s="2"/>
      </tp>
      <tp>
        <v>30.519554138183594</v>
        <stp/>
        <stp>##V3_BDPV12</stp>
        <stp>LN JUN21 10DP VOL LME Comdty</stp>
        <stp>PX_LAST</stp>
        <stp>[QwackPricer.xlsx]Base!R86C37</stp>
        <tr r="AK86" s="2"/>
      </tp>
      <tp>
        <v>29.86976432800293</v>
        <stp/>
        <stp>##V3_BDPV12</stp>
        <stp>LN JUL21 25DP VOL LME Comdty</stp>
        <stp>PX_LAST</stp>
        <stp>[QwackPricer.xlsx]Base!R87C38</stp>
        <tr r="AL87" s="2"/>
      </tp>
      <tp>
        <v>29.649755477905273</v>
        <stp/>
        <stp>##V3_BDPV12</stp>
        <stp>LN JUN21 25DP VOL LME Comdty</stp>
        <stp>PX_LAST</stp>
        <stp>[QwackPricer.xlsx]Base!R86C38</stp>
        <tr r="AL86" s="2"/>
      </tp>
      <tp>
        <v>31.899265289306641</v>
        <stp/>
        <stp>##V3_BDPV12</stp>
        <stp>LN JUN21 10DC VOL LME Comdty</stp>
        <stp>PX_LAST</stp>
        <stp>[QwackPricer.xlsx]Base!R86C41</stp>
        <tr r="AO86" s="2"/>
      </tp>
      <tp>
        <v>30.689264297485352</v>
        <stp/>
        <stp>##V3_BDPV12</stp>
        <stp>LN JUL21 25DC VOL LME Comdty</stp>
        <stp>PX_LAST</stp>
        <stp>[QwackPricer.xlsx]Base!R87C40</stp>
        <tr r="AN87" s="2"/>
      </tp>
      <tp>
        <v>31.949277877807617</v>
        <stp/>
        <stp>##V3_BDPV12</stp>
        <stp>LN JUL21 10DC VOL LME Comdty</stp>
        <stp>PX_LAST</stp>
        <stp>[QwackPricer.xlsx]Base!R87C41</stp>
        <tr r="AO87" s="2"/>
      </tp>
      <tp>
        <v>30.589252471923828</v>
        <stp/>
        <stp>##V3_BDPV12</stp>
        <stp>LN JUN21 25DC VOL LME Comdty</stp>
        <stp>PX_LAST</stp>
        <stp>[QwackPricer.xlsx]Base!R86C40</stp>
        <tr r="AN86" s="2"/>
      </tp>
      <tp>
        <v>23.269918441772461</v>
        <stp/>
        <stp>##V3_BDPV12</stp>
        <stp>LX JUL21 10DC VOL LME Comdty</stp>
        <stp>PX_LAST</stp>
        <stp>[QwackPricer.xlsx]Base!R87C30</stp>
        <tr r="AD87" s="2"/>
      </tp>
      <tp>
        <v>23.599891662597656</v>
        <stp/>
        <stp>##V3_BDPV12</stp>
        <stp>LX JUN21 10DC VOL LME Comdty</stp>
        <stp>PX_LAST</stp>
        <stp>[QwackPricer.xlsx]Base!R86C30</stp>
        <tr r="AD86" s="2"/>
      </tp>
      <tp>
        <v>23.439888000488281</v>
        <stp/>
        <stp>##V3_BDPV12</stp>
        <stp>LX JUN21 25DC VOL LME Comdty</stp>
        <stp>PX_LAST</stp>
        <stp>[QwackPricer.xlsx]Base!R86C29</stp>
        <tr r="AC86" s="2"/>
      </tp>
      <tp>
        <v>23.129911422729492</v>
        <stp/>
        <stp>##V3_BDPV12</stp>
        <stp>LX JUL21 25DC VOL LME Comdty</stp>
        <stp>PX_LAST</stp>
        <stp>[QwackPricer.xlsx]Base!R87C29</stp>
        <tr r="AC87" s="2"/>
      </tp>
      <tp>
        <v>26.479358673095703</v>
        <stp/>
        <stp>##V3_BDPV12</stp>
        <stp>LP JUL21 10DC VOL LME Comdty</stp>
        <stp>PX_LAST</stp>
        <stp>[QwackPricer.xlsx]Base!R87C19</stp>
        <tr r="S87" s="2"/>
      </tp>
      <tp>
        <v>25.409408569335938</v>
        <stp/>
        <stp>##V3_BDPV12</stp>
        <stp>LP JUN21 25DC VOL LME Comdty</stp>
        <stp>PX_LAST</stp>
        <stp>[QwackPricer.xlsx]Base!R86C18</stp>
        <tr r="R86" s="2"/>
      </tp>
      <tp>
        <v>26.48936653137207</v>
        <stp/>
        <stp>##V3_BDPV12</stp>
        <stp>LP JUN21 10DC VOL LME Comdty</stp>
        <stp>PX_LAST</stp>
        <stp>[QwackPricer.xlsx]Base!R86C19</stp>
        <tr r="S86" s="2"/>
      </tp>
      <tp>
        <v>25.369388580322266</v>
        <stp/>
        <stp>##V3_BDPV12</stp>
        <stp>LP JUL21 25DC VOL LME Comdty</stp>
        <stp>PX_LAST</stp>
        <stp>[QwackPricer.xlsx]Base!R87C18</stp>
        <tr r="R87" s="2"/>
      </tp>
      <tp t="s">
        <v>#N/A N/A</v>
        <stp/>
        <stp>##V3_BDPV12</stp>
        <stp>CON3 Comdty</stp>
        <stp>PX_ASK</stp>
        <stp>[QwackPricer.xlsx]Energy!R38C5</stp>
        <tr r="E38" s="3"/>
      </tp>
      <tp>
        <v>58.02</v>
        <stp/>
        <stp>##V3_BDPV12</stp>
        <stp>COF2 Comdty</stp>
        <stp>PX_ASK</stp>
        <stp>[QwackPricer.xlsx]Energy!R20C5</stp>
        <tr r="E20" s="3"/>
      </tp>
      <tp>
        <v>57.7</v>
        <stp/>
        <stp>##V3_BDPV12</stp>
        <stp>COG2 Comdty</stp>
        <stp>PX_ASK</stp>
        <stp>[QwackPricer.xlsx]Energy!R21C5</stp>
        <tr r="E21" s="3"/>
      </tp>
      <tp>
        <v>18.999467849731445</v>
        <stp/>
        <stp>##V3_BDPV12</stp>
        <stp>LA JUL22 10DP VOL LME Comdty</stp>
        <stp>PX_LAST</stp>
        <stp>[QwackPricer.xlsx]Base!R99C4</stp>
        <tr r="D99" s="2"/>
      </tp>
      <tp>
        <v>16.559719085693359</v>
        <stp/>
        <stp>##V3_BDPV12</stp>
        <stp>LA JUL22 10DC VOL LME Comdty</stp>
        <stp>PX_LAST</stp>
        <stp>[QwackPricer.xlsx]Base!R99C8</stp>
        <tr r="H99" s="2"/>
      </tp>
      <tp>
        <v>18.129480361938477</v>
        <stp/>
        <stp>##V3_BDPV12</stp>
        <stp>LA SEP21 10DC VOL LME Comdty</stp>
        <stp>PX_LAST</stp>
        <stp>[QwackPricer.xlsx]Base!R89C8</stp>
        <tr r="H89" s="2"/>
      </tp>
      <tp>
        <v>18.859386444091797</v>
        <stp/>
        <stp>##V3_BDPV12</stp>
        <stp>LA SEP21 10DP VOL LME Comdty</stp>
        <stp>PX_LAST</stp>
        <stp>[QwackPricer.xlsx]Base!R89C4</stp>
        <tr r="D89" s="2"/>
      </tp>
      <tp>
        <v>14.78</v>
        <stp/>
        <stp>##V3_BDPV12</stp>
        <stp>EUR2m Curncy</stp>
        <stp>PX_LAST</stp>
        <stp>[QwackPricer.xlsx]FX-IR!R37C4</stp>
        <tr r="D37" s="1"/>
      </tp>
      <tp>
        <v>2.25</v>
        <stp/>
        <stp>##V3_BDPV12</stp>
        <stp>AUD2m Curncy</stp>
        <stp>PX_LAST</stp>
        <stp>[QwackPricer.xlsx]FX-IR!R37C5</stp>
        <tr r="E37" s="1"/>
      </tp>
      <tp>
        <v>1.62</v>
        <stp/>
        <stp>##V3_BDPV12</stp>
        <stp>EUR1w Curncy</stp>
        <stp>PX_LAST</stp>
        <stp>[QwackPricer.xlsx]FX-IR!R34C4</stp>
        <tr r="D34" s="1"/>
      </tp>
      <tp>
        <v>0.22</v>
        <stp/>
        <stp>##V3_BDPV12</stp>
        <stp>AUD1w Curncy</stp>
        <stp>PX_LAST</stp>
        <stp>[QwackPricer.xlsx]FX-IR!R34C5</stp>
        <tr r="E34" s="1"/>
      </tp>
      <tp>
        <v>23.919858932495117</v>
        <stp/>
        <stp>##V3_BDPV12</stp>
        <stp>LX MAY21 10DC VOL LME Comdty</stp>
        <stp>PX_LAST</stp>
        <stp>[QwackPricer.xlsx]Base!R85C30</stp>
        <tr r="AD85" s="2"/>
      </tp>
      <tp>
        <v>24.65974235534668</v>
        <stp/>
        <stp>##V3_BDPV12</stp>
        <stp>LX MAR21 10DC VOL LME Comdty</stp>
        <stp>PX_LAST</stp>
        <stp>[QwackPricer.xlsx]Base!R83C30</stp>
        <tr r="AD83" s="2"/>
      </tp>
      <tp>
        <v>24.17976188659668</v>
        <stp/>
        <stp>##V3_BDPV12</stp>
        <stp>LX MAR21 25DC VOL LME Comdty</stp>
        <stp>PX_LAST</stp>
        <stp>[QwackPricer.xlsx]Base!R83C29</stp>
        <tr r="AC83" s="2"/>
      </tp>
      <tp>
        <v>23.679861068725586</v>
        <stp/>
        <stp>##V3_BDPV12</stp>
        <stp>LX MAY21 25DC VOL LME Comdty</stp>
        <stp>PX_LAST</stp>
        <stp>[QwackPricer.xlsx]Base!R85C29</stp>
        <tr r="AC85" s="2"/>
      </tp>
      <tp>
        <v>26.679361343383789</v>
        <stp/>
        <stp>##V3_BDPV12</stp>
        <stp>LP MAY21 10DC VOL LME Comdty</stp>
        <stp>PX_LAST</stp>
        <stp>[QwackPricer.xlsx]Base!R85C19</stp>
        <tr r="S85" s="2"/>
      </tp>
      <tp>
        <v>25.539409637451172</v>
        <stp/>
        <stp>##V3_BDPV12</stp>
        <stp>LP MAY21 25DC VOL LME Comdty</stp>
        <stp>PX_LAST</stp>
        <stp>[QwackPricer.xlsx]Base!R85C18</stp>
        <tr r="R85" s="2"/>
      </tp>
      <tp>
        <v>25.869417190551758</v>
        <stp/>
        <stp>##V3_BDPV12</stp>
        <stp>LP MAR21 25DC VOL LME Comdty</stp>
        <stp>PX_LAST</stp>
        <stp>[QwackPricer.xlsx]Base!R83C18</stp>
        <tr r="R83" s="2"/>
      </tp>
      <tp>
        <v>27.089334487915039</v>
        <stp/>
        <stp>##V3_BDPV12</stp>
        <stp>LP MAR21 10DC VOL LME Comdty</stp>
        <stp>PX_LAST</stp>
        <stp>[QwackPricer.xlsx]Base!R83C19</stp>
        <tr r="S83" s="2"/>
      </tp>
      <tp>
        <v>30.359258651733398</v>
        <stp/>
        <stp>##V3_BDPV12</stp>
        <stp>LN MAY21 25DC VOL LME Comdty</stp>
        <stp>PX_LAST</stp>
        <stp>[QwackPricer.xlsx]Base!R85C40</stp>
        <tr r="AN85" s="2"/>
      </tp>
      <tp>
        <v>31.709257125854492</v>
        <stp/>
        <stp>##V3_BDPV12</stp>
        <stp>LN MAY21 10DC VOL LME Comdty</stp>
        <stp>PX_LAST</stp>
        <stp>[QwackPricer.xlsx]Base!R85C41</stp>
        <tr r="AO85" s="2"/>
      </tp>
      <tp>
        <v>30.74921989440918</v>
        <stp/>
        <stp>##V3_BDPV12</stp>
        <stp>LN MAR21 10DC VOL LME Comdty</stp>
        <stp>PX_LAST</stp>
        <stp>[QwackPricer.xlsx]Base!R83C41</stp>
        <tr r="AO83" s="2"/>
      </tp>
      <tp>
        <v>29.279279708862305</v>
        <stp/>
        <stp>##V3_BDPV12</stp>
        <stp>LN MAR21 25DC VOL LME Comdty</stp>
        <stp>PX_LAST</stp>
        <stp>[QwackPricer.xlsx]Base!R83C40</stp>
        <tr r="AN83" s="2"/>
      </tp>
      <tp>
        <v>26.049484252929688</v>
        <stp/>
        <stp>##V3_BDPV12</stp>
        <stp>LP MAR21 25DP VOL LME Comdty</stp>
        <stp>PX_LAST</stp>
        <stp>[QwackPricer.xlsx]Base!R83C16</stp>
        <tr r="P83" s="2"/>
      </tp>
      <tp>
        <v>27.339370727539063</v>
        <stp/>
        <stp>##V3_BDPV12</stp>
        <stp>LP MAR21 10DP VOL LME Comdty</stp>
        <stp>PX_LAST</stp>
        <stp>[QwackPricer.xlsx]Base!R83C15</stp>
        <tr r="O83" s="2"/>
      </tp>
      <tp>
        <v>27.389337539672852</v>
        <stp/>
        <stp>##V3_BDPV12</stp>
        <stp>LP MAY21 10DP VOL LME Comdty</stp>
        <stp>PX_LAST</stp>
        <stp>[QwackPricer.xlsx]Base!R85C15</stp>
        <tr r="O85" s="2"/>
      </tp>
      <tp>
        <v>25.989482879638672</v>
        <stp/>
        <stp>##V3_BDPV12</stp>
        <stp>LP MAY21 25DP VOL LME Comdty</stp>
        <stp>PX_LAST</stp>
        <stp>[QwackPricer.xlsx]Base!R85C16</stp>
        <tr r="P85" s="2"/>
      </tp>
      <tp>
        <v>25.019445419311523</v>
        <stp/>
        <stp>##V3_BDPV12</stp>
        <stp>LX MAY21 25DP VOL LME Comdty</stp>
        <stp>PX_LAST</stp>
        <stp>[QwackPricer.xlsx]Base!R85C27</stp>
        <tr r="AA85" s="2"/>
      </tp>
      <tp>
        <v>26.51930046081543</v>
        <stp/>
        <stp>##V3_BDPV12</stp>
        <stp>LX MAY21 10DP VOL LME Comdty</stp>
        <stp>PX_LAST</stp>
        <stp>[QwackPricer.xlsx]Base!R85C26</stp>
        <tr r="Z85" s="2"/>
      </tp>
      <tp>
        <v>26.589328765869141</v>
        <stp/>
        <stp>##V3_BDPV12</stp>
        <stp>LX MAR21 10DP VOL LME Comdty</stp>
        <stp>PX_LAST</stp>
        <stp>[QwackPricer.xlsx]Base!R83C26</stp>
        <tr r="Z83" s="2"/>
      </tp>
      <tp>
        <v>25.20942497253418</v>
        <stp/>
        <stp>##V3_BDPV12</stp>
        <stp>LX MAR21 25DP VOL LME Comdty</stp>
        <stp>PX_LAST</stp>
        <stp>[QwackPricer.xlsx]Base!R83C27</stp>
        <tr r="AA83" s="2"/>
      </tp>
      <tp>
        <v>28.209732055664063</v>
        <stp/>
        <stp>##V3_BDPV12</stp>
        <stp>LN MAR21 25DP VOL LME Comdty</stp>
        <stp>PX_LAST</stp>
        <stp>[QwackPricer.xlsx]Base!R83C38</stp>
        <tr r="AL83" s="2"/>
      </tp>
      <tp>
        <v>30.1795654296875</v>
        <stp/>
        <stp>##V3_BDPV12</stp>
        <stp>LN MAY21 10DP VOL LME Comdty</stp>
        <stp>PX_LAST</stp>
        <stp>[QwackPricer.xlsx]Base!R85C37</stp>
        <tr r="AK85" s="2"/>
      </tp>
      <tp>
        <v>29.359756469726563</v>
        <stp/>
        <stp>##V3_BDPV12</stp>
        <stp>LN MAY21 25DP VOL LME Comdty</stp>
        <stp>PX_LAST</stp>
        <stp>[QwackPricer.xlsx]Base!R85C38</stp>
        <tr r="AL85" s="2"/>
      </tp>
      <tp>
        <v>28.99957275390625</v>
        <stp/>
        <stp>##V3_BDPV12</stp>
        <stp>LN MAR21 10DP VOL LME Comdty</stp>
        <stp>PX_LAST</stp>
        <stp>[QwackPricer.xlsx]Base!R83C37</stp>
        <tr r="AK83" s="2"/>
      </tp>
      <tp>
        <v>19.019454956054688</v>
        <stp/>
        <stp>##V3_BDPV12</stp>
        <stp>LA JUN22 10DP VOL LME Comdty</stp>
        <stp>PX_LAST</stp>
        <stp>[QwackPricer.xlsx]Base!R98C4</stp>
        <tr r="D98" s="2"/>
      </tp>
      <tp>
        <v>16.659709930419922</v>
        <stp/>
        <stp>##V3_BDPV12</stp>
        <stp>LA JUN22 10DC VOL LME Comdty</stp>
        <stp>PX_LAST</stp>
        <stp>[QwackPricer.xlsx]Base!R98C8</stp>
        <tr r="H98" s="2"/>
      </tp>
      <tp>
        <v>18.399406433105469</v>
        <stp/>
        <stp>##V3_BDPV12</stp>
        <stp>LA AUG21 10DP VOL LME Comdty</stp>
        <stp>PX_LAST</stp>
        <stp>[QwackPricer.xlsx]Base!R88C4</stp>
        <tr r="D88" s="2"/>
      </tp>
      <tp>
        <v>18.569452285766602</v>
        <stp/>
        <stp>##V3_BDPV12</stp>
        <stp>LA AUG21 10DC VOL LME Comdty</stp>
        <stp>PX_LAST</stp>
        <stp>[QwackPricer.xlsx]Base!R88C8</stp>
        <tr r="H88" s="2"/>
      </tp>
      <tp>
        <v>21.839998245239258</v>
        <stp/>
        <stp>##V3_BDPV12</stp>
        <stp>LX MAY22 10DC VOL LME Comdty</stp>
        <stp>PX_LAST</stp>
        <stp>[QwackPricer.xlsx]Base!R97C30</stp>
        <tr r="AD97" s="2"/>
      </tp>
      <tp>
        <v>21.839998245239258</v>
        <stp/>
        <stp>##V3_BDPV12</stp>
        <stp>LX MAR22 10DC VOL LME Comdty</stp>
        <stp>PX_LAST</stp>
        <stp>[QwackPricer.xlsx]Base!R95C30</stp>
        <tr r="AD95" s="2"/>
      </tp>
      <tp>
        <v>21.969991683959961</v>
        <stp/>
        <stp>##V3_BDPV12</stp>
        <stp>LX MAR22 25DC VOL LME Comdty</stp>
        <stp>PX_LAST</stp>
        <stp>[QwackPricer.xlsx]Base!R95C29</stp>
        <tr r="AC95" s="2"/>
      </tp>
      <tp>
        <v>21.969991683959961</v>
        <stp/>
        <stp>##V3_BDPV12</stp>
        <stp>LX MAY22 25DC VOL LME Comdty</stp>
        <stp>PX_LAST</stp>
        <stp>[QwackPricer.xlsx]Base!R97C29</stp>
        <tr r="AC97" s="2"/>
      </tp>
      <tp>
        <v>55.28</v>
        <stp/>
        <stp>##V3_BDPV12</stp>
        <stp>COF3 Comdty</stp>
        <stp>PX_ASK</stp>
        <stp>[QwackPricer.xlsx]Energy!R32C5</stp>
        <tr r="E32" s="3"/>
      </tp>
      <tp>
        <v>55.15</v>
        <stp/>
        <stp>##V3_BDPV12</stp>
        <stp>COG3 Comdty</stp>
        <stp>PX_ASK</stp>
        <stp>[QwackPricer.xlsx]Energy!R33C5</stp>
        <tr r="E33" s="3"/>
      </tp>
      <tp>
        <v>23.599464416503906</v>
        <stp/>
        <stp>##V3_BDPV12</stp>
        <stp>LP MAY22 10DC VOL LME Comdty</stp>
        <stp>PX_LAST</stp>
        <stp>[QwackPricer.xlsx]Base!R97C19</stp>
        <tr r="S97" s="2"/>
      </tp>
      <tp>
        <v>22.759496688842773</v>
        <stp/>
        <stp>##V3_BDPV12</stp>
        <stp>LP MAY22 25DC VOL LME Comdty</stp>
        <stp>PX_LAST</stp>
        <stp>[QwackPricer.xlsx]Base!R97C18</stp>
        <tr r="R97" s="2"/>
      </tp>
      <tp>
        <v>23.619449615478516</v>
        <stp/>
        <stp>##V3_BDPV12</stp>
        <stp>LP MAR22 25DC VOL LME Comdty</stp>
        <stp>PX_LAST</stp>
        <stp>[QwackPricer.xlsx]Base!R95C18</stp>
        <tr r="R95" s="2"/>
      </tp>
      <tp>
        <v>24.549421310424805</v>
        <stp/>
        <stp>##V3_BDPV12</stp>
        <stp>LP MAR22 10DC VOL LME Comdty</stp>
        <stp>PX_LAST</stp>
        <stp>[QwackPricer.xlsx]Base!R95C19</stp>
        <tr r="S95" s="2"/>
      </tp>
      <tp>
        <v>53.06</v>
        <stp/>
        <stp>##V3_BDPV12</stp>
        <stp>COM4 Comdty</stp>
        <stp>PX_ASK</stp>
        <stp>[QwackPricer.xlsx]Energy!R49C5</stp>
        <tr r="E49" s="3"/>
      </tp>
      <tp>
        <v>31.199073791503906</v>
        <stp/>
        <stp>##V3_BDPV12</stp>
        <stp>LN MAY22 25DC VOL LME Comdty</stp>
        <stp>PX_LAST</stp>
        <stp>[QwackPricer.xlsx]Base!R97C40</stp>
        <tr r="AN97" s="2"/>
      </tp>
      <tp>
        <v>32.439273834228516</v>
        <stp/>
        <stp>##V3_BDPV12</stp>
        <stp>LN MAY22 10DC VOL LME Comdty</stp>
        <stp>PX_LAST</stp>
        <stp>[QwackPricer.xlsx]Base!R97C41</stp>
        <tr r="AO97" s="2"/>
      </tp>
      <tp>
        <v>32.3792724609375</v>
        <stp/>
        <stp>##V3_BDPV12</stp>
        <stp>LN MAR22 10DC VOL LME Comdty</stp>
        <stp>PX_LAST</stp>
        <stp>[QwackPricer.xlsx]Base!R95C41</stp>
        <tr r="AO95" s="2"/>
      </tp>
      <tp>
        <v>31.149105072021484</v>
        <stp/>
        <stp>##V3_BDPV12</stp>
        <stp>LN MAR22 25DC VOL LME Comdty</stp>
        <stp>PX_LAST</stp>
        <stp>[QwackPricer.xlsx]Base!R95C40</stp>
        <tr r="AN95" s="2"/>
      </tp>
      <tp>
        <v>32.089241027832031</v>
        <stp/>
        <stp>##V3_BDPV12</stp>
        <stp>LN NOV21 10DC VOL LME Comdty</stp>
        <stp>PX_LAST</stp>
        <stp>[QwackPricer.xlsx]Base!R91C41</stp>
        <tr r="AO91" s="2"/>
      </tp>
      <tp>
        <v>30.799192428588867</v>
        <stp/>
        <stp>##V3_BDPV12</stp>
        <stp>LN NOV21 25DC VOL LME Comdty</stp>
        <stp>PX_LAST</stp>
        <stp>[QwackPricer.xlsx]Base!R91C40</stp>
        <tr r="AN91" s="2"/>
      </tp>
      <tp>
        <v>25.519344329833984</v>
        <stp/>
        <stp>##V3_BDPV12</stp>
        <stp>LP NOV21 25DC VOL LME Comdty</stp>
        <stp>PX_LAST</stp>
        <stp>[QwackPricer.xlsx]Base!R91C18</stp>
        <tr r="R91" s="2"/>
      </tp>
      <tp>
        <v>26.609346389770508</v>
        <stp/>
        <stp>##V3_BDPV12</stp>
        <stp>LP NOV21 10DC VOL LME Comdty</stp>
        <stp>PX_LAST</stp>
        <stp>[QwackPricer.xlsx]Base!R91C19</stp>
        <tr r="S91" s="2"/>
      </tp>
      <tp>
        <v>22.339984893798828</v>
        <stp/>
        <stp>##V3_BDPV12</stp>
        <stp>LX NOV21 10DC VOL LME Comdty</stp>
        <stp>PX_LAST</stp>
        <stp>[QwackPricer.xlsx]Base!R91C30</stp>
        <tr r="AD91" s="2"/>
      </tp>
      <tp>
        <v>22.319967269897461</v>
        <stp/>
        <stp>##V3_BDPV12</stp>
        <stp>LX NOV21 25DC VOL LME Comdty</stp>
        <stp>PX_LAST</stp>
        <stp>[QwackPricer.xlsx]Base!R91C29</stp>
        <tr r="AC91" s="2"/>
      </tp>
      <tp>
        <v>26.749282836914063</v>
        <stp/>
        <stp>##V3_BDPV12</stp>
        <stp>LP MAR22 10DP VOL LME Comdty</stp>
        <stp>PX_LAST</stp>
        <stp>[QwackPricer.xlsx]Base!R95C15</stp>
        <tr r="O95" s="2"/>
      </tp>
      <tp>
        <v>24.939477920532227</v>
        <stp/>
        <stp>##V3_BDPV12</stp>
        <stp>LP MAR22 25DP VOL LME Comdty</stp>
        <stp>PX_LAST</stp>
        <stp>[QwackPricer.xlsx]Base!R95C16</stp>
        <tr r="P95" s="2"/>
      </tp>
      <tp>
        <v>26.079311370849609</v>
        <stp/>
        <stp>##V3_BDPV12</stp>
        <stp>LP MAY22 10DP VOL LME Comdty</stp>
        <stp>PX_LAST</stp>
        <stp>[QwackPricer.xlsx]Base!R97C15</stp>
        <tr r="O97" s="2"/>
      </tp>
      <tp>
        <v>24.319480895996094</v>
        <stp/>
        <stp>##V3_BDPV12</stp>
        <stp>LP MAY22 25DP VOL LME Comdty</stp>
        <stp>PX_LAST</stp>
        <stp>[QwackPricer.xlsx]Base!R97C16</stp>
        <tr r="P97" s="2"/>
      </tp>
      <tp>
        <v>23.869468688964844</v>
        <stp/>
        <stp>##V3_BDPV12</stp>
        <stp>LX MAY22 25DP VOL LME Comdty</stp>
        <stp>PX_LAST</stp>
        <stp>[QwackPricer.xlsx]Base!R97C27</stp>
        <tr r="AA97" s="2"/>
      </tp>
      <tp>
        <v>25.889152526855469</v>
        <stp/>
        <stp>##V3_BDPV12</stp>
        <stp>LX MAY22 10DP VOL LME Comdty</stp>
        <stp>PX_LAST</stp>
        <stp>[QwackPricer.xlsx]Base!R97C26</stp>
        <tr r="Z97" s="2"/>
      </tp>
      <tp>
        <v>25.819150924682617</v>
        <stp/>
        <stp>##V3_BDPV12</stp>
        <stp>LX MAR22 10DP VOL LME Comdty</stp>
        <stp>PX_LAST</stp>
        <stp>[QwackPricer.xlsx]Base!R95C26</stp>
        <tr r="Z95" s="2"/>
      </tp>
      <tp>
        <v>23.819452285766602</v>
        <stp/>
        <stp>##V3_BDPV12</stp>
        <stp>LX MAR22 25DP VOL LME Comdty</stp>
        <stp>PX_LAST</stp>
        <stp>[QwackPricer.xlsx]Base!R95C27</stp>
        <tr r="AA95" s="2"/>
      </tp>
      <tp>
        <v>29.959823608398438</v>
        <stp/>
        <stp>##V3_BDPV12</stp>
        <stp>LN MAR22 25DP VOL LME Comdty</stp>
        <stp>PX_LAST</stp>
        <stp>[QwackPricer.xlsx]Base!R95C38</stp>
        <tr r="AL95" s="2"/>
      </tp>
      <tp>
        <v>30.919563293457031</v>
        <stp/>
        <stp>##V3_BDPV12</stp>
        <stp>LN MAY22 10DP VOL LME Comdty</stp>
        <stp>PX_LAST</stp>
        <stp>[QwackPricer.xlsx]Base!R97C37</stp>
        <tr r="AK97" s="2"/>
      </tp>
      <tp>
        <v>29.969831466674805</v>
        <stp/>
        <stp>##V3_BDPV12</stp>
        <stp>LN MAY22 25DP VOL LME Comdty</stp>
        <stp>PX_LAST</stp>
        <stp>[QwackPricer.xlsx]Base!R97C38</stp>
        <tr r="AL97" s="2"/>
      </tp>
      <tp>
        <v>30.869571685791016</v>
        <stp/>
        <stp>##V3_BDPV12</stp>
        <stp>LN MAR22 10DP VOL LME Comdty</stp>
        <stp>PX_LAST</stp>
        <stp>[QwackPricer.xlsx]Base!R95C37</stp>
        <tr r="AK95" s="2"/>
      </tp>
      <tp>
        <v>25.639204025268555</v>
        <stp/>
        <stp>##V3_BDPV12</stp>
        <stp>LX NOV21 10DP VOL LME Comdty</stp>
        <stp>PX_LAST</stp>
        <stp>[QwackPricer.xlsx]Base!R91C26</stp>
        <tr r="Z91" s="2"/>
      </tp>
      <tp>
        <v>23.869478225708008</v>
        <stp/>
        <stp>##V3_BDPV12</stp>
        <stp>LX NOV21 25DP VOL LME Comdty</stp>
        <stp>PX_LAST</stp>
        <stp>[QwackPricer.xlsx]Base!R91C27</stp>
        <tr r="AA91" s="2"/>
      </tp>
      <tp>
        <v>29.939807891845703</v>
        <stp/>
        <stp>##V3_BDPV12</stp>
        <stp>LN NOV21 25DP VOL LME Comdty</stp>
        <stp>PX_LAST</stp>
        <stp>[QwackPricer.xlsx]Base!R91C38</stp>
        <tr r="AL91" s="2"/>
      </tp>
      <tp>
        <v>30.809585571289063</v>
        <stp/>
        <stp>##V3_BDPV12</stp>
        <stp>LN NOV21 10DP VOL LME Comdty</stp>
        <stp>PX_LAST</stp>
        <stp>[QwackPricer.xlsx]Base!R91C37</stp>
        <tr r="AK91" s="2"/>
      </tp>
      <tp>
        <v>26.38946533203125</v>
        <stp/>
        <stp>##V3_BDPV12</stp>
        <stp>LP NOV21 25DP VOL LME Comdty</stp>
        <stp>PX_LAST</stp>
        <stp>[QwackPricer.xlsx]Base!R91C16</stp>
        <tr r="P91" s="2"/>
      </tp>
      <tp>
        <v>28.149248123168945</v>
        <stp/>
        <stp>##V3_BDPV12</stp>
        <stp>LP NOV21 10DP VOL LME Comdty</stp>
        <stp>PX_LAST</stp>
        <stp>[QwackPricer.xlsx]Base!R91C15</stp>
        <tr r="O91" s="2"/>
      </tp>
      <tp>
        <v>6.63</v>
        <stp/>
        <stp>##V3_BDPV12</stp>
        <stp>EUR1m Curncy</stp>
        <stp>PX_LAST</stp>
        <stp>[QwackPricer.xlsx]FX-IR!R36C4</stp>
        <tr r="D36" s="1"/>
      </tp>
      <tp>
        <v>1</v>
        <stp/>
        <stp>##V3_BDPV12</stp>
        <stp>AUD1m Curncy</stp>
        <stp>PX_LAST</stp>
        <stp>[QwackPricer.xlsx]FX-IR!R36C5</stp>
        <tr r="E36" s="1"/>
      </tp>
      <tp>
        <v>3.33</v>
        <stp/>
        <stp>##V3_BDPV12</stp>
        <stp>EUR2w Curncy</stp>
        <stp>PX_LAST</stp>
        <stp>[QwackPricer.xlsx]FX-IR!R35C4</stp>
        <tr r="D35" s="1"/>
      </tp>
      <tp>
        <v>0.49</v>
        <stp/>
        <stp>##V3_BDPV12</stp>
        <stp>AUD2w Curncy</stp>
        <stp>PX_LAST</stp>
        <stp>[QwackPricer.xlsx]FX-IR!R35C5</stp>
        <tr r="E35" s="1"/>
      </tp>
      <tp>
        <v>24.19</v>
        <stp/>
        <stp>##V3_BDPV12</stp>
        <stp>AUD3y Curncy</stp>
        <stp>PX_LAST</stp>
        <stp>[QwackPricer.xlsx]FX-IR!R44C5</stp>
        <tr r="E44" s="1"/>
      </tp>
      <tp>
        <v>328.98</v>
        <stp/>
        <stp>##V3_BDPV12</stp>
        <stp>EUR3y Curncy</stp>
        <stp>PX_LAST</stp>
        <stp>[QwackPricer.xlsx]FX-IR!R44C4</stp>
        <tr r="D44" s="1"/>
      </tp>
      <tp>
        <v>26.609342575073242</v>
        <stp/>
        <stp>##V3_BDPV12</stp>
        <stp>LP OCT21 10DC VOL LME Comdty</stp>
        <stp>PX_LAST</stp>
        <stp>[QwackPricer.xlsx]Base!R90C19</stp>
        <tr r="S90" s="2"/>
      </tp>
      <tp>
        <v>25.519340515136719</v>
        <stp/>
        <stp>##V3_BDPV12</stp>
        <stp>LP OCT21 25DC VOL LME Comdty</stp>
        <stp>PX_LAST</stp>
        <stp>[QwackPricer.xlsx]Base!R90C18</stp>
        <tr r="R90" s="2"/>
      </tp>
      <tp>
        <v>22.499971389770508</v>
        <stp/>
        <stp>##V3_BDPV12</stp>
        <stp>LX OCT21 10DC VOL LME Comdty</stp>
        <stp>PX_LAST</stp>
        <stp>[QwackPricer.xlsx]Base!R90C30</stp>
        <tr r="AD90" s="2"/>
      </tp>
      <tp>
        <v>22.459959030151367</v>
        <stp/>
        <stp>##V3_BDPV12</stp>
        <stp>LX OCT21 25DC VOL LME Comdty</stp>
        <stp>PX_LAST</stp>
        <stp>[QwackPricer.xlsx]Base!R90C29</stp>
        <tr r="AC90" s="2"/>
      </tp>
      <tp>
        <v>30.789222717285156</v>
        <stp/>
        <stp>##V3_BDPV12</stp>
        <stp>LN OCT21 25DC VOL LME Comdty</stp>
        <stp>PX_LAST</stp>
        <stp>[QwackPricer.xlsx]Base!R90C40</stp>
        <tr r="AN90" s="2"/>
      </tp>
      <tp>
        <v>32.069263458251953</v>
        <stp/>
        <stp>##V3_BDPV12</stp>
        <stp>LN OCT21 10DC VOL LME Comdty</stp>
        <stp>PX_LAST</stp>
        <stp>[QwackPricer.xlsx]Base!R90C41</stp>
        <tr r="AO90" s="2"/>
      </tp>
      <tp>
        <v>23.999481201171875</v>
        <stp/>
        <stp>##V3_BDPV12</stp>
        <stp>LX OCT21 25DP VOL LME Comdty</stp>
        <stp>PX_LAST</stp>
        <stp>[QwackPricer.xlsx]Base!R90C27</stp>
        <tr r="AA90" s="2"/>
      </tp>
      <tp>
        <v>25.719228744506836</v>
        <stp/>
        <stp>##V3_BDPV12</stp>
        <stp>LX OCT21 10DP VOL LME Comdty</stp>
        <stp>PX_LAST</stp>
        <stp>[QwackPricer.xlsx]Base!R90C26</stp>
        <tr r="Z90" s="2"/>
      </tp>
      <tp>
        <v>29.969799041748047</v>
        <stp/>
        <stp>##V3_BDPV12</stp>
        <stp>LN OCT21 25DP VOL LME Comdty</stp>
        <stp>PX_LAST</stp>
        <stp>[QwackPricer.xlsx]Base!R90C38</stp>
        <tr r="AL90" s="2"/>
      </tp>
      <tp>
        <v>30.839582443237305</v>
        <stp/>
        <stp>##V3_BDPV12</stp>
        <stp>LN OCT21 10DP VOL LME Comdty</stp>
        <stp>PX_LAST</stp>
        <stp>[QwackPricer.xlsx]Base!R90C37</stp>
        <tr r="AK90" s="2"/>
      </tp>
      <tp>
        <v>26.309457778930664</v>
        <stp/>
        <stp>##V3_BDPV12</stp>
        <stp>LP OCT21 25DP VOL LME Comdty</stp>
        <stp>PX_LAST</stp>
        <stp>[QwackPricer.xlsx]Base!R90C16</stp>
        <tr r="P90" s="2"/>
      </tp>
      <tp>
        <v>28.049257278442383</v>
        <stp/>
        <stp>##V3_BDPV12</stp>
        <stp>LP OCT21 10DP VOL LME Comdty</stp>
        <stp>PX_LAST</stp>
        <stp>[QwackPricer.xlsx]Base!R90C15</stp>
        <tr r="O90" s="2"/>
      </tp>
      <tp>
        <v>60</v>
        <stp/>
        <stp>##V3_BDPV12</stp>
        <stp>CON1 Comdty</stp>
        <stp>PX_ASK</stp>
        <stp>[QwackPricer.xlsx]Energy!R14C5</stp>
        <tr r="E14" s="3"/>
      </tp>
      <tp>
        <v>54.18</v>
        <stp/>
        <stp>##V3_BDPV12</stp>
        <stp>COM3 Comdty</stp>
        <stp>PX_ASK</stp>
        <stp>[QwackPricer.xlsx]Energy!R37C5</stp>
        <tr r="E37" s="3"/>
      </tp>
      <tp>
        <v>57.45</v>
        <stp/>
        <stp>##V3_BDPV12</stp>
        <stp>COH2 Comdty</stp>
        <stp>PX_ASK</stp>
        <stp>[QwackPricer.xlsx]Energy!R22C5</stp>
        <tr r="E22" s="3"/>
      </tp>
      <tp>
        <v>19.139377593994141</v>
        <stp/>
        <stp>##V3_BDPV12</stp>
        <stp>LA MAY21 10DC VOL LME Comdty</stp>
        <stp>PX_LAST</stp>
        <stp>[QwackPricer.xlsx]Base!R85C8</stp>
        <tr r="H85" s="2"/>
      </tp>
      <tp>
        <v>17.869514465332031</v>
        <stp/>
        <stp>##V3_BDPV12</stp>
        <stp>LA MAY21 10DP VOL LME Comdty</stp>
        <stp>PX_LAST</stp>
        <stp>[QwackPricer.xlsx]Base!R85C4</stp>
        <tr r="D85" s="2"/>
      </tp>
      <tp>
        <v>17.089687347412109</v>
        <stp/>
        <stp>##V3_BDPV12</stp>
        <stp>LA MAR22 10DC VOL LME Comdty</stp>
        <stp>PX_LAST</stp>
        <stp>[QwackPricer.xlsx]Base!R95C8</stp>
        <tr r="H95" s="2"/>
      </tp>
      <tp>
        <v>19.139383316040039</v>
        <stp/>
        <stp>##V3_BDPV12</stp>
        <stp>LA MAR22 10DP VOL LME Comdty</stp>
        <stp>PX_LAST</stp>
        <stp>[QwackPricer.xlsx]Base!R95C4</stp>
        <tr r="D95" s="2"/>
      </tp>
      <tp>
        <v>17.099594116210938</v>
        <stp/>
        <stp>##V3_BDPV12</stp>
        <stp>LA OCT21 25DC VOL LME Comdty</stp>
        <stp>PX_LAST</stp>
        <stp>[QwackPricer.xlsx]Base!R90C7</stp>
        <tr r="G90" s="2"/>
      </tp>
      <tp>
        <v>17.579549789428711</v>
        <stp/>
        <stp>##V3_BDPV12</stp>
        <stp>LA OCT21 25DP VOL LME Comdty</stp>
        <stp>PX_LAST</stp>
        <stp>[QwackPricer.xlsx]Base!R90C5</stp>
        <tr r="E90" s="2"/>
      </tp>
      <tp>
        <v>69.94</v>
        <stp/>
        <stp>##V3_BDPV12</stp>
        <stp>EUR9m Curncy</stp>
        <stp>PX_LAST</stp>
        <stp>[QwackPricer.xlsx]FX-IR!R40C4</stp>
        <tr r="D40" s="1"/>
      </tp>
      <tp>
        <v>9.2899999999999991</v>
        <stp/>
        <stp>##V3_BDPV12</stp>
        <stp>AUD9m Curncy</stp>
        <stp>PX_LAST</stp>
        <stp>[QwackPricer.xlsx]FX-IR!R40C5</stp>
        <tr r="E40" s="1"/>
      </tp>
      <tp>
        <v>61.32</v>
        <stp/>
        <stp>##V3_BDPV12</stp>
        <stp>COJ1 Comdty</stp>
        <stp>PX_ASK</stp>
        <stp>[QwackPricer.xlsx]Energy!R11C5</stp>
        <tr r="E11" s="3"/>
      </tp>
      <tp>
        <v>27.329355239868164</v>
        <stp/>
        <stp>##V3_BDPV12</stp>
        <stp>LP APR21 10DP VOL LME Comdty</stp>
        <stp>PX_LAST</stp>
        <stp>[QwackPricer.xlsx]Base!R84C15</stp>
        <tr r="O84" s="2"/>
      </tp>
      <tp>
        <v>25.989492416381836</v>
        <stp/>
        <stp>##V3_BDPV12</stp>
        <stp>LP APR21 25DP VOL LME Comdty</stp>
        <stp>PX_LAST</stp>
        <stp>[QwackPricer.xlsx]Base!R84C16</stp>
        <tr r="P84" s="2"/>
      </tp>
      <tp>
        <v>29.039749145507813</v>
        <stp/>
        <stp>##V3_BDPV12</stp>
        <stp>LN APR21 25DP VOL LME Comdty</stp>
        <stp>PX_LAST</stp>
        <stp>[QwackPricer.xlsx]Base!R84C38</stp>
        <tr r="AL84" s="2"/>
      </tp>
      <tp>
        <v>29.839570999145508</v>
        <stp/>
        <stp>##V3_BDPV12</stp>
        <stp>LN APR21 10DP VOL LME Comdty</stp>
        <stp>PX_LAST</stp>
        <stp>[QwackPricer.xlsx]Base!R84C37</stp>
        <tr r="AK84" s="2"/>
      </tp>
      <tp>
        <v>26.48931884765625</v>
        <stp/>
        <stp>##V3_BDPV12</stp>
        <stp>LX APR21 10DP VOL LME Comdty</stp>
        <stp>PX_LAST</stp>
        <stp>[QwackPricer.xlsx]Base!R84C26</stp>
        <tr r="Z84" s="2"/>
      </tp>
      <tp>
        <v>25.059444427490234</v>
        <stp/>
        <stp>##V3_BDPV12</stp>
        <stp>LX APR21 25DP VOL LME Comdty</stp>
        <stp>PX_LAST</stp>
        <stp>[QwackPricer.xlsx]Base!R84C27</stp>
        <tr r="AA84" s="2"/>
      </tp>
      <tp t="s">
        <v>#N/A N/A</v>
        <stp/>
        <stp>##V3_BDPV12</stp>
        <stp>COK5 Comdty</stp>
        <stp>PX_ASK</stp>
        <stp>[QwackPricer.xlsx]Energy!R60C5</stp>
        <tr r="E60" s="3"/>
      </tp>
      <tp>
        <v>26.029468536376953</v>
        <stp/>
        <stp>##V3_BDPV12</stp>
        <stp>LP AUG21 25DP VOL LME Comdty</stp>
        <stp>PX_LAST</stp>
        <stp>[QwackPricer.xlsx]Base!R88C16</stp>
        <tr r="P88" s="2"/>
      </tp>
      <tp>
        <v>27.619289398193359</v>
        <stp/>
        <stp>##V3_BDPV12</stp>
        <stp>LP AUG21 10DP VOL LME Comdty</stp>
        <stp>PX_LAST</stp>
        <stp>[QwackPricer.xlsx]Base!R88C15</stp>
        <tr r="O88" s="2"/>
      </tp>
      <tp>
        <v>25.929267883300781</v>
        <stp/>
        <stp>##V3_BDPV12</stp>
        <stp>LX AUG21 10DP VOL LME Comdty</stp>
        <stp>PX_LAST</stp>
        <stp>[QwackPricer.xlsx]Base!R88C26</stp>
        <tr r="Z88" s="2"/>
      </tp>
      <tp>
        <v>24.31947135925293</v>
        <stp/>
        <stp>##V3_BDPV12</stp>
        <stp>LX AUG21 25DP VOL LME Comdty</stp>
        <stp>PX_LAST</stp>
        <stp>[QwackPricer.xlsx]Base!R88C27</stp>
        <tr r="AA88" s="2"/>
      </tp>
      <tp>
        <v>29.919771194458008</v>
        <stp/>
        <stp>##V3_BDPV12</stp>
        <stp>LN AUG21 25DP VOL LME Comdty</stp>
        <stp>PX_LAST</stp>
        <stp>[QwackPricer.xlsx]Base!R88C38</stp>
        <tr r="AL88" s="2"/>
      </tp>
      <tp>
        <v>30.80955696105957</v>
        <stp/>
        <stp>##V3_BDPV12</stp>
        <stp>LN AUG21 10DP VOL LME Comdty</stp>
        <stp>PX_LAST</stp>
        <stp>[QwackPricer.xlsx]Base!R88C37</stp>
        <tr r="AK88" s="2"/>
      </tp>
      <tp>
        <v>23.86982536315918</v>
        <stp/>
        <stp>##V3_BDPV12</stp>
        <stp>LX APR21 25DC VOL LME Comdty</stp>
        <stp>PX_LAST</stp>
        <stp>[QwackPricer.xlsx]Base!R84C29</stp>
        <tr r="AC84" s="2"/>
      </tp>
      <tp>
        <v>24.159820556640625</v>
        <stp/>
        <stp>##V3_BDPV12</stp>
        <stp>LX APR21 10DC VOL LME Comdty</stp>
        <stp>PX_LAST</stp>
        <stp>[QwackPricer.xlsx]Base!R84C30</stp>
        <tr r="AD84" s="2"/>
      </tp>
      <tp>
        <v>31.99928092956543</v>
        <stp/>
        <stp>##V3_BDPV12</stp>
        <stp>LN AUG21 10DC VOL LME Comdty</stp>
        <stp>PX_LAST</stp>
        <stp>[QwackPricer.xlsx]Base!R88C41</stp>
        <tr r="AO88" s="2"/>
      </tp>
      <tp>
        <v>25.699407577514648</v>
        <stp/>
        <stp>##V3_BDPV12</stp>
        <stp>LP APR21 25DC VOL LME Comdty</stp>
        <stp>PX_LAST</stp>
        <stp>[QwackPricer.xlsx]Base!R84C18</stp>
        <tr r="R84" s="2"/>
      </tp>
      <tp>
        <v>30.749250411987305</v>
        <stp/>
        <stp>##V3_BDPV12</stp>
        <stp>LN AUG21 25DC VOL LME Comdty</stp>
        <stp>PX_LAST</stp>
        <stp>[QwackPricer.xlsx]Base!R88C40</stp>
        <tr r="AN88" s="2"/>
      </tp>
      <tp>
        <v>26.869350433349609</v>
        <stp/>
        <stp>##V3_BDPV12</stp>
        <stp>LP APR21 10DC VOL LME Comdty</stp>
        <stp>PX_LAST</stp>
        <stp>[QwackPricer.xlsx]Base!R84C19</stp>
        <tr r="S84" s="2"/>
      </tp>
      <tp>
        <v>22.909938812255859</v>
        <stp/>
        <stp>##V3_BDPV12</stp>
        <stp>LX AUG21 10DC VOL LME Comdty</stp>
        <stp>PX_LAST</stp>
        <stp>[QwackPricer.xlsx]Base!R88C30</stp>
        <tr r="AD88" s="2"/>
      </tp>
      <tp>
        <v>22.839931488037109</v>
        <stp/>
        <stp>##V3_BDPV12</stp>
        <stp>LX AUG21 25DC VOL LME Comdty</stp>
        <stp>PX_LAST</stp>
        <stp>[QwackPricer.xlsx]Base!R88C29</stp>
        <tr r="AC88" s="2"/>
      </tp>
      <tp>
        <v>25.30937385559082</v>
        <stp/>
        <stp>##V3_BDPV12</stp>
        <stp>LP AUG21 25DC VOL LME Comdty</stp>
        <stp>PX_LAST</stp>
        <stp>[QwackPricer.xlsx]Base!R88C18</stp>
        <tr r="R88" s="2"/>
      </tp>
      <tp>
        <v>31.42924690246582</v>
        <stp/>
        <stp>##V3_BDPV12</stp>
        <stp>LN APR21 10DC VOL LME Comdty</stp>
        <stp>PX_LAST</stp>
        <stp>[QwackPricer.xlsx]Base!R84C41</stp>
        <tr r="AO84" s="2"/>
      </tp>
      <tp>
        <v>26.469345092773438</v>
        <stp/>
        <stp>##V3_BDPV12</stp>
        <stp>LP AUG21 10DC VOL LME Comdty</stp>
        <stp>PX_LAST</stp>
        <stp>[QwackPricer.xlsx]Base!R88C19</stp>
        <tr r="S88" s="2"/>
      </tp>
      <tp>
        <v>30.049272537231445</v>
        <stp/>
        <stp>##V3_BDPV12</stp>
        <stp>LN APR21 25DC VOL LME Comdty</stp>
        <stp>PX_LAST</stp>
        <stp>[QwackPricer.xlsx]Base!R84C40</stp>
        <tr r="AN84" s="2"/>
      </tp>
      <tp>
        <v>17.10960578918457</v>
        <stp/>
        <stp>##V3_BDPV12</stp>
        <stp>LA NOV21 25DC VOL LME Comdty</stp>
        <stp>PX_LAST</stp>
        <stp>[QwackPricer.xlsx]Base!R91C7</stp>
        <tr r="G91" s="2"/>
      </tp>
      <tp>
        <v>17.499530792236328</v>
        <stp/>
        <stp>##V3_BDPV12</stp>
        <stp>LA NOV21 25DP VOL LME Comdty</stp>
        <stp>PX_LAST</stp>
        <stp>[QwackPricer.xlsx]Base!R91C5</stp>
        <tr r="E91" s="2"/>
      </tp>
      <tp>
        <v>17.829502105712891</v>
        <stp/>
        <stp>##V3_BDPV12</stp>
        <stp>LA APR21 10DP VOL LME Comdty</stp>
        <stp>PX_LAST</stp>
        <stp>[QwackPricer.xlsx]Base!R84C4</stp>
        <tr r="D84" s="2"/>
      </tp>
      <tp>
        <v>19.289377212524414</v>
        <stp/>
        <stp>##V3_BDPV12</stp>
        <stp>LA APR21 10DC VOL LME Comdty</stp>
        <stp>PX_LAST</stp>
        <stp>[QwackPricer.xlsx]Base!R84C8</stp>
        <tr r="H84" s="2"/>
      </tp>
      <tp>
        <v>16.989675521850586</v>
        <stp/>
        <stp>##V3_BDPV12</stp>
        <stp>LA FEB22 10DC VOL LME Comdty</stp>
        <stp>PX_LAST</stp>
        <stp>[QwackPricer.xlsx]Base!R94C8</stp>
        <tr r="H94" s="2"/>
      </tp>
      <tp>
        <v>19.129388809204102</v>
        <stp/>
        <stp>##V3_BDPV12</stp>
        <stp>LA FEB22 10DP VOL LME Comdty</stp>
        <stp>PX_LAST</stp>
        <stp>[QwackPricer.xlsx]Base!R94C4</stp>
        <tr r="D94" s="2"/>
      </tp>
      <tp>
        <v>26.469295501708984</v>
        <stp/>
        <stp>##V3_BDPV12</stp>
        <stp>LP APR22 10DP VOL LME Comdty</stp>
        <stp>PX_LAST</stp>
        <stp>[QwackPricer.xlsx]Base!R96C15</stp>
        <tr r="O96" s="2"/>
      </tp>
      <tp>
        <v>24.709480285644531</v>
        <stp/>
        <stp>##V3_BDPV12</stp>
        <stp>LP APR22 25DP VOL LME Comdty</stp>
        <stp>PX_LAST</stp>
        <stp>[QwackPricer.xlsx]Base!R96C16</stp>
        <tr r="P96" s="2"/>
      </tp>
      <tp>
        <v>29.959827423095703</v>
        <stp/>
        <stp>##V3_BDPV12</stp>
        <stp>LN APR22 25DP VOL LME Comdty</stp>
        <stp>PX_LAST</stp>
        <stp>[QwackPricer.xlsx]Base!R96C38</stp>
        <tr r="AL96" s="2"/>
      </tp>
      <tp>
        <v>30.899564743041992</v>
        <stp/>
        <stp>##V3_BDPV12</stp>
        <stp>LN APR22 10DP VOL LME Comdty</stp>
        <stp>PX_LAST</stp>
        <stp>[QwackPricer.xlsx]Base!R96C37</stp>
        <tr r="AK96" s="2"/>
      </tp>
      <tp>
        <v>56.230000000000004</v>
        <stp/>
        <stp>##V3_BDPV12</stp>
        <stp>COM2 Comdty</stp>
        <stp>PX_ASK</stp>
        <stp>[QwackPricer.xlsx]Energy!R25C5</stp>
        <tr r="E25" s="3"/>
      </tp>
      <tp>
        <v>56.45</v>
        <stp/>
        <stp>##V3_BDPV12</stp>
        <stp>CON2 Comdty</stp>
        <stp>PX_ASK</stp>
        <stp>[QwackPricer.xlsx]Energy!R26C5</stp>
        <tr r="E26" s="3"/>
      </tp>
      <tp>
        <v>25.859149932861328</v>
        <stp/>
        <stp>##V3_BDPV12</stp>
        <stp>LX APR22 10DP VOL LME Comdty</stp>
        <stp>PX_LAST</stp>
        <stp>[QwackPricer.xlsx]Base!R96C26</stp>
        <tr r="Z96" s="2"/>
      </tp>
      <tp>
        <v>23.849458694458008</v>
        <stp/>
        <stp>##V3_BDPV12</stp>
        <stp>LX APR22 25DP VOL LME Comdty</stp>
        <stp>PX_LAST</stp>
        <stp>[QwackPricer.xlsx]Base!R96C27</stp>
        <tr r="AA96" s="2"/>
      </tp>
      <tp>
        <v>21.959991455078125</v>
        <stp/>
        <stp>##V3_BDPV12</stp>
        <stp>LX APR22 25DC VOL LME Comdty</stp>
        <stp>PX_LAST</stp>
        <stp>[QwackPricer.xlsx]Base!R96C29</stp>
        <tr r="AC96" s="2"/>
      </tp>
      <tp>
        <v>21.839998245239258</v>
        <stp/>
        <stp>##V3_BDPV12</stp>
        <stp>LX APR22 10DC VOL LME Comdty</stp>
        <stp>PX_LAST</stp>
        <stp>[QwackPricer.xlsx]Base!R96C30</stp>
        <tr r="AD96" s="2"/>
      </tp>
      <tp>
        <v>23.239473342895508</v>
        <stp/>
        <stp>##V3_BDPV12</stp>
        <stp>LP APR22 25DC VOL LME Comdty</stp>
        <stp>PX_LAST</stp>
        <stp>[QwackPricer.xlsx]Base!R96C18</stp>
        <tr r="R96" s="2"/>
      </tp>
      <tp>
        <v>24.119447708129883</v>
        <stp/>
        <stp>##V3_BDPV12</stp>
        <stp>LP APR22 10DC VOL LME Comdty</stp>
        <stp>PX_LAST</stp>
        <stp>[QwackPricer.xlsx]Base!R96C19</stp>
        <tr r="S96" s="2"/>
      </tp>
      <tp>
        <v>32.419273376464844</v>
        <stp/>
        <stp>##V3_BDPV12</stp>
        <stp>LN APR22 10DC VOL LME Comdty</stp>
        <stp>PX_LAST</stp>
        <stp>[QwackPricer.xlsx]Base!R96C41</stp>
        <tr r="AO96" s="2"/>
      </tp>
      <tp>
        <v>31.179086685180664</v>
        <stp/>
        <stp>##V3_BDPV12</stp>
        <stp>LN APR22 25DC VOL LME Comdty</stp>
        <stp>PX_LAST</stp>
        <stp>[QwackPricer.xlsx]Base!R96C40</stp>
        <tr r="AN96" s="2"/>
      </tp>
      <tp>
        <v>18.229457855224609</v>
        <stp/>
        <stp>##V3_BDPV12</stp>
        <stp>LA JUL21 10DP VOL LME Comdty</stp>
        <stp>PX_LAST</stp>
        <stp>[QwackPricer.xlsx]Base!R87C4</stp>
        <tr r="D87" s="2"/>
      </tp>
      <tp>
        <v>18.699411392211914</v>
        <stp/>
        <stp>##V3_BDPV12</stp>
        <stp>LA JUL21 10DC VOL LME Comdty</stp>
        <stp>PX_LAST</stp>
        <stp>[QwackPricer.xlsx]Base!R87C8</stp>
        <tr r="H87" s="2"/>
      </tp>
      <tp>
        <v>16.70970344543457</v>
        <stp/>
        <stp>##V3_BDPV12</stp>
        <stp>LA MAY22 10DC VOL LME Comdty</stp>
        <stp>PX_LAST</stp>
        <stp>[QwackPricer.xlsx]Base!R97C8</stp>
        <tr r="H97" s="2"/>
      </tp>
      <tp>
        <v>19.049440383911133</v>
        <stp/>
        <stp>##V3_BDPV12</stp>
        <stp>LA MAY22 10DP VOL LME Comdty</stp>
        <stp>PX_LAST</stp>
        <stp>[QwackPricer.xlsx]Base!R97C4</stp>
        <tr r="D97" s="2"/>
      </tp>
      <tp>
        <v>17.069631576538086</v>
        <stp/>
        <stp>##V3_BDPV12</stp>
        <stp>LA DEC21 25DC VOL LME Comdty</stp>
        <stp>PX_LAST</stp>
        <stp>[QwackPricer.xlsx]Base!R92C7</stp>
        <tr r="G92" s="2"/>
      </tp>
      <tp>
        <v>17.459526062011719</v>
        <stp/>
        <stp>##V3_BDPV12</stp>
        <stp>LA DEC21 25DP VOL LME Comdty</stp>
        <stp>PX_LAST</stp>
        <stp>[QwackPricer.xlsx]Base!R92C5</stp>
        <tr r="E92" s="2"/>
      </tp>
      <tp>
        <v>22.48</v>
        <stp/>
        <stp>##V3_BDPV12</stp>
        <stp>EUR3m Curncy</stp>
        <stp>PX_LAST</stp>
        <stp>[QwackPricer.xlsx]FX-IR!R38C4</stp>
        <tr r="D38" s="1"/>
      </tp>
      <tp>
        <v>3.3</v>
        <stp/>
        <stp>##V3_BDPV12</stp>
        <stp>AUD3m Curncy</stp>
        <stp>PX_LAST</stp>
        <stp>[QwackPricer.xlsx]FX-IR!R38C5</stp>
        <tr r="E38" s="1"/>
      </tp>
      <tp>
        <v>60.93</v>
        <stp/>
        <stp>##V3_BDPV12</stp>
        <stp>COK1 Comdty</stp>
        <stp>PX_ASK</stp>
        <stp>[QwackPricer.xlsx]Energy!R12C5</stp>
        <tr r="E12" s="3"/>
      </tp>
      <tp>
        <v>57.19</v>
        <stp/>
        <stp>##V3_BDPV12</stp>
        <stp>COJ2 Comdty</stp>
        <stp>PX_ASK</stp>
        <stp>[QwackPricer.xlsx]Energy!R23C5</stp>
        <tr r="E23" s="3"/>
      </tp>
      <tp>
        <v>16.62969970703125</v>
        <stp/>
        <stp>##V3_BDPV12</stp>
        <stp>LA JAN22 25DC VOL LME Comdty</stp>
        <stp>PX_LAST</stp>
        <stp>[QwackPricer.xlsx]Base!R93C7</stp>
        <tr r="G93" s="2"/>
      </tp>
      <tp>
        <v>17.739511489868164</v>
        <stp/>
        <stp>##V3_BDPV12</stp>
        <stp>LA JAN22 25DP VOL LME Comdty</stp>
        <stp>PX_LAST</stp>
        <stp>[QwackPricer.xlsx]Base!R93C5</stp>
        <tr r="E93" s="2"/>
      </tp>
      <tp>
        <v>18.029499053955078</v>
        <stp/>
        <stp>##V3_BDPV12</stp>
        <stp>LA JUN21 10DP VOL LME Comdty</stp>
        <stp>PX_LAST</stp>
        <stp>[QwackPricer.xlsx]Base!R86C4</stp>
        <tr r="D86" s="2"/>
      </tp>
      <tp>
        <v>18.919389724731445</v>
        <stp/>
        <stp>##V3_BDPV12</stp>
        <stp>LA JUN21 10DC VOL LME Comdty</stp>
        <stp>PX_LAST</stp>
        <stp>[QwackPricer.xlsx]Base!R86C8</stp>
        <tr r="H86" s="2"/>
      </tp>
      <tp>
        <v>18.179380416870117</v>
        <stp/>
        <stp>##V3_BDPV12</stp>
        <stp>LA MAR21 25DC VOL LME Comdty</stp>
        <stp>PX_LAST</stp>
        <stp>[QwackPricer.xlsx]Base!R83C7</stp>
        <tr r="G83" s="2"/>
      </tp>
      <tp>
        <v>16.919776916503906</v>
        <stp/>
        <stp>##V3_BDPV12</stp>
        <stp>LA MAR21 25DP VOL LME Comdty</stp>
        <stp>PX_LAST</stp>
        <stp>[QwackPricer.xlsx]Base!R83C5</stp>
        <tr r="E83" s="2"/>
      </tp>
      <tp>
        <v>19.069425582885742</v>
        <stp/>
        <stp>##V3_BDPV12</stp>
        <stp>LA APR22 10DP VOL LME Comdty</stp>
        <stp>PX_LAST</stp>
        <stp>[QwackPricer.xlsx]Base!R96C4</stp>
        <tr r="D96" s="2"/>
      </tp>
      <tp>
        <v>16.729694366455078</v>
        <stp/>
        <stp>##V3_BDPV12</stp>
        <stp>LA APR22 10DC VOL LME Comdty</stp>
        <stp>PX_LAST</stp>
        <stp>[QwackPricer.xlsx]Base!R96C8</stp>
        <tr r="H96" s="2"/>
      </tp>
    </main>
    <main first="bofaddin.rtdserver">
      <tp t="e">
        <v>#N/A</v>
        <stp/>
        <stp>BDH|9171813266748792</stp>
        <tr r="D104" s="1"/>
      </tp>
    </main>
    <main first="bloomberg.rtd">
      <tp>
        <v>60.49</v>
        <stp/>
        <stp>##V3_BDPV12</stp>
        <stp>COM1 Comdty</stp>
        <stp>PX_ASK</stp>
        <stp>[QwackPricer.xlsx]Energy!R13C5</stp>
        <tr r="E13" s="3"/>
      </tp>
      <tp>
        <v>32.189262390136719</v>
        <stp/>
        <stp>##V3_BDPV12</stp>
        <stp>LN DEC21 10DC VOL LME Comdty</stp>
        <stp>PX_LAST</stp>
        <stp>[QwackPricer.xlsx]Base!R92C41</stp>
        <tr r="AO92" s="2"/>
      </tp>
      <tp>
        <v>30.829160690307617</v>
        <stp/>
        <stp>##V3_BDPV12</stp>
        <stp>LN DEC21 25DC VOL LME Comdty</stp>
        <stp>PX_LAST</stp>
        <stp>[QwackPricer.xlsx]Base!R92C40</stp>
        <tr r="AN92" s="2"/>
      </tp>
      <tp>
        <v>22.139999389648438</v>
        <stp/>
        <stp>##V3_BDPV12</stp>
        <stp>LX DEC21 10DC VOL LME Comdty</stp>
        <stp>PX_LAST</stp>
        <stp>[QwackPricer.xlsx]Base!R92C30</stp>
        <tr r="AD92" s="2"/>
      </tp>
      <tp t="s">
        <v>#N/A N/A</v>
        <stp/>
        <stp>##V3_BDPV12</stp>
        <stp>CON4 Comdty</stp>
        <stp>PX_ASK</stp>
        <stp>[QwackPricer.xlsx]Energy!R50C5</stp>
        <tr r="E50" s="3"/>
      </tp>
      <tp t="s">
        <v>#N/A N/A</v>
        <stp/>
        <stp>##V3_BDPV12</stp>
        <stp>COH4 Comdty</stp>
        <stp>PX_ASK</stp>
        <stp>[QwackPricer.xlsx]Energy!R46C5</stp>
        <tr r="E46" s="3"/>
      </tp>
      <tp>
        <v>22.129974365234375</v>
        <stp/>
        <stp>##V3_BDPV12</stp>
        <stp>LX DEC21 25DC VOL LME Comdty</stp>
        <stp>PX_LAST</stp>
        <stp>[QwackPricer.xlsx]Base!R92C29</stp>
        <tr r="AC92" s="2"/>
      </tp>
      <tp>
        <v>25.519351959228516</v>
        <stp/>
        <stp>##V3_BDPV12</stp>
        <stp>LP DEC21 25DC VOL LME Comdty</stp>
        <stp>PX_LAST</stp>
        <stp>[QwackPricer.xlsx]Base!R92C18</stp>
        <tr r="R92" s="2"/>
      </tp>
      <tp>
        <v>26.599357604980469</v>
        <stp/>
        <stp>##V3_BDPV12</stp>
        <stp>LP DEC21 10DC VOL LME Comdty</stp>
        <stp>PX_LAST</stp>
        <stp>[QwackPricer.xlsx]Base!R92C19</stp>
        <tr r="S92" s="2"/>
      </tp>
      <tp>
        <v>26.459468841552734</v>
        <stp/>
        <stp>##V3_BDPV12</stp>
        <stp>LP DEC21 25DP VOL LME Comdty</stp>
        <stp>PX_LAST</stp>
        <stp>[QwackPricer.xlsx]Base!R92C16</stp>
        <tr r="P92" s="2"/>
      </tp>
      <tp>
        <v>28.229240417480469</v>
        <stp/>
        <stp>##V3_BDPV12</stp>
        <stp>LP DEC21 10DP VOL LME Comdty</stp>
        <stp>PX_LAST</stp>
        <stp>[QwackPricer.xlsx]Base!R92C15</stp>
        <tr r="O92" s="2"/>
      </tp>
      <tp>
        <v>25.559179306030273</v>
        <stp/>
        <stp>##V3_BDPV12</stp>
        <stp>LX DEC21 10DP VOL LME Comdty</stp>
        <stp>PX_LAST</stp>
        <stp>[QwackPricer.xlsx]Base!R92C26</stp>
        <tr r="Z92" s="2"/>
      </tp>
      <tp>
        <v>23.709474563598633</v>
        <stp/>
        <stp>##V3_BDPV12</stp>
        <stp>LX DEC21 25DP VOL LME Comdty</stp>
        <stp>PX_LAST</stp>
        <stp>[QwackPricer.xlsx]Base!R92C27</stp>
        <tr r="AA92" s="2"/>
      </tp>
      <tp>
        <v>29.76982307434082</v>
        <stp/>
        <stp>##V3_BDPV12</stp>
        <stp>LN DEC21 25DP VOL LME Comdty</stp>
        <stp>PX_LAST</stp>
        <stp>[QwackPricer.xlsx]Base!R92C38</stp>
        <tr r="AL92" s="2"/>
      </tp>
      <tp>
        <v>30.599580764770508</v>
        <stp/>
        <stp>##V3_BDPV12</stp>
        <stp>LN DEC21 10DP VOL LME Comdty</stp>
        <stp>PX_LAST</stp>
        <stp>[QwackPricer.xlsx]Base!R92C37</stp>
        <tr r="AK92" s="2"/>
      </tp>
      <tp>
        <v>17.829601287841797</v>
        <stp/>
        <stp>##V3_BDPV12</stp>
        <stp>LA NOV21 10DC VOL LME Comdty</stp>
        <stp>PX_LAST</stp>
        <stp>[QwackPricer.xlsx]Base!R91C8</stp>
        <tr r="H91" s="2"/>
      </tp>
      <tp>
        <v>19.099288940429688</v>
        <stp/>
        <stp>##V3_BDPV12</stp>
        <stp>LA NOV21 10DP VOL LME Comdty</stp>
        <stp>PX_LAST</stp>
        <stp>[QwackPricer.xlsx]Base!R91C4</stp>
        <tr r="D91" s="2"/>
      </tp>
      <tp>
        <v>16.899785995483398</v>
        <stp/>
        <stp>##V3_BDPV12</stp>
        <stp>LA APR21 25DP VOL LME Comdty</stp>
        <stp>PX_LAST</stp>
        <stp>[QwackPricer.xlsx]Base!R84C5</stp>
        <tr r="E84" s="2"/>
      </tp>
      <tp>
        <v>18.109426498413086</v>
        <stp/>
        <stp>##V3_BDPV12</stp>
        <stp>LA APR21 25DC VOL LME Comdty</stp>
        <stp>PX_LAST</stp>
        <stp>[QwackPricer.xlsx]Base!R84C7</stp>
        <tr r="G84" s="2"/>
      </tp>
      <tp>
        <v>16.51971435546875</v>
        <stp/>
        <stp>##V3_BDPV12</stp>
        <stp>LA FEB22 25DC VOL LME Comdty</stp>
        <stp>PX_LAST</stp>
        <stp>[QwackPricer.xlsx]Base!R94C7</stp>
        <tr r="G94" s="2"/>
      </tp>
      <tp>
        <v>17.739503860473633</v>
        <stp/>
        <stp>##V3_BDPV12</stp>
        <stp>LA FEB22 25DP VOL LME Comdty</stp>
        <stp>PX_LAST</stp>
        <stp>[QwackPricer.xlsx]Base!R94C5</stp>
        <tr r="E94" s="2"/>
      </tp>
      <tp>
        <v>-0.5</v>
        <stp/>
        <stp>##V3_BDPV12</stp>
        <stp>XPTSR1w  Curncy</stp>
        <stp>PX_LAST</stp>
        <stp>[QwackPricer.xlsx]FX-IR!R52C5</stp>
        <tr r="E52" s="1"/>
      </tp>
      <tp>
        <v>54.94</v>
        <stp/>
        <stp>##V3_BDPV12</stp>
        <stp>COJ3 Comdty</stp>
        <stp>PX_ASK</stp>
        <stp>[QwackPricer.xlsx]Energy!R35C5</stp>
        <tr r="E35" s="3"/>
      </tp>
      <tp>
        <v>56.980000000000004</v>
        <stp/>
        <stp>##V3_BDPV12</stp>
        <stp>COK2 Comdty</stp>
        <stp>PX_ASK</stp>
        <stp>[QwackPricer.xlsx]Energy!R24C5</stp>
        <tr r="E24" s="3"/>
      </tp>
      <tp>
        <v>32.399272918701172</v>
        <stp/>
        <stp>##V3_BDPV12</stp>
        <stp>LN FEB22 10DC VOL LME Comdty</stp>
        <stp>PX_LAST</stp>
        <stp>[QwackPricer.xlsx]Base!R94C41</stp>
        <tr r="AO94" s="2"/>
      </tp>
      <tp>
        <v>31.169118881225586</v>
        <stp/>
        <stp>##V3_BDPV12</stp>
        <stp>LN FEB22 25DC VOL LME Comdty</stp>
        <stp>PX_LAST</stp>
        <stp>[QwackPricer.xlsx]Base!R94C40</stp>
        <tr r="AN94" s="2"/>
      </tp>
      <tp>
        <v>21.879997253417969</v>
        <stp/>
        <stp>##V3_BDPV12</stp>
        <stp>LX FEB22 10DC VOL LME Comdty</stp>
        <stp>PX_LAST</stp>
        <stp>[QwackPricer.xlsx]Base!R94C30</stp>
        <tr r="AD94" s="2"/>
      </tp>
      <tp>
        <v>21.979988098144531</v>
        <stp/>
        <stp>##V3_BDPV12</stp>
        <stp>LX FEB22 25DC VOL LME Comdty</stp>
        <stp>PX_LAST</stp>
        <stp>[QwackPricer.xlsx]Base!R94C29</stp>
        <tr r="AC94" s="2"/>
      </tp>
      <tp>
        <v>24.049421310424805</v>
        <stp/>
        <stp>##V3_BDPV12</stp>
        <stp>LP FEB22 25DC VOL LME Comdty</stp>
        <stp>PX_LAST</stp>
        <stp>[QwackPricer.xlsx]Base!R94C18</stp>
        <tr r="R94" s="2"/>
      </tp>
      <tp>
        <v>25.029397964477539</v>
        <stp/>
        <stp>##V3_BDPV12</stp>
        <stp>LP FEB22 10DC VOL LME Comdty</stp>
        <stp>PX_LAST</stp>
        <stp>[QwackPricer.xlsx]Base!R94C19</stp>
        <tr r="S94" s="2"/>
      </tp>
      <tp>
        <v>27.089277267456055</v>
        <stp/>
        <stp>##V3_BDPV12</stp>
        <stp>LP FEB22 10DP VOL LME Comdty</stp>
        <stp>PX_LAST</stp>
        <stp>[QwackPricer.xlsx]Base!R94C15</stp>
        <tr r="O94" s="2"/>
      </tp>
      <tp>
        <v>25.319473266601563</v>
        <stp/>
        <stp>##V3_BDPV12</stp>
        <stp>LP FEB22 25DP VOL LME Comdty</stp>
        <stp>PX_LAST</stp>
        <stp>[QwackPricer.xlsx]Base!R94C16</stp>
        <tr r="P94" s="2"/>
      </tp>
      <tp>
        <v>25.789157867431641</v>
        <stp/>
        <stp>##V3_BDPV12</stp>
        <stp>LX FEB22 10DP VOL LME Comdty</stp>
        <stp>PX_LAST</stp>
        <stp>[QwackPricer.xlsx]Base!R94C26</stp>
        <tr r="Z94" s="2"/>
      </tp>
      <tp>
        <v>23.829448699951172</v>
        <stp/>
        <stp>##V3_BDPV12</stp>
        <stp>LX FEB22 25DP VOL LME Comdty</stp>
        <stp>PX_LAST</stp>
        <stp>[QwackPricer.xlsx]Base!R94C27</stp>
        <tr r="AA94" s="2"/>
      </tp>
      <tp>
        <v>29.969825744628906</v>
        <stp/>
        <stp>##V3_BDPV12</stp>
        <stp>LN FEB22 25DP VOL LME Comdty</stp>
        <stp>PX_LAST</stp>
        <stp>[QwackPricer.xlsx]Base!R94C38</stp>
        <tr r="AL94" s="2"/>
      </tp>
      <tp>
        <v>30.859575271606445</v>
        <stp/>
        <stp>##V3_BDPV12</stp>
        <stp>LN FEB22 10DP VOL LME Comdty</stp>
        <stp>PX_LAST</stp>
        <stp>[QwackPricer.xlsx]Base!R94C37</stp>
        <tr r="AK94" s="2"/>
      </tp>
      <tp>
        <v>17.919416427612305</v>
        <stp/>
        <stp>##V3_BDPV12</stp>
        <stp>LA MAY21 25DC VOL LME Comdty</stp>
        <stp>PX_LAST</stp>
        <stp>[QwackPricer.xlsx]Base!R85C7</stp>
        <tr r="G85" s="2"/>
      </tp>
      <tp>
        <v>17.049760818481445</v>
        <stp/>
        <stp>##V3_BDPV12</stp>
        <stp>LA MAY21 25DP VOL LME Comdty</stp>
        <stp>PX_LAST</stp>
        <stp>[QwackPricer.xlsx]Base!R85C5</stp>
        <tr r="E85" s="2"/>
      </tp>
      <tp>
        <v>16.47967529296875</v>
        <stp/>
        <stp>##V3_BDPV12</stp>
        <stp>LA MAR22 25DC VOL LME Comdty</stp>
        <stp>PX_LAST</stp>
        <stp>[QwackPricer.xlsx]Base!R95C7</stp>
        <tr r="G95" s="2"/>
      </tp>
      <tp>
        <v>17.649494171142578</v>
        <stp/>
        <stp>##V3_BDPV12</stp>
        <stp>LA MAR22 25DP VOL LME Comdty</stp>
        <stp>PX_LAST</stp>
        <stp>[QwackPricer.xlsx]Base!R95C5</stp>
        <tr r="E95" s="2"/>
      </tp>
      <tp>
        <v>17.839544296264648</v>
        <stp/>
        <stp>##V3_BDPV12</stp>
        <stp>LA OCT21 10DC VOL LME Comdty</stp>
        <stp>PX_LAST</stp>
        <stp>[QwackPricer.xlsx]Base!R90C8</stp>
        <tr r="H90" s="2"/>
      </tp>
      <tp>
        <v>18.989336013793945</v>
        <stp/>
        <stp>##V3_BDPV12</stp>
        <stp>LA OCT21 10DP VOL LME Comdty</stp>
        <stp>PX_LAST</stp>
        <stp>[QwackPricer.xlsx]Base!R90C4</stp>
        <tr r="D90" s="2"/>
      </tp>
      <tp>
        <v>0.15</v>
        <stp/>
        <stp>##V3_BDPV12</stp>
        <stp>XAUSR1w  Curncy</stp>
        <stp>PX_LAST</stp>
        <stp>[QwackPricer.xlsx]FX-IR!R52C3</stp>
        <tr r="C52" s="1"/>
      </tp>
      <tp>
        <v>55.03</v>
        <stp/>
        <stp>##V3_BDPV12</stp>
        <stp>COH3 Comdty</stp>
        <stp>PX_ASK</stp>
        <stp>[QwackPricer.xlsx]Energy!R34C5</stp>
        <tr r="E34" s="3"/>
      </tp>
      <tp>
        <v>52.620000000000005</v>
        <stp/>
        <stp>##V3_BDPV12</stp>
        <stp>COM5 Comdty</stp>
        <stp>PX_ASK</stp>
        <stp>[QwackPricer.xlsx]Energy!R61C5</stp>
        <tr r="E61" s="3"/>
      </tp>
      <tp t="s">
        <v>#N/A N/A</v>
        <stp/>
        <stp>##V3_BDPV12</stp>
        <stp>CON5 Comdty</stp>
        <stp>PX_ASK</stp>
        <stp>[QwackPricer.xlsx]Energy!R62C5</stp>
        <tr r="E62" s="3"/>
      </tp>
      <tp>
        <v>17.099662780761719</v>
        <stp/>
        <stp>##V3_BDPV12</stp>
        <stp>LA JAN22 10DC VOL LME Comdty</stp>
        <stp>PX_LAST</stp>
        <stp>[QwackPricer.xlsx]Base!R93C8</stp>
        <tr r="H93" s="2"/>
      </tp>
      <tp>
        <v>19.119375228881836</v>
        <stp/>
        <stp>##V3_BDPV12</stp>
        <stp>LA JAN22 10DP VOL LME Comdty</stp>
        <stp>PX_LAST</stp>
        <stp>[QwackPricer.xlsx]Base!R93C4</stp>
        <tr r="D93" s="2"/>
      </tp>
      <tp>
        <v>17.119733810424805</v>
        <stp/>
        <stp>##V3_BDPV12</stp>
        <stp>LA JUN21 25DP VOL LME Comdty</stp>
        <stp>PX_LAST</stp>
        <stp>[QwackPricer.xlsx]Base!R86C5</stp>
        <tr r="E86" s="2"/>
      </tp>
      <tp>
        <v>17.759439468383789</v>
        <stp/>
        <stp>##V3_BDPV12</stp>
        <stp>LA JUN21 25DC VOL LME Comdty</stp>
        <stp>PX_LAST</stp>
        <stp>[QwackPricer.xlsx]Base!R86C7</stp>
        <tr r="G86" s="2"/>
      </tp>
      <tp>
        <v>19.579320907592773</v>
        <stp/>
        <stp>##V3_BDPV12</stp>
        <stp>LA MAR21 10DC VOL LME Comdty</stp>
        <stp>PX_LAST</stp>
        <stp>[QwackPricer.xlsx]Base!R83C8</stp>
        <tr r="H83" s="2"/>
      </tp>
      <tp>
        <v>17.799493789672852</v>
        <stp/>
        <stp>##V3_BDPV12</stp>
        <stp>LA MAR21 10DP VOL LME Comdty</stp>
        <stp>PX_LAST</stp>
        <stp>[QwackPricer.xlsx]Base!R83C4</stp>
        <tr r="D83" s="2"/>
      </tp>
      <tp>
        <v>17.669500350952148</v>
        <stp/>
        <stp>##V3_BDPV12</stp>
        <stp>LA APR22 25DP VOL LME Comdty</stp>
        <stp>PX_LAST</stp>
        <stp>[QwackPricer.xlsx]Base!R96C5</stp>
        <tr r="E96" s="2"/>
      </tp>
      <tp>
        <v>16.279727935791016</v>
        <stp/>
        <stp>##V3_BDPV12</stp>
        <stp>LA APR22 25DC VOL LME Comdty</stp>
        <stp>PX_LAST</stp>
        <stp>[QwackPricer.xlsx]Base!R96C7</stp>
        <tr r="G96" s="2"/>
      </tp>
      <tp>
        <v>45.75</v>
        <stp/>
        <stp>##V3_BDPV12</stp>
        <stp>EUR6m Curncy</stp>
        <stp>PX_LAST</stp>
        <stp>[QwackPricer.xlsx]FX-IR!R39C4</stp>
        <tr r="D39" s="1"/>
      </tp>
      <tp>
        <v>6.35</v>
        <stp/>
        <stp>##V3_BDPV12</stp>
        <stp>AUD6m Curncy</stp>
        <stp>PX_LAST</stp>
        <stp>[QwackPricer.xlsx]FX-IR!R39C5</stp>
        <tr r="E39" s="1"/>
      </tp>
      <tp>
        <v>54.85</v>
        <stp/>
        <stp>##V3_BDPV12</stp>
        <stp>COK3 Comdty</stp>
        <stp>PX_ASK</stp>
        <stp>[QwackPricer.xlsx]Energy!R36C5</stp>
        <tr r="E36" s="3"/>
      </tp>
      <tp t="s">
        <v>#N/A N/A</v>
        <stp/>
        <stp>##V3_BDPV12</stp>
        <stp>COJ4 Comdty</stp>
        <stp>PX_ASK</stp>
        <stp>[QwackPricer.xlsx]Energy!R47C5</stp>
        <tr r="E47" s="3"/>
      </tp>
      <tp>
        <v>17.209693908691406</v>
        <stp/>
        <stp>##V3_BDPV12</stp>
        <stp>LA JUL21 25DP VOL LME Comdty</stp>
        <stp>PX_LAST</stp>
        <stp>[QwackPricer.xlsx]Base!R87C5</stp>
        <tr r="E87" s="2"/>
      </tp>
      <tp>
        <v>17.589462280273438</v>
        <stp/>
        <stp>##V3_BDPV12</stp>
        <stp>LA JUL21 25DC VOL LME Comdty</stp>
        <stp>PX_LAST</stp>
        <stp>[QwackPricer.xlsx]Base!R87C7</stp>
        <tr r="G87" s="2"/>
      </tp>
      <tp>
        <v>16.249734878540039</v>
        <stp/>
        <stp>##V3_BDPV12</stp>
        <stp>LA MAY22 25DC VOL LME Comdty</stp>
        <stp>PX_LAST</stp>
        <stp>[QwackPricer.xlsx]Base!R97C7</stp>
        <tr r="G97" s="2"/>
      </tp>
      <tp>
        <v>17.679506301879883</v>
        <stp/>
        <stp>##V3_BDPV12</stp>
        <stp>LA MAY22 25DP VOL LME Comdty</stp>
        <stp>PX_LAST</stp>
        <stp>[QwackPricer.xlsx]Base!R97C5</stp>
        <tr r="E97" s="2"/>
      </tp>
      <tp>
        <v>17.719648361206055</v>
        <stp/>
        <stp>##V3_BDPV12</stp>
        <stp>LA DEC21 10DC VOL LME Comdty</stp>
        <stp>PX_LAST</stp>
        <stp>[QwackPricer.xlsx]Base!R92C8</stp>
        <tr r="H92" s="2"/>
      </tp>
      <tp>
        <v>19.059267044067383</v>
        <stp/>
        <stp>##V3_BDPV12</stp>
        <stp>LA DEC21 10DP VOL LME Comdty</stp>
        <stp>PX_LAST</stp>
        <stp>[QwackPricer.xlsx]Base!R92C4</stp>
        <tr r="D92" s="2"/>
      </tp>
      <tp t="s">
        <v>#N/A N/A</v>
        <stp/>
        <stp>##V3_BDPV12</stp>
        <stp>COQ5 Comdty</stp>
        <stp>PX_ASK</stp>
        <stp>[QwackPricer.xlsx]Energy!R63C5</stp>
        <tr r="E63" s="3"/>
      </tp>
      <tp>
        <v>59.120000000000005</v>
        <stp/>
        <stp>##V3_BDPV12</stp>
        <stp>COU1 Comdty</stp>
        <stp>PX_ASK</stp>
        <stp>[QwackPricer.xlsx]Energy!R16C5</stp>
        <tr r="E16" s="3"/>
      </tp>
      <tp>
        <v>57.910000000000004</v>
        <stp/>
        <stp>##V3_BDPV12</stp>
        <stp>COZ1 Comdty</stp>
        <stp>PX_ASK</stp>
        <stp>[QwackPricer.xlsx]Energy!R19C5</stp>
        <tr r="E19" s="3"/>
      </tp>
      <tp t="s">
        <v>#N/A N/A</v>
        <stp/>
        <stp>##V3_BDPV12</stp>
        <stp>COV5 Comdty</stp>
        <stp>PX_ASK</stp>
        <stp>[QwackPricer.xlsx]Energy!R65C5</stp>
        <tr r="E65" s="3"/>
      </tp>
      <tp>
        <v>12.9</v>
        <stp/>
        <stp>##V3_BDPV12</stp>
        <stp>AUD12m Curncy</stp>
        <stp>PX_LAST</stp>
        <stp>[QwackPricer.xlsx]FX-IR!R41C5</stp>
        <tr r="E41" s="1"/>
      </tp>
      <tp>
        <v>58.29</v>
        <stp/>
        <stp>##V3_BDPV12</stp>
        <stp>COX1 Comdty</stp>
        <stp>PX_ASK</stp>
        <stp>[QwackPricer.xlsx]Energy!R18C5</stp>
        <tr r="E18" s="3"/>
      </tp>
      <tp t="s">
        <v>#N/A N/A</v>
        <stp/>
        <stp>##V3_BDPV12</stp>
        <stp>COQ4 Comdty</stp>
        <stp>PX_ASK</stp>
        <stp>[QwackPricer.xlsx]Energy!R51C5</stp>
        <tr r="E51" s="3"/>
      </tp>
      <tp>
        <v>3.6419999999999999</v>
        <stp/>
        <stp>##V3_BDPV12</stp>
        <stp>JIBA3M Curncy</stp>
        <stp>PX_LAST</stp>
        <stp>[QwackPricer.xlsx]FX-IR!R68C9</stp>
        <tr r="I68" s="1"/>
      </tp>
      <tp>
        <v>58.69</v>
        <stp/>
        <stp>##V3_BDPV12</stp>
        <stp>COV1 Comdty</stp>
        <stp>PX_ASK</stp>
        <stp>[QwackPricer.xlsx]Energy!R17C5</stp>
        <tr r="E17" s="3"/>
      </tp>
      <tp t="s">
        <v>#N/A N/A</v>
        <stp/>
        <stp>##V3_BDPV12</stp>
        <stp>COU5 Comdty</stp>
        <stp>PX_ASK</stp>
        <stp>[QwackPricer.xlsx]Energy!R64C5</stp>
        <tr r="E64" s="3"/>
      </tp>
      <tp>
        <v>22.660051345825195</v>
        <stp/>
        <stp>##V3_BDPV12</stp>
        <stp>LX SEP21 50D VOL LME Comdty</stp>
        <stp>PX_LAST</stp>
        <stp>[QwackPricer.xlsx]Base!R89C28</stp>
        <tr r="AB89" s="2"/>
      </tp>
      <tp>
        <v>29.649951934814453</v>
        <stp/>
        <stp>##V3_BDPV12</stp>
        <stp>LN SEP21 50D VOL LME Comdty</stp>
        <stp>PX_LAST</stp>
        <stp>[QwackPricer.xlsx]Base!R89C39</stp>
        <tr r="AM89" s="2"/>
      </tp>
      <tp>
        <v>24.600032806396484</v>
        <stp/>
        <stp>##V3_BDPV12</stp>
        <stp>LP SEP21 50D VOL LME Comdty</stp>
        <stp>PX_LAST</stp>
        <stp>[QwackPricer.xlsx]Base!R89C17</stp>
        <tr r="Q89" s="2"/>
      </tp>
      <tp>
        <v>22.520053863525391</v>
        <stp/>
        <stp>##V3_BDPV12</stp>
        <stp>LX OCT21 50D VOL LME Comdty</stp>
        <stp>PX_LAST</stp>
        <stp>[QwackPricer.xlsx]Base!R90C28</stp>
        <tr r="AB90" s="2"/>
      </tp>
      <tp>
        <v>29.729881286621094</v>
        <stp/>
        <stp>##V3_BDPV12</stp>
        <stp>LN MAY22 50D VOL LME Comdty</stp>
        <stp>PX_LAST</stp>
        <stp>[QwackPricer.xlsx]Base!R97C39</stp>
        <tr r="AM97" s="2"/>
      </tp>
      <tp>
        <v>29.709894180297852</v>
        <stp/>
        <stp>##V3_BDPV12</stp>
        <stp>LN MAR22 50D VOL LME Comdty</stp>
        <stp>PX_LAST</stp>
        <stp>[QwackPricer.xlsx]Base!R95C39</stp>
        <tr r="AM95" s="2"/>
      </tp>
      <tp>
        <v>29.639938354492188</v>
        <stp/>
        <stp>##V3_BDPV12</stp>
        <stp>LN NOV21 50D VOL LME Comdty</stp>
        <stp>PX_LAST</stp>
        <stp>[QwackPricer.xlsx]Base!R91C39</stp>
        <tr r="AM91" s="2"/>
      </tp>
      <tp>
        <v>29.649948120117188</v>
        <stp/>
        <stp>##V3_BDPV12</stp>
        <stp>LN OCT21 50D VOL LME Comdty</stp>
        <stp>PX_LAST</stp>
        <stp>[QwackPricer.xlsx]Base!R90C39</stp>
        <tr r="AM90" s="2"/>
      </tp>
      <tp>
        <v>22.000093460083008</v>
        <stp/>
        <stp>##V3_BDPV12</stp>
        <stp>LX MAY22 50D VOL LME Comdty</stp>
        <stp>PX_LAST</stp>
        <stp>[QwackPricer.xlsx]Base!R97C28</stp>
        <tr r="AB97" s="2"/>
      </tp>
      <tp>
        <v>22.000083923339844</v>
        <stp/>
        <stp>##V3_BDPV12</stp>
        <stp>LX MAR22 50D VOL LME Comdty</stp>
        <stp>PX_LAST</stp>
        <stp>[QwackPricer.xlsx]Base!R95C28</stp>
        <tr r="AB95" s="2"/>
      </tp>
      <tp>
        <v>24.940004348754883</v>
        <stp/>
        <stp>##V3_BDPV12</stp>
        <stp>LP MAR21 50D VOL LME Comdty</stp>
        <stp>PX_LAST</stp>
        <stp>[QwackPricer.xlsx]Base!R83C17</stp>
        <tr r="Q83" s="2"/>
      </tp>
      <tp>
        <v>22.380054473876953</v>
        <stp/>
        <stp>##V3_BDPV12</stp>
        <stp>LX NOV21 50D VOL LME Comdty</stp>
        <stp>PX_LAST</stp>
        <stp>[QwackPricer.xlsx]Base!R91C28</stp>
        <tr r="AB91" s="2"/>
      </tp>
      <tp>
        <v>24.710012435913086</v>
        <stp/>
        <stp>##V3_BDPV12</stp>
        <stp>LP MAY21 50D VOL LME Comdty</stp>
        <stp>PX_LAST</stp>
        <stp>[QwackPricer.xlsx]Base!R85C17</stp>
        <tr r="Q85" s="2"/>
      </tp>
      <tp>
        <v>24.700044631958008</v>
        <stp/>
        <stp>##V3_BDPV12</stp>
        <stp>LP NOV21 50D VOL LME Comdty</stp>
        <stp>PX_LAST</stp>
        <stp>[QwackPricer.xlsx]Base!R91C17</stp>
        <tr r="Q91" s="2"/>
      </tp>
      <tp>
        <v>23.570030212402344</v>
        <stp/>
        <stp>##V3_BDPV12</stp>
        <stp>LX MAY21 50D VOL LME Comdty</stp>
        <stp>PX_LAST</stp>
        <stp>[QwackPricer.xlsx]Base!R85C28</stp>
        <tr r="AB85" s="2"/>
      </tp>
      <tp>
        <v>23.850011825561523</v>
        <stp/>
        <stp>##V3_BDPV12</stp>
        <stp>LX MAR21 50D VOL LME Comdty</stp>
        <stp>PX_LAST</stp>
        <stp>[QwackPricer.xlsx]Base!R83C28</stp>
        <tr r="AB83" s="2"/>
      </tp>
      <tp>
        <v>23.100078582763672</v>
        <stp/>
        <stp>##V3_BDPV12</stp>
        <stp>LP MAR22 50D VOL LME Comdty</stp>
        <stp>PX_LAST</stp>
        <stp>[QwackPricer.xlsx]Base!R95C17</stp>
        <tr r="Q95" s="2"/>
      </tp>
      <tp>
        <v>22.320095062255859</v>
        <stp/>
        <stp>##V3_BDPV12</stp>
        <stp>LP MAY22 50D VOL LME Comdty</stp>
        <stp>PX_LAST</stp>
        <stp>[QwackPricer.xlsx]Base!R97C17</stp>
        <tr r="Q97" s="2"/>
      </tp>
      <tp>
        <v>29.059963226318359</v>
        <stp/>
        <stp>##V3_BDPV12</stp>
        <stp>LN MAY21 50D VOL LME Comdty</stp>
        <stp>PX_LAST</stp>
        <stp>[QwackPricer.xlsx]Base!R85C39</stp>
        <tr r="AM85" s="2"/>
      </tp>
      <tp>
        <v>27.909982681274414</v>
        <stp/>
        <stp>##V3_BDPV12</stp>
        <stp>LN MAR21 50D VOL LME Comdty</stp>
        <stp>PX_LAST</stp>
        <stp>[QwackPricer.xlsx]Base!R83C39</stp>
        <tr r="AM83" s="2"/>
      </tp>
      <tp>
        <v>24.65003776550293</v>
        <stp/>
        <stp>##V3_BDPV12</stp>
        <stp>LP OCT21 50D VOL LME Comdty</stp>
        <stp>PX_LAST</stp>
        <stp>[QwackPricer.xlsx]Base!R90C17</stp>
        <tr r="Q90" s="2"/>
      </tp>
      <tp>
        <v>29.309959411621094</v>
        <stp/>
        <stp>##V3_BDPV12</stp>
        <stp>LN JUN21 50D VOL LME Comdty</stp>
        <stp>PX_LAST</stp>
        <stp>[QwackPricer.xlsx]Base!R86C39</stp>
        <tr r="AM86" s="2"/>
      </tp>
      <tp>
        <v>29.499958038330078</v>
        <stp/>
        <stp>##V3_BDPV12</stp>
        <stp>LN JUL21 50D VOL LME Comdty</stp>
        <stp>PX_LAST</stp>
        <stp>[QwackPricer.xlsx]Base!R87C39</stp>
        <tr r="AM87" s="2"/>
      </tp>
      <tp>
        <v>24.00006103515625</v>
        <stp/>
        <stp>##V3_BDPV12</stp>
        <stp>LP JAN22 50D VOL LME Comdty</stp>
        <stp>PX_LAST</stp>
        <stp>[QwackPricer.xlsx]Base!R93C17</stp>
        <tr r="Q93" s="2"/>
      </tp>
      <tp>
        <v>23.100042343139648</v>
        <stp/>
        <stp>##V3_BDPV12</stp>
        <stp>LX JUL21 50D VOL LME Comdty</stp>
        <stp>PX_LAST</stp>
        <stp>[QwackPricer.xlsx]Base!R87C28</stp>
        <tr r="AB87" s="2"/>
      </tp>
      <tp>
        <v>23.360036849975586</v>
        <stp/>
        <stp>##V3_BDPV12</stp>
        <stp>LX JUN21 50D VOL LME Comdty</stp>
        <stp>PX_LAST</stp>
        <stp>[QwackPricer.xlsx]Base!R86C28</stp>
        <tr r="AB86" s="2"/>
      </tp>
      <tp>
        <v>22.000101089477539</v>
        <stp/>
        <stp>##V3_BDPV12</stp>
        <stp>LP JUN22 50D VOL LME Comdty</stp>
        <stp>PX_LAST</stp>
        <stp>[QwackPricer.xlsx]Base!R98C17</stp>
        <tr r="Q98" s="2"/>
      </tp>
      <tp>
        <v>21.840106964111328</v>
        <stp/>
        <stp>##V3_BDPV12</stp>
        <stp>LP JUL22 50D VOL LME Comdty</stp>
        <stp>PX_LAST</stp>
        <stp>[QwackPricer.xlsx]Base!R99C17</stp>
        <tr r="Q99" s="2"/>
      </tp>
      <tp>
        <v>22.020071029663086</v>
        <stp/>
        <stp>##V3_BDPV12</stp>
        <stp>LX JAN22 50D VOL LME Comdty</stp>
        <stp>PX_LAST</stp>
        <stp>[QwackPricer.xlsx]Base!R93C28</stp>
        <tr r="AB93" s="2"/>
      </tp>
      <tp>
        <v>21.960094451904297</v>
        <stp/>
        <stp>##V3_BDPV12</stp>
        <stp>LX JUN22 50D VOL LME Comdty</stp>
        <stp>PX_LAST</stp>
        <stp>[QwackPricer.xlsx]Base!R98C28</stp>
        <tr r="AB98" s="2"/>
      </tp>
      <tp>
        <v>21.99009895324707</v>
        <stp/>
        <stp>##V3_BDPV12</stp>
        <stp>LX JUL22 50D VOL LME Comdty</stp>
        <stp>PX_LAST</stp>
        <stp>[QwackPricer.xlsx]Base!R99C28</stp>
        <tr r="AB99" s="2"/>
      </tp>
      <tp>
        <v>24.54002571105957</v>
        <stp/>
        <stp>##V3_BDPV12</stp>
        <stp>LP JUL21 50D VOL LME Comdty</stp>
        <stp>PX_LAST</stp>
        <stp>[QwackPricer.xlsx]Base!R87C17</stp>
        <tr r="Q87" s="2"/>
      </tp>
      <tp>
        <v>24.570018768310547</v>
        <stp/>
        <stp>##V3_BDPV12</stp>
        <stp>LP JUN21 50D VOL LME Comdty</stp>
        <stp>PX_LAST</stp>
        <stp>[QwackPricer.xlsx]Base!R86C17</stp>
        <tr r="Q86" s="2"/>
      </tp>
      <tp>
        <v>29.729913711547852</v>
        <stp/>
        <stp>##V3_BDPV12</stp>
        <stp>LN JAN22 50D VOL LME Comdty</stp>
        <stp>PX_LAST</stp>
        <stp>[QwackPricer.xlsx]Base!R93C39</stp>
        <tr r="AM93" s="2"/>
      </tp>
      <tp>
        <v>29.729867935180664</v>
        <stp/>
        <stp>##V3_BDPV12</stp>
        <stp>LN JUL22 50D VOL LME Comdty</stp>
        <stp>PX_LAST</stp>
        <stp>[QwackPricer.xlsx]Base!R99C39</stp>
        <tr r="AM99" s="2"/>
      </tp>
      <tp>
        <v>29.749876022338867</v>
        <stp/>
        <stp>##V3_BDPV12</stp>
        <stp>LN JUN22 50D VOL LME Comdty</stp>
        <stp>PX_LAST</stp>
        <stp>[QwackPricer.xlsx]Base!R98C39</stp>
        <tr r="AM98" s="2"/>
      </tp>
      <tp>
        <v>24.750049591064453</v>
        <stp/>
        <stp>##V3_BDPV12</stp>
        <stp>LP DEC21 50D VOL LME Comdty</stp>
        <stp>PX_LAST</stp>
        <stp>[QwackPricer.xlsx]Base!R92C17</stp>
        <tr r="Q92" s="2"/>
      </tp>
      <tp>
        <v>23.450071334838867</v>
        <stp/>
        <stp>##V3_BDPV12</stp>
        <stp>LP FEB22 50D VOL LME Comdty</stp>
        <stp>PX_LAST</stp>
        <stp>[QwackPricer.xlsx]Base!R94C17</stp>
        <tr r="Q94" s="2"/>
      </tp>
      <tp>
        <v>29.529926300048828</v>
        <stp/>
        <stp>##V3_BDPV12</stp>
        <stp>LN DEC21 50D VOL LME Comdty</stp>
        <stp>PX_LAST</stp>
        <stp>[QwackPricer.xlsx]Base!R92C39</stp>
        <tr r="AM92" s="2"/>
      </tp>
      <tp>
        <v>22.02008056640625</v>
        <stp/>
        <stp>##V3_BDPV12</stp>
        <stp>LX FEB22 50D VOL LME Comdty</stp>
        <stp>PX_LAST</stp>
        <stp>[QwackPricer.xlsx]Base!R94C28</stp>
        <tr r="AB94" s="2"/>
      </tp>
      <tp>
        <v>29.739900588989258</v>
        <stp/>
        <stp>##V3_BDPV12</stp>
        <stp>LN FEB22 50D VOL LME Comdty</stp>
        <stp>PX_LAST</stp>
        <stp>[QwackPricer.xlsx]Base!R94C39</stp>
        <tr r="AM94" s="2"/>
      </tp>
      <tp>
        <v>22.210056304931641</v>
        <stp/>
        <stp>##V3_BDPV12</stp>
        <stp>LX DEC21 50D VOL LME Comdty</stp>
        <stp>PX_LAST</stp>
        <stp>[QwackPricer.xlsx]Base!R92C28</stp>
        <tr r="AB92" s="2"/>
      </tp>
      <tp>
        <v>29.719886779785156</v>
        <stp/>
        <stp>##V3_BDPV12</stp>
        <stp>LN APR22 50D VOL LME Comdty</stp>
        <stp>PX_LAST</stp>
        <stp>[QwackPricer.xlsx]Base!R96C39</stp>
        <tr r="AM96" s="2"/>
      </tp>
      <tp>
        <v>21.990089416503906</v>
        <stp/>
        <stp>##V3_BDPV12</stp>
        <stp>LX APR22 50D VOL LME Comdty</stp>
        <stp>PX_LAST</stp>
        <stp>[QwackPricer.xlsx]Base!R96C28</stp>
        <tr r="AB96" s="2"/>
      </tp>
      <tp>
        <v>24.550029754638672</v>
        <stp/>
        <stp>##V3_BDPV12</stp>
        <stp>LP AUG21 50D VOL LME Comdty</stp>
        <stp>PX_LAST</stp>
        <stp>[QwackPricer.xlsx]Base!R88C17</stp>
        <tr r="Q88" s="2"/>
      </tp>
      <tp>
        <v>24.810007095336914</v>
        <stp/>
        <stp>##V3_BDPV12</stp>
        <stp>LP APR21 50D VOL LME Comdty</stp>
        <stp>PX_LAST</stp>
        <stp>[QwackPricer.xlsx]Base!R84C17</stp>
        <tr r="Q84" s="2"/>
      </tp>
      <tp>
        <v>23.660022735595703</v>
        <stp/>
        <stp>##V3_BDPV12</stp>
        <stp>LX APR21 50D VOL LME Comdty</stp>
        <stp>PX_LAST</stp>
        <stp>[QwackPricer.xlsx]Base!R84C28</stp>
        <tr r="AB84" s="2"/>
      </tp>
      <tp>
        <v>22.830045700073242</v>
        <stp/>
        <stp>##V3_BDPV12</stp>
        <stp>LX AUG21 50D VOL LME Comdty</stp>
        <stp>PX_LAST</stp>
        <stp>[QwackPricer.xlsx]Base!R88C28</stp>
        <tr r="AB88" s="2"/>
      </tp>
      <tp>
        <v>22.750089645385742</v>
        <stp/>
        <stp>##V3_BDPV12</stp>
        <stp>LP APR22 50D VOL LME Comdty</stp>
        <stp>PX_LAST</stp>
        <stp>[QwackPricer.xlsx]Base!R96C17</stp>
        <tr r="Q96" s="2"/>
      </tp>
      <tp>
        <v>28.739971160888672</v>
        <stp/>
        <stp>##V3_BDPV12</stp>
        <stp>LN APR21 50D VOL LME Comdty</stp>
        <stp>PX_LAST</stp>
        <stp>[QwackPricer.xlsx]Base!R84C39</stp>
        <tr r="AM84" s="2"/>
      </tp>
      <tp>
        <v>29.549955368041992</v>
        <stp/>
        <stp>##V3_BDPV12</stp>
        <stp>LN AUG21 50D VOL LME Comdty</stp>
        <stp>PX_LAST</stp>
        <stp>[QwackPricer.xlsx]Base!R88C39</stp>
        <tr r="AM88" s="2"/>
      </tp>
      <tp>
        <v>56.25</v>
        <stp/>
        <stp>##V3_BDPV12</stp>
        <stp>COQ2 Comdty</stp>
        <stp>PX_ASK</stp>
        <stp>[QwackPricer.xlsx]Energy!R27C5</stp>
        <tr r="E27" s="3"/>
      </tp>
      <tp t="s">
        <v>#N/A N/A</v>
        <stp/>
        <stp>##V3_BDPV12</stp>
        <stp>COV3 Comdty</stp>
        <stp>PX_ASK</stp>
        <stp>[QwackPricer.xlsx]Energy!R41C5</stp>
        <tr r="E41" s="3"/>
      </tp>
      <tp t="s">
        <v>#N/A N/A</v>
        <stp/>
        <stp>##V3_BDPV12</stp>
        <stp>COU4 Comdty</stp>
        <stp>PX_ASK</stp>
        <stp>[QwackPricer.xlsx]Energy!R52C5</stp>
        <tr r="E52" s="3"/>
      </tp>
      <tp>
        <v>98.6</v>
        <stp/>
        <stp>##V3_BDPV12</stp>
        <stp>EUR12m Curncy</stp>
        <stp>PX_LAST</stp>
        <stp>[QwackPricer.xlsx]FX-IR!R41C4</stp>
        <tr r="D41" s="1"/>
      </tp>
      <tp>
        <v>59.56</v>
        <stp/>
        <stp>##V3_BDPV12</stp>
        <stp>COQ1 Comdty</stp>
        <stp>PX_ASK</stp>
        <stp>[QwackPricer.xlsx]Energy!R15C5</stp>
        <tr r="E15" s="3"/>
      </tp>
      <tp t="s">
        <v>#N/A N/A</v>
        <stp/>
        <stp>##V3_BDPV12</stp>
        <stp>COU3 Comdty</stp>
        <stp>PX_ASK</stp>
        <stp>[QwackPricer.xlsx]Energy!R40C5</stp>
        <tr r="E40" s="3"/>
      </tp>
      <tp t="s">
        <v>#N/A N/A</v>
        <stp/>
        <stp>##V3_BDPV12</stp>
        <stp>COV4 Comdty</stp>
        <stp>PX_ASK</stp>
        <stp>[QwackPricer.xlsx]Energy!R53C5</stp>
        <tr r="E53" s="3"/>
      </tp>
    </main>
    <main first="bloomberg.rtd">
      <tp t="s">
        <v>#N/A N/A</v>
        <stp/>
        <stp>##V3_BDPV12</stp>
        <stp>COX3 Comdty</stp>
        <stp>PX_ASK</stp>
        <stp>[QwackPricer.xlsx]Energy!R42C5</stp>
        <tr r="E42" s="3"/>
      </tp>
      <tp>
        <v>16.84</v>
        <stp/>
        <stp>##V3_BDPV12</stp>
        <stp>AUD18m Curncy</stp>
        <stp>PX_LAST</stp>
        <stp>[QwackPricer.xlsx]FX-IR!R42C5</stp>
        <tr r="E42" s="1"/>
      </tp>
      <tp>
        <v>54.97</v>
        <stp/>
        <stp>##V3_BDPV12</stp>
        <stp>COZ2 Comdty</stp>
        <stp>PX_ASK</stp>
        <stp>[QwackPricer.xlsx]Energy!R31C5</stp>
        <tr r="E31" s="3"/>
      </tp>
      <tp t="s">
        <v>#N/A N/A</v>
        <stp/>
        <stp>##V3_BDPV12</stp>
        <stp>COQ3 Comdty</stp>
        <stp>PX_ASK</stp>
        <stp>[QwackPricer.xlsx]Energy!R39C5</stp>
        <tr r="E39" s="3"/>
      </tp>
      <tp>
        <v>55.65</v>
        <stp/>
        <stp>##V3_BDPV12</stp>
        <stp>COX2 Comdty</stp>
        <stp>PX_ASK</stp>
        <stp>[QwackPricer.xlsx]Energy!R30C5</stp>
        <tr r="E30" s="3"/>
      </tp>
    </main>
    <main first="bloomberg.rtd">
      <tp>
        <v>53.47</v>
        <stp/>
        <stp>##V3_BDPV12</stp>
        <stp>COZ3 Comdty</stp>
        <stp>PX_ASK</stp>
        <stp>[QwackPricer.xlsx]Energy!R43C5</stp>
        <tr r="E43" s="3"/>
      </tp>
      <tp>
        <v>30.769245147705078</v>
        <stp/>
        <stp>##V3_BDPV12</stp>
        <stp>LN SEP21 25DC VOL LME Comdty</stp>
        <stp>PX_LAST</stp>
        <stp>[QwackPricer.xlsx]Base!R89C40</stp>
        <tr r="AN89" s="2"/>
      </tp>
      <tp>
        <v>32.049274444580078</v>
        <stp/>
        <stp>##V3_BDPV12</stp>
        <stp>LN SEP21 10DC VOL LME Comdty</stp>
        <stp>PX_LAST</stp>
        <stp>[QwackPricer.xlsx]Base!R89C41</stp>
        <tr r="AO89" s="2"/>
      </tp>
      <tp>
        <v>22.659952163696289</v>
        <stp/>
        <stp>##V3_BDPV12</stp>
        <stp>LX SEP21 10DC VOL LME Comdty</stp>
        <stp>PX_LAST</stp>
        <stp>[QwackPricer.xlsx]Base!R89C30</stp>
        <tr r="AD89" s="2"/>
      </tp>
      <tp>
        <v>22.599946975708008</v>
        <stp/>
        <stp>##V3_BDPV12</stp>
        <stp>LX SEP21 25DC VOL LME Comdty</stp>
        <stp>PX_LAST</stp>
        <stp>[QwackPricer.xlsx]Base!R89C29</stp>
        <tr r="AC89" s="2"/>
      </tp>
      <tp>
        <v>26.569343566894531</v>
        <stp/>
        <stp>##V3_BDPV12</stp>
        <stp>LP SEP21 10DC VOL LME Comdty</stp>
        <stp>PX_LAST</stp>
        <stp>[QwackPricer.xlsx]Base!R89C19</stp>
        <tr r="S89" s="2"/>
      </tp>
      <tp>
        <v>25.479352951049805</v>
        <stp/>
        <stp>##V3_BDPV12</stp>
        <stp>LP SEP21 25DC VOL LME Comdty</stp>
        <stp>PX_LAST</stp>
        <stp>[QwackPricer.xlsx]Base!R89C18</stp>
        <tr r="R89" s="2"/>
      </tp>
      <tp>
        <v>26.20945930480957</v>
        <stp/>
        <stp>##V3_BDPV12</stp>
        <stp>LP SEP21 25DP VOL LME Comdty</stp>
        <stp>PX_LAST</stp>
        <stp>[QwackPricer.xlsx]Base!R89C16</stp>
        <tr r="P89" s="2"/>
      </tp>
      <tp>
        <v>27.869272232055664</v>
        <stp/>
        <stp>##V3_BDPV12</stp>
        <stp>LP SEP21 10DP VOL LME Comdty</stp>
        <stp>PX_LAST</stp>
        <stp>[QwackPricer.xlsx]Base!R89C15</stp>
        <tr r="O89" s="2"/>
      </tp>
      <tp>
        <v>24.129474639892578</v>
        <stp/>
        <stp>##V3_BDPV12</stp>
        <stp>LX SEP21 25DP VOL LME Comdty</stp>
        <stp>PX_LAST</stp>
        <stp>[QwackPricer.xlsx]Base!R89C27</stp>
        <tr r="AA89" s="2"/>
      </tp>
      <tp>
        <v>25.809253692626953</v>
        <stp/>
        <stp>##V3_BDPV12</stp>
        <stp>LX SEP21 10DP VOL LME Comdty</stp>
        <stp>PX_LAST</stp>
        <stp>[QwackPricer.xlsx]Base!R89C26</stp>
        <tr r="Z89" s="2"/>
      </tp>
      <tp>
        <v>29.979785919189453</v>
        <stp/>
        <stp>##V3_BDPV12</stp>
        <stp>LN SEP21 25DP VOL LME Comdty</stp>
        <stp>PX_LAST</stp>
        <stp>[QwackPricer.xlsx]Base!R89C38</stp>
        <tr r="AL89" s="2"/>
      </tp>
      <tp>
        <v>30.859569549560547</v>
        <stp/>
        <stp>##V3_BDPV12</stp>
        <stp>LN SEP21 10DP VOL LME Comdty</stp>
        <stp>PX_LAST</stp>
        <stp>[QwackPricer.xlsx]Base!R89C37</stp>
        <tr r="AK89" s="2"/>
      </tp>
      <tp t="s">
        <v>#N/A N/A</v>
        <stp/>
        <stp>##V3_BDPV12</stp>
        <stp>COX5 Comdty</stp>
        <stp>PX_ASK</stp>
        <stp>[QwackPricer.xlsx]Energy!R66C5</stp>
        <tr r="E66" s="3"/>
      </tp>
      <tp>
        <v>-0.2</v>
        <stp/>
        <stp>##V3_BDPV12</stp>
        <stp>XPDSR1w  Curncy</stp>
        <stp>PX_LAST</stp>
        <stp>[QwackPricer.xlsx]FX-IR!R52C6</stp>
        <tr r="F52" s="1"/>
      </tp>
      <tp>
        <v>149.06</v>
        <stp/>
        <stp>##V3_BDPV12</stp>
        <stp>EUR18m Curncy</stp>
        <stp>PX_LAST</stp>
        <stp>[QwackPricer.xlsx]FX-IR!R42C4</stp>
        <tr r="D42" s="1"/>
      </tp>
      <tp>
        <v>55.870000000000005</v>
        <stp/>
        <stp>##V3_BDPV12</stp>
        <stp>COV2 Comdty</stp>
        <stp>PX_ASK</stp>
        <stp>[QwackPricer.xlsx]Energy!R29C5</stp>
        <tr r="E29" s="3"/>
      </tp>
      <tp>
        <v>52.67</v>
        <stp/>
        <stp>##V3_BDPV12</stp>
        <stp>COZ4 Comdty</stp>
        <stp>PX_ASK</stp>
        <stp>[QwackPricer.xlsx]Energy!R55C5</stp>
        <tr r="E55" s="3"/>
      </tp>
      <tp t="s">
        <v>#N/A N/A</v>
        <stp/>
        <stp>##V3_BDPV12</stp>
        <stp>COX4 Comdty</stp>
        <stp>PX_ASK</stp>
        <stp>[QwackPricer.xlsx]Energy!R54C5</stp>
        <tr r="E54" s="3"/>
      </tp>
      <tp>
        <v>56.1</v>
        <stp/>
        <stp>##V3_BDPV12</stp>
        <stp>COU2 Comdty</stp>
        <stp>PX_ASK</stp>
        <stp>[QwackPricer.xlsx]Energy!R28C5</stp>
        <tr r="E28" s="3"/>
      </tp>
      <tp>
        <v>52.39</v>
        <stp/>
        <stp>##V3_BDPV12</stp>
        <stp>COZ5 Comdty</stp>
        <stp>PX_ASK</stp>
        <stp>[QwackPricer.xlsx]Energy!R67C5</stp>
        <tr r="E67" s="3"/>
      </tp>
      <tp>
        <v>3.4830000000000001</v>
        <stp/>
        <stp>##V3_BDPV12</stp>
        <stp>JIBA1M Curncy</stp>
        <stp>PX_LAST</stp>
        <stp>[QwackPricer.xlsx]FX-IR!R67C9</stp>
        <tr r="I67" s="1"/>
      </tp>
      <tp>
        <v>-0.25</v>
        <stp/>
        <stp>##V3_BDPV12</stp>
        <stp>XAGSR1w  Curncy</stp>
        <stp>PX_LAST</stp>
        <stp>[QwackPricer.xlsx]FX-IR!R52C4</stp>
        <tr r="D52" s="1"/>
      </tp>
    </main>
    <main first="bofaddin.rtdserver">
      <tp t="e">
        <v>#N/A</v>
        <stp/>
        <stp>BDH|6714851575303546686</stp>
        <tr r="D165" s="1"/>
      </tp>
      <tp t="e">
        <v>#N/A</v>
        <stp/>
        <stp>BDH|5470995066404423241</stp>
        <tr r="D197" s="1"/>
      </tp>
      <tp t="e">
        <v>#N/A</v>
        <stp/>
        <stp>BDH|2997623593679728841</stp>
        <tr r="G191" s="1"/>
      </tp>
      <tp t="e">
        <v>#N/A</v>
        <stp/>
        <stp>BDH|9329685015133628101</stp>
        <tr r="H176" s="1"/>
      </tp>
      <tp t="e">
        <v>#N/A</v>
        <stp/>
        <stp>BDH|5942452395090627400</stp>
        <tr r="C107" s="3"/>
      </tp>
      <tp t="e">
        <v>#N/A</v>
        <stp/>
        <stp>BDH|7821313688592878269</stp>
        <tr r="F133" s="1"/>
      </tp>
      <tp t="e">
        <v>#N/A</v>
        <stp/>
        <stp>BDH|1151943021293931528</stp>
        <tr r="E184" s="1"/>
      </tp>
      <tp t="e">
        <v>#N/A</v>
        <stp/>
        <stp>BDH|1555776105148922235</stp>
        <tr r="F138" s="1"/>
      </tp>
      <tp t="e">
        <v>#N/A</v>
        <stp/>
        <stp>BDH|7273371238558983394</stp>
        <tr r="D204" s="1"/>
      </tp>
      <tp t="e">
        <v>#N/A</v>
        <stp/>
        <stp>BDH|5081836049165970011</stp>
        <tr r="G102" s="1"/>
      </tp>
      <tp t="e">
        <v>#N/A</v>
        <stp/>
        <stp>BDH|4786955640374588158</stp>
        <tr r="F124" s="1"/>
      </tp>
      <tp t="e">
        <v>#N/A</v>
        <stp/>
        <stp>BDH|5412759106626598821</stp>
        <tr r="H202" s="1"/>
      </tp>
      <tp t="e">
        <v>#N/A</v>
        <stp/>
        <stp>BDH|7887217196966877669</stp>
        <tr r="G106" s="1"/>
      </tp>
      <tp t="e">
        <v>#N/A</v>
        <stp/>
        <stp>BDH|7659793397057993264</stp>
        <tr r="F139" s="1"/>
      </tp>
      <tp t="e">
        <v>#N/A</v>
        <stp/>
        <stp>BDH|7699945204157203537</stp>
        <tr r="G115" s="1"/>
      </tp>
      <tp t="e">
        <v>#N/A</v>
        <stp/>
        <stp>BDH|2703065156043170829</stp>
        <tr r="E169" s="1"/>
      </tp>
      <tp t="e">
        <v>#N/A</v>
        <stp/>
        <stp>BDH|2950073428058287410</stp>
        <tr r="E148" s="1"/>
      </tp>
    </main>
    <main first="bloomberg.rtd">
      <tp>
        <v>15.680098533630371</v>
        <stp/>
        <stp>##V3_BDPV12</stp>
        <stp>LA JUN23 50D VOL LME Comdty</stp>
        <stp>PX_LAST</stp>
        <stp>[QwackPricer.xlsx]Base!R110C6</stp>
        <tr r="F110" s="2"/>
      </tp>
      <tp>
        <v>15.660111427307129</v>
        <stp/>
        <stp>##V3_BDPV12</stp>
        <stp>LA APR24 50D VOL LME Comdty</stp>
        <stp>PX_LAST</stp>
        <stp>[QwackPricer.xlsx]Base!R120C6</stp>
        <tr r="F120" s="2"/>
      </tp>
      <tp>
        <v>15.630125045776367</v>
        <stp/>
        <stp>##V3_BDPV12</stp>
        <stp>LA FEB25 50D VOL LME Comdty</stp>
        <stp>PX_LAST</stp>
        <stp>[QwackPricer.xlsx]Base!R130C6</stp>
        <tr r="F130" s="2"/>
      </tp>
      <tp>
        <v>15.940071105957031</v>
        <stp/>
        <stp>##V3_BDPV12</stp>
        <stp>LA AUG22 50D VOL LME Comdty</stp>
        <stp>PX_LAST</stp>
        <stp>[QwackPricer.xlsx]Base!R100C6</stp>
        <tr r="F100" s="2"/>
      </tp>
      <tp>
        <v>15.620136260986328</v>
        <stp/>
        <stp>##V3_BDPV12</stp>
        <stp>LA DEC25 50D VOL LME Comdty</stp>
        <stp>PX_LAST</stp>
        <stp>[QwackPricer.xlsx]Base!R140C6</stp>
        <tr r="F140" s="2"/>
      </tp>
    </main>
    <main first="bofaddin.rtdserver">
      <tp t="e">
        <v>#N/A</v>
        <stp/>
        <stp>BDH|2978651901211179865</stp>
        <tr r="H104" s="1"/>
      </tp>
      <tp t="e">
        <v>#N/A</v>
        <stp/>
        <stp>BDH|4716233231511250991</stp>
        <tr r="H149" s="1"/>
      </tp>
      <tp t="e">
        <v>#N/A</v>
        <stp/>
        <stp>BDH|2190233197894349096</stp>
        <tr r="D191" s="1"/>
      </tp>
      <tp t="e">
        <v>#N/A</v>
        <stp/>
        <stp>BDH|2586998243482535068</stp>
        <tr r="G124" s="1"/>
      </tp>
      <tp t="e">
        <v>#N/A</v>
        <stp/>
        <stp>BDH|9576222481496477801</stp>
        <tr r="D152" s="1"/>
      </tp>
      <tp t="e">
        <v>#N/A</v>
        <stp/>
        <stp>BDH|6675945175987073244</stp>
        <tr r="F169" s="1"/>
      </tp>
      <tp t="e">
        <v>#N/A</v>
        <stp/>
        <stp>BDH|6358591882044977267</stp>
        <tr r="E156" s="1"/>
      </tp>
      <tp t="e">
        <v>#N/A</v>
        <stp/>
        <stp>BDH|4704473490340408434</stp>
        <tr r="H168" s="1"/>
      </tp>
      <tp t="e">
        <v>#N/A</v>
        <stp/>
        <stp>BDH|5694817909420010091</stp>
        <tr r="G99" s="1"/>
      </tp>
      <tp t="e">
        <v>#N/A</v>
        <stp/>
        <stp>BDH|9650593028345538671</stp>
        <tr r="G140" s="1"/>
      </tp>
    </main>
    <main first="bloomberg.rtd">
      <tp>
        <v>99.454999999999998</v>
        <stp/>
        <stp>##V3_BDPV12</stp>
        <stp>EDU3 Comdty</stp>
        <stp>PX_LAST</stp>
        <stp>[QwackPricer.xlsx]FX-IR!R83C3</stp>
        <tr r="C83" s="1"/>
      </tp>
      <tp>
        <v>15.630138397216797</v>
        <stp/>
        <stp>##V3_BDPV12</stp>
        <stp>LA JAN26 50D VOL LME Comdty</stp>
        <stp>PX_LAST</stp>
        <stp>[QwackPricer.xlsx]Base!R141C6</stp>
        <tr r="F141" s="2"/>
      </tp>
      <tp>
        <v>15.660113334655762</v>
        <stp/>
        <stp>##V3_BDPV12</stp>
        <stp>LA MAY24 50D VOL LME Comdty</stp>
        <stp>PX_LAST</stp>
        <stp>[QwackPricer.xlsx]Base!R121C6</stp>
        <tr r="F121" s="2"/>
      </tp>
      <tp>
        <v>15.680100440979004</v>
        <stp/>
        <stp>##V3_BDPV12</stp>
        <stp>LA JUL23 50D VOL LME Comdty</stp>
        <stp>PX_LAST</stp>
        <stp>[QwackPricer.xlsx]Base!R111C6</stp>
        <tr r="F111" s="2"/>
      </tp>
      <tp>
        <v>15.640127182006836</v>
        <stp/>
        <stp>##V3_BDPV12</stp>
        <stp>LA MAR25 50D VOL LME Comdty</stp>
        <stp>PX_LAST</stp>
        <stp>[QwackPricer.xlsx]Base!R131C6</stp>
        <tr r="F131" s="2"/>
      </tp>
      <tp>
        <v>15.910075187683105</v>
        <stp/>
        <stp>##V3_BDPV12</stp>
        <stp>LA SEP22 50D VOL LME Comdty</stp>
        <stp>PX_LAST</stp>
        <stp>[QwackPricer.xlsx]Base!R101C6</stp>
        <tr r="F101" s="2"/>
      </tp>
    </main>
    <main first="bofaddin.rtdserver">
      <tp t="e">
        <v>#N/A</v>
        <stp/>
        <stp>BDH|4227892119384290786</stp>
        <tr r="D173" s="1"/>
      </tp>
      <tp t="e">
        <v>#N/A</v>
        <stp/>
        <stp>BDH|1530986634375556039</stp>
        <tr r="E100" s="1"/>
      </tp>
      <tp t="e">
        <v>#N/A</v>
        <stp/>
        <stp>BDH|9172402341846391125</stp>
        <tr r="F192" s="1"/>
      </tp>
      <tp t="e">
        <v>#N/A</v>
        <stp/>
        <stp>BDH|6828984341265977092</stp>
        <tr r="H172" s="1"/>
      </tp>
      <tp t="e">
        <v>#N/A</v>
        <stp/>
        <stp>BDH|3768053026176173944</stp>
        <tr r="D120" s="1"/>
      </tp>
    </main>
    <main first="bloomberg.rtd">
      <tp>
        <v>4.6749999999999998</v>
        <stp/>
        <stp>##V3_BDPV12</stp>
        <stp>SASW4 Curncy</stp>
        <stp>PX_LAST</stp>
        <stp>[QwackPricer.xlsx]FX-IR!R74C9</stp>
        <tr r="I74" s="1"/>
      </tp>
      <tp>
        <v>15.650114059448242</v>
        <stp/>
        <stp>##V3_BDPV12</stp>
        <stp>LA JUN24 50D VOL LME Comdty</stp>
        <stp>PX_LAST</stp>
        <stp>[QwackPricer.xlsx]Base!R122C6</stp>
        <tr r="F122" s="2"/>
      </tp>
      <tp>
        <v>15.910077095031738</v>
        <stp/>
        <stp>##V3_BDPV12</stp>
        <stp>LA OCT22 50D VOL LME Comdty</stp>
        <stp>PX_LAST</stp>
        <stp>[QwackPricer.xlsx]Base!R102C6</stp>
        <tr r="F102" s="2"/>
      </tp>
      <tp>
        <v>15.630127906799316</v>
        <stp/>
        <stp>##V3_BDPV12</stp>
        <stp>LA APR25 50D VOL LME Comdty</stp>
        <stp>PX_LAST</stp>
        <stp>[QwackPricer.xlsx]Base!R132C6</stp>
        <tr r="F132" s="2"/>
      </tp>
      <tp>
        <v>15.680102348327637</v>
        <stp/>
        <stp>##V3_BDPV12</stp>
        <stp>LA AUG23 50D VOL LME Comdty</stp>
        <stp>PX_LAST</stp>
        <stp>[QwackPricer.xlsx]Base!R112C6</stp>
        <tr r="F112" s="2"/>
      </tp>
      <tp>
        <v>15.640142440795898</v>
        <stp/>
        <stp>##V3_BDPV12</stp>
        <stp>LA FEB26 50D VOL LME Comdty</stp>
        <stp>PX_LAST</stp>
        <stp>[QwackPricer.xlsx]Base!R142C6</stp>
        <tr r="F142" s="2"/>
      </tp>
    </main>
    <main first="bofaddin.rtdserver">
      <tp t="e">
        <v>#N/A</v>
        <stp/>
        <stp>BDH|4894104361154767859</stp>
        <tr r="D202" s="1"/>
      </tp>
      <tp t="e">
        <v>#N/A</v>
        <stp/>
        <stp>BDH|9105015869478101800</stp>
        <tr r="H159" s="1"/>
      </tp>
      <tp t="e">
        <v>#N/A</v>
        <stp/>
        <stp>BDH|8462465954120880664</stp>
        <tr r="G105" s="1"/>
      </tp>
      <tp t="e">
        <v>#N/A</v>
        <stp/>
        <stp>BDH|7821386644028345790</stp>
        <tr r="H121" s="1"/>
      </tp>
      <tp t="e">
        <v>#N/A</v>
        <stp/>
        <stp>BDH|2089954636915811250</stp>
        <tr r="F205" s="1"/>
      </tp>
      <tp t="e">
        <v>#N/A</v>
        <stp/>
        <stp>BDH|7420733210996939838</stp>
        <tr r="H181" s="1"/>
      </tp>
      <tp t="e">
        <v>#N/A</v>
        <stp/>
        <stp>BDH|7625510399612766646</stp>
        <tr r="C152" s="2"/>
      </tp>
      <tp t="e">
        <v>#N/A</v>
        <stp/>
        <stp>BDH|2957450551624619866</stp>
        <tr r="H136" s="1"/>
      </tp>
      <tp t="e">
        <v>#N/A</v>
        <stp/>
        <stp>BDH|2635411587896503782</stp>
        <tr r="F106" s="1"/>
      </tp>
      <tp t="e">
        <v>#N/A</v>
        <stp/>
        <stp>BDH|2093756082155192752</stp>
        <tr r="E206" s="1"/>
      </tp>
      <tp t="e">
        <v>#N/A</v>
        <stp/>
        <stp>BDH|1726713756265206916</stp>
        <tr r="F207" s="1"/>
      </tp>
      <tp t="e">
        <v>#N/A</v>
        <stp/>
        <stp>BDH|9334576013276367421</stp>
        <tr r="F166" s="1"/>
      </tp>
      <tp t="e">
        <v>#N/A</v>
        <stp/>
        <stp>BDH|1313930017380757676</stp>
        <tr r="H169" s="1"/>
      </tp>
      <tp t="e">
        <v>#N/A</v>
        <stp/>
        <stp>BDH|5750145539401614987</stp>
        <tr r="F131" s="1"/>
      </tp>
      <tp t="e">
        <v>#N/A</v>
        <stp/>
        <stp>BDH|7702618181587739150</stp>
        <tr r="C106" s="3"/>
      </tp>
    </main>
    <main first="bloomberg.rtd">
      <tp>
        <v>5.0449999999999999</v>
        <stp/>
        <stp>##V3_BDPV12</stp>
        <stp>SASW5 Curncy</stp>
        <stp>PX_LAST</stp>
        <stp>[QwackPricer.xlsx]FX-IR!R75C9</stp>
        <tr r="I75" s="1"/>
      </tp>
      <tp>
        <v>98.685000000000002</v>
        <stp/>
        <stp>##V3_BDPV12</stp>
        <stp>EDU5 Comdty</stp>
        <stp>PX_LAST</stp>
        <stp>[QwackPricer.xlsx]FX-IR!R91C3</stp>
        <tr r="C91" s="1"/>
      </tp>
      <tp>
        <v>15.650115966796875</v>
        <stp/>
        <stp>##V3_BDPV12</stp>
        <stp>LA JUL24 50D VOL LME Comdty</stp>
        <stp>PX_LAST</stp>
        <stp>[QwackPricer.xlsx]Base!R123C6</stp>
        <tr r="F123" s="2"/>
      </tp>
      <tp>
        <v>15.900078773498535</v>
        <stp/>
        <stp>##V3_BDPV12</stp>
        <stp>LA NOV22 50D VOL LME Comdty</stp>
        <stp>PX_LAST</stp>
        <stp>[QwackPricer.xlsx]Base!R103C6</stp>
        <tr r="F103" s="2"/>
      </tp>
      <tp>
        <v>15.450148582458496</v>
        <stp/>
        <stp>##V3_BDPV12</stp>
        <stp>LA MAR26 50D VOL LME Comdty</stp>
        <stp>PX_LAST</stp>
        <stp>[QwackPricer.xlsx]Base!R143C6</stp>
        <tr r="F143" s="2"/>
      </tp>
      <tp>
        <v>15.620129585266113</v>
        <stp/>
        <stp>##V3_BDPV12</stp>
        <stp>LA MAY25 50D VOL LME Comdty</stp>
        <stp>PX_LAST</stp>
        <stp>[QwackPricer.xlsx]Base!R133C6</stp>
        <tr r="F133" s="2"/>
      </tp>
      <tp>
        <v>15.670104026794434</v>
        <stp/>
        <stp>##V3_BDPV12</stp>
        <stp>LA SEP23 50D VOL LME Comdty</stp>
        <stp>PX_LAST</stp>
        <stp>[QwackPricer.xlsx]Base!R113C6</stp>
        <tr r="F113" s="2"/>
      </tp>
    </main>
    <main first="bofaddin.rtdserver">
      <tp t="e">
        <v>#N/A</v>
        <stp/>
        <stp>BDH|8448523113515832178</stp>
        <tr r="G186" s="1"/>
      </tp>
      <tp t="e">
        <v>#N/A</v>
        <stp/>
        <stp>BDH|6635350988691430472</stp>
        <tr r="G107" s="1"/>
      </tp>
      <tp t="e">
        <v>#N/A</v>
        <stp/>
        <stp>BDH|9539081496719549175</stp>
        <tr r="H102" s="1"/>
      </tp>
      <tp t="e">
        <v>#N/A</v>
        <stp/>
        <stp>BDH|4213736549387097875</stp>
        <tr r="H183" s="1"/>
      </tp>
      <tp t="e">
        <v>#N/A</v>
        <stp/>
        <stp>BDH|6689885421420838480</stp>
        <tr r="E189" s="1"/>
      </tp>
      <tp t="e">
        <v>#N/A</v>
        <stp/>
        <stp>BDH|4269596736553136938</stp>
        <tr r="D187" s="1"/>
      </tp>
      <tp t="e">
        <v>#N/A</v>
        <stp/>
        <stp>BDH|5523815809374837194</stp>
        <tr r="F182" s="1"/>
      </tp>
      <tp t="e">
        <v>#N/A</v>
        <stp/>
        <stp>BDH|8817873496998279965</stp>
        <tr r="E98" s="1"/>
      </tp>
      <tp t="e">
        <v>#N/A</v>
        <stp/>
        <stp>BDH|6614354570938416248</stp>
        <tr r="G103" s="1"/>
      </tp>
      <tp t="e">
        <v>#N/A</v>
        <stp/>
        <stp>BDH|8171160457666820295</stp>
        <tr r="F99" s="1"/>
      </tp>
      <tp t="e">
        <v>#N/A</v>
        <stp/>
        <stp>BDH|6748914315632191465</stp>
        <tr r="F103" s="1"/>
      </tp>
      <tp t="e">
        <v>#N/A</v>
        <stp/>
        <stp>BDH|4219653424820698806</stp>
        <tr r="H137" s="1"/>
      </tp>
      <tp t="e">
        <v>#N/A</v>
        <stp/>
        <stp>BDH|7748499517378434287</stp>
        <tr r="E200" s="1"/>
      </tp>
    </main>
    <main first="bloomberg.rtd">
      <tp>
        <v>4</v>
        <stp/>
        <stp>##V3_BDPV12</stp>
        <stp>SASW2 Curncy</stp>
        <stp>PX_LAST</stp>
        <stp>[QwackPricer.xlsx]FX-IR!R72C9</stp>
        <tr r="I72" s="1"/>
      </tp>
      <tp>
        <v>15.630131721496582</v>
        <stp/>
        <stp>##V3_BDPV12</stp>
        <stp>LA JUN25 50D VOL LME Comdty</stp>
        <stp>PX_LAST</stp>
        <stp>[QwackPricer.xlsx]Base!R134C6</stp>
        <tr r="F134" s="2"/>
      </tp>
      <tp>
        <v>15.67010498046875</v>
        <stp/>
        <stp>##V3_BDPV12</stp>
        <stp>LA OCT23 50D VOL LME Comdty</stp>
        <stp>PX_LAST</stp>
        <stp>[QwackPricer.xlsx]Base!R114C6</stp>
        <tr r="F114" s="2"/>
      </tp>
      <tp>
        <v>15.460152626037598</v>
        <stp/>
        <stp>##V3_BDPV12</stp>
        <stp>LA APR26 50D VOL LME Comdty</stp>
        <stp>PX_LAST</stp>
        <stp>[QwackPricer.xlsx]Base!R144C6</stp>
        <tr r="F144" s="2"/>
      </tp>
      <tp>
        <v>15.870083808898926</v>
        <stp/>
        <stp>##V3_BDPV12</stp>
        <stp>LA DEC22 50D VOL LME Comdty</stp>
        <stp>PX_LAST</stp>
        <stp>[QwackPricer.xlsx]Base!R104C6</stp>
        <tr r="F104" s="2"/>
      </tp>
      <tp>
        <v>15.650117874145508</v>
        <stp/>
        <stp>##V3_BDPV12</stp>
        <stp>LA AUG24 50D VOL LME Comdty</stp>
        <stp>PX_LAST</stp>
        <stp>[QwackPricer.xlsx]Base!R124C6</stp>
        <tr r="F124" s="2"/>
      </tp>
    </main>
    <main first="bofaddin.rtdserver">
      <tp t="e">
        <v>#N/A</v>
        <stp/>
        <stp>BDH|7774153282827243081</stp>
        <tr r="H100" s="1"/>
      </tp>
      <tp t="e">
        <v>#N/A</v>
        <stp/>
        <stp>BDH|2548214201020887976</stp>
        <tr r="G134" s="1"/>
      </tp>
      <tp t="e">
        <v>#N/A</v>
        <stp/>
        <stp>BDH|9340633873316845724</stp>
        <tr r="F174" s="1"/>
      </tp>
      <tp t="e">
        <v>#N/A</v>
        <stp/>
        <stp>BDH|8106289778984729092</stp>
        <tr r="D183" s="1"/>
      </tp>
      <tp t="e">
        <v>#N/A</v>
        <stp/>
        <stp>BDH|9487400842117371791</stp>
        <tr r="F156" s="1"/>
      </tp>
      <tp t="e">
        <v>#N/A</v>
        <stp/>
        <stp>BDH|5249682683911636325</stp>
        <tr r="G187" s="1"/>
      </tp>
      <tp t="e">
        <v>#N/A</v>
        <stp/>
        <stp>BDH|8262638245633916003</stp>
        <tr r="H120" s="1"/>
      </tp>
      <tp t="e">
        <v>#N/A</v>
        <stp/>
        <stp>BDH|3707846234068196967</stp>
        <tr r="N24" s="1"/>
      </tp>
      <tp t="e">
        <v>#N/A</v>
        <stp/>
        <stp>BDH|2734467886873055466</stp>
        <tr r="D170" s="1"/>
      </tp>
      <tp t="e">
        <v>#N/A</v>
        <stp/>
        <stp>BDH|8825535609913787726</stp>
        <tr r="D166" s="1"/>
      </tp>
      <tp t="e">
        <v>#N/A</v>
        <stp/>
        <stp>BDH|8254362835344116575</stp>
        <tr r="H123" s="1"/>
      </tp>
      <tp t="e">
        <v>#N/A</v>
        <stp/>
        <stp>BDH|8626690348995334603</stp>
        <tr r="E192" s="1"/>
      </tp>
    </main>
    <main first="bloomberg.rtd">
      <tp>
        <v>4.32</v>
        <stp/>
        <stp>##V3_BDPV12</stp>
        <stp>SASW3 Curncy</stp>
        <stp>PX_LAST</stp>
        <stp>[QwackPricer.xlsx]FX-IR!R73C9</stp>
        <tr r="I73" s="1"/>
      </tp>
      <tp>
        <v>507</v>
        <stp/>
        <stp>##V3_BDPV12</stp>
        <stp>QSX5 Comdty</stp>
        <stp>PX_SETTLE</stp>
        <stp>[QwackPricer.xlsx]Energy!R67C13</stp>
        <tr r="M67" s="3"/>
      </tp>
      <tp>
        <v>495.25</v>
        <stp/>
        <stp>##V3_BDPV12</stp>
        <stp>QSX4 Comdty</stp>
        <stp>PX_SETTLE</stp>
        <stp>[QwackPricer.xlsx]Energy!R55C13</stp>
        <tr r="M55" s="3"/>
      </tp>
      <tp>
        <v>47.79</v>
        <stp/>
        <stp>##V3_BDPV12</stp>
        <stp>CLX5 Comdty</stp>
        <stp>PX_SETTLE</stp>
        <stp>[QwackPricer.xlsx]Energy!R67C31</stp>
        <tr r="AE67" s="3"/>
      </tp>
      <tp>
        <v>48.25</v>
        <stp/>
        <stp>##V3_BDPV12</stp>
        <stp>CLX4 Comdty</stp>
        <stp>PX_SETTLE</stp>
        <stp>[QwackPricer.xlsx]Energy!R55C31</stp>
        <tr r="AE55" s="3"/>
      </tp>
      <tp>
        <v>502.25</v>
        <stp/>
        <stp>##V3_BDPV12</stp>
        <stp>QSX1 Comdty</stp>
        <stp>PX_SETTLE</stp>
        <stp>[QwackPricer.xlsx]Energy!R19C13</stp>
        <tr r="M19" s="3"/>
      </tp>
      <tp>
        <v>149.82</v>
        <stp/>
        <stp>##V3_BDPV12</stp>
        <stp>XBX2 Comdty</stp>
        <stp>PX_SETTLE</stp>
        <stp>[QwackPricer.xlsx]Energy!R31C22</stp>
        <tr r="V31" s="3"/>
      </tp>
      <tp>
        <v>49.29</v>
        <stp/>
        <stp>##V3_BDPV12</stp>
        <stp>CLX3 Comdty</stp>
        <stp>PX_SETTLE</stp>
        <stp>[QwackPricer.xlsx]Energy!R43C31</stp>
        <tr r="AE43" s="3"/>
      </tp>
      <tp>
        <v>99.06</v>
        <stp/>
        <stp>##V3_BDPV12</stp>
        <stp>EDU4 Comdty</stp>
        <stp>PX_LAST</stp>
        <stp>[QwackPricer.xlsx]FX-IR!R87C3</stp>
        <tr r="C87" s="1"/>
      </tp>
      <tp>
        <v>98.954999999999998</v>
        <stp/>
        <stp>##V3_BDPV12</stp>
        <stp>EDZ4 Comdty</stp>
        <stp>PX_LAST</stp>
        <stp>[QwackPricer.xlsx]FX-IR!R88C3</stp>
        <tr r="C88" s="1"/>
      </tp>
      <tp>
        <v>147.45000000000002</v>
        <stp/>
        <stp>##V3_BDPV12</stp>
        <stp>XBX3 Comdty</stp>
        <stp>PX_SETTLE</stp>
        <stp>[QwackPricer.xlsx]Energy!R43C22</stp>
        <tr r="V43" s="3"/>
      </tp>
      <tp>
        <v>51.38</v>
        <stp/>
        <stp>##V3_BDPV12</stp>
        <stp>CLX2 Comdty</stp>
        <stp>PX_SETTLE</stp>
        <stp>[QwackPricer.xlsx]Energy!R31C31</stp>
        <tr r="AE31" s="3"/>
      </tp>
      <tp>
        <v>490.25</v>
        <stp/>
        <stp>##V3_BDPV12</stp>
        <stp>QSX3 Comdty</stp>
        <stp>PX_SETTLE</stp>
        <stp>[QwackPricer.xlsx]Energy!R43C13</stp>
        <tr r="M43" s="3"/>
      </tp>
      <tp>
        <v>55.24</v>
        <stp/>
        <stp>##V3_BDPV12</stp>
        <stp>CLX1 Comdty</stp>
        <stp>PX_SETTLE</stp>
        <stp>[QwackPricer.xlsx]Energy!R19C31</stp>
        <tr r="AE19" s="3"/>
      </tp>
      <tp>
        <v>493</v>
        <stp/>
        <stp>##V3_BDPV12</stp>
        <stp>QSX2 Comdty</stp>
        <stp>PX_SETTLE</stp>
        <stp>[QwackPricer.xlsx]Energy!R31C13</stp>
        <tr r="M31" s="3"/>
      </tp>
      <tp>
        <v>157.86000000000001</v>
        <stp/>
        <stp>##V3_BDPV12</stp>
        <stp>XBX1 Comdty</stp>
        <stp>PX_SETTLE</stp>
        <stp>[QwackPricer.xlsx]Energy!R19C22</stp>
        <tr r="V19" s="3"/>
      </tp>
      <tp>
        <v>15.620132446289063</v>
        <stp/>
        <stp>##V3_BDPV12</stp>
        <stp>LA JUL25 50D VOL LME Comdty</stp>
        <stp>PX_LAST</stp>
        <stp>[QwackPricer.xlsx]Base!R135C6</stp>
        <tr r="F135" s="2"/>
      </tp>
      <tp>
        <v>15.670106887817383</v>
        <stp/>
        <stp>##V3_BDPV12</stp>
        <stp>LA NOV23 50D VOL LME Comdty</stp>
        <stp>PX_LAST</stp>
        <stp>[QwackPricer.xlsx]Base!R115C6</stp>
        <tr r="F115" s="2"/>
      </tp>
      <tp>
        <v>15.810088157653809</v>
        <stp/>
        <stp>##V3_BDPV12</stp>
        <stp>LA JAN23 50D VOL LME Comdty</stp>
        <stp>PX_LAST</stp>
        <stp>[QwackPricer.xlsx]Base!R105C6</stp>
        <tr r="F105" s="2"/>
      </tp>
    </main>
    <main first="bofaddin.rtdserver">
      <tp t="e">
        <v>#N/A</v>
        <stp/>
        <stp>BDH|26126716176606236</stp>
        <tr r="H138" s="1"/>
      </tp>
    </main>
    <main first="bloomberg.rtd">
      <tp>
        <v>15.650118827819824</v>
        <stp/>
        <stp>##V3_BDPV12</stp>
        <stp>LA SEP24 50D VOL LME Comdty</stp>
        <stp>PX_LAST</stp>
        <stp>[QwackPricer.xlsx]Base!R125C6</stp>
        <tr r="F125" s="2"/>
      </tp>
    </main>
    <main first="bofaddin.rtdserver">
      <tp t="e">
        <v>#N/A</v>
        <stp/>
        <stp>BDH|7876546980958626829</stp>
        <tr r="E99" s="1"/>
      </tp>
      <tp t="e">
        <v>#N/A</v>
        <stp/>
        <stp>BDH|9152494269715873400</stp>
        <tr r="E155" s="1"/>
      </tp>
      <tp t="e">
        <v>#N/A</v>
        <stp/>
        <stp>BDH|2240099556264183955</stp>
        <tr r="D125" s="1"/>
      </tp>
      <tp t="e">
        <v>#N/A</v>
        <stp/>
        <stp>BDH|8667911035099318134</stp>
        <tr r="G126" s="1"/>
      </tp>
      <tp t="e">
        <v>#N/A</v>
        <stp/>
        <stp>BDH|3264855662354445338</stp>
        <tr r="H175" s="1"/>
      </tp>
      <tp t="e">
        <v>#N/A</v>
        <stp/>
        <stp>BDH|2007378685767423442</stp>
        <tr r="F121" s="1"/>
      </tp>
      <tp t="e">
        <v>#N/A</v>
        <stp/>
        <stp>BDH|1424763783860136432</stp>
        <tr r="D131" s="1"/>
      </tp>
      <tp t="e">
        <v>#N/A</v>
        <stp/>
        <stp>BDH|2862613154699565291</stp>
        <tr r="D182" s="1"/>
      </tp>
      <tp t="e">
        <v>#N/A</v>
        <stp/>
        <stp>BDH|8372586833615965108</stp>
        <tr r="G207" s="1"/>
      </tp>
      <tp t="e">
        <v>#N/A</v>
        <stp/>
        <stp>BDH|7072400621969943291</stp>
        <tr r="G205" s="1"/>
      </tp>
      <tp t="e">
        <v>#N/A</v>
        <stp/>
        <stp>BDH|3692952957307739220</stp>
        <tr r="F136" s="1"/>
      </tp>
      <tp t="e">
        <v>#N/A</v>
        <stp/>
        <stp>BDH|7026153459791917832</stp>
        <tr r="H207" s="1"/>
      </tp>
      <tp t="e">
        <v>#N/A</v>
        <stp/>
        <stp>BDH|4716470650849249647</stp>
        <tr r="E120" s="1"/>
      </tp>
      <tp t="e">
        <v>#N/A</v>
        <stp/>
        <stp>BDH|4641117959298843212</stp>
        <tr r="C150" s="2"/>
      </tp>
      <tp t="e">
        <v>#N/A</v>
        <stp/>
        <stp>BDH|6833167788143310602</stp>
        <tr r="G167" s="1"/>
      </tp>
    </main>
    <main first="bloomberg.rtd">
      <tp>
        <v>0.88600000000000001</v>
        <stp/>
        <stp>##V3_BDPV12</stp>
        <stp>EURTN Curncy</stp>
        <stp>PX_LAST</stp>
        <stp>[QwackPricer.xlsx]FX-IR!R33C4</stp>
        <tr r="D33" s="1"/>
      </tp>
      <tp>
        <v>0.114</v>
        <stp/>
        <stp>##V3_BDPV12</stp>
        <stp>AUDTN Curncy</stp>
        <stp>PX_LAST</stp>
        <stp>[QwackPricer.xlsx]FX-IR!R33C5</stp>
        <tr r="E33" s="1"/>
      </tp>
      <tp>
        <v>15.640120506286621</v>
        <stp/>
        <stp>##V3_BDPV12</stp>
        <stp>LA OCT24 50D VOL LME Comdty</stp>
        <stp>PX_LAST</stp>
        <stp>[QwackPricer.xlsx]Base!R126C6</stp>
        <tr r="F126" s="2"/>
      </tp>
      <tp>
        <v>15.670107841491699</v>
        <stp/>
        <stp>##V3_BDPV12</stp>
        <stp>LA DEC23 50D VOL LME Comdty</stp>
        <stp>PX_LAST</stp>
        <stp>[QwackPricer.xlsx]Base!R116C6</stp>
        <tr r="F116" s="2"/>
      </tp>
      <tp>
        <v>15.750090599060059</v>
        <stp/>
        <stp>##V3_BDPV12</stp>
        <stp>LA FEB23 50D VOL LME Comdty</stp>
        <stp>PX_LAST</stp>
        <stp>[QwackPricer.xlsx]Base!R106C6</stp>
        <tr r="F106" s="2"/>
      </tp>
      <tp>
        <v>15.620133399963379</v>
        <stp/>
        <stp>##V3_BDPV12</stp>
        <stp>LA AUG25 50D VOL LME Comdty</stp>
        <stp>PX_LAST</stp>
        <stp>[QwackPricer.xlsx]Base!R136C6</stp>
        <tr r="F136" s="2"/>
      </tp>
    </main>
    <main first="bofaddin.rtdserver">
      <tp t="e">
        <v>#N/A</v>
        <stp/>
        <stp>BDH|9948107236503789327</stp>
        <tr r="D184" s="1"/>
      </tp>
      <tp t="e">
        <v>#N/A</v>
        <stp/>
        <stp>BDH|5532283202584806893</stp>
        <tr r="F116" s="1"/>
      </tp>
      <tp t="e">
        <v>#N/A</v>
        <stp/>
        <stp>BDH|3610696406237284954</stp>
        <tr r="G183" s="1"/>
      </tp>
      <tp t="e">
        <v>#N/A</v>
        <stp/>
        <stp>BDH|7857667358157119882</stp>
        <tr r="E122" s="1"/>
      </tp>
      <tp t="e">
        <v>#N/A</v>
        <stp/>
        <stp>BDH|1874902522448550923</stp>
        <tr r="E183" s="1"/>
      </tp>
      <tp t="e">
        <v>#N/A</v>
        <stp/>
        <stp>BDH|3257327140667663853</stp>
        <tr r="H203" s="1"/>
      </tp>
      <tp t="e">
        <v>#N/A</v>
        <stp/>
        <stp>BDH|8514304186160713875</stp>
        <tr r="D105" s="1"/>
      </tp>
      <tp t="e">
        <v>#N/A</v>
        <stp/>
        <stp>BDH|6784873824773215457</stp>
        <tr r="G155" s="1"/>
      </tp>
      <tp t="e">
        <v>#N/A</v>
        <stp/>
        <stp>BDH|8208002636104705421</stp>
        <tr r="G118" s="1"/>
      </tp>
      <tp t="e">
        <v>#N/A</v>
        <stp/>
        <stp>BDH|8280652815093195726</stp>
        <tr r="F157" s="1"/>
      </tp>
      <tp t="e">
        <v>#N/A</v>
        <stp/>
        <stp>BDH|5555038496995404251</stp>
        <tr r="H141" s="1"/>
      </tp>
      <tp t="e">
        <v>#N/A</v>
        <stp/>
        <stp>BDH|6985695484681626249</stp>
        <tr r="G208" s="1"/>
      </tp>
      <tp t="e">
        <v>#N/A</v>
        <stp/>
        <stp>BDH|7765264007748417648</stp>
        <tr r="E140" s="1"/>
      </tp>
      <tp t="e">
        <v>#N/A</v>
        <stp/>
        <stp>BDH|2491646985892429566</stp>
        <tr r="E187" s="1"/>
      </tp>
      <tp t="e">
        <v>#N/A</v>
        <stp/>
        <stp>BDH|5099843582639492750</stp>
        <tr r="E135" s="1"/>
      </tp>
      <tp t="e">
        <v>#N/A</v>
        <stp/>
        <stp>BDH|9204726616865694147</stp>
        <tr r="F122" s="1"/>
      </tp>
      <tp t="e">
        <v>#N/A</v>
        <stp/>
        <stp>BDH|6345409782995561414</stp>
        <tr r="F152" s="1"/>
      </tp>
    </main>
    <main first="bloomberg.rtd">
      <tp>
        <v>3.7250000000000001</v>
        <stp/>
        <stp>##V3_BDPV12</stp>
        <stp>SASW1 Curncy</stp>
        <stp>PX_LAST</stp>
        <stp>[QwackPricer.xlsx]FX-IR!R71C9</stp>
        <tr r="I71" s="1"/>
      </tp>
      <tp>
        <v>496.25</v>
        <stp/>
        <stp>##V3_BDPV12</stp>
        <stp>QSZ4 Comdty</stp>
        <stp>PX_SETTLE</stp>
        <stp>[QwackPricer.xlsx]Energy!R56C13</stp>
        <tr r="M56" s="3"/>
      </tp>
      <tp>
        <v>99.83</v>
        <stp/>
        <stp>##V3_BDPV12</stp>
        <stp>EDU1 Comdty</stp>
        <stp>PX_LAST</stp>
        <stp>[QwackPricer.xlsx]FX-IR!R75C3</stp>
        <tr r="C75" s="1"/>
      </tp>
      <tp>
        <v>48.2</v>
        <stp/>
        <stp>##V3_BDPV12</stp>
        <stp>CLZ4 Comdty</stp>
        <stp>PX_SETTLE</stp>
        <stp>[QwackPricer.xlsx]Energy!R56C31</stp>
        <tr r="AE56" s="3"/>
      </tp>
      <tp>
        <v>500.25</v>
        <stp/>
        <stp>##V3_BDPV12</stp>
        <stp>QSZ1 Comdty</stp>
        <stp>PX_SETTLE</stp>
        <stp>[QwackPricer.xlsx]Energy!R20C13</stp>
        <tr r="M20" s="3"/>
      </tp>
      <tp>
        <v>147.82</v>
        <stp/>
        <stp>##V3_BDPV12</stp>
        <stp>XBZ2 Comdty</stp>
        <stp>PX_SETTLE</stp>
        <stp>[QwackPricer.xlsx]Energy!R32C22</stp>
        <tr r="V32" s="3"/>
      </tp>
      <tp>
        <v>49.22</v>
        <stp/>
        <stp>##V3_BDPV12</stp>
        <stp>CLZ3 Comdty</stp>
        <stp>PX_SETTLE</stp>
        <stp>[QwackPricer.xlsx]Energy!R44C31</stp>
        <tr r="AE44" s="3"/>
      </tp>
      <tp>
        <v>146.57</v>
        <stp/>
        <stp>##V3_BDPV12</stp>
        <stp>XBZ3 Comdty</stp>
        <stp>PX_SETTLE</stp>
        <stp>[QwackPricer.xlsx]Energy!R44C22</stp>
        <tr r="V44" s="3"/>
      </tp>
      <tp>
        <v>51.2</v>
        <stp/>
        <stp>##V3_BDPV12</stp>
        <stp>CLZ2 Comdty</stp>
        <stp>PX_SETTLE</stp>
        <stp>[QwackPricer.xlsx]Energy!R32C31</stp>
        <tr r="AE32" s="3"/>
      </tp>
      <tp>
        <v>488</v>
        <stp/>
        <stp>##V3_BDPV12</stp>
        <stp>QSZ3 Comdty</stp>
        <stp>PX_SETTLE</stp>
        <stp>[QwackPricer.xlsx]Energy!R44C13</stp>
        <tr r="M44" s="3"/>
      </tp>
      <tp>
        <v>54.79</v>
        <stp/>
        <stp>##V3_BDPV12</stp>
        <stp>CLZ1 Comdty</stp>
        <stp>PX_SETTLE</stp>
        <stp>[QwackPricer.xlsx]Energy!R20C31</stp>
        <tr r="AE20" s="3"/>
      </tp>
      <tp>
        <v>490.75</v>
        <stp/>
        <stp>##V3_BDPV12</stp>
        <stp>QSZ2 Comdty</stp>
        <stp>PX_SETTLE</stp>
        <stp>[QwackPricer.xlsx]Energy!R32C13</stp>
        <tr r="M32" s="3"/>
      </tp>
      <tp>
        <v>155.42000000000002</v>
        <stp/>
        <stp>##V3_BDPV12</stp>
        <stp>XBZ1 Comdty</stp>
        <stp>PX_SETTLE</stp>
        <stp>[QwackPricer.xlsx]Energy!R20C22</stp>
        <tr r="V20" s="3"/>
      </tp>
      <tp>
        <v>15.660107612609863</v>
        <stp/>
        <stp>##V3_BDPV12</stp>
        <stp>LA JAN24 50D VOL LME Comdty</stp>
        <stp>PX_LAST</stp>
        <stp>[QwackPricer.xlsx]Base!R117C6</stp>
        <tr r="F117" s="2"/>
      </tp>
      <tp>
        <v>15.700092315673828</v>
        <stp/>
        <stp>##V3_BDPV12</stp>
        <stp>LA MAR23 50D VOL LME Comdty</stp>
        <stp>PX_LAST</stp>
        <stp>[QwackPricer.xlsx]Base!R107C6</stp>
        <tr r="F107" s="2"/>
      </tp>
      <tp>
        <v>15.640122413635254</v>
        <stp/>
        <stp>##V3_BDPV12</stp>
        <stp>LA NOV24 50D VOL LME Comdty</stp>
        <stp>PX_LAST</stp>
        <stp>[QwackPricer.xlsx]Base!R127C6</stp>
        <tr r="F127" s="2"/>
      </tp>
      <tp>
        <v>15.620134353637695</v>
        <stp/>
        <stp>##V3_BDPV12</stp>
        <stp>LA SEP25 50D VOL LME Comdty</stp>
        <stp>PX_LAST</stp>
        <stp>[QwackPricer.xlsx]Base!R137C6</stp>
        <tr r="F137" s="2"/>
      </tp>
    </main>
    <main first="bofaddin.rtdserver">
      <tp t="e">
        <v>#N/A</v>
        <stp/>
        <stp>BDH|1419801220398621783</stp>
        <tr r="D124" s="1"/>
      </tp>
      <tp t="e">
        <v>#N/A</v>
        <stp/>
        <stp>BDH|3823269507206333300</stp>
        <tr r="G206" s="1"/>
      </tp>
      <tp t="e">
        <v>#N/A</v>
        <stp/>
        <stp>BDH|4967640838614701193</stp>
        <tr r="D133" s="1"/>
      </tp>
      <tp t="e">
        <v>#N/A</v>
        <stp/>
        <stp>BDH|6037454068969797911</stp>
        <tr r="D185" s="1"/>
      </tp>
      <tp t="e">
        <v>#N/A</v>
        <stp/>
        <stp>BDH|4751443121445930321</stp>
        <tr r="G116" s="1"/>
      </tp>
      <tp t="e">
        <v>#N/A</v>
        <stp/>
        <stp>BDH|6852352750044370024</stp>
        <tr r="E173" s="1"/>
      </tp>
      <tp t="e">
        <v>#N/A</v>
        <stp/>
        <stp>BDH|1666933514284547970</stp>
        <tr r="D118" s="1"/>
      </tp>
      <tp t="e">
        <v>#N/A</v>
        <stp/>
        <stp>BDH|4782560342875312436</stp>
        <tr r="F185" s="1"/>
      </tp>
      <tp t="e">
        <v>#N/A</v>
        <stp/>
        <stp>BDH|3641792221045923774</stp>
        <tr r="G108" s="1"/>
      </tp>
      <tp t="e">
        <v>#N/A</v>
        <stp/>
        <stp>BDH|2447113396117549975</stp>
        <tr r="N26" s="1"/>
      </tp>
      <tp t="e">
        <v>#N/A</v>
        <stp/>
        <stp>BDH|1453710052315296232</stp>
        <tr r="D148" s="1"/>
      </tp>
      <tp t="e">
        <v>#N/A</v>
        <stp/>
        <stp>BDH|5839119512558584997</stp>
        <tr r="E152" s="1"/>
      </tp>
      <tp t="e">
        <v>#N/A</v>
        <stp/>
        <stp>BDH|8054878691489580442</stp>
        <tr r="H115" s="1"/>
      </tp>
    </main>
    <main first="bloomberg.rtd">
      <tp>
        <v>505.25</v>
        <stp/>
        <stp>##V3_BDPV12</stp>
        <stp>QSU5 Comdty</stp>
        <stp>PX_SETTLE</stp>
        <stp>[QwackPricer.xlsx]Energy!R65C13</stp>
        <tr r="M65" s="3"/>
      </tp>
      <tp>
        <v>493.25</v>
        <stp/>
        <stp>##V3_BDPV12</stp>
        <stp>QSU4 Comdty</stp>
        <stp>PX_SETTLE</stp>
        <stp>[QwackPricer.xlsx]Energy!R53C13</stp>
        <tr r="M53" s="3"/>
      </tp>
      <tp>
        <v>164.48</v>
        <stp/>
        <stp>##V3_BDPV12</stp>
        <stp>XBU4 Comdty</stp>
        <stp>PX_SETTLE</stp>
        <stp>[QwackPricer.xlsx]Energy!R53C22</stp>
        <tr r="V53" s="3"/>
      </tp>
      <tp>
        <v>47.84</v>
        <stp/>
        <stp>##V3_BDPV12</stp>
        <stp>CLU5 Comdty</stp>
        <stp>PX_SETTLE</stp>
        <stp>[QwackPricer.xlsx]Energy!R65C31</stp>
        <tr r="AE65" s="3"/>
      </tp>
      <tp>
        <v>48.34</v>
        <stp/>
        <stp>##V3_BDPV12</stp>
        <stp>CLU4 Comdty</stp>
        <stp>PX_SETTLE</stp>
        <stp>[QwackPricer.xlsx]Energy!R53C31</stp>
        <tr r="AE53" s="3"/>
      </tp>
      <tp>
        <v>503.25</v>
        <stp/>
        <stp>##V3_BDPV12</stp>
        <stp>QSU1 Comdty</stp>
        <stp>PX_SETTLE</stp>
        <stp>[QwackPricer.xlsx]Energy!R17C13</stp>
        <tr r="M17" s="3"/>
      </tp>
      <tp>
        <v>164.24</v>
        <stp/>
        <stp>##V3_BDPV12</stp>
        <stp>XBU2 Comdty</stp>
        <stp>PX_SETTLE</stp>
        <stp>[QwackPricer.xlsx]Energy!R29C22</stp>
        <tr r="V29" s="3"/>
      </tp>
      <tp>
        <v>49.52</v>
        <stp/>
        <stp>##V3_BDPV12</stp>
        <stp>CLU3 Comdty</stp>
        <stp>PX_SETTLE</stp>
        <stp>[QwackPricer.xlsx]Energy!R41C31</stp>
        <tr r="AE41" s="3"/>
      </tp>
      <tp>
        <v>163.62</v>
        <stp/>
        <stp>##V3_BDPV12</stp>
        <stp>XBU3 Comdty</stp>
        <stp>PX_SETTLE</stp>
        <stp>[QwackPricer.xlsx]Energy!R41C22</stp>
        <tr r="V41" s="3"/>
      </tp>
      <tp>
        <v>51.83</v>
        <stp/>
        <stp>##V3_BDPV12</stp>
        <stp>CLU2 Comdty</stp>
        <stp>PX_SETTLE</stp>
        <stp>[QwackPricer.xlsx]Energy!R29C31</stp>
        <tr r="AE29" s="3"/>
      </tp>
      <tp>
        <v>491.75</v>
        <stp/>
        <stp>##V3_BDPV12</stp>
        <stp>QSU3 Comdty</stp>
        <stp>PX_SETTLE</stp>
        <stp>[QwackPricer.xlsx]Energy!R41C13</stp>
        <tr r="M41" s="3"/>
      </tp>
      <tp>
        <v>56.28</v>
        <stp/>
        <stp>##V3_BDPV12</stp>
        <stp>CLU1 Comdty</stp>
        <stp>PX_SETTLE</stp>
        <stp>[QwackPricer.xlsx]Energy!R17C31</stp>
        <tr r="AE17" s="3"/>
      </tp>
      <tp>
        <v>495</v>
        <stp/>
        <stp>##V3_BDPV12</stp>
        <stp>QSU2 Comdty</stp>
        <stp>PX_SETTLE</stp>
        <stp>[QwackPricer.xlsx]Energy!R29C13</stp>
        <tr r="M29" s="3"/>
      </tp>
      <tp>
        <v>172.46</v>
        <stp/>
        <stp>##V3_BDPV12</stp>
        <stp>XBU1 Comdty</stp>
        <stp>PX_SETTLE</stp>
        <stp>[QwackPricer.xlsx]Energy!R17C22</stp>
        <tr r="V17" s="3"/>
      </tp>
      <tp>
        <v>15.620135307312012</v>
        <stp/>
        <stp>##V3_BDPV12</stp>
        <stp>LA OCT25 50D VOL LME Comdty</stp>
        <stp>PX_LAST</stp>
        <stp>[QwackPricer.xlsx]Base!R138C6</stp>
        <tr r="F138" s="2"/>
      </tp>
      <tp>
        <v>18.779582977294922</v>
        <stp/>
        <stp>##V3_BDPV12</stp>
        <stp>LA SEP24 10DP VOL LME Comdty</stp>
        <stp>PX_LAST</stp>
        <stp>[QwackPricer.xlsx]Base!R125C4</stp>
        <tr r="D125" s="2"/>
      </tp>
      <tp>
        <v>17.459625244140625</v>
        <stp/>
        <stp>##V3_BDPV12</stp>
        <stp>LA SEP24 25DP VOL LME Comdty</stp>
        <stp>PX_LAST</stp>
        <stp>[QwackPricer.xlsx]Base!R125C5</stp>
        <tr r="E125" s="2"/>
      </tp>
      <tp>
        <v>15.66010856628418</v>
        <stp/>
        <stp>##V3_BDPV12</stp>
        <stp>LA FEB24 50D VOL LME Comdty</stp>
        <stp>PX_LAST</stp>
        <stp>[QwackPricer.xlsx]Base!R118C6</stp>
        <tr r="F118" s="2"/>
      </tp>
      <tp>
        <v>15.700094223022461</v>
        <stp/>
        <stp>##V3_BDPV12</stp>
        <stp>LA APR23 50D VOL LME Comdty</stp>
        <stp>PX_LAST</stp>
        <stp>[QwackPricer.xlsx]Base!R108C6</stp>
        <tr r="F108" s="2"/>
      </tp>
      <tp>
        <v>15.64012336730957</v>
        <stp/>
        <stp>##V3_BDPV12</stp>
        <stp>LA DEC24 50D VOL LME Comdty</stp>
        <stp>PX_LAST</stp>
        <stp>[QwackPricer.xlsx]Base!R128C6</stp>
        <tr r="F128" s="2"/>
      </tp>
      <tp>
        <v>15.879879951477051</v>
        <stp/>
        <stp>##V3_BDPV12</stp>
        <stp>LA SEP24 10DC VOL LME Comdty</stp>
        <stp>PX_LAST</stp>
        <stp>[QwackPricer.xlsx]Base!R125C8</stp>
        <tr r="H125" s="2"/>
      </tp>
      <tp>
        <v>15.66984748840332</v>
        <stp/>
        <stp>##V3_BDPV12</stp>
        <stp>LA SEP24 25DC VOL LME Comdty</stp>
        <stp>PX_LAST</stp>
        <stp>[QwackPricer.xlsx]Base!R125C7</stp>
        <tr r="G125" s="2"/>
      </tp>
    </main>
    <main first="bofaddin.rtdserver">
      <tp t="e">
        <v>#N/A</v>
        <stp/>
        <stp>BDH|3513495647935682376</stp>
        <tr r="D140" s="1"/>
      </tp>
      <tp t="e">
        <v>#N/A</v>
        <stp/>
        <stp>BDH|2621452038134252423</stp>
        <tr r="E131" s="1"/>
      </tp>
      <tp t="e">
        <v>#N/A</v>
        <stp/>
        <stp>BDH|7347537549781274205</stp>
        <tr r="H171" s="1"/>
      </tp>
      <tp t="e">
        <v>#N/A</v>
        <stp/>
        <stp>BDH|8559069060153164892</stp>
        <tr r="E174" s="1"/>
      </tp>
      <tp t="e">
        <v>#N/A</v>
        <stp/>
        <stp>BDH|4589918599418393965</stp>
        <tr r="E124" s="1"/>
      </tp>
      <tp t="e">
        <v>#N/A</v>
        <stp/>
        <stp>BDH|3153507709880363354</stp>
        <tr r="E207" s="1"/>
      </tp>
      <tp t="e">
        <v>#N/A</v>
        <stp/>
        <stp>BDH|6700305412702812313</stp>
        <tr r="F150" s="1"/>
      </tp>
      <tp t="e">
        <v>#N/A</v>
        <stp/>
        <stp>BDH|5304144248760694599</stp>
        <tr r="G166" s="1"/>
      </tp>
      <tp t="e">
        <v>#N/A</v>
        <stp/>
        <stp>BDH|9207953940758153966</stp>
        <tr r="E142" s="1"/>
      </tp>
      <tp t="e">
        <v>#N/A</v>
        <stp/>
        <stp>BDH|7357425515231552672</stp>
        <tr r="F109" s="1"/>
      </tp>
      <tp t="e">
        <v>#N/A</v>
        <stp/>
        <stp>BDH|9864102510905816965</stp>
        <tr r="D205" s="1"/>
      </tp>
      <tp t="e">
        <v>#N/A</v>
        <stp/>
        <stp>BDH|3210319534894512248</stp>
        <tr r="F168" s="1"/>
      </tp>
      <tp t="e">
        <v>#N/A</v>
        <stp/>
        <stp>BDH|8826804715493924733</stp>
        <tr r="C153" s="2"/>
      </tp>
      <tp t="e">
        <v>#N/A</v>
        <stp/>
        <stp>BDH|3263722017952628266</stp>
        <tr r="D119" s="1"/>
      </tp>
      <tp t="e">
        <v>#N/A</v>
        <stp/>
        <stp>BDH|9024713485021009239</stp>
        <tr r="H170" s="1"/>
      </tp>
      <tp t="e">
        <v>#N/A</v>
        <stp/>
        <stp>BDH|3781925896007295153</stp>
        <tr r="D139" s="1"/>
      </tp>
      <tp t="e">
        <v>#N/A</v>
        <stp/>
        <stp>BDH|6377072813334092630</stp>
        <tr r="H131" s="1"/>
      </tp>
      <tp t="e">
        <v>#N/A</v>
        <stp/>
        <stp>BDH|4518754026336632258</stp>
        <tr r="H151" s="1"/>
      </tp>
    </main>
    <main first="bloomberg.rtd">
      <tp>
        <v>99.355000000000004</v>
        <stp/>
        <stp>##V3_BDPV12</stp>
        <stp>EDZ3 Comdty</stp>
        <stp>PX_LAST</stp>
        <stp>[QwackPricer.xlsx]FX-IR!R84C3</stp>
        <tr r="C84" s="1"/>
      </tp>
      <tp>
        <v>15.640124320983887</v>
        <stp/>
        <stp>##V3_BDPV12</stp>
        <stp>LA JAN25 50D VOL LME Comdty</stp>
        <stp>PX_LAST</stp>
        <stp>[QwackPricer.xlsx]Base!R129C6</stp>
        <tr r="F129" s="2"/>
      </tp>
      <tp>
        <v>15.690095901489258</v>
        <stp/>
        <stp>##V3_BDPV12</stp>
        <stp>LA MAY23 50D VOL LME Comdty</stp>
        <stp>PX_LAST</stp>
        <stp>[QwackPricer.xlsx]Base!R109C6</stp>
        <tr r="F109" s="2"/>
      </tp>
      <tp>
        <v>15.620135307312012</v>
        <stp/>
        <stp>##V3_BDPV12</stp>
        <stp>LA NOV25 50D VOL LME Comdty</stp>
        <stp>PX_LAST</stp>
        <stp>[QwackPricer.xlsx]Base!R139C6</stp>
        <tr r="F139" s="2"/>
      </tp>
      <tp>
        <v>15.660110473632813</v>
        <stp/>
        <stp>##V3_BDPV12</stp>
        <stp>LA MAR24 50D VOL LME Comdty</stp>
        <stp>PX_LAST</stp>
        <stp>[QwackPricer.xlsx]Base!R119C6</stp>
        <tr r="F119" s="2"/>
      </tp>
      <tp>
        <v>18.789531707763672</v>
        <stp/>
        <stp>##V3_BDPV12</stp>
        <stp>LA SEP23 10DP VOL LME Comdty</stp>
        <stp>PX_LAST</stp>
        <stp>[QwackPricer.xlsx]Base!R113C4</stp>
        <tr r="D113" s="2"/>
      </tp>
      <tp>
        <v>17.469581604003906</v>
        <stp/>
        <stp>##V3_BDPV12</stp>
        <stp>LA SEP23 25DP VOL LME Comdty</stp>
        <stp>PX_LAST</stp>
        <stp>[QwackPricer.xlsx]Base!R113C5</stp>
        <tr r="E113" s="2"/>
      </tp>
      <tp>
        <v>15.89985466003418</v>
        <stp/>
        <stp>##V3_BDPV12</stp>
        <stp>LA SEP23 10DC VOL LME Comdty</stp>
        <stp>PX_LAST</stp>
        <stp>[QwackPricer.xlsx]Base!R113C8</stp>
        <tr r="H113" s="2"/>
      </tp>
      <tp>
        <v>15.689853668212891</v>
        <stp/>
        <stp>##V3_BDPV12</stp>
        <stp>LA SEP23 25DC VOL LME Comdty</stp>
        <stp>PX_LAST</stp>
        <stp>[QwackPricer.xlsx]Base!R113C7</stp>
        <tr r="G113" s="2"/>
      </tp>
    </main>
    <main first="bofaddin.rtdserver">
      <tp t="e">
        <v>#N/A</v>
        <stp/>
        <stp>BDH|4865410479580975139</stp>
        <tr r="D201" s="1"/>
      </tp>
      <tp t="e">
        <v>#N/A</v>
        <stp/>
        <stp>BDH|9779792039862474995</stp>
        <tr r="G198" s="1"/>
      </tp>
      <tp t="e">
        <v>#N/A</v>
        <stp/>
        <stp>BDH|5956026135232594202</stp>
        <tr r="D126" s="1"/>
      </tp>
      <tp t="e">
        <v>#N/A</v>
        <stp/>
        <stp>BDH|3744148429946776052</stp>
        <tr r="G197" s="1"/>
      </tp>
      <tp t="e">
        <v>#N/A</v>
        <stp/>
        <stp>BDH|6962969213541640943</stp>
        <tr r="G137" s="1"/>
      </tp>
      <tp t="e">
        <v>#N/A</v>
        <stp/>
        <stp>BDH|7433271208202498103</stp>
        <tr r="H182" s="1"/>
      </tp>
      <tp t="e">
        <v>#N/A</v>
        <stp/>
        <stp>BDH|4591008340434191284</stp>
        <tr r="D169" s="1"/>
      </tp>
      <tp t="e">
        <v>#N/A</v>
        <stp/>
        <stp>BDH|6921856294086145747</stp>
        <tr r="D106" s="1"/>
      </tp>
      <tp t="e">
        <v>#N/A</v>
        <stp/>
        <stp>BDH|6441224212795414630</stp>
        <tr r="H184" s="1"/>
      </tp>
      <tp t="e">
        <v>#N/A</v>
        <stp/>
        <stp>BDH|5539317902417002760</stp>
        <tr r="F171" s="1"/>
      </tp>
      <tp t="e">
        <v>#N/A</v>
        <stp/>
        <stp>BDH|7443037534612402077</stp>
        <tr r="F102" s="1"/>
      </tp>
      <tp t="e">
        <v>#N/A</v>
        <stp/>
        <stp>BDH|7795022356853328704</stp>
        <tr r="H124" s="1"/>
      </tp>
      <tp t="e">
        <v>#N/A</v>
        <stp/>
        <stp>BDH|5473783961344599682</stp>
        <tr r="F153" s="1"/>
      </tp>
      <tp t="e">
        <v>#N/A</v>
        <stp/>
        <stp>BDH|7543289859692659431</stp>
        <tr r="G172" s="1"/>
      </tp>
      <tp t="e">
        <v>#N/A</v>
        <stp/>
        <stp>BDH|1977241510523242795</stp>
        <tr r="G117" s="1"/>
      </tp>
      <tp t="e">
        <v>#N/A</v>
        <stp/>
        <stp>BDH|4017164974151107556</stp>
        <tr r="H153" s="1"/>
      </tp>
      <tp t="e">
        <v>#N/A</v>
        <stp/>
        <stp>BDH|7300055604846468706</stp>
        <tr r="H156" s="1"/>
      </tp>
      <tp t="e">
        <v>#N/A</v>
        <stp/>
        <stp>BDH|5563460155070472264</stp>
        <tr r="H140" s="1"/>
      </tp>
      <tp t="e">
        <v>#N/A</v>
        <stp/>
        <stp>BDH|7587243747667240018</stp>
        <tr r="D109" s="1"/>
      </tp>
    </main>
    <main first="bloomberg.rtd">
      <tp>
        <v>18.969484329223633</v>
        <stp/>
        <stp>##V3_BDPV12</stp>
        <stp>LA SEP22 10DP VOL LME Comdty</stp>
        <stp>PX_LAST</stp>
        <stp>[QwackPricer.xlsx]Base!R101C4</stp>
        <tr r="D101" s="2"/>
      </tp>
      <tp>
        <v>17.639530181884766</v>
        <stp/>
        <stp>##V3_BDPV12</stp>
        <stp>LA SEP22 25DP VOL LME Comdty</stp>
        <stp>PX_LAST</stp>
        <stp>[QwackPricer.xlsx]Base!R101C5</stp>
        <tr r="E101" s="2"/>
      </tp>
      <tp>
        <v>16.479724884033203</v>
        <stp/>
        <stp>##V3_BDPV12</stp>
        <stp>LA SEP22 10DC VOL LME Comdty</stp>
        <stp>PX_LAST</stp>
        <stp>[QwackPricer.xlsx]Base!R101C8</stp>
        <tr r="H101" s="2"/>
      </tp>
      <tp>
        <v>16.05975341796875</v>
        <stp/>
        <stp>##V3_BDPV12</stp>
        <stp>LA SEP22 25DC VOL LME Comdty</stp>
        <stp>PX_LAST</stp>
        <stp>[QwackPricer.xlsx]Base!R101C7</stp>
        <tr r="G101" s="2"/>
      </tp>
    </main>
    <main first="bofaddin.rtdserver">
      <tp t="e">
        <v>#N/A</v>
        <stp/>
        <stp>BDH|9971358416819449540</stp>
        <tr r="E108" s="1"/>
      </tp>
      <tp t="e">
        <v>#N/A</v>
        <stp/>
        <stp>BDH|3184691115970418317</stp>
        <tr r="H155" s="1"/>
      </tp>
      <tp t="e">
        <v>#N/A</v>
        <stp/>
        <stp>BDH|4938128345603022560</stp>
        <tr r="F190" s="1"/>
      </tp>
      <tp t="e">
        <v>#N/A</v>
        <stp/>
        <stp>BDH|4128628975442619091</stp>
        <tr r="H189" s="1"/>
      </tp>
      <tp t="e">
        <v>#N/A</v>
        <stp/>
        <stp>BDH|3821977992890193437</stp>
        <tr r="E176" s="1"/>
      </tp>
      <tp t="e">
        <v>#N/A</v>
        <stp/>
        <stp>BDH|5154081364607415367</stp>
        <tr r="F104" s="1"/>
      </tp>
      <tp t="e">
        <v>#N/A</v>
        <stp/>
        <stp>BDH|9103116893094867287</stp>
        <tr r="F202" s="1"/>
      </tp>
      <tp t="e">
        <v>#N/A</v>
        <stp/>
        <stp>BDH|4322190881719164399</stp>
        <tr r="D158" s="1"/>
      </tp>
      <tp t="e">
        <v>#N/A</v>
        <stp/>
        <stp>BDH|3357132236024573236</stp>
        <tr r="G101" s="1"/>
      </tp>
      <tp t="e">
        <v>#N/A</v>
        <stp/>
        <stp>BDH|1516494693252963907</stp>
        <tr r="G200" s="1"/>
      </tp>
      <tp t="e">
        <v>#N/A</v>
        <stp/>
        <stp>BDH|9404842521302684611</stp>
        <tr r="E105" s="1"/>
      </tp>
      <tp t="e">
        <v>#N/A</v>
        <stp/>
        <stp>BDH|7535316233076614660</stp>
        <tr r="G152" s="1"/>
      </tp>
      <tp t="e">
        <v>#N/A</v>
        <stp/>
        <stp>BDH|7400983883807949612</stp>
        <tr r="G141" s="1"/>
      </tp>
      <tp t="e">
        <v>#N/A</v>
        <stp/>
        <stp>BDH|9424777110758241055</stp>
        <tr r="G157" s="1"/>
      </tp>
      <tp t="e">
        <v>#N/A</v>
        <stp/>
        <stp>BDH|7433843992606207745</stp>
        <tr r="D138" s="1"/>
      </tp>
      <tp t="e">
        <v>#N/A</v>
        <stp/>
        <stp>BDH|7582076966527980199</stp>
        <tr r="F189" s="1"/>
      </tp>
    </main>
    <main first="bloomberg.rtd">
      <tp>
        <v>506</v>
        <stp/>
        <stp>##V3_BDPV12</stp>
        <stp>QSV5 Comdty</stp>
        <stp>PX_SETTLE</stp>
        <stp>[QwackPricer.xlsx]Energy!R66C13</stp>
        <tr r="M66" s="3"/>
      </tp>
      <tp>
        <v>494.25</v>
        <stp/>
        <stp>##V3_BDPV12</stp>
        <stp>QSV4 Comdty</stp>
        <stp>PX_SETTLE</stp>
        <stp>[QwackPricer.xlsx]Energy!R54C13</stp>
        <tr r="M54" s="3"/>
      </tp>
      <tp>
        <v>99.79</v>
        <stp/>
        <stp>##V3_BDPV12</stp>
        <stp>EDZ1 Comdty</stp>
        <stp>PX_LAST</stp>
        <stp>[QwackPricer.xlsx]FX-IR!R76C3</stp>
        <tr r="C76" s="1"/>
      </tp>
      <tp>
        <v>151.70000000000002</v>
        <stp/>
        <stp>##V3_BDPV12</stp>
        <stp>XBV4 Comdty</stp>
        <stp>PX_SETTLE</stp>
        <stp>[QwackPricer.xlsx]Energy!R54C22</stp>
        <tr r="V54" s="3"/>
      </tp>
      <tp>
        <v>47.800000000000004</v>
        <stp/>
        <stp>##V3_BDPV12</stp>
        <stp>CLV5 Comdty</stp>
        <stp>PX_SETTLE</stp>
        <stp>[QwackPricer.xlsx]Energy!R66C31</stp>
        <tr r="AE66" s="3"/>
      </tp>
      <tp>
        <v>99.775000000000006</v>
        <stp/>
        <stp>##V3_BDPV12</stp>
        <stp>EDU2 Comdty</stp>
        <stp>PX_LAST</stp>
        <stp>[QwackPricer.xlsx]FX-IR!R79C3</stp>
        <tr r="C79" s="1"/>
      </tp>
      <tp>
        <v>48.28</v>
        <stp/>
        <stp>##V3_BDPV12</stp>
        <stp>CLV4 Comdty</stp>
        <stp>PX_SETTLE</stp>
        <stp>[QwackPricer.xlsx]Energy!R54C31</stp>
        <tr r="AE54" s="3"/>
      </tp>
      <tp>
        <v>503.5</v>
        <stp/>
        <stp>##V3_BDPV12</stp>
        <stp>QSV1 Comdty</stp>
        <stp>PX_SETTLE</stp>
        <stp>[QwackPricer.xlsx]Energy!R18C13</stp>
        <tr r="M18" s="3"/>
      </tp>
      <tp>
        <v>153.15</v>
        <stp/>
        <stp>##V3_BDPV12</stp>
        <stp>XBV2 Comdty</stp>
        <stp>PX_SETTLE</stp>
        <stp>[QwackPricer.xlsx]Energy!R30C22</stp>
        <tr r="V30" s="3"/>
      </tp>
      <tp>
        <v>49.39</v>
        <stp/>
        <stp>##V3_BDPV12</stp>
        <stp>CLV3 Comdty</stp>
        <stp>PX_SETTLE</stp>
        <stp>[QwackPricer.xlsx]Energy!R42C31</stp>
        <tr r="AE42" s="3"/>
      </tp>
      <tp>
        <v>150.72999999999999</v>
        <stp/>
        <stp>##V3_BDPV12</stp>
        <stp>XBV3 Comdty</stp>
        <stp>PX_SETTLE</stp>
        <stp>[QwackPricer.xlsx]Energy!R42C22</stp>
        <tr r="V42" s="3"/>
      </tp>
      <tp>
        <v>51.59</v>
        <stp/>
        <stp>##V3_BDPV12</stp>
        <stp>CLV2 Comdty</stp>
        <stp>PX_SETTLE</stp>
        <stp>[QwackPricer.xlsx]Energy!R30C31</stp>
        <tr r="AE30" s="3"/>
      </tp>
      <tp>
        <v>491.75</v>
        <stp/>
        <stp>##V3_BDPV12</stp>
        <stp>QSV3 Comdty</stp>
        <stp>PX_SETTLE</stp>
        <stp>[QwackPricer.xlsx]Energy!R42C13</stp>
        <tr r="M42" s="3"/>
      </tp>
      <tp>
        <v>55.730000000000004</v>
        <stp/>
        <stp>##V3_BDPV12</stp>
        <stp>CLV1 Comdty</stp>
        <stp>PX_SETTLE</stp>
        <stp>[QwackPricer.xlsx]Energy!R18C31</stp>
        <tr r="AE18" s="3"/>
      </tp>
      <tp>
        <v>495</v>
        <stp/>
        <stp>##V3_BDPV12</stp>
        <stp>QSV2 Comdty</stp>
        <stp>PX_SETTLE</stp>
        <stp>[QwackPricer.xlsx]Energy!R30C13</stp>
        <tr r="M30" s="3"/>
      </tp>
      <tp>
        <v>161.18</v>
        <stp/>
        <stp>##V3_BDPV12</stp>
        <stp>XBV1 Comdty</stp>
        <stp>PX_SETTLE</stp>
        <stp>[QwackPricer.xlsx]Energy!R18C22</stp>
        <tr r="V18" s="3"/>
      </tp>
      <tp>
        <v>18.739574432373047</v>
        <stp/>
        <stp>##V3_BDPV12</stp>
        <stp>LA SEP25 10DP VOL LME Comdty</stp>
        <stp>PX_LAST</stp>
        <stp>[QwackPricer.xlsx]Base!R137C4</stp>
        <tr r="D137" s="2"/>
      </tp>
      <tp>
        <v>17.429677963256836</v>
        <stp/>
        <stp>##V3_BDPV12</stp>
        <stp>LA SEP25 25DP VOL LME Comdty</stp>
        <stp>PX_LAST</stp>
        <stp>[QwackPricer.xlsx]Base!R137C5</stp>
        <tr r="E137" s="2"/>
      </tp>
      <tp>
        <v>15.889839172363281</v>
        <stp/>
        <stp>##V3_BDPV12</stp>
        <stp>LA SEP25 10DC VOL LME Comdty</stp>
        <stp>PX_LAST</stp>
        <stp>[QwackPricer.xlsx]Base!R137C8</stp>
        <tr r="H137" s="2"/>
      </tp>
      <tp>
        <v>15.68982982635498</v>
        <stp/>
        <stp>##V3_BDPV12</stp>
        <stp>LA SEP25 25DC VOL LME Comdty</stp>
        <stp>PX_LAST</stp>
        <stp>[QwackPricer.xlsx]Base!R137C7</stp>
        <tr r="G137" s="2"/>
      </tp>
    </main>
    <main first="bofaddin.rtdserver">
      <tp t="e">
        <v>#N/A</v>
        <stp/>
        <stp>BDH|9719699061998688112</stp>
        <tr r="F159" s="1"/>
      </tp>
      <tp t="e">
        <v>#N/A</v>
        <stp/>
        <stp>BDH|5320863790776820246</stp>
        <tr r="E150" s="1"/>
      </tp>
      <tp t="e">
        <v>#N/A</v>
        <stp/>
        <stp>BDH|4038347708343186445</stp>
        <tr r="F187" s="1"/>
      </tp>
      <tp t="e">
        <v>#N/A</v>
        <stp/>
        <stp>BDH|2829714561392654101</stp>
        <tr r="D175" s="1"/>
      </tp>
      <tp t="e">
        <v>#N/A</v>
        <stp/>
        <stp>BDH|3565735273640283398</stp>
        <tr r="H117" s="1"/>
      </tp>
      <tp t="e">
        <v>#N/A</v>
        <stp/>
        <stp>BDH|7160602488861404837</stp>
        <tr r="G202" s="1"/>
      </tp>
      <tp t="e">
        <v>#N/A</v>
        <stp/>
        <stp>BDH|2732404617842753589</stp>
        <tr r="F119" s="1"/>
      </tp>
      <tp t="e">
        <v>#N/A</v>
        <stp/>
        <stp>BDH|3606591802293093518</stp>
        <tr r="H125" s="1"/>
      </tp>
      <tp t="e">
        <v>#N/A</v>
        <stp/>
        <stp>BDH|9208927519250112149</stp>
        <tr r="E153" s="1"/>
      </tp>
      <tp t="e">
        <v>#N/A</v>
        <stp/>
        <stp>BDH|4940422124947249501</stp>
        <tr r="F115" s="1"/>
      </tp>
      <tp t="e">
        <v>#N/A</v>
        <stp/>
        <stp>BDH|7122863374829037116</stp>
        <tr r="C106" s="3"/>
      </tp>
      <tp t="e">
        <v>#N/A</v>
        <stp/>
        <stp>BDH|3985631308380021517</stp>
        <tr r="F132" s="1"/>
      </tp>
      <tp t="e">
        <v>#N/A</v>
        <stp/>
        <stp>BDH|2048320160490711748</stp>
        <tr r="G136" s="1"/>
      </tp>
      <tp t="e">
        <v>#N/A</v>
        <stp/>
        <stp>BDH|7424287645342095380</stp>
        <tr r="E115" s="1"/>
      </tp>
      <tp t="e">
        <v>#N/A</v>
        <stp/>
        <stp>BDH|6099142121925083023</stp>
        <tr r="F155" s="1"/>
      </tp>
      <tp t="e">
        <v>#N/A</v>
        <stp/>
        <stp>BDH|1140098604831817039</stp>
        <tr r="G199" s="1"/>
      </tp>
      <tp t="e">
        <v>#N/A</v>
        <stp/>
        <stp>BDH|3026449257997038573</stp>
        <tr r="D121" s="1"/>
      </tp>
    </main>
    <main first="bloomberg.rtd">
      <tp>
        <v>504.5</v>
        <stp/>
        <stp>##V3_BDPV12</stp>
        <stp>QSQ5 Comdty</stp>
        <stp>PX_SETTLE</stp>
        <stp>[QwackPricer.xlsx]Energy!R64C13</stp>
        <tr r="M64" s="3"/>
      </tp>
      <tp>
        <v>492.5</v>
        <stp/>
        <stp>##V3_BDPV12</stp>
        <stp>QSQ4 Comdty</stp>
        <stp>PX_SETTLE</stp>
        <stp>[QwackPricer.xlsx]Energy!R52C13</stp>
        <tr r="M52" s="3"/>
      </tp>
      <tp>
        <v>168.1</v>
        <stp/>
        <stp>##V3_BDPV12</stp>
        <stp>XBQ4 Comdty</stp>
        <stp>PX_SETTLE</stp>
        <stp>[QwackPricer.xlsx]Energy!R52C22</stp>
        <tr r="V52" s="3"/>
      </tp>
      <tp>
        <v>47.85</v>
        <stp/>
        <stp>##V3_BDPV12</stp>
        <stp>CLQ5 Comdty</stp>
        <stp>PX_SETTLE</stp>
        <stp>[QwackPricer.xlsx]Energy!R64C31</stp>
        <tr r="AE64" s="3"/>
      </tp>
      <tp>
        <v>48.42</v>
        <stp/>
        <stp>##V3_BDPV12</stp>
        <stp>CLQ4 Comdty</stp>
        <stp>PX_SETTLE</stp>
        <stp>[QwackPricer.xlsx]Energy!R52C31</stp>
        <tr r="AE52" s="3"/>
      </tp>
      <tp>
        <v>503.5</v>
        <stp/>
        <stp>##V3_BDPV12</stp>
        <stp>QSQ1 Comdty</stp>
        <stp>PX_SETTLE</stp>
        <stp>[QwackPricer.xlsx]Energy!R16C13</stp>
        <tr r="M16" s="3"/>
      </tp>
      <tp>
        <v>166.62</v>
        <stp/>
        <stp>##V3_BDPV12</stp>
        <stp>XBQ2 Comdty</stp>
        <stp>PX_SETTLE</stp>
        <stp>[QwackPricer.xlsx]Energy!R28C22</stp>
        <tr r="V28" s="3"/>
      </tp>
      <tp>
        <v>49.67</v>
        <stp/>
        <stp>##V3_BDPV12</stp>
        <stp>CLQ3 Comdty</stp>
        <stp>PX_SETTLE</stp>
        <stp>[QwackPricer.xlsx]Energy!R40C31</stp>
        <tr r="AE40" s="3"/>
      </tp>
      <tp>
        <v>167.34</v>
        <stp/>
        <stp>##V3_BDPV12</stp>
        <stp>XBQ3 Comdty</stp>
        <stp>PX_SETTLE</stp>
        <stp>[QwackPricer.xlsx]Energy!R40C22</stp>
        <tr r="V40" s="3"/>
      </tp>
      <tp>
        <v>52.1</v>
        <stp/>
        <stp>##V3_BDPV12</stp>
        <stp>CLQ2 Comdty</stp>
        <stp>PX_SETTLE</stp>
        <stp>[QwackPricer.xlsx]Energy!R28C31</stp>
        <tr r="AE28" s="3"/>
      </tp>
      <tp>
        <v>491.25</v>
        <stp/>
        <stp>##V3_BDPV12</stp>
        <stp>QSQ3 Comdty</stp>
        <stp>PX_SETTLE</stp>
        <stp>[QwackPricer.xlsx]Energy!R40C13</stp>
        <tr r="M40" s="3"/>
      </tp>
      <tp>
        <v>56.86</v>
        <stp/>
        <stp>##V3_BDPV12</stp>
        <stp>CLQ1 Comdty</stp>
        <stp>PX_SETTLE</stp>
        <stp>[QwackPricer.xlsx]Energy!R16C31</stp>
        <tr r="AE16" s="3"/>
      </tp>
      <tp>
        <v>495.25</v>
        <stp/>
        <stp>##V3_BDPV12</stp>
        <stp>QSQ2 Comdty</stp>
        <stp>PX_SETTLE</stp>
        <stp>[QwackPricer.xlsx]Energy!R28C13</stp>
        <tr r="M28" s="3"/>
      </tp>
      <tp>
        <v>175.43</v>
        <stp/>
        <stp>##V3_BDPV12</stp>
        <stp>XBQ1 Comdty</stp>
        <stp>PX_SETTLE</stp>
        <stp>[QwackPricer.xlsx]Energy!R16C22</stp>
        <tr r="V16" s="3"/>
      </tp>
    </main>
    <main first="bofaddin.rtdserver">
      <tp t="e">
        <v>#N/A</v>
        <stp/>
        <stp>BDH|8875825631856410453</stp>
        <tr r="D141" s="1"/>
      </tp>
      <tp t="e">
        <v>#N/A</v>
        <stp/>
        <stp>BDH|1736499107346237214</stp>
        <tr r="E141" s="1"/>
      </tp>
      <tp t="e">
        <v>#N/A</v>
        <stp/>
        <stp>BDH|3844607203130052439</stp>
        <tr r="F134" s="1"/>
      </tp>
      <tp t="e">
        <v>#N/A</v>
        <stp/>
        <stp>BDH|3992608135492212574</stp>
        <tr r="G192" s="1"/>
      </tp>
      <tp t="e">
        <v>#N/A</v>
        <stp/>
        <stp>BDH|3920735346529407879</stp>
        <tr r="F181" s="1"/>
      </tp>
      <tp t="e">
        <v>#N/A</v>
        <stp/>
        <stp>BDH|5831340937627578324</stp>
        <tr r="H116" s="1"/>
      </tp>
      <tp t="e">
        <v>#N/A</v>
        <stp/>
        <stp>BDH|4648994587215743130</stp>
        <tr r="E170" s="1"/>
      </tp>
      <tp t="e">
        <v>#N/A</v>
        <stp/>
        <stp>BDH|9042698563200381841</stp>
        <tr r="F199" s="1"/>
      </tp>
      <tp t="e">
        <v>#N/A</v>
        <stp/>
        <stp>BDH|7512634913321669013</stp>
        <tr r="H199" s="1"/>
      </tp>
      <tp t="e">
        <v>#N/A</v>
        <stp/>
        <stp>BDH|3015315724955711609</stp>
        <tr r="D123" s="1"/>
      </tp>
      <tp t="e">
        <v>#N/A</v>
        <stp/>
        <stp>BDH|7998832434569906476</stp>
        <tr r="E181" s="1"/>
      </tp>
      <tp t="e">
        <v>#N/A</v>
        <stp/>
        <stp>BDH|4958134258925700446</stp>
        <tr r="D135" s="1"/>
      </tp>
      <tp t="e">
        <v>#N/A</v>
        <stp/>
        <stp>BDH|8440339087060233249</stp>
        <tr r="G156" s="1"/>
      </tp>
      <tp t="e">
        <v>#N/A</v>
        <stp/>
        <stp>BDH|3242242040492324621</stp>
        <tr r="D151" s="1"/>
      </tp>
      <tp t="e">
        <v>#N/A</v>
        <stp/>
        <stp>BDH|5691537500721095013</stp>
        <tr r="D190" s="1"/>
      </tp>
    </main>
    <main first="bloomberg.rtd">
      <tp>
        <v>99.715000000000003</v>
        <stp/>
        <stp>##V3_BDPV12</stp>
        <stp>EDZ2 Comdty</stp>
        <stp>PX_LAST</stp>
        <stp>[QwackPricer.xlsx]FX-IR!R80C3</stp>
        <tr r="C80" s="1"/>
      </tp>
    </main>
    <main first="bofaddin.rtdserver">
      <tp t="e">
        <v>#N/A</v>
        <stp/>
        <stp>BDH|9401749591967892226</stp>
        <tr r="H139" s="1"/>
      </tp>
      <tp t="e">
        <v>#N/A</v>
        <stp/>
        <stp>BDH|5995782379236394127</stp>
        <tr r="H105" s="1"/>
      </tp>
      <tp t="e">
        <v>#N/A</v>
        <stp/>
        <stp>BDH|4863726155631769573</stp>
        <tr r="E154" s="1"/>
      </tp>
      <tp t="e">
        <v>#N/A</v>
        <stp/>
        <stp>BDH|2313192548755547088</stp>
        <tr r="G182" s="1"/>
      </tp>
      <tp t="e">
        <v>#N/A</v>
        <stp/>
        <stp>BDH|9241186102179634323</stp>
        <tr r="G188" s="1"/>
      </tp>
      <tp t="e">
        <v>#N/A</v>
        <stp/>
        <stp>BDH|4041575249480307707</stp>
        <tr r="F206" s="1"/>
      </tp>
      <tp t="e">
        <v>#N/A</v>
        <stp/>
        <stp>BDH|5760574942904768271</stp>
        <tr r="G133" s="1"/>
      </tp>
      <tp t="e">
        <v>#N/A</v>
        <stp/>
        <stp>BDH|3670699989418734728</stp>
        <tr r="C108" s="3"/>
      </tp>
      <tp t="e">
        <v>#N/A</v>
        <stp/>
        <stp>BDH|9099313895832551317</stp>
        <tr r="E205" s="1"/>
      </tp>
      <tp t="e">
        <v>#N/A</v>
        <stp/>
        <stp>BDH|2660138392711982984</stp>
        <tr r="H167" s="1"/>
      </tp>
      <tp t="e">
        <v>#N/A</v>
        <stp/>
        <stp>BDH|4853234706693827732</stp>
        <tr r="E175" s="1"/>
      </tp>
      <tp t="e">
        <v>#N/A</v>
        <stp/>
        <stp>BDH|5562366324195832382</stp>
        <tr r="F186" s="1"/>
      </tp>
      <tp t="e">
        <v>#N/A</v>
        <stp/>
        <stp>BDH|9622227032958687254</stp>
        <tr r="D115" s="1"/>
      </tp>
      <tp t="e">
        <v>#N/A</v>
        <stp/>
        <stp>BDH|2442406345364225464</stp>
        <tr r="D174" s="1"/>
      </tp>
    </main>
    <main first="bofaddin.rtdserver">
      <tp t="e">
        <v>#N/A</v>
        <stp/>
        <stp>BDH|2624100659541079451</stp>
        <tr r="E199" s="1"/>
      </tp>
      <tp t="e">
        <v>#N/A</v>
        <stp/>
        <stp>BDH|8776837331721829177</stp>
        <tr r="H126" s="1"/>
      </tp>
      <tp t="e">
        <v>#N/A</v>
        <stp/>
        <stp>BDH|5036532767156978357</stp>
        <tr r="F172" s="1"/>
      </tp>
      <tp t="e">
        <v>#N/A</v>
        <stp/>
        <stp>BDH|3532447379924126714</stp>
        <tr r="F141" s="1"/>
      </tp>
      <tp t="e">
        <v>#N/A</v>
        <stp/>
        <stp>BDH|5847865940679266338</stp>
        <tr r="G123" s="1"/>
      </tp>
      <tp t="e">
        <v>#N/A</v>
        <stp/>
        <stp>BDH|8927522311479269679</stp>
        <tr r="G201" s="1"/>
      </tp>
      <tp t="e">
        <v>#N/A</v>
        <stp/>
        <stp>BDH|6698035769680894398</stp>
        <tr r="F188" s="1"/>
      </tp>
      <tp t="e">
        <v>#N/A</v>
        <stp/>
        <stp>BDH|3546593166242122195</stp>
        <tr r="F173" s="1"/>
      </tp>
    </main>
    <main first="bloomberg.rtd">
      <tp>
        <v>8278.5</v>
        <stp/>
        <stp>##V3_BDPV12</stp>
        <stp>LMCADS03 Comdty</stp>
        <stp>PX_LAST</stp>
        <stp>[QwackPricer.xlsx]Base!R7C3</stp>
        <tr r="C7" s="2"/>
      </tp>
      <tp>
        <v>503</v>
        <stp/>
        <stp>##V3_BDPV12</stp>
        <stp>QSM5 Comdty</stp>
        <stp>PX_SETTLE</stp>
        <stp>[QwackPricer.xlsx]Energy!R62C13</stp>
        <tr r="M62" s="3"/>
      </tp>
      <tp>
        <v>491</v>
        <stp/>
        <stp>##V3_BDPV12</stp>
        <stp>QSM4 Comdty</stp>
        <stp>PX_SETTLE</stp>
        <stp>[QwackPricer.xlsx]Energy!R50C13</stp>
        <tr r="M50" s="3"/>
      </tp>
      <tp>
        <v>170.71</v>
        <stp/>
        <stp>##V3_BDPV12</stp>
        <stp>XBM4 Comdty</stp>
        <stp>PX_SETTLE</stp>
        <stp>[QwackPricer.xlsx]Energy!R50C22</stp>
        <tr r="V50" s="3"/>
      </tp>
      <tp>
        <v>47.92</v>
        <stp/>
        <stp>##V3_BDPV12</stp>
        <stp>CLM5 Comdty</stp>
        <stp>PX_SETTLE</stp>
        <stp>[QwackPricer.xlsx]Energy!R62C31</stp>
        <tr r="AE62" s="3"/>
      </tp>
      <tp>
        <v>48.58</v>
        <stp/>
        <stp>##V3_BDPV12</stp>
        <stp>CLM4 Comdty</stp>
        <stp>PX_SETTLE</stp>
        <stp>[QwackPricer.xlsx]Energy!R50C31</stp>
        <tr r="AE50" s="3"/>
      </tp>
      <tp>
        <v>503.75</v>
        <stp/>
        <stp>##V3_BDPV12</stp>
        <stp>QSM1 Comdty</stp>
        <stp>PX_SETTLE</stp>
        <stp>[QwackPricer.xlsx]Energy!R14C13</stp>
        <tr r="M14" s="3"/>
      </tp>
      <tp>
        <v>169.72</v>
        <stp/>
        <stp>##V3_BDPV12</stp>
        <stp>XBM2 Comdty</stp>
        <stp>PX_SETTLE</stp>
        <stp>[QwackPricer.xlsx]Energy!R26C22</stp>
        <tr r="V26" s="3"/>
      </tp>
      <tp>
        <v>50.02</v>
        <stp/>
        <stp>##V3_BDPV12</stp>
        <stp>CLM3 Comdty</stp>
        <stp>PX_SETTLE</stp>
        <stp>[QwackPricer.xlsx]Energy!R38C31</stp>
        <tr r="AE38" s="3"/>
      </tp>
      <tp>
        <v>170.16</v>
        <stp/>
        <stp>##V3_BDPV12</stp>
        <stp>XBM3 Comdty</stp>
        <stp>PX_SETTLE</stp>
        <stp>[QwackPricer.xlsx]Energy!R38C22</stp>
        <tr r="V38" s="3"/>
      </tp>
      <tp>
        <v>52.67</v>
        <stp/>
        <stp>##V3_BDPV12</stp>
        <stp>CLM2 Comdty</stp>
        <stp>PX_SETTLE</stp>
        <stp>[QwackPricer.xlsx]Energy!R26C31</stp>
        <tr r="AE26" s="3"/>
      </tp>
      <tp>
        <v>490.25</v>
        <stp/>
        <stp>##V3_BDPV12</stp>
        <stp>QSM3 Comdty</stp>
        <stp>PX_SETTLE</stp>
        <stp>[QwackPricer.xlsx]Energy!R38C13</stp>
        <tr r="M38" s="3"/>
      </tp>
      <tp>
        <v>57.910000000000004</v>
        <stp/>
        <stp>##V3_BDPV12</stp>
        <stp>CLM1 Comdty</stp>
        <stp>PX_SETTLE</stp>
        <stp>[QwackPricer.xlsx]Energy!R14C31</stp>
        <tr r="AE14" s="3"/>
      </tp>
      <tp>
        <v>494.75</v>
        <stp/>
        <stp>##V3_BDPV12</stp>
        <stp>QSM2 Comdty</stp>
        <stp>PX_SETTLE</stp>
        <stp>[QwackPricer.xlsx]Energy!R26C13</stp>
        <tr r="M26" s="3"/>
      </tp>
      <tp>
        <v>178.78</v>
        <stp/>
        <stp>##V3_BDPV12</stp>
        <stp>XBM1 Comdty</stp>
        <stp>PX_SETTLE</stp>
        <stp>[QwackPricer.xlsx]Energy!R14C22</stp>
        <tr r="V14" s="3"/>
      </tp>
      <tp>
        <v>16.04979133605957</v>
        <stp/>
        <stp>##V3_BDPV12</stp>
        <stp>LA APR23 10DC VOL LME Comdty</stp>
        <stp>PX_LAST</stp>
        <stp>[QwackPricer.xlsx]Base!R108C8</stp>
        <tr r="H108" s="2"/>
      </tp>
      <tp>
        <v>15.749814033508301</v>
        <stp/>
        <stp>##V3_BDPV12</stp>
        <stp>LA APR23 25DC VOL LME Comdty</stp>
        <stp>PX_LAST</stp>
        <stp>[QwackPricer.xlsx]Base!R108C7</stp>
        <tr r="G108" s="2"/>
      </tp>
      <tp>
        <v>15.67983341217041</v>
        <stp/>
        <stp>##V3_BDPV12</stp>
        <stp>LA JUL25 25DC VOL LME Comdty</stp>
        <stp>PX_LAST</stp>
        <stp>[QwackPricer.xlsx]Base!R135C7</stp>
        <tr r="G135" s="2"/>
      </tp>
      <tp>
        <v>15.879841804504395</v>
        <stp/>
        <stp>##V3_BDPV12</stp>
        <stp>LA JUL25 10DC VOL LME Comdty</stp>
        <stp>PX_LAST</stp>
        <stp>[QwackPricer.xlsx]Base!R135C8</stp>
        <tr r="H135" s="2"/>
      </tp>
      <tp>
        <v>17.44959831237793</v>
        <stp/>
        <stp>##V3_BDPV12</stp>
        <stp>LA FEB24 25DP VOL LME Comdty</stp>
        <stp>PX_LAST</stp>
        <stp>[QwackPricer.xlsx]Base!R118C5</stp>
        <tr r="E118" s="2"/>
      </tp>
      <tp>
        <v>18.779563903808594</v>
        <stp/>
        <stp>##V3_BDPV12</stp>
        <stp>LA FEB24 10DP VOL LME Comdty</stp>
        <stp>PX_LAST</stp>
        <stp>[QwackPricer.xlsx]Base!R118C4</stp>
        <tr r="D118" s="2"/>
      </tp>
      <tp>
        <v>17.469560623168945</v>
        <stp/>
        <stp>##V3_BDPV12</stp>
        <stp>LA APR23 25DP VOL LME Comdty</stp>
        <stp>PX_LAST</stp>
        <stp>[QwackPricer.xlsx]Base!R108C5</stp>
        <tr r="E108" s="2"/>
      </tp>
      <tp>
        <v>18.799505233764648</v>
        <stp/>
        <stp>##V3_BDPV12</stp>
        <stp>LA APR23 10DP VOL LME Comdty</stp>
        <stp>PX_LAST</stp>
        <stp>[QwackPricer.xlsx]Base!R108C4</stp>
        <tr r="D108" s="2"/>
      </tp>
      <tp>
        <v>15.879883766174316</v>
        <stp/>
        <stp>##V3_BDPV12</stp>
        <stp>LA FEB24 10DC VOL LME Comdty</stp>
        <stp>PX_LAST</stp>
        <stp>[QwackPricer.xlsx]Base!R118C8</stp>
        <tr r="H118" s="2"/>
      </tp>
      <tp>
        <v>15.679854393005371</v>
        <stp/>
        <stp>##V3_BDPV12</stp>
        <stp>LA FEB24 25DC VOL LME Comdty</stp>
        <stp>PX_LAST</stp>
        <stp>[QwackPricer.xlsx]Base!R118C7</stp>
        <tr r="G118" s="2"/>
      </tp>
      <tp>
        <v>18.739572525024414</v>
        <stp/>
        <stp>##V3_BDPV12</stp>
        <stp>LA JUL25 10DP VOL LME Comdty</stp>
        <stp>PX_LAST</stp>
        <stp>[QwackPricer.xlsx]Base!R135C4</stp>
        <tr r="D135" s="2"/>
      </tp>
      <tp>
        <v>17.429670333862305</v>
        <stp/>
        <stp>##V3_BDPV12</stp>
        <stp>LA JUL25 25DP VOL LME Comdty</stp>
        <stp>PX_LAST</stp>
        <stp>[QwackPricer.xlsx]Base!R135C5</stp>
        <tr r="E135" s="2"/>
      </tp>
      <tp>
        <v>2080</v>
        <stp/>
        <stp>##V3_BDPV12</stp>
        <stp>LMAHDS03 Comdty</stp>
        <stp>PX_LAST</stp>
        <stp>[QwackPricer.xlsx]Base!R6C3</stp>
        <tr r="C6" s="2"/>
      </tp>
      <tp>
        <v>18.739572525024414</v>
        <stp/>
        <stp>##V3_BDPV12</stp>
        <stp>LA MAY25 10DP VOL LME Comdty</stp>
        <stp>PX_LAST</stp>
        <stp>[QwackPricer.xlsx]Base!R133C4</stp>
        <tr r="D133" s="2"/>
      </tp>
      <tp>
        <v>17.419662475585938</v>
        <stp/>
        <stp>##V3_BDPV12</stp>
        <stp>LA MAY25 25DP VOL LME Comdty</stp>
        <stp>PX_LAST</stp>
        <stp>[QwackPricer.xlsx]Base!R133C5</stp>
        <tr r="E133" s="2"/>
      </tp>
      <tp>
        <v>15.679834365844727</v>
        <stp/>
        <stp>##V3_BDPV12</stp>
        <stp>LA JUN25 25DC VOL LME Comdty</stp>
        <stp>PX_LAST</stp>
        <stp>[QwackPricer.xlsx]Base!R134C7</stp>
        <tr r="G134" s="2"/>
      </tp>
      <tp>
        <v>15.889843940734863</v>
        <stp/>
        <stp>##V3_BDPV12</stp>
        <stp>LA JUN25 10DC VOL LME Comdty</stp>
        <stp>PX_LAST</stp>
        <stp>[QwackPricer.xlsx]Base!R134C8</stp>
        <tr r="H134" s="2"/>
      </tp>
      <tp>
        <v>15.669836044311523</v>
        <stp/>
        <stp>##V3_BDPV12</stp>
        <stp>LA MAY25 25DC VOL LME Comdty</stp>
        <stp>PX_LAST</stp>
        <stp>[QwackPricer.xlsx]Base!R133C7</stp>
        <tr r="G133" s="2"/>
      </tp>
      <tp>
        <v>15.879847526550293</v>
        <stp/>
        <stp>##V3_BDPV12</stp>
        <stp>LA MAY25 10DC VOL LME Comdty</stp>
        <stp>PX_LAST</stp>
        <stp>[QwackPricer.xlsx]Base!R133C8</stp>
        <tr r="H133" s="2"/>
      </tp>
      <tp>
        <v>17.439666748046875</v>
        <stp/>
        <stp>##V3_BDPV12</stp>
        <stp>LA JUN25 25DP VOL LME Comdty</stp>
        <stp>PX_LAST</stp>
        <stp>[QwackPricer.xlsx]Base!R134C5</stp>
        <tr r="E134" s="2"/>
      </tp>
      <tp>
        <v>18.74957275390625</v>
        <stp/>
        <stp>##V3_BDPV12</stp>
        <stp>LA JUN25 10DP VOL LME Comdty</stp>
        <stp>PX_LAST</stp>
        <stp>[QwackPricer.xlsx]Base!R134C4</stp>
        <tr r="D134" s="2"/>
      </tp>
      <tp>
        <v>99.8</v>
        <stp/>
        <stp>##V3_BDPV12</stp>
        <stp>EDM2 Comdty</stp>
        <stp>PX_LAST</stp>
        <stp>[QwackPricer.xlsx]FX-IR!R78C3</stp>
        <tr r="C78" s="1"/>
      </tp>
      <tp>
        <v>18.789539337158203</v>
        <stp/>
        <stp>##V3_BDPV12</stp>
        <stp>LA OCT23 10DP VOL LME Comdty</stp>
        <stp>PX_LAST</stp>
        <stp>[QwackPricer.xlsx]Base!R114C4</stp>
        <tr r="D114" s="2"/>
      </tp>
      <tp>
        <v>17.469583511352539</v>
        <stp/>
        <stp>##V3_BDPV12</stp>
        <stp>LA OCT23 25DP VOL LME Comdty</stp>
        <stp>PX_LAST</stp>
        <stp>[QwackPricer.xlsx]Base!R114C5</stp>
        <tr r="E114" s="2"/>
      </tp>
      <tp>
        <v>18.779571533203125</v>
        <stp/>
        <stp>##V3_BDPV12</stp>
        <stp>LA MAY24 10DP VOL LME Comdty</stp>
        <stp>PX_LAST</stp>
        <stp>[QwackPricer.xlsx]Base!R121C4</stp>
        <tr r="D121" s="2"/>
      </tp>
      <tp>
        <v>17.45960807800293</v>
        <stp/>
        <stp>##V3_BDPV12</stp>
        <stp>LA MAY24 25DP VOL LME Comdty</stp>
        <stp>PX_LAST</stp>
        <stp>[QwackPricer.xlsx]Base!R121C5</stp>
        <tr r="E121" s="2"/>
      </tp>
      <tp>
        <v>17.349700927734375</v>
        <stp/>
        <stp>##V3_BDPV12</stp>
        <stp>LA MAR26 25DP VOL LME Comdty</stp>
        <stp>PX_LAST</stp>
        <stp>[QwackPricer.xlsx]Base!R143C5</stp>
        <tr r="E143" s="2"/>
      </tp>
      <tp>
        <v>18.539634704589844</v>
        <stp/>
        <stp>##V3_BDPV12</stp>
        <stp>LA MAR26 10DP VOL LME Comdty</stp>
        <stp>PX_LAST</stp>
        <stp>[QwackPricer.xlsx]Base!R143C4</stp>
        <tr r="D143" s="2"/>
      </tp>
      <tp>
        <v>15.709842681884766</v>
        <stp/>
        <stp>##V3_BDPV12</stp>
        <stp>LA JUL23 25DC VOL LME Comdty</stp>
        <stp>PX_LAST</stp>
        <stp>[QwackPricer.xlsx]Base!R111C7</stp>
        <tr r="G111" s="2"/>
      </tp>
      <tp>
        <v>15.939836502075195</v>
        <stp/>
        <stp>##V3_BDPV12</stp>
        <stp>LA JUL23 10DC VOL LME Comdty</stp>
        <stp>PX_LAST</stp>
        <stp>[QwackPricer.xlsx]Base!R111C8</stp>
        <tr r="H111" s="2"/>
      </tp>
      <tp>
        <v>17.449638366699219</v>
        <stp/>
        <stp>##V3_BDPV12</stp>
        <stp>LA DEC24 25DP VOL LME Comdty</stp>
        <stp>PX_LAST</stp>
        <stp>[QwackPricer.xlsx]Base!R128C5</stp>
        <tr r="E128" s="2"/>
      </tp>
      <tp>
        <v>18.769588470458984</v>
        <stp/>
        <stp>##V3_BDPV12</stp>
        <stp>LA DEC24 10DP VOL LME Comdty</stp>
        <stp>PX_LAST</stp>
        <stp>[QwackPricer.xlsx]Base!R128C4</stp>
        <tr r="D128" s="2"/>
      </tp>
      <tp>
        <v>17.479585647583008</v>
        <stp/>
        <stp>##V3_BDPV12</stp>
        <stp>LA NOV23 25DP VOL LME Comdty</stp>
        <stp>PX_LAST</stp>
        <stp>[QwackPricer.xlsx]Base!R115C5</stp>
        <tr r="E115" s="2"/>
      </tp>
      <tp>
        <v>18.78955078125</v>
        <stp/>
        <stp>##V3_BDPV12</stp>
        <stp>LA NOV23 10DP VOL LME Comdty</stp>
        <stp>PX_LAST</stp>
        <stp>[QwackPricer.xlsx]Base!R115C4</stp>
        <tr r="D115" s="2"/>
      </tp>
      <tp>
        <v>15.679853439331055</v>
        <stp/>
        <stp>##V3_BDPV12</stp>
        <stp>LA MAY24 25DC VOL LME Comdty</stp>
        <stp>PX_LAST</stp>
        <stp>[QwackPricer.xlsx]Base!R121C7</stp>
        <tr r="G121" s="2"/>
      </tp>
      <tp>
        <v>15.739825248718262</v>
        <stp/>
        <stp>##V3_BDPV12</stp>
        <stp>LA MAR26 10DC VOL LME Comdty</stp>
        <stp>PX_LAST</stp>
        <stp>[QwackPricer.xlsx]Base!R143C8</stp>
        <tr r="H143" s="2"/>
      </tp>
      <tp>
        <v>15.519817352294922</v>
        <stp/>
        <stp>##V3_BDPV12</stp>
        <stp>LA MAR26 25DC VOL LME Comdty</stp>
        <stp>PX_LAST</stp>
        <stp>[QwackPricer.xlsx]Base!R143C7</stp>
        <tr r="G143" s="2"/>
      </tp>
      <tp>
        <v>15.879885673522949</v>
        <stp/>
        <stp>##V3_BDPV12</stp>
        <stp>LA MAY24 10DC VOL LME Comdty</stp>
        <stp>PX_LAST</stp>
        <stp>[QwackPricer.xlsx]Base!R121C8</stp>
        <tr r="H121" s="2"/>
      </tp>
      <tp>
        <v>15.889862060546875</v>
        <stp/>
        <stp>##V3_BDPV12</stp>
        <stp>LA OCT23 10DC VOL LME Comdty</stp>
        <stp>PX_LAST</stp>
        <stp>[QwackPricer.xlsx]Base!R114C8</stp>
        <tr r="H114" s="2"/>
      </tp>
      <tp>
        <v>15.689854621887207</v>
        <stp/>
        <stp>##V3_BDPV12</stp>
        <stp>LA OCT23 25DC VOL LME Comdty</stp>
        <stp>PX_LAST</stp>
        <stp>[QwackPricer.xlsx]Base!R114C7</stp>
        <tr r="G114" s="2"/>
      </tp>
      <tp>
        <v>15.879875183105469</v>
        <stp/>
        <stp>##V3_BDPV12</stp>
        <stp>LA DEC24 10DC VOL LME Comdty</stp>
        <stp>PX_LAST</stp>
        <stp>[QwackPricer.xlsx]Base!R128C8</stp>
        <tr r="H128" s="2"/>
      </tp>
      <tp>
        <v>15.669843673706055</v>
        <stp/>
        <stp>##V3_BDPV12</stp>
        <stp>LA DEC24 25DC VOL LME Comdty</stp>
        <stp>PX_LAST</stp>
        <stp>[QwackPricer.xlsx]Base!R128C7</stp>
        <tr r="G128" s="2"/>
      </tp>
      <tp>
        <v>18.789520263671875</v>
        <stp/>
        <stp>##V3_BDPV12</stp>
        <stp>LA JUL23 10DP VOL LME Comdty</stp>
        <stp>PX_LAST</stp>
        <stp>[QwackPricer.xlsx]Base!R111C4</stp>
        <tr r="D111" s="2"/>
      </tp>
      <tp>
        <v>17.469573974609375</v>
        <stp/>
        <stp>##V3_BDPV12</stp>
        <stp>LA JUL23 25DP VOL LME Comdty</stp>
        <stp>PX_LAST</stp>
        <stp>[QwackPricer.xlsx]Base!R111C5</stp>
        <tr r="E111" s="2"/>
      </tp>
      <tp>
        <v>15.899868965148926</v>
        <stp/>
        <stp>##V3_BDPV12</stp>
        <stp>LA NOV23 10DC VOL LME Comdty</stp>
        <stp>PX_LAST</stp>
        <stp>[QwackPricer.xlsx]Base!R115C8</stp>
        <tr r="H115" s="2"/>
      </tp>
      <tp>
        <v>15.689852714538574</v>
        <stp/>
        <stp>##V3_BDPV12</stp>
        <stp>LA NOV23 25DC VOL LME Comdty</stp>
        <stp>PX_LAST</stp>
        <stp>[QwackPricer.xlsx]Base!R115C7</stp>
        <tr r="G115" s="2"/>
      </tp>
      <tp>
        <v>503.75</v>
        <stp/>
        <stp>##V3_BDPV12</stp>
        <stp>QSN5 Comdty</stp>
        <stp>PX_SETTLE</stp>
        <stp>[QwackPricer.xlsx]Energy!R63C13</stp>
        <tr r="M63" s="3"/>
      </tp>
      <tp>
        <v>491.75</v>
        <stp/>
        <stp>##V3_BDPV12</stp>
        <stp>QSN4 Comdty</stp>
        <stp>PX_SETTLE</stp>
        <stp>[QwackPricer.xlsx]Energy!R51C13</stp>
        <tr r="M51" s="3"/>
      </tp>
      <tp>
        <v>169.79</v>
        <stp/>
        <stp>##V3_BDPV12</stp>
        <stp>XBN4 Comdty</stp>
        <stp>PX_SETTLE</stp>
        <stp>[QwackPricer.xlsx]Energy!R51C22</stp>
        <tr r="V51" s="3"/>
      </tp>
      <tp>
        <v>47.870000000000005</v>
        <stp/>
        <stp>##V3_BDPV12</stp>
        <stp>CLN5 Comdty</stp>
        <stp>PX_SETTLE</stp>
        <stp>[QwackPricer.xlsx]Energy!R63C31</stp>
        <tr r="AE63" s="3"/>
      </tp>
      <tp>
        <v>48.480000000000004</v>
        <stp/>
        <stp>##V3_BDPV12</stp>
        <stp>CLN4 Comdty</stp>
        <stp>PX_SETTLE</stp>
        <stp>[QwackPricer.xlsx]Energy!R51C31</stp>
        <tr r="AE51" s="3"/>
      </tp>
      <tp>
        <v>503.75</v>
        <stp/>
        <stp>##V3_BDPV12</stp>
        <stp>QSN1 Comdty</stp>
        <stp>PX_SETTLE</stp>
        <stp>[QwackPricer.xlsx]Energy!R15C13</stp>
        <tr r="M15" s="3"/>
      </tp>
      <tp>
        <v>168.63</v>
        <stp/>
        <stp>##V3_BDPV12</stp>
        <stp>XBN2 Comdty</stp>
        <stp>PX_SETTLE</stp>
        <stp>[QwackPricer.xlsx]Energy!R27C22</stp>
        <tr r="V27" s="3"/>
      </tp>
      <tp>
        <v>49.84</v>
        <stp/>
        <stp>##V3_BDPV12</stp>
        <stp>CLN3 Comdty</stp>
        <stp>PX_SETTLE</stp>
        <stp>[QwackPricer.xlsx]Energy!R39C31</stp>
        <tr r="AE39" s="3"/>
      </tp>
      <tp>
        <v>169.13</v>
        <stp/>
        <stp>##V3_BDPV12</stp>
        <stp>XBN3 Comdty</stp>
        <stp>PX_SETTLE</stp>
        <stp>[QwackPricer.xlsx]Energy!R39C22</stp>
        <tr r="V39" s="3"/>
      </tp>
      <tp>
        <v>52.38</v>
        <stp/>
        <stp>##V3_BDPV12</stp>
        <stp>CLN2 Comdty</stp>
        <stp>PX_SETTLE</stp>
        <stp>[QwackPricer.xlsx]Energy!R27C31</stp>
        <tr r="AE27" s="3"/>
      </tp>
      <tp>
        <v>490.75</v>
        <stp/>
        <stp>##V3_BDPV12</stp>
        <stp>QSN3 Comdty</stp>
        <stp>PX_SETTLE</stp>
        <stp>[QwackPricer.xlsx]Energy!R39C13</stp>
        <tr r="M39" s="3"/>
      </tp>
      <tp>
        <v>57.42</v>
        <stp/>
        <stp>##V3_BDPV12</stp>
        <stp>CLN1 Comdty</stp>
        <stp>PX_SETTLE</stp>
        <stp>[QwackPricer.xlsx]Energy!R15C31</stp>
        <tr r="AE15" s="3"/>
      </tp>
      <tp>
        <v>495</v>
        <stp/>
        <stp>##V3_BDPV12</stp>
        <stp>QSN2 Comdty</stp>
        <stp>PX_SETTLE</stp>
        <stp>[QwackPricer.xlsx]Energy!R27C13</stp>
        <tr r="M27" s="3"/>
      </tp>
      <tp>
        <v>177.49</v>
        <stp/>
        <stp>##V3_BDPV12</stp>
        <stp>XBN1 Comdty</stp>
        <stp>PX_SETTLE</stp>
        <stp>[QwackPricer.xlsx]Energy!R15C22</stp>
        <tr r="V15" s="3"/>
      </tp>
      <tp>
        <v>17.449592590332031</v>
        <stp/>
        <stp>##V3_BDPV12</stp>
        <stp>LA JAN24 25DP VOL LME Comdty</stp>
        <stp>PX_LAST</stp>
        <stp>[QwackPricer.xlsx]Base!R117C5</stp>
        <tr r="E117" s="2"/>
      </tp>
      <tp>
        <v>18.779560089111328</v>
        <stp/>
        <stp>##V3_BDPV12</stp>
        <stp>LA JAN24 10DP VOL LME Comdty</stp>
        <stp>PX_LAST</stp>
        <stp>[QwackPricer.xlsx]Base!R117C4</stp>
        <tr r="D117" s="2"/>
      </tp>
      <tp>
        <v>17.459556579589844</v>
        <stp/>
        <stp>##V3_BDPV12</stp>
        <stp>LA MAR23 25DP VOL LME Comdty</stp>
        <stp>PX_LAST</stp>
        <stp>[QwackPricer.xlsx]Base!R107C5</stp>
        <tr r="E107" s="2"/>
      </tp>
      <tp>
        <v>17.439651489257813</v>
        <stp/>
        <stp>##V3_BDPV12</stp>
        <stp>LA MAR25 25DP VOL LME Comdty</stp>
        <stp>PX_LAST</stp>
        <stp>[QwackPricer.xlsx]Base!R131C5</stp>
        <tr r="E131" s="2"/>
      </tp>
      <tp>
        <v>18.789505004882813</v>
        <stp/>
        <stp>##V3_BDPV12</stp>
        <stp>LA MAR23 10DP VOL LME Comdty</stp>
        <stp>PX_LAST</stp>
        <stp>[QwackPricer.xlsx]Base!R107C4</stp>
        <tr r="D107" s="2"/>
      </tp>
      <tp>
        <v>18.759580612182617</v>
        <stp/>
        <stp>##V3_BDPV12</stp>
        <stp>LA MAR25 10DP VOL LME Comdty</stp>
        <stp>PX_LAST</stp>
        <stp>[QwackPricer.xlsx]Base!R131C4</stp>
        <tr r="D131" s="2"/>
      </tp>
      <tp>
        <v>15.719834327697754</v>
        <stp/>
        <stp>##V3_BDPV12</stp>
        <stp>LA JUN23 25DC VOL LME Comdty</stp>
        <stp>PX_LAST</stp>
        <stp>[QwackPricer.xlsx]Base!R110C7</stp>
        <tr r="G110" s="2"/>
      </tp>
      <tp>
        <v>15.969823837280273</v>
        <stp/>
        <stp>##V3_BDPV12</stp>
        <stp>LA JUN23 10DC VOL LME Comdty</stp>
        <stp>PX_LAST</stp>
        <stp>[QwackPricer.xlsx]Base!R110C8</stp>
        <tr r="H110" s="2"/>
      </tp>
      <tp>
        <v>15.679854393005371</v>
        <stp/>
        <stp>##V3_BDPV12</stp>
        <stp>LA JAN24 25DC VOL LME Comdty</stp>
        <stp>PX_LAST</stp>
        <stp>[QwackPricer.xlsx]Base!R117C7</stp>
        <tr r="G117" s="2"/>
      </tp>
      <tp>
        <v>15.879880905151367</v>
        <stp/>
        <stp>##V3_BDPV12</stp>
        <stp>LA JAN24 10DC VOL LME Comdty</stp>
        <stp>PX_LAST</stp>
        <stp>[QwackPricer.xlsx]Base!R117C8</stp>
        <tr r="H117" s="2"/>
      </tp>
      <tp>
        <v>16.079774856567383</v>
        <stp/>
        <stp>##V3_BDPV12</stp>
        <stp>LA MAR23 10DC VOL LME Comdty</stp>
        <stp>PX_LAST</stp>
        <stp>[QwackPricer.xlsx]Base!R107C8</stp>
        <tr r="H107" s="2"/>
      </tp>
      <tp>
        <v>15.889862060546875</v>
        <stp/>
        <stp>##V3_BDPV12</stp>
        <stp>LA MAR25 10DC VOL LME Comdty</stp>
        <stp>PX_LAST</stp>
        <stp>[QwackPricer.xlsx]Base!R131C8</stp>
        <tr r="H131" s="2"/>
      </tp>
      <tp>
        <v>15.749802589416504</v>
        <stp/>
        <stp>##V3_BDPV12</stp>
        <stp>LA MAR23 25DC VOL LME Comdty</stp>
        <stp>PX_LAST</stp>
        <stp>[QwackPricer.xlsx]Base!R107C7</stp>
        <tr r="G107" s="2"/>
      </tp>
      <tp>
        <v>15.679839134216309</v>
        <stp/>
        <stp>##V3_BDPV12</stp>
        <stp>LA MAR25 25DC VOL LME Comdty</stp>
        <stp>PX_LAST</stp>
        <stp>[QwackPricer.xlsx]Base!R131C7</stp>
        <tr r="G131" s="2"/>
      </tp>
      <tp>
        <v>17.459569931030273</v>
        <stp/>
        <stp>##V3_BDPV12</stp>
        <stp>LA JUN23 25DP VOL LME Comdty</stp>
        <stp>PX_LAST</stp>
        <stp>[QwackPricer.xlsx]Base!R110C5</stp>
        <tr r="E110" s="2"/>
      </tp>
      <tp>
        <v>18.789514541625977</v>
        <stp/>
        <stp>##V3_BDPV12</stp>
        <stp>LA JUN23 10DP VOL LME Comdty</stp>
        <stp>PX_LAST</stp>
        <stp>[QwackPricer.xlsx]Base!R110C4</stp>
        <tr r="D110" s="2"/>
      </tp>
      <tp>
        <v>500</v>
        <stp/>
        <stp>##V3_BDPV12</stp>
        <stp>QSH5 Comdty</stp>
        <stp>PX_SETTLE</stp>
        <stp>[QwackPricer.xlsx]Energy!R59C13</stp>
        <tr r="M59" s="3"/>
      </tp>
      <tp>
        <v>491.5</v>
        <stp/>
        <stp>##V3_BDPV12</stp>
        <stp>QSH4 Comdty</stp>
        <stp>PX_SETTLE</stp>
        <stp>[QwackPricer.xlsx]Energy!R47C13</stp>
        <tr r="M47" s="3"/>
      </tp>
      <tp>
        <v>149.72999999999999</v>
        <stp/>
        <stp>##V3_BDPV12</stp>
        <stp>XBH4 Comdty</stp>
        <stp>PX_SETTLE</stp>
        <stp>[QwackPricer.xlsx]Energy!R47C22</stp>
        <tr r="V47" s="3"/>
      </tp>
      <tp>
        <v>48.09</v>
        <stp/>
        <stp>##V3_BDPV12</stp>
        <stp>CLH5 Comdty</stp>
        <stp>PX_SETTLE</stp>
        <stp>[QwackPricer.xlsx]Energy!R59C31</stp>
        <tr r="AE59" s="3"/>
      </tp>
      <tp>
        <v>48.85</v>
        <stp/>
        <stp>##V3_BDPV12</stp>
        <stp>CLH4 Comdty</stp>
        <stp>PX_SETTLE</stp>
        <stp>[QwackPricer.xlsx]Energy!R47C31</stp>
        <tr r="AE47" s="3"/>
      </tp>
      <tp>
        <v>502.75</v>
        <stp/>
        <stp>##V3_BDPV12</stp>
        <stp>QSH1 Comdty</stp>
        <stp>PX_SETTLE</stp>
        <stp>[QwackPricer.xlsx]Energy!R11C13</stp>
        <tr r="M11" s="3"/>
      </tp>
      <tp>
        <v>156.06</v>
        <stp/>
        <stp>##V3_BDPV12</stp>
        <stp>XBH2 Comdty</stp>
        <stp>PX_SETTLE</stp>
        <stp>[QwackPricer.xlsx]Energy!R23C22</stp>
        <tr r="V23" s="3"/>
      </tp>
      <tp>
        <v>50.54</v>
        <stp/>
        <stp>##V3_BDPV12</stp>
        <stp>CLH3 Comdty</stp>
        <stp>PX_SETTLE</stp>
        <stp>[QwackPricer.xlsx]Energy!R35C31</stp>
        <tr r="AE35" s="3"/>
      </tp>
      <tp>
        <v>150.72999999999999</v>
        <stp/>
        <stp>##V3_BDPV12</stp>
        <stp>XBH3 Comdty</stp>
        <stp>PX_SETTLE</stp>
        <stp>[QwackPricer.xlsx]Energy!R35C22</stp>
        <tr r="V35" s="3"/>
      </tp>
      <tp>
        <v>53.59</v>
        <stp/>
        <stp>##V3_BDPV12</stp>
        <stp>CLH2 Comdty</stp>
        <stp>PX_SETTLE</stp>
        <stp>[QwackPricer.xlsx]Energy!R23C31</stp>
        <tr r="AE23" s="3"/>
      </tp>
      <tp>
        <v>491.75</v>
        <stp/>
        <stp>##V3_BDPV12</stp>
        <stp>QSH3 Comdty</stp>
        <stp>PX_SETTLE</stp>
        <stp>[QwackPricer.xlsx]Energy!R35C13</stp>
        <tr r="M35" s="3"/>
      </tp>
      <tp>
        <v>58.68</v>
        <stp/>
        <stp>##V3_BDPV12</stp>
        <stp>CLH1 Comdty</stp>
        <stp>PX_SETTLE</stp>
        <stp>[QwackPricer.xlsx]Energy!R11C31</stp>
        <tr r="AE11" s="3"/>
      </tp>
      <tp>
        <v>498.75</v>
        <stp/>
        <stp>##V3_BDPV12</stp>
        <stp>QSH2 Comdty</stp>
        <stp>PX_SETTLE</stp>
        <stp>[QwackPricer.xlsx]Energy!R23C13</stp>
        <tr r="M23" s="3"/>
      </tp>
      <tp>
        <v>165.34</v>
        <stp/>
        <stp>##V3_BDPV12</stp>
        <stp>XBH1 Comdty</stp>
        <stp>PX_SETTLE</stp>
        <stp>[QwackPricer.xlsx]Energy!R11C22</stp>
        <tr r="V11" s="3"/>
      </tp>
      <tp>
        <v>18.95948600769043</v>
        <stp/>
        <stp>##V3_BDPV12</stp>
        <stp>LA OCT22 10DP VOL LME Comdty</stp>
        <stp>PX_LAST</stp>
        <stp>[QwackPricer.xlsx]Base!R102C4</stp>
        <tr r="D102" s="2"/>
      </tp>
      <tp>
        <v>17.629535675048828</v>
        <stp/>
        <stp>##V3_BDPV12</stp>
        <stp>LA OCT22 25DP VOL LME Comdty</stp>
        <stp>PX_LAST</stp>
        <stp>[QwackPricer.xlsx]Base!R102C5</stp>
        <tr r="E102" s="2"/>
      </tp>
      <tp>
        <v>17.619539260864258</v>
        <stp/>
        <stp>##V3_BDPV12</stp>
        <stp>LA NOV22 25DP VOL LME Comdty</stp>
        <stp>PX_LAST</stp>
        <stp>[QwackPricer.xlsx]Base!R103C5</stp>
        <tr r="E103" s="2"/>
      </tp>
      <tp>
        <v>18.949487686157227</v>
        <stp/>
        <stp>##V3_BDPV12</stp>
        <stp>LA NOV22 10DP VOL LME Comdty</stp>
        <stp>PX_LAST</stp>
        <stp>[QwackPricer.xlsx]Base!R103C4</stp>
        <tr r="D103" s="2"/>
      </tp>
      <tp>
        <v>16.479726791381836</v>
        <stp/>
        <stp>##V3_BDPV12</stp>
        <stp>LA OCT22 10DC VOL LME Comdty</stp>
        <stp>PX_LAST</stp>
        <stp>[QwackPricer.xlsx]Base!R102C8</stp>
        <tr r="H102" s="2"/>
      </tp>
      <tp>
        <v>16.069753646850586</v>
        <stp/>
        <stp>##V3_BDPV12</stp>
        <stp>LA OCT22 25DC VOL LME Comdty</stp>
        <stp>PX_LAST</stp>
        <stp>[QwackPricer.xlsx]Base!R102C7</stp>
        <tr r="G102" s="2"/>
      </tp>
      <tp>
        <v>16.45973014831543</v>
        <stp/>
        <stp>##V3_BDPV12</stp>
        <stp>LA NOV22 10DC VOL LME Comdty</stp>
        <stp>PX_LAST</stp>
        <stp>[QwackPricer.xlsx]Base!R103C8</stp>
        <tr r="H103" s="2"/>
      </tp>
      <tp>
        <v>16.049755096435547</v>
        <stp/>
        <stp>##V3_BDPV12</stp>
        <stp>LA NOV22 25DC VOL LME Comdty</stp>
        <stp>PX_LAST</stp>
        <stp>[QwackPricer.xlsx]Base!R103C7</stp>
        <tr r="G103" s="2"/>
      </tp>
      <tp>
        <v>3.75</v>
        <stp/>
        <stp>##V3_BDPV12</stp>
        <stp>SAFR0FI Curncy</stp>
        <stp>PX_LAST</stp>
        <stp>[QwackPricer.xlsx]FX-IR!R70C9</stp>
        <tr r="I70" s="1"/>
      </tp>
      <tp>
        <v>502.25</v>
        <stp/>
        <stp>##V3_BDPV12</stp>
        <stp>QSK5 Comdty</stp>
        <stp>PX_SETTLE</stp>
        <stp>[QwackPricer.xlsx]Energy!R61C13</stp>
        <tr r="M61" s="3"/>
      </tp>
      <tp>
        <v>491.75</v>
        <stp/>
        <stp>##V3_BDPV12</stp>
        <stp>QSK4 Comdty</stp>
        <stp>PX_SETTLE</stp>
        <stp>[QwackPricer.xlsx]Energy!R49C13</stp>
        <tr r="M49" s="3"/>
      </tp>
      <tp>
        <v>170.91</v>
        <stp/>
        <stp>##V3_BDPV12</stp>
        <stp>XBK4 Comdty</stp>
        <stp>PX_SETTLE</stp>
        <stp>[QwackPricer.xlsx]Energy!R49C22</stp>
        <tr r="V49" s="3"/>
      </tp>
      <tp>
        <v>47.99</v>
        <stp/>
        <stp>##V3_BDPV12</stp>
        <stp>CLK5 Comdty</stp>
        <stp>PX_SETTLE</stp>
        <stp>[QwackPricer.xlsx]Energy!R61C31</stp>
        <tr r="AE61" s="3"/>
      </tp>
      <tp>
        <v>48.660000000000004</v>
        <stp/>
        <stp>##V3_BDPV12</stp>
        <stp>CLK4 Comdty</stp>
        <stp>PX_SETTLE</stp>
        <stp>[QwackPricer.xlsx]Energy!R49C31</stp>
        <tr r="AE49" s="3"/>
      </tp>
      <tp>
        <v>504</v>
        <stp/>
        <stp>##V3_BDPV12</stp>
        <stp>QSK1 Comdty</stp>
        <stp>PX_SETTLE</stp>
        <stp>[QwackPricer.xlsx]Energy!R13C13</stp>
        <tr r="M13" s="3"/>
      </tp>
      <tp>
        <v>169.65</v>
        <stp/>
        <stp>##V3_BDPV12</stp>
        <stp>XBK2 Comdty</stp>
        <stp>PX_SETTLE</stp>
        <stp>[QwackPricer.xlsx]Energy!R25C22</stp>
        <tr r="V25" s="3"/>
      </tp>
      <tp>
        <v>50.17</v>
        <stp/>
        <stp>##V3_BDPV12</stp>
        <stp>CLK3 Comdty</stp>
        <stp>PX_SETTLE</stp>
        <stp>[QwackPricer.xlsx]Energy!R37C31</stp>
        <tr r="AE37" s="3"/>
      </tp>
      <tp>
        <v>171.01</v>
        <stp/>
        <stp>##V3_BDPV12</stp>
        <stp>XBK3 Comdty</stp>
        <stp>PX_SETTLE</stp>
        <stp>[QwackPricer.xlsx]Energy!R37C22</stp>
        <tr r="V37" s="3"/>
      </tp>
      <tp>
        <v>98.875</v>
        <stp/>
        <stp>##V3_BDPV12</stp>
        <stp>EDH5 Comdty</stp>
        <stp>PX_LAST</stp>
        <stp>[QwackPricer.xlsx]FX-IR!R89C3</stp>
        <tr r="C89" s="1"/>
      </tp>
      <tp>
        <v>52.95</v>
        <stp/>
        <stp>##V3_BDPV12</stp>
        <stp>CLK2 Comdty</stp>
        <stp>PX_SETTLE</stp>
        <stp>[QwackPricer.xlsx]Energy!R25C31</stp>
        <tr r="AE25" s="3"/>
      </tp>
      <tp>
        <v>491</v>
        <stp/>
        <stp>##V3_BDPV12</stp>
        <stp>QSK3 Comdty</stp>
        <stp>PX_SETTLE</stp>
        <stp>[QwackPricer.xlsx]Energy!R37C13</stp>
        <tr r="M37" s="3"/>
      </tp>
      <tp>
        <v>58.31</v>
        <stp/>
        <stp>##V3_BDPV12</stp>
        <stp>CLK1 Comdty</stp>
        <stp>PX_SETTLE</stp>
        <stp>[QwackPricer.xlsx]Energy!R13C31</stp>
        <tr r="AE13" s="3"/>
      </tp>
      <tp>
        <v>496.25</v>
        <stp/>
        <stp>##V3_BDPV12</stp>
        <stp>QSK2 Comdty</stp>
        <stp>PX_SETTLE</stp>
        <stp>[QwackPricer.xlsx]Energy!R25C13</stp>
        <tr r="M25" s="3"/>
      </tp>
      <tp>
        <v>179.13</v>
        <stp/>
        <stp>##V3_BDPV12</stp>
        <stp>XBK1 Comdty</stp>
        <stp>PX_SETTLE</stp>
        <stp>[QwackPricer.xlsx]Energy!R13C22</stp>
        <tr r="V13" s="3"/>
      </tp>
      <tp>
        <v>17.559549331665039</v>
        <stp/>
        <stp>##V3_BDPV12</stp>
        <stp>LA JAN23 25DP VOL LME Comdty</stp>
        <stp>PX_LAST</stp>
        <stp>[QwackPricer.xlsx]Base!R105C5</stp>
        <tr r="E105" s="2"/>
      </tp>
      <tp>
        <v>18.889501571655273</v>
        <stp/>
        <stp>##V3_BDPV12</stp>
        <stp>LA JAN23 10DP VOL LME Comdty</stp>
        <stp>PX_LAST</stp>
        <stp>[QwackPricer.xlsx]Base!R105C4</stp>
        <tr r="D105" s="2"/>
      </tp>
      <tp>
        <v>15.669852256774902</v>
        <stp/>
        <stp>##V3_BDPV12</stp>
        <stp>LA JUN24 25DC VOL LME Comdty</stp>
        <stp>PX_LAST</stp>
        <stp>[QwackPricer.xlsx]Base!R122C7</stp>
        <tr r="G122" s="2"/>
      </tp>
      <tp>
        <v>15.869884490966797</v>
        <stp/>
        <stp>##V3_BDPV12</stp>
        <stp>LA JUN24 10DC VOL LME Comdty</stp>
        <stp>PX_LAST</stp>
        <stp>[QwackPricer.xlsx]Base!R122C8</stp>
        <tr r="H122" s="2"/>
      </tp>
      <tp>
        <v>15.879778861999512</v>
        <stp/>
        <stp>##V3_BDPV12</stp>
        <stp>LA JAN23 25DC VOL LME Comdty</stp>
        <stp>PX_LAST</stp>
        <stp>[QwackPricer.xlsx]Base!R105C7</stp>
        <tr r="G105" s="2"/>
      </tp>
      <tp>
        <v>16.259746551513672</v>
        <stp/>
        <stp>##V3_BDPV12</stp>
        <stp>LA JAN23 10DC VOL LME Comdty</stp>
        <stp>PX_LAST</stp>
        <stp>[QwackPricer.xlsx]Base!R105C8</stp>
        <tr r="H105" s="2"/>
      </tp>
      <tp>
        <v>23325</v>
        <stp/>
        <stp>##V3_BDPV12</stp>
        <stp>LMSNDS03 Comdty</stp>
        <stp>PX_LAST</stp>
        <stp>[QwackPricer.xlsx]Base!R11C3</stp>
        <tr r="C11" s="2"/>
      </tp>
      <tp>
        <v>17.449611663818359</v>
        <stp/>
        <stp>##V3_BDPV12</stp>
        <stp>LA JUN24 25DP VOL LME Comdty</stp>
        <stp>PX_LAST</stp>
        <stp>[QwackPricer.xlsx]Base!R122C5</stp>
        <tr r="E122" s="2"/>
      </tp>
      <tp>
        <v>18.779573440551758</v>
        <stp/>
        <stp>##V3_BDPV12</stp>
        <stp>LA JUN24 10DP VOL LME Comdty</stp>
        <stp>PX_LAST</stp>
        <stp>[QwackPricer.xlsx]Base!R122C4</stp>
        <tr r="D122" s="2"/>
      </tp>
      <tp>
        <v>501.25</v>
        <stp/>
        <stp>##V3_BDPV12</stp>
        <stp>QSJ5 Comdty</stp>
        <stp>PX_SETTLE</stp>
        <stp>[QwackPricer.xlsx]Energy!R60C13</stp>
        <tr r="M60" s="3"/>
      </tp>
      <tp>
        <v>492.25</v>
        <stp/>
        <stp>##V3_BDPV12</stp>
        <stp>QSJ4 Comdty</stp>
        <stp>PX_SETTLE</stp>
        <stp>[QwackPricer.xlsx]Energy!R48C13</stp>
        <tr r="M48" s="3"/>
      </tp>
      <tp>
        <v>168.52</v>
        <stp/>
        <stp>##V3_BDPV12</stp>
        <stp>XBJ4 Comdty</stp>
        <stp>PX_SETTLE</stp>
        <stp>[QwackPricer.xlsx]Energy!R48C22</stp>
        <tr r="V48" s="3"/>
      </tp>
      <tp>
        <v>48</v>
        <stp/>
        <stp>##V3_BDPV12</stp>
        <stp>CLJ5 Comdty</stp>
        <stp>PX_SETTLE</stp>
        <stp>[QwackPricer.xlsx]Energy!R60C31</stp>
        <tr r="AE60" s="3"/>
      </tp>
      <tp>
        <v>48.76</v>
        <stp/>
        <stp>##V3_BDPV12</stp>
        <stp>CLJ4 Comdty</stp>
        <stp>PX_SETTLE</stp>
        <stp>[QwackPricer.xlsx]Energy!R48C31</stp>
        <tr r="AE48" s="3"/>
      </tp>
      <tp>
        <v>503.75</v>
        <stp/>
        <stp>##V3_BDPV12</stp>
        <stp>QSJ1 Comdty</stp>
        <stp>PX_SETTLE</stp>
        <stp>[QwackPricer.xlsx]Energy!R12C13</stp>
        <tr r="M12" s="3"/>
      </tp>
      <tp>
        <v>168.57</v>
        <stp/>
        <stp>##V3_BDPV12</stp>
        <stp>XBJ2 Comdty</stp>
        <stp>PX_SETTLE</stp>
        <stp>[QwackPricer.xlsx]Energy!R24C22</stp>
        <tr r="V24" s="3"/>
      </tp>
      <tp>
        <v>50.35</v>
        <stp/>
        <stp>##V3_BDPV12</stp>
        <stp>CLJ3 Comdty</stp>
        <stp>PX_SETTLE</stp>
        <stp>[QwackPricer.xlsx]Energy!R36C31</stp>
        <tr r="AE36" s="3"/>
      </tp>
      <tp>
        <v>168.72</v>
        <stp/>
        <stp>##V3_BDPV12</stp>
        <stp>XBJ3 Comdty</stp>
        <stp>PX_SETTLE</stp>
        <stp>[QwackPricer.xlsx]Energy!R36C22</stp>
        <tr r="V36" s="3"/>
      </tp>
      <tp>
        <v>53.26</v>
        <stp/>
        <stp>##V3_BDPV12</stp>
        <stp>CLJ2 Comdty</stp>
        <stp>PX_SETTLE</stp>
        <stp>[QwackPricer.xlsx]Energy!R24C31</stp>
        <tr r="AE24" s="3"/>
      </tp>
      <tp>
        <v>491.5</v>
        <stp/>
        <stp>##V3_BDPV12</stp>
        <stp>QSJ3 Comdty</stp>
        <stp>PX_SETTLE</stp>
        <stp>[QwackPricer.xlsx]Energy!R36C13</stp>
        <tr r="M36" s="3"/>
      </tp>
      <tp>
        <v>58.57</v>
        <stp/>
        <stp>##V3_BDPV12</stp>
        <stp>CLJ1 Comdty</stp>
        <stp>PX_SETTLE</stp>
        <stp>[QwackPricer.xlsx]Energy!R12C31</stp>
        <tr r="AE12" s="3"/>
      </tp>
      <tp>
        <v>497.5</v>
        <stp/>
        <stp>##V3_BDPV12</stp>
        <stp>QSJ2 Comdty</stp>
        <stp>PX_SETTLE</stp>
        <stp>[QwackPricer.xlsx]Energy!R24C13</stp>
        <tr r="M24" s="3"/>
      </tp>
      <tp>
        <v>178.41</v>
        <stp/>
        <stp>##V3_BDPV12</stp>
        <stp>XBJ1 Comdty</stp>
        <stp>PX_SETTLE</stp>
        <stp>[QwackPricer.xlsx]Energy!R12C22</stp>
        <tr r="V12" s="3"/>
      </tp>
      <tp>
        <v>18.769586563110352</v>
        <stp/>
        <stp>##V3_BDPV12</stp>
        <stp>LA OCT24 10DP VOL LME Comdty</stp>
        <stp>PX_LAST</stp>
        <stp>[QwackPricer.xlsx]Base!R126C4</stp>
        <tr r="D126" s="2"/>
      </tp>
      <tp>
        <v>17.449628829956055</v>
        <stp/>
        <stp>##V3_BDPV12</stp>
        <stp>LA OCT24 25DP VOL LME Comdty</stp>
        <stp>PX_LAST</stp>
        <stp>[QwackPricer.xlsx]Base!R126C5</stp>
        <tr r="E126" s="2"/>
      </tp>
      <tp>
        <v>17.429695129394531</v>
        <stp/>
        <stp>##V3_BDPV12</stp>
        <stp>LA JAN26 25DP VOL LME Comdty</stp>
        <stp>PX_LAST</stp>
        <stp>[QwackPricer.xlsx]Base!R141C5</stp>
        <tr r="E141" s="2"/>
      </tp>
      <tp>
        <v>18.689605712890625</v>
        <stp/>
        <stp>##V3_BDPV12</stp>
        <stp>LA JAN26 10DP VOL LME Comdty</stp>
        <stp>PX_LAST</stp>
        <stp>[QwackPricer.xlsx]Base!R141C4</stp>
        <tr r="D141" s="2"/>
      </tp>
      <tp>
        <v>15.669851303100586</v>
        <stp/>
        <stp>##V3_BDPV12</stp>
        <stp>LA JUL24 25DC VOL LME Comdty</stp>
        <stp>PX_LAST</stp>
        <stp>[QwackPricer.xlsx]Base!R123C7</stp>
        <tr r="G123" s="2"/>
      </tp>
      <tp>
        <v>15.86988353729248</v>
        <stp/>
        <stp>##V3_BDPV12</stp>
        <stp>LA JUL24 10DC VOL LME Comdty</stp>
        <stp>PX_LAST</stp>
        <stp>[QwackPricer.xlsx]Base!R123C8</stp>
        <tr r="H123" s="2"/>
      </tp>
      <tp>
        <v>17.44963264465332</v>
        <stp/>
        <stp>##V3_BDPV12</stp>
        <stp>LA NOV24 25DP VOL LME Comdty</stp>
        <stp>PX_LAST</stp>
        <stp>[QwackPricer.xlsx]Base!R127C5</stp>
        <tr r="E127" s="2"/>
      </tp>
      <tp>
        <v>18.769588470458984</v>
        <stp/>
        <stp>##V3_BDPV12</stp>
        <stp>LA NOV24 10DP VOL LME Comdty</stp>
        <stp>PX_LAST</stp>
        <stp>[QwackPricer.xlsx]Base!R127C4</stp>
        <tr r="D127" s="2"/>
      </tp>
      <tp>
        <v>15.709821701049805</v>
        <stp/>
        <stp>##V3_BDPV12</stp>
        <stp>LA JAN26 25DC VOL LME Comdty</stp>
        <stp>PX_LAST</stp>
        <stp>[QwackPricer.xlsx]Base!R141C7</stp>
        <tr r="G141" s="2"/>
      </tp>
      <tp>
        <v>15.919839859008789</v>
        <stp/>
        <stp>##V3_BDPV12</stp>
        <stp>LA JAN26 10DC VOL LME Comdty</stp>
        <stp>PX_LAST</stp>
        <stp>[QwackPricer.xlsx]Base!R141C8</stp>
        <tr r="H141" s="2"/>
      </tp>
      <tp>
        <v>15.869879722595215</v>
        <stp/>
        <stp>##V3_BDPV12</stp>
        <stp>LA OCT24 10DC VOL LME Comdty</stp>
        <stp>PX_LAST</stp>
        <stp>[QwackPricer.xlsx]Base!R126C8</stp>
        <tr r="H126" s="2"/>
      </tp>
      <tp>
        <v>15.66984748840332</v>
        <stp/>
        <stp>##V3_BDPV12</stp>
        <stp>LA OCT24 25DC VOL LME Comdty</stp>
        <stp>PX_LAST</stp>
        <stp>[QwackPricer.xlsx]Base!R126C7</stp>
        <tr r="G126" s="2"/>
      </tp>
      <tp>
        <v>2090.5</v>
        <stp/>
        <stp>##V3_BDPV12</stp>
        <stp>LMPBDS03 Comdty</stp>
        <stp>PX_LAST</stp>
        <stp>[QwackPricer.xlsx]Base!R10C3</stp>
        <tr r="C10" s="2"/>
      </tp>
      <tp>
        <v>18.779575347900391</v>
        <stp/>
        <stp>##V3_BDPV12</stp>
        <stp>LA JUL24 10DP VOL LME Comdty</stp>
        <stp>PX_LAST</stp>
        <stp>[QwackPricer.xlsx]Base!R123C4</stp>
        <tr r="D123" s="2"/>
      </tp>
      <tp>
        <v>17.449615478515625</v>
        <stp/>
        <stp>##V3_BDPV12</stp>
        <stp>LA JUL24 25DP VOL LME Comdty</stp>
        <stp>PX_LAST</stp>
        <stp>[QwackPricer.xlsx]Base!R123C5</stp>
        <tr r="E123" s="2"/>
      </tp>
      <tp>
        <v>15.879877090454102</v>
        <stp/>
        <stp>##V3_BDPV12</stp>
        <stp>LA NOV24 10DC VOL LME Comdty</stp>
        <stp>PX_LAST</stp>
        <stp>[QwackPricer.xlsx]Base!R127C8</stp>
        <tr r="H127" s="2"/>
      </tp>
      <tp>
        <v>15.669844627380371</v>
        <stp/>
        <stp>##V3_BDPV12</stp>
        <stp>LA NOV24 25DC VOL LME Comdty</stp>
        <stp>PX_LAST</stp>
        <stp>[QwackPricer.xlsx]Base!R127C7</stp>
        <tr r="G127" s="2"/>
      </tp>
      <tp>
        <v>99.820000000000007</v>
        <stp/>
        <stp>##V3_BDPV12</stp>
        <stp>EDH2 Comdty</stp>
        <stp>PX_LAST</stp>
        <stp>[QwackPricer.xlsx]FX-IR!R77C3</stp>
        <tr r="C77" s="1"/>
      </tp>
      <tp>
        <v>99.63</v>
        <stp/>
        <stp>##V3_BDPV12</stp>
        <stp>EDM3 Comdty</stp>
        <stp>PX_LAST</stp>
        <stp>[QwackPricer.xlsx]FX-IR!R82C3</stp>
        <tr r="C82" s="1"/>
      </tp>
      <tp>
        <v>18.739578247070313</v>
        <stp/>
        <stp>##V3_BDPV12</stp>
        <stp>LA OCT25 10DP VOL LME Comdty</stp>
        <stp>PX_LAST</stp>
        <stp>[QwackPricer.xlsx]Base!R138C4</stp>
        <tr r="D138" s="2"/>
      </tp>
      <tp>
        <v>17.429679870605469</v>
        <stp/>
        <stp>##V3_BDPV12</stp>
        <stp>LA OCT25 25DP VOL LME Comdty</stp>
        <stp>PX_LAST</stp>
        <stp>[QwackPricer.xlsx]Base!R138C5</stp>
        <tr r="E138" s="2"/>
      </tp>
      <tp>
        <v>15.889840126037598</v>
        <stp/>
        <stp>##V3_BDPV12</stp>
        <stp>LA AUG25 10DC VOL LME Comdty</stp>
        <stp>PX_LAST</stp>
        <stp>[QwackPricer.xlsx]Base!R136C8</stp>
        <tr r="H136" s="2"/>
      </tp>
      <tp>
        <v>15.679830551147461</v>
        <stp/>
        <stp>##V3_BDPV12</stp>
        <stp>LA AUG25 25DC VOL LME Comdty</stp>
        <stp>PX_LAST</stp>
        <stp>[QwackPricer.xlsx]Base!R136C7</stp>
        <tr r="G136" s="2"/>
      </tp>
      <tp>
        <v>17.439699172973633</v>
        <stp/>
        <stp>##V3_BDPV12</stp>
        <stp>LA FEB26 25DP VOL LME Comdty</stp>
        <stp>PX_LAST</stp>
        <stp>[QwackPricer.xlsx]Base!R142C5</stp>
        <tr r="E142" s="2"/>
      </tp>
      <tp>
        <v>17.619543075561523</v>
        <stp/>
        <stp>##V3_BDPV12</stp>
        <stp>LA DEC22 25DP VOL LME Comdty</stp>
        <stp>PX_LAST</stp>
        <stp>[QwackPricer.xlsx]Base!R104C5</stp>
        <tr r="E104" s="2"/>
      </tp>
      <tp>
        <v>18.709615707397461</v>
        <stp/>
        <stp>##V3_BDPV12</stp>
        <stp>LA FEB26 10DP VOL LME Comdty</stp>
        <stp>PX_LAST</stp>
        <stp>[QwackPricer.xlsx]Base!R142C4</stp>
        <tr r="D142" s="2"/>
      </tp>
      <tp>
        <v>18.939493179321289</v>
        <stp/>
        <stp>##V3_BDPV12</stp>
        <stp>LA DEC22 10DP VOL LME Comdty</stp>
        <stp>PX_LAST</stp>
        <stp>[QwackPricer.xlsx]Base!R104C4</stp>
        <tr r="D104" s="2"/>
      </tp>
      <tp>
        <v>17.419685363769531</v>
        <stp/>
        <stp>##V3_BDPV12</stp>
        <stp>LA NOV25 25DP VOL LME Comdty</stp>
        <stp>PX_LAST</stp>
        <stp>[QwackPricer.xlsx]Base!R139C5</stp>
        <tr r="E139" s="2"/>
      </tp>
      <tp>
        <v>18.729585647583008</v>
        <stp/>
        <stp>##V3_BDPV12</stp>
        <stp>LA NOV25 10DP VOL LME Comdty</stp>
        <stp>PX_LAST</stp>
        <stp>[QwackPricer.xlsx]Base!R139C4</stp>
        <tr r="D139" s="2"/>
      </tp>
      <tp>
        <v>15.899838447570801</v>
        <stp/>
        <stp>##V3_BDPV12</stp>
        <stp>LA OCT25 10DC VOL LME Comdty</stp>
        <stp>PX_LAST</stp>
        <stp>[QwackPricer.xlsx]Base!R138C8</stp>
        <tr r="H138" s="2"/>
      </tp>
      <tp>
        <v>15.689827919006348</v>
        <stp/>
        <stp>##V3_BDPV12</stp>
        <stp>LA OCT25 25DC VOL LME Comdty</stp>
        <stp>PX_LAST</stp>
        <stp>[QwackPricer.xlsx]Base!R138C7</stp>
        <tr r="G138" s="2"/>
      </tp>
      <tp>
        <v>15.929836273193359</v>
        <stp/>
        <stp>##V3_BDPV12</stp>
        <stp>LA FEB26 10DC VOL LME Comdty</stp>
        <stp>PX_LAST</stp>
        <stp>[QwackPricer.xlsx]Base!R142C8</stp>
        <tr r="H142" s="2"/>
      </tp>
      <tp>
        <v>16.419740676879883</v>
        <stp/>
        <stp>##V3_BDPV12</stp>
        <stp>LA DEC22 10DC VOL LME Comdty</stp>
        <stp>PX_LAST</stp>
        <stp>[QwackPricer.xlsx]Base!R104C8</stp>
        <tr r="H104" s="2"/>
      </tp>
      <tp>
        <v>15.729819297790527</v>
        <stp/>
        <stp>##V3_BDPV12</stp>
        <stp>LA FEB26 25DC VOL LME Comdty</stp>
        <stp>PX_LAST</stp>
        <stp>[QwackPricer.xlsx]Base!R142C7</stp>
        <tr r="G142" s="2"/>
      </tp>
      <tp>
        <v>15.999762535095215</v>
        <stp/>
        <stp>##V3_BDPV12</stp>
        <stp>LA DEC22 25DC VOL LME Comdty</stp>
        <stp>PX_LAST</stp>
        <stp>[QwackPricer.xlsx]Base!R104C7</stp>
        <tr r="G104" s="2"/>
      </tp>
      <tp>
        <v>17.419673919677734</v>
        <stp/>
        <stp>##V3_BDPV12</stp>
        <stp>LA AUG25 25DP VOL LME Comdty</stp>
        <stp>PX_LAST</stp>
        <stp>[QwackPricer.xlsx]Base!R136C5</stp>
        <tr r="E136" s="2"/>
      </tp>
      <tp>
        <v>18.739572525024414</v>
        <stp/>
        <stp>##V3_BDPV12</stp>
        <stp>LA AUG25 10DP VOL LME Comdty</stp>
        <stp>PX_LAST</stp>
        <stp>[QwackPricer.xlsx]Base!R136C4</stp>
        <tr r="D136" s="2"/>
      </tp>
      <tp>
        <v>15.89984130859375</v>
        <stp/>
        <stp>##V3_BDPV12</stp>
        <stp>LA NOV25 10DC VOL LME Comdty</stp>
        <stp>PX_LAST</stp>
        <stp>[QwackPricer.xlsx]Base!R139C8</stp>
        <tr r="H139" s="2"/>
      </tp>
      <tp>
        <v>15.699825286865234</v>
        <stp/>
        <stp>##V3_BDPV12</stp>
        <stp>LA NOV25 25DC VOL LME Comdty</stp>
        <stp>PX_LAST</stp>
        <stp>[QwackPricer.xlsx]Base!R139C7</stp>
        <tr r="G139" s="2"/>
      </tp>
      <tp>
        <v>3.5230000000000001</v>
        <stp/>
        <stp>##V3_BDPV12</stp>
        <stp>SAONBOR Curncy</stp>
        <stp>PX_LAST</stp>
        <stp>[QwackPricer.xlsx]FX-IR!R66C9</stp>
        <tr r="I66" s="1"/>
      </tp>
      <tp>
        <v>15.749821662902832</v>
        <stp/>
        <stp>##V3_BDPV12</stp>
        <stp>LA APR26 10DC VOL LME Comdty</stp>
        <stp>PX_LAST</stp>
        <stp>[QwackPricer.xlsx]Base!R144C8</stp>
        <tr r="H144" s="2"/>
      </tp>
      <tp>
        <v>15.529814720153809</v>
        <stp/>
        <stp>##V3_BDPV12</stp>
        <stp>LA APR26 25DC VOL LME Comdty</stp>
        <stp>PX_LAST</stp>
        <stp>[QwackPricer.xlsx]Base!R144C7</stp>
        <tr r="G144" s="2"/>
      </tp>
      <tp>
        <v>16.52972412109375</v>
        <stp/>
        <stp>##V3_BDPV12</stp>
        <stp>LA AUG22 10DC VOL LME Comdty</stp>
        <stp>PX_LAST</stp>
        <stp>[QwackPricer.xlsx]Base!R100C8</stp>
        <tr r="H100" s="2"/>
      </tp>
      <tp>
        <v>16.109750747680664</v>
        <stp/>
        <stp>##V3_BDPV12</stp>
        <stp>LA AUG22 25DC VOL LME Comdty</stp>
        <stp>PX_LAST</stp>
        <stp>[QwackPricer.xlsx]Base!R100C7</stp>
        <tr r="G100" s="2"/>
      </tp>
      <tp>
        <v>17.499551773071289</v>
        <stp/>
        <stp>##V3_BDPV12</stp>
        <stp>LA FEB23 25DP VOL LME Comdty</stp>
        <stp>PX_LAST</stp>
        <stp>[QwackPricer.xlsx]Base!R106C5</stp>
        <tr r="E106" s="2"/>
      </tp>
      <tp>
        <v>17.429645538330078</v>
        <stp/>
        <stp>##V3_BDPV12</stp>
        <stp>LA FEB25 25DP VOL LME Comdty</stp>
        <stp>PX_LAST</stp>
        <stp>[QwackPricer.xlsx]Base!R130C5</stp>
        <tr r="E130" s="2"/>
      </tp>
      <tp>
        <v>18.829504013061523</v>
        <stp/>
        <stp>##V3_BDPV12</stp>
        <stp>LA FEB23 10DP VOL LME Comdty</stp>
        <stp>PX_LAST</stp>
        <stp>[QwackPricer.xlsx]Base!R106C4</stp>
        <tr r="D106" s="2"/>
      </tp>
      <tp>
        <v>18.759584426879883</v>
        <stp/>
        <stp>##V3_BDPV12</stp>
        <stp>LA FEB25 10DP VOL LME Comdty</stp>
        <stp>PX_LAST</stp>
        <stp>[QwackPricer.xlsx]Base!R130C4</stp>
        <tr r="D130" s="2"/>
      </tp>
      <tp>
        <v>17.359703063964844</v>
        <stp/>
        <stp>##V3_BDPV12</stp>
        <stp>LA APR26 25DP VOL LME Comdty</stp>
        <stp>PX_LAST</stp>
        <stp>[QwackPricer.xlsx]Base!R144C5</stp>
        <tr r="E144" s="2"/>
      </tp>
      <tp>
        <v>18.539640426635742</v>
        <stp/>
        <stp>##V3_BDPV12</stp>
        <stp>LA APR26 10DP VOL LME Comdty</stp>
        <stp>PX_LAST</stp>
        <stp>[QwackPricer.xlsx]Base!R144C4</stp>
        <tr r="D144" s="2"/>
      </tp>
      <tp>
        <v>16.159761428833008</v>
        <stp/>
        <stp>##V3_BDPV12</stp>
        <stp>LA FEB23 10DC VOL LME Comdty</stp>
        <stp>PX_LAST</stp>
        <stp>[QwackPricer.xlsx]Base!R106C8</stp>
        <tr r="H106" s="2"/>
      </tp>
      <tp>
        <v>15.879867553710938</v>
        <stp/>
        <stp>##V3_BDPV12</stp>
        <stp>LA FEB25 10DC VOL LME Comdty</stp>
        <stp>PX_LAST</stp>
        <stp>[QwackPricer.xlsx]Base!R130C8</stp>
        <tr r="H130" s="2"/>
      </tp>
      <tp>
        <v>15.809792518615723</v>
        <stp/>
        <stp>##V3_BDPV12</stp>
        <stp>LA FEB23 25DC VOL LME Comdty</stp>
        <stp>PX_LAST</stp>
        <stp>[QwackPricer.xlsx]Base!R106C7</stp>
        <tr r="G106" s="2"/>
      </tp>
      <tp>
        <v>15.669839859008789</v>
        <stp/>
        <stp>##V3_BDPV12</stp>
        <stp>LA FEB25 25DC VOL LME Comdty</stp>
        <stp>PX_LAST</stp>
        <stp>[QwackPricer.xlsx]Base!R130C7</stp>
        <tr r="G130" s="2"/>
      </tp>
      <tp>
        <v>17.639522552490234</v>
        <stp/>
        <stp>##V3_BDPV12</stp>
        <stp>LA AUG22 25DP VOL LME Comdty</stp>
        <stp>PX_LAST</stp>
        <stp>[QwackPricer.xlsx]Base!R100C5</stp>
        <tr r="E100" s="2"/>
      </tp>
      <tp>
        <v>18.979475021362305</v>
        <stp/>
        <stp>##V3_BDPV12</stp>
        <stp>LA AUG22 10DP VOL LME Comdty</stp>
        <stp>PX_LAST</stp>
        <stp>[QwackPricer.xlsx]Base!R100C4</stp>
        <tr r="D100" s="2"/>
      </tp>
      <tp>
        <v>3.6675</v>
        <stp/>
        <stp>##V3_BDPV12</stp>
        <stp>SAFR0CF Curncy</stp>
        <stp>PX_LAST</stp>
        <stp>[QwackPricer.xlsx]FX-IR!R69C9</stp>
        <tr r="I69" s="1"/>
      </tp>
      <tp>
        <v>498.75</v>
        <stp/>
        <stp>##V3_BDPV12</stp>
        <stp>QSG5 Comdty</stp>
        <stp>PX_SETTLE</stp>
        <stp>[QwackPricer.xlsx]Energy!R58C13</stp>
        <tr r="M58" s="3"/>
      </tp>
      <tp>
        <v>490.25</v>
        <stp/>
        <stp>##V3_BDPV12</stp>
        <stp>QSG4 Comdty</stp>
        <stp>PX_SETTLE</stp>
        <stp>[QwackPricer.xlsx]Energy!R46C13</stp>
        <tr r="M46" s="3"/>
      </tp>
      <tp>
        <v>147.44</v>
        <stp/>
        <stp>##V3_BDPV12</stp>
        <stp>XBG4 Comdty</stp>
        <stp>PX_SETTLE</stp>
        <stp>[QwackPricer.xlsx]Energy!R46C22</stp>
        <tr r="V46" s="3"/>
      </tp>
      <tp>
        <v>48.15</v>
        <stp/>
        <stp>##V3_BDPV12</stp>
        <stp>CLG5 Comdty</stp>
        <stp>PX_SETTLE</stp>
        <stp>[QwackPricer.xlsx]Energy!R58C31</stp>
        <tr r="AE58" s="3"/>
      </tp>
      <tp>
        <v>48.97</v>
        <stp/>
        <stp>##V3_BDPV12</stp>
        <stp>CLG4 Comdty</stp>
        <stp>PX_SETTLE</stp>
        <stp>[QwackPricer.xlsx]Energy!R46C31</stp>
        <tr r="AE46" s="3"/>
      </tp>
      <tp>
        <v>154.86000000000001</v>
        <stp/>
        <stp>##V3_BDPV12</stp>
        <stp>XBG2 Comdty</stp>
        <stp>PX_SETTLE</stp>
        <stp>[QwackPricer.xlsx]Energy!R22C22</stp>
        <tr r="V22" s="3"/>
      </tp>
      <tp>
        <v>99.27</v>
        <stp/>
        <stp>##V3_BDPV12</stp>
        <stp>EDH4 Comdty</stp>
        <stp>PX_LAST</stp>
        <stp>[QwackPricer.xlsx]FX-IR!R85C3</stp>
        <tr r="C85" s="1"/>
      </tp>
      <tp>
        <v>50.75</v>
        <stp/>
        <stp>##V3_BDPV12</stp>
        <stp>CLG3 Comdty</stp>
        <stp>PX_SETTLE</stp>
        <stp>[QwackPricer.xlsx]Energy!R34C31</stp>
        <tr r="AE34" s="3"/>
      </tp>
      <tp>
        <v>148.87</v>
        <stp/>
        <stp>##V3_BDPV12</stp>
        <stp>XBG3 Comdty</stp>
        <stp>PX_SETTLE</stp>
        <stp>[QwackPricer.xlsx]Energy!R34C22</stp>
        <tr r="V34" s="3"/>
      </tp>
      <tp>
        <v>98.784999999999997</v>
        <stp/>
        <stp>##V3_BDPV12</stp>
        <stp>EDM5 Comdty</stp>
        <stp>PX_LAST</stp>
        <stp>[QwackPricer.xlsx]FX-IR!R90C3</stp>
        <tr r="C90" s="1"/>
      </tp>
      <tp>
        <v>53.95</v>
        <stp/>
        <stp>##V3_BDPV12</stp>
        <stp>CLG2 Comdty</stp>
        <stp>PX_SETTLE</stp>
        <stp>[QwackPricer.xlsx]Energy!R22C31</stp>
        <tr r="AE22" s="3"/>
      </tp>
      <tp>
        <v>491.75</v>
        <stp/>
        <stp>##V3_BDPV12</stp>
        <stp>QSG3 Comdty</stp>
        <stp>PX_SETTLE</stp>
        <stp>[QwackPricer.xlsx]Energy!R34C13</stp>
        <tr r="M34" s="3"/>
      </tp>
      <tp>
        <v>499.5</v>
        <stp/>
        <stp>##V3_BDPV12</stp>
        <stp>QSG2 Comdty</stp>
        <stp>PX_SETTLE</stp>
        <stp>[QwackPricer.xlsx]Energy!R22C13</stp>
        <tr r="M22" s="3"/>
      </tp>
      <tp>
        <v>17.449602127075195</v>
        <stp/>
        <stp>##V3_BDPV12</stp>
        <stp>LA MAR24 25DP VOL LME Comdty</stp>
        <stp>PX_LAST</stp>
        <stp>[QwackPricer.xlsx]Base!R119C5</stp>
        <tr r="E119" s="2"/>
      </tp>
      <tp>
        <v>18.779565811157227</v>
        <stp/>
        <stp>##V3_BDPV12</stp>
        <stp>LA MAR24 10DP VOL LME Comdty</stp>
        <stp>PX_LAST</stp>
        <stp>[QwackPricer.xlsx]Base!R119C4</stp>
        <tr r="D119" s="2"/>
      </tp>
      <tp>
        <v>15.909847259521484</v>
        <stp/>
        <stp>##V3_BDPV12</stp>
        <stp>LA AUG23 10DC VOL LME Comdty</stp>
        <stp>PX_LAST</stp>
        <stp>[QwackPricer.xlsx]Base!R112C8</stp>
        <tr r="H112" s="2"/>
      </tp>
      <tp>
        <v>15.70984935760498</v>
        <stp/>
        <stp>##V3_BDPV12</stp>
        <stp>LA AUG23 25DC VOL LME Comdty</stp>
        <stp>PX_LAST</stp>
        <stp>[QwackPricer.xlsx]Base!R112C7</stp>
        <tr r="G112" s="2"/>
      </tp>
      <tp>
        <v>15.879884719848633</v>
        <stp/>
        <stp>##V3_BDPV12</stp>
        <stp>LA MAR24 10DC VOL LME Comdty</stp>
        <stp>PX_LAST</stp>
        <stp>[QwackPricer.xlsx]Base!R119C8</stp>
        <tr r="H119" s="2"/>
      </tp>
      <tp>
        <v>15.679854393005371</v>
        <stp/>
        <stp>##V3_BDPV12</stp>
        <stp>LA MAR24 25DC VOL LME Comdty</stp>
        <stp>PX_LAST</stp>
        <stp>[QwackPricer.xlsx]Base!R119C7</stp>
        <tr r="G119" s="2"/>
      </tp>
      <tp>
        <v>17.469577789306641</v>
        <stp/>
        <stp>##V3_BDPV12</stp>
        <stp>LA AUG23 25DP VOL LME Comdty</stp>
        <stp>PX_LAST</stp>
        <stp>[QwackPricer.xlsx]Base!R112C5</stp>
        <tr r="E112" s="2"/>
      </tp>
      <tp>
        <v>18.789525985717773</v>
        <stp/>
        <stp>##V3_BDPV12</stp>
        <stp>LA AUG23 10DP VOL LME Comdty</stp>
        <stp>PX_LAST</stp>
        <stp>[QwackPricer.xlsx]Base!R112C4</stp>
        <tr r="D112" s="2"/>
      </tp>
      <tp>
        <v>497.5</v>
        <stp/>
        <stp>##V3_BDPV12</stp>
        <stp>QSF5 Comdty</stp>
        <stp>PX_SETTLE</stp>
        <stp>[QwackPricer.xlsx]Energy!R57C13</stp>
        <tr r="M57" s="3"/>
      </tp>
      <tp>
        <v>489</v>
        <stp/>
        <stp>##V3_BDPV12</stp>
        <stp>QSF4 Comdty</stp>
        <stp>PX_SETTLE</stp>
        <stp>[QwackPricer.xlsx]Energy!R45C13</stp>
        <tr r="M45" s="3"/>
      </tp>
      <tp>
        <v>146.29</v>
        <stp/>
        <stp>##V3_BDPV12</stp>
        <stp>XBF4 Comdty</stp>
        <stp>PX_SETTLE</stp>
        <stp>[QwackPricer.xlsx]Energy!R45C22</stp>
        <tr r="V45" s="3"/>
      </tp>
      <tp>
        <v>48.120000000000005</v>
        <stp/>
        <stp>##V3_BDPV12</stp>
        <stp>CLF5 Comdty</stp>
        <stp>PX_SETTLE</stp>
        <stp>[QwackPricer.xlsx]Energy!R57C31</stp>
        <tr r="AE57" s="3"/>
      </tp>
      <tp>
        <v>49.09</v>
        <stp/>
        <stp>##V3_BDPV12</stp>
        <stp>CLF4 Comdty</stp>
        <stp>PX_SETTLE</stp>
        <stp>[QwackPricer.xlsx]Energy!R45C31</stp>
        <tr r="AE45" s="3"/>
      </tp>
      <tp>
        <v>154.61000000000001</v>
        <stp/>
        <stp>##V3_BDPV12</stp>
        <stp>XBF2 Comdty</stp>
        <stp>PX_SETTLE</stp>
        <stp>[QwackPricer.xlsx]Energy!R21C22</stp>
        <tr r="V21" s="3"/>
      </tp>
      <tp>
        <v>50.97</v>
        <stp/>
        <stp>##V3_BDPV12</stp>
        <stp>CLF3 Comdty</stp>
        <stp>PX_SETTLE</stp>
        <stp>[QwackPricer.xlsx]Energy!R33C31</stp>
        <tr r="AE33" s="3"/>
      </tp>
      <tp>
        <v>147.75</v>
        <stp/>
        <stp>##V3_BDPV12</stp>
        <stp>XBF3 Comdty</stp>
        <stp>PX_SETTLE</stp>
        <stp>[QwackPricer.xlsx]Energy!R33C22</stp>
        <tr r="V33" s="3"/>
      </tp>
      <tp>
        <v>54.35</v>
        <stp/>
        <stp>##V3_BDPV12</stp>
        <stp>CLF2 Comdty</stp>
        <stp>PX_SETTLE</stp>
        <stp>[QwackPricer.xlsx]Energy!R21C31</stp>
        <tr r="AE21" s="3"/>
      </tp>
      <tp>
        <v>491.25</v>
        <stp/>
        <stp>##V3_BDPV12</stp>
        <stp>QSF3 Comdty</stp>
        <stp>PX_SETTLE</stp>
        <stp>[QwackPricer.xlsx]Energy!R33C13</stp>
        <tr r="M33" s="3"/>
      </tp>
      <tp>
        <v>500</v>
        <stp/>
        <stp>##V3_BDPV12</stp>
        <stp>QSF2 Comdty</stp>
        <stp>PX_SETTLE</stp>
        <stp>[QwackPricer.xlsx]Energy!R21C13</stp>
        <tr r="M21" s="3"/>
      </tp>
      <tp>
        <v>15.879880905151367</v>
        <stp/>
        <stp>##V3_BDPV12</stp>
        <stp>LA AUG24 10DC VOL LME Comdty</stp>
        <stp>PX_LAST</stp>
        <stp>[QwackPricer.xlsx]Base!R124C8</stp>
        <tr r="H124" s="2"/>
      </tp>
      <tp>
        <v>15.669848442077637</v>
        <stp/>
        <stp>##V3_BDPV12</stp>
        <stp>LA AUG24 25DC VOL LME Comdty</stp>
        <stp>PX_LAST</stp>
        <stp>[QwackPricer.xlsx]Base!R124C7</stp>
        <tr r="G124" s="2"/>
      </tp>
      <tp>
        <v>17.479589462280273</v>
        <stp/>
        <stp>##V3_BDPV12</stp>
        <stp>LA DEC23 25DP VOL LME Comdty</stp>
        <stp>PX_LAST</stp>
        <stp>[QwackPricer.xlsx]Base!R116C5</stp>
        <tr r="E116" s="2"/>
      </tp>
      <tp>
        <v>17.419689178466797</v>
        <stp/>
        <stp>##V3_BDPV12</stp>
        <stp>LA DEC25 25DP VOL LME Comdty</stp>
        <stp>PX_LAST</stp>
        <stp>[QwackPricer.xlsx]Base!R140C5</stp>
        <tr r="E140" s="2"/>
      </tp>
      <tp>
        <v>18.729593276977539</v>
        <stp/>
        <stp>##V3_BDPV12</stp>
        <stp>LA DEC25 10DP VOL LME Comdty</stp>
        <stp>PX_LAST</stp>
        <stp>[QwackPricer.xlsx]Base!R140C4</stp>
        <tr r="D140" s="2"/>
      </tp>
      <tp>
        <v>18.789558410644531</v>
        <stp/>
        <stp>##V3_BDPV12</stp>
        <stp>LA DEC23 10DP VOL LME Comdty</stp>
        <stp>PX_LAST</stp>
        <stp>[QwackPricer.xlsx]Base!R116C4</stp>
        <tr r="D116" s="2"/>
      </tp>
      <tp>
        <v>15.89984130859375</v>
        <stp/>
        <stp>##V3_BDPV12</stp>
        <stp>LA DEC25 10DC VOL LME Comdty</stp>
        <stp>PX_LAST</stp>
        <stp>[QwackPricer.xlsx]Base!R140C8</stp>
        <tr r="H140" s="2"/>
      </tp>
      <tp>
        <v>15.889876365661621</v>
        <stp/>
        <stp>##V3_BDPV12</stp>
        <stp>LA DEC23 10DC VOL LME Comdty</stp>
        <stp>PX_LAST</stp>
        <stp>[QwackPricer.xlsx]Base!R116C8</stp>
        <tr r="H116" s="2"/>
      </tp>
      <tp>
        <v>15.689853668212891</v>
        <stp/>
        <stp>##V3_BDPV12</stp>
        <stp>LA DEC23 25DC VOL LME Comdty</stp>
        <stp>PX_LAST</stp>
        <stp>[QwackPricer.xlsx]Base!R116C7</stp>
        <tr r="G116" s="2"/>
      </tp>
      <tp>
        <v>15.699823379516602</v>
        <stp/>
        <stp>##V3_BDPV12</stp>
        <stp>LA DEC25 25DC VOL LME Comdty</stp>
        <stp>PX_LAST</stp>
        <stp>[QwackPricer.xlsx]Base!R140C7</stp>
        <tr r="G140" s="2"/>
      </tp>
      <tp>
        <v>17.449621200561523</v>
        <stp/>
        <stp>##V3_BDPV12</stp>
        <stp>LA AUG24 25DP VOL LME Comdty</stp>
        <stp>PX_LAST</stp>
        <stp>[QwackPricer.xlsx]Base!R124C5</stp>
        <tr r="E124" s="2"/>
      </tp>
      <tp>
        <v>18.779579162597656</v>
        <stp/>
        <stp>##V3_BDPV12</stp>
        <stp>LA AUG24 10DP VOL LME Comdty</stp>
        <stp>PX_LAST</stp>
        <stp>[QwackPricer.xlsx]Base!R124C4</stp>
        <tr r="D124" s="2"/>
      </tp>
      <tp>
        <v>99.835000000000008</v>
        <stp/>
        <stp>##V3_BDPV12</stp>
        <stp>EDH1 Comdty</stp>
        <stp>PX_LAST</stp>
        <stp>[QwackPricer.xlsx]FX-IR!R73C3</stp>
        <tr r="C73" s="1"/>
      </tp>
      <tp>
        <v>99.165000000000006</v>
        <stp/>
        <stp>##V3_BDPV12</stp>
        <stp>EDM4 Comdty</stp>
        <stp>PX_LAST</stp>
        <stp>[QwackPricer.xlsx]FX-IR!R86C3</stp>
        <tr r="C86" s="1"/>
      </tp>
      <tp>
        <v>0.218</v>
        <stp/>
        <stp>##V3_BDPV12</stp>
        <stp>EURON Curncy</stp>
        <stp>PX_LAST</stp>
        <stp>[QwackPricer.xlsx]FX-IR!R32C4</stp>
        <tr r="D32" s="1"/>
      </tp>
      <tp>
        <v>0.04</v>
        <stp/>
        <stp>##V3_BDPV12</stp>
        <stp>AUDON Curncy</stp>
        <stp>PX_LAST</stp>
        <stp>[QwackPricer.xlsx]FX-IR!R32C5</stp>
        <tr r="E32" s="1"/>
      </tp>
      <tp>
        <v>15.879854202270508</v>
        <stp/>
        <stp>##V3_BDPV12</stp>
        <stp>LA APR25 10DC VOL LME Comdty</stp>
        <stp>PX_LAST</stp>
        <stp>[QwackPricer.xlsx]Base!R132C8</stp>
        <tr r="H132" s="2"/>
      </tp>
      <tp>
        <v>15.679839134216309</v>
        <stp/>
        <stp>##V3_BDPV12</stp>
        <stp>LA APR25 25DC VOL LME Comdty</stp>
        <stp>PX_LAST</stp>
        <stp>[QwackPricer.xlsx]Base!R132C7</stp>
        <tr r="G132" s="2"/>
      </tp>
      <tp>
        <v>17.439641952514648</v>
        <stp/>
        <stp>##V3_BDPV12</stp>
        <stp>LA JAN25 25DP VOL LME Comdty</stp>
        <stp>PX_LAST</stp>
        <stp>[QwackPricer.xlsx]Base!R129C5</stp>
        <tr r="E129" s="2"/>
      </tp>
      <tp>
        <v>18.759588241577148</v>
        <stp/>
        <stp>##V3_BDPV12</stp>
        <stp>LA JAN25 10DP VOL LME Comdty</stp>
        <stp>PX_LAST</stp>
        <stp>[QwackPricer.xlsx]Base!R129C4</stp>
        <tr r="D129" s="2"/>
      </tp>
      <tp>
        <v>15.669842720031738</v>
        <stp/>
        <stp>##V3_BDPV12</stp>
        <stp>LA JAN25 25DC VOL LME Comdty</stp>
        <stp>PX_LAST</stp>
        <stp>[QwackPricer.xlsx]Base!R129C7</stp>
        <tr r="G129" s="2"/>
      </tp>
      <tp>
        <v>15.87987232208252</v>
        <stp/>
        <stp>##V3_BDPV12</stp>
        <stp>LA JAN25 10DC VOL LME Comdty</stp>
        <stp>PX_LAST</stp>
        <stp>[QwackPricer.xlsx]Base!R129C8</stp>
        <tr r="H129" s="2"/>
      </tp>
      <tp>
        <v>17.429656982421875</v>
        <stp/>
        <stp>##V3_BDPV12</stp>
        <stp>LA APR25 25DP VOL LME Comdty</stp>
        <stp>PX_LAST</stp>
        <stp>[QwackPricer.xlsx]Base!R132C5</stp>
        <tr r="E132" s="2"/>
      </tp>
      <tp>
        <v>18.749574661254883</v>
        <stp/>
        <stp>##V3_BDPV12</stp>
        <stp>LA APR25 10DP VOL LME Comdty</stp>
        <stp>PX_LAST</stp>
        <stp>[QwackPricer.xlsx]Base!R132C4</stp>
        <tr r="D132" s="2"/>
      </tp>
      <tp>
        <v>18.789506912231445</v>
        <stp/>
        <stp>##V3_BDPV12</stp>
        <stp>LA MAY23 10DP VOL LME Comdty</stp>
        <stp>PX_LAST</stp>
        <stp>[QwackPricer.xlsx]Base!R109C4</stp>
        <tr r="D109" s="2"/>
      </tp>
      <tp>
        <v>17.459564208984375</v>
        <stp/>
        <stp>##V3_BDPV12</stp>
        <stp>LA MAY23 25DP VOL LME Comdty</stp>
        <stp>PX_LAST</stp>
        <stp>[QwackPricer.xlsx]Base!R109C5</stp>
        <tr r="E109" s="2"/>
      </tp>
      <tp>
        <v>15.729823112487793</v>
        <stp/>
        <stp>##V3_BDPV12</stp>
        <stp>LA MAY23 25DC VOL LME Comdty</stp>
        <stp>PX_LAST</stp>
        <stp>[QwackPricer.xlsx]Base!R109C7</stp>
        <tr r="G109" s="2"/>
      </tp>
      <tp>
        <v>16.009805679321289</v>
        <stp/>
        <stp>##V3_BDPV12</stp>
        <stp>LA MAY23 10DC VOL LME Comdty</stp>
        <stp>PX_LAST</stp>
        <stp>[QwackPricer.xlsx]Base!R109C8</stp>
        <tr r="H109" s="2"/>
      </tp>
      <tp>
        <v>18675</v>
        <stp/>
        <stp>##V3_BDPV12</stp>
        <stp>LMNIDS03 Comdty</stp>
        <stp>PX_LAST</stp>
        <stp>[QwackPricer.xlsx]Base!R9C3</stp>
        <tr r="C9" s="2"/>
      </tp>
      <tp>
        <v>99.84</v>
        <stp/>
        <stp>##V3_BDPV12</stp>
        <stp>EDM1 Comdty</stp>
        <stp>PX_LAST</stp>
        <stp>[QwackPricer.xlsx]FX-IR!R74C3</stp>
        <tr r="C74" s="1"/>
      </tp>
      <tp>
        <v>99.704999999999998</v>
        <stp/>
        <stp>##V3_BDPV12</stp>
        <stp>EDH3 Comdty</stp>
        <stp>PX_LAST</stp>
        <stp>[QwackPricer.xlsx]FX-IR!R81C3</stp>
        <tr r="C81" s="1"/>
      </tp>
      <tp>
        <v>2759</v>
        <stp/>
        <stp>##V3_BDPV12</stp>
        <stp>LMZSDS03 Comdty</stp>
        <stp>PX_LAST</stp>
        <stp>[QwackPricer.xlsx]Base!R8C3</stp>
        <tr r="C8" s="2"/>
      </tp>
      <tp>
        <v>15.879885673522949</v>
        <stp/>
        <stp>##V3_BDPV12</stp>
        <stp>LA APR24 10DC VOL LME Comdty</stp>
        <stp>PX_LAST</stp>
        <stp>[QwackPricer.xlsx]Base!R120C8</stp>
        <tr r="H120" s="2"/>
      </tp>
      <tp>
        <v>15.679854393005371</v>
        <stp/>
        <stp>##V3_BDPV12</stp>
        <stp>LA APR24 25DC VOL LME Comdty</stp>
        <stp>PX_LAST</stp>
        <stp>[QwackPricer.xlsx]Base!R120C7</stp>
        <tr r="G120" s="2"/>
      </tp>
      <tp>
        <v>17.459604263305664</v>
        <stp/>
        <stp>##V3_BDPV12</stp>
        <stp>LA APR24 25DP VOL LME Comdty</stp>
        <stp>PX_LAST</stp>
        <stp>[QwackPricer.xlsx]Base!R120C5</stp>
        <tr r="E120" s="2"/>
      </tp>
      <tp>
        <v>18.779569625854492</v>
        <stp/>
        <stp>##V3_BDPV12</stp>
        <stp>LA APR24 10DP VOL LME Comdty</stp>
        <stp>PX_LAST</stp>
        <stp>[QwackPricer.xlsx]Base!R120C4</stp>
        <tr r="D120" s="2"/>
      </tp>
      <tp>
        <v>19.780149459838867</v>
        <stp/>
        <stp>##V3_BDPV12</stp>
        <stp>LP OCT23 50D VOL LME Comdty</stp>
        <stp>PX_LAST</stp>
        <stp>[QwackPricer.xlsx]Base!R114C17</stp>
        <tr r="Q114" s="2"/>
      </tp>
      <tp>
        <v>18.660179138183594</v>
        <stp/>
        <stp>##V3_BDPV12</stp>
        <stp>LP JAN26 50D VOL LME Comdty</stp>
        <stp>PX_LAST</stp>
        <stp>[QwackPricer.xlsx]Base!R141C17</stp>
        <tr r="Q141" s="2"/>
      </tp>
      <tp>
        <v>23.929424285888672</v>
        <stp/>
        <stp>##V3_BDPV12</stp>
        <stp>LP MAY23 10DP VOL LME Comdty</stp>
        <stp>PX_LAST</stp>
        <stp>[QwackPricer.xlsx]Base!R109C15</stp>
        <tr r="O109" s="2"/>
      </tp>
      <tp>
        <v>22.909561157226563</v>
        <stp/>
        <stp>##V3_BDPV12</stp>
        <stp>LP MAY24 10DP VOL LME Comdty</stp>
        <stp>PX_LAST</stp>
        <stp>[QwackPricer.xlsx]Base!R121C15</stp>
        <tr r="O121" s="2"/>
      </tp>
      <tp>
        <v>22.439586639404297</v>
        <stp/>
        <stp>##V3_BDPV12</stp>
        <stp>LP MAY25 10DP VOL LME Comdty</stp>
        <stp>PX_LAST</stp>
        <stp>[QwackPricer.xlsx]Base!R133C15</stp>
        <tr r="O133" s="2"/>
      </tp>
      <tp>
        <v>25.989234924316406</v>
        <stp/>
        <stp>##V3_BDPV12</stp>
        <stp>LX MAR23 10DP VOL LME Comdty</stp>
        <stp>PX_LAST</stp>
        <stp>[QwackPricer.xlsx]Base!R107C26</stp>
        <tr r="Z107" s="2"/>
      </tp>
      <tp>
        <v>21.459640502929688</v>
        <stp/>
        <stp>##V3_BDPV12</stp>
        <stp>LP MAY24 25DP VOL LME Comdty</stp>
        <stp>PX_LAST</stp>
        <stp>[QwackPricer.xlsx]Base!R121C16</stp>
        <tr r="P121" s="2"/>
      </tp>
      <tp>
        <v>21.009698867797852</v>
        <stp/>
        <stp>##V3_BDPV12</stp>
        <stp>LP MAY25 25DP VOL LME Comdty</stp>
        <stp>PX_LAST</stp>
        <stp>[QwackPricer.xlsx]Base!R133C16</stp>
        <tr r="P133" s="2"/>
      </tp>
      <tp>
        <v>22.269556045532227</v>
        <stp/>
        <stp>##V3_BDPV12</stp>
        <stp>LP MAY23 25DP VOL LME Comdty</stp>
        <stp>PX_LAST</stp>
        <stp>[QwackPricer.xlsx]Base!R109C16</stp>
        <tr r="P109" s="2"/>
      </tp>
      <tp>
        <v>23.999561309814453</v>
        <stp/>
        <stp>##V3_BDPV12</stp>
        <stp>LX MAR23 25DP VOL LME Comdty</stp>
        <stp>PX_LAST</stp>
        <stp>[QwackPricer.xlsx]Base!R107C27</stp>
        <tr r="AA107" s="2"/>
      </tp>
      <tp>
        <v>21134</v>
        <stp/>
        <stp>##V3_BDPV12</stp>
        <stp>ZAR3y Curncy</stp>
        <stp>PX_BID</stp>
        <stp>[QwackPricer.xlsx]FX-IR!R44C3</stp>
        <tr r="C44" s="1"/>
      </tp>
    </main>
    <main first="bloomberg.rtd">
      <tp>
        <v>133</v>
        <stp/>
        <stp>##V3_BDPV12</stp>
        <stp>ZAR1w Curncy</stp>
        <stp>PX_BID</stp>
        <stp>[QwackPricer.xlsx]FX-IR!R34C3</stp>
        <tr r="C34" s="1"/>
      </tp>
    </main>
    <main first="bofaddin.rtdserver">
      <tp t="e">
        <v>#N/A</v>
        <stp/>
        <stp>BDH|510268180717528865</stp>
        <tr r="D107" s="1"/>
      </tp>
    </main>
    <main first="bloomberg.rtd">
      <tp>
        <v>21.150125503540039</v>
        <stp/>
        <stp>##V3_BDPV12</stp>
        <stp>LP NOV22 50D VOL LME Comdty</stp>
        <stp>PX_LAST</stp>
        <stp>[QwackPricer.xlsx]Base!R103C17</stp>
        <tr r="Q103" s="2"/>
      </tp>
      <tp>
        <v>29.769870758056641</v>
        <stp/>
        <stp>##V3_BDPV12</stp>
        <stp>LN JAN23 25DP VOL LME Comdty</stp>
        <stp>PX_LAST</stp>
        <stp>[QwackPricer.xlsx]Base!R105C38</stp>
        <tr r="AL105" s="2"/>
      </tp>
      <tp>
        <v>20.709739685058594</v>
        <stp/>
        <stp>##V3_BDPV12</stp>
        <stp>LP MAR26 25DP VOL LME Comdty</stp>
        <stp>PX_LAST</stp>
        <stp>[QwackPricer.xlsx]Base!R143C16</stp>
        <tr r="P143" s="2"/>
      </tp>
      <tp>
        <v>20.999687194824219</v>
        <stp/>
        <stp>##V3_BDPV12</stp>
        <stp>LP MAR25 25DP VOL LME Comdty</stp>
        <stp>PX_LAST</stp>
        <stp>[QwackPricer.xlsx]Base!R131C16</stp>
        <tr r="P131" s="2"/>
      </tp>
      <tp>
        <v>22.429544448852539</v>
        <stp/>
        <stp>##V3_BDPV12</stp>
        <stp>LP MAR23 25DP VOL LME Comdty</stp>
        <stp>PX_LAST</stp>
        <stp>[QwackPricer.xlsx]Base!R107C16</stp>
        <tr r="P107" s="2"/>
      </tp>
      <tp>
        <v>21.569629669189453</v>
        <stp/>
        <stp>##V3_BDPV12</stp>
        <stp>LP MAR24 25DP VOL LME Comdty</stp>
        <stp>PX_LAST</stp>
        <stp>[QwackPricer.xlsx]Base!R119C16</stp>
        <tr r="P119" s="2"/>
      </tp>
      <tp>
        <v>23.969581604003906</v>
        <stp/>
        <stp>##V3_BDPV12</stp>
        <stp>LX MAY23 25DP VOL LME Comdty</stp>
        <stp>PX_LAST</stp>
        <stp>[QwackPricer.xlsx]Base!R109C27</stp>
        <tr r="AA109" s="2"/>
      </tp>
      <tp>
        <v>24.109403610229492</v>
        <stp/>
        <stp>##V3_BDPV12</stp>
        <stp>LP MAR23 10DP VOL LME Comdty</stp>
        <stp>PX_LAST</stp>
        <stp>[QwackPricer.xlsx]Base!R107C15</stp>
        <tr r="O107" s="2"/>
      </tp>
      <tp>
        <v>23.029552459716797</v>
        <stp/>
        <stp>##V3_BDPV12</stp>
        <stp>LP MAR24 10DP VOL LME Comdty</stp>
        <stp>PX_LAST</stp>
        <stp>[QwackPricer.xlsx]Base!R119C15</stp>
        <tr r="O119" s="2"/>
      </tp>
      <tp>
        <v>30.71959114074707</v>
        <stp/>
        <stp>##V3_BDPV12</stp>
        <stp>LN JAN23 10DP VOL LME Comdty</stp>
        <stp>PX_LAST</stp>
        <stp>[QwackPricer.xlsx]Base!R105C37</stp>
        <tr r="AK105" s="2"/>
      </tp>
      <tp>
        <v>22.429584503173828</v>
        <stp/>
        <stp>##V3_BDPV12</stp>
        <stp>LP MAR25 10DP VOL LME Comdty</stp>
        <stp>PX_LAST</stp>
        <stp>[QwackPricer.xlsx]Base!R131C15</stp>
        <tr r="O131" s="2"/>
      </tp>
      <tp>
        <v>25.959251403808594</v>
        <stp/>
        <stp>##V3_BDPV12</stp>
        <stp>LX MAY23 10DP VOL LME Comdty</stp>
        <stp>PX_LAST</stp>
        <stp>[QwackPricer.xlsx]Base!R109C26</stp>
        <tr r="Z109" s="2"/>
      </tp>
      <tp>
        <v>22.139623641967773</v>
        <stp/>
        <stp>##V3_BDPV12</stp>
        <stp>LP MAR26 10DP VOL LME Comdty</stp>
        <stp>PX_LAST</stp>
        <stp>[QwackPricer.xlsx]Base!R143C15</stp>
        <tr r="O143" s="2"/>
      </tp>
      <tp>
        <v>29.649848937988281</v>
        <stp/>
        <stp>##V3_BDPV12</stp>
        <stp>LN NOV22 50D VOL LME Comdty</stp>
        <stp>PX_LAST</stp>
        <stp>[QwackPricer.xlsx]Base!R103C39</stp>
        <tr r="AM103" s="2"/>
      </tp>
      <tp>
        <v>22.050111770629883</v>
        <stp/>
        <stp>##V3_BDPV12</stp>
        <stp>LX NOV22 50D VOL LME Comdty</stp>
        <stp>PX_LAST</stp>
        <stp>[QwackPricer.xlsx]Base!R103C28</stp>
        <tr r="AB103" s="2"/>
      </tp>
      <tp>
        <v>29.689878463745117</v>
        <stp/>
        <stp>##V3_BDPV12</stp>
        <stp>LN MAR23 25DP VOL LME Comdty</stp>
        <stp>PX_LAST</stp>
        <stp>[QwackPricer.xlsx]Base!R107C38</stp>
        <tr r="AL107" s="2"/>
      </tp>
      <tp>
        <v>20.829732894897461</v>
        <stp/>
        <stp>##V3_BDPV12</stp>
        <stp>LP JAN26 25DP VOL LME Comdty</stp>
        <stp>PX_LAST</stp>
        <stp>[QwackPricer.xlsx]Base!R141C16</stp>
        <tr r="P141" s="2"/>
      </tp>
      <tp>
        <v>20.989675521850586</v>
        <stp/>
        <stp>##V3_BDPV12</stp>
        <stp>LP JAN25 25DP VOL LME Comdty</stp>
        <stp>PX_LAST</stp>
        <stp>[QwackPricer.xlsx]Base!R129C16</stp>
        <tr r="P129" s="2"/>
      </tp>
      <tp>
        <v>22.649528503417969</v>
        <stp/>
        <stp>##V3_BDPV12</stp>
        <stp>LP JAN23 25DP VOL LME Comdty</stp>
        <stp>PX_LAST</stp>
        <stp>[QwackPricer.xlsx]Base!R105C16</stp>
        <tr r="P105" s="2"/>
      </tp>
      <tp>
        <v>21.699621200561523</v>
        <stp/>
        <stp>##V3_BDPV12</stp>
        <stp>LP JAN24 25DP VOL LME Comdty</stp>
        <stp>PX_LAST</stp>
        <stp>[QwackPricer.xlsx]Base!R117C16</stp>
        <tr r="P117" s="2"/>
      </tp>
      <tp>
        <v>24.339376449584961</v>
        <stp/>
        <stp>##V3_BDPV12</stp>
        <stp>LP JAN23 10DP VOL LME Comdty</stp>
        <stp>PX_LAST</stp>
        <stp>[QwackPricer.xlsx]Base!R105C15</stp>
        <tr r="O105" s="2"/>
      </tp>
      <tp>
        <v>23.149541854858398</v>
        <stp/>
        <stp>##V3_BDPV12</stp>
        <stp>LP JAN24 10DP VOL LME Comdty</stp>
        <stp>PX_LAST</stp>
        <stp>[QwackPricer.xlsx]Base!R117C15</stp>
        <tr r="O117" s="2"/>
      </tp>
      <tp>
        <v>30.629598617553711</v>
        <stp/>
        <stp>##V3_BDPV12</stp>
        <stp>LN MAR23 10DP VOL LME Comdty</stp>
        <stp>PX_LAST</stp>
        <stp>[QwackPricer.xlsx]Base!R107C37</stp>
        <tr r="AK107" s="2"/>
      </tp>
      <tp>
        <v>22.419580459594727</v>
        <stp/>
        <stp>##V3_BDPV12</stp>
        <stp>LP JAN25 10DP VOL LME Comdty</stp>
        <stp>PX_LAST</stp>
        <stp>[QwackPricer.xlsx]Base!R129C15</stp>
        <tr r="O129" s="2"/>
      </tp>
      <tp>
        <v>22.24962043762207</v>
        <stp/>
        <stp>##V3_BDPV12</stp>
        <stp>LP JAN26 10DP VOL LME Comdty</stp>
        <stp>PX_LAST</stp>
        <stp>[QwackPricer.xlsx]Base!R141C15</stp>
        <tr r="O141" s="2"/>
      </tp>
      <tp>
        <v>30.639604568481445</v>
        <stp/>
        <stp>##V3_BDPV12</stp>
        <stp>LN MAY23 10DP VOL LME Comdty</stp>
        <stp>PX_LAST</stp>
        <stp>[QwackPricer.xlsx]Base!R109C37</stp>
        <tr r="AK109" s="2"/>
      </tp>
      <tp>
        <v>26.019218444824219</v>
        <stp/>
        <stp>##V3_BDPV12</stp>
        <stp>LX JAN23 10DP VOL LME Comdty</stp>
        <stp>PX_LAST</stp>
        <stp>[QwackPricer.xlsx]Base!R105C26</stp>
        <tr r="Z105" s="2"/>
      </tp>
      <tp>
        <v>29.689886093139648</v>
        <stp/>
        <stp>##V3_BDPV12</stp>
        <stp>LN MAY23 25DP VOL LME Comdty</stp>
        <stp>PX_LAST</stp>
        <stp>[QwackPricer.xlsx]Base!R109C38</stp>
        <tr r="AL109" s="2"/>
      </tp>
      <tp>
        <v>24.009544372558594</v>
        <stp/>
        <stp>##V3_BDPV12</stp>
        <stp>LX JAN23 25DP VOL LME Comdty</stp>
        <stp>PX_LAST</stp>
        <stp>[QwackPricer.xlsx]Base!R105C27</stp>
        <tr r="AA105" s="2"/>
      </tp>
      <tp>
        <v>1.25</v>
        <stp/>
        <stp>##V3_BDPV12</stp>
        <stp>LMCADS J2103 Comdty</stp>
        <stp>PX_SETTLE</stp>
        <stp>[QwackPricer.xlsx]Base!R19C9</stp>
        <tr r="I19" s="2"/>
      </tp>
      <tp>
        <v>15.980063438415527</v>
        <stp/>
        <stp>##V3_BDPV12</stp>
        <stp>LA JUN22 50D VOL LME Comdty</stp>
        <stp>PX_LAST</stp>
        <stp>[QwackPricer.xlsx]Base!R98C6</stp>
        <tr r="F98" s="2"/>
      </tp>
      <tp>
        <v>16.250041961669922</v>
        <stp/>
        <stp>##V3_BDPV12</stp>
        <stp>LA FEB22 50D VOL LME Comdty</stp>
        <stp>PX_LAST</stp>
        <stp>[QwackPricer.xlsx]Base!R94C6</stp>
        <tr r="F94" s="2"/>
      </tp>
      <tp>
        <v>-45.4</v>
        <stp/>
        <stp>##V3_BDPV12</stp>
        <stp>LMNIDS 0003 Comdty</stp>
        <stp>PX_SETTLE</stp>
        <stp>[QwackPricer.xlsx]Base!R16C17</stp>
        <tr r="Q16" s="2"/>
      </tp>
      <tp>
        <v>21.320121765136719</v>
        <stp/>
        <stp>##V3_BDPV12</stp>
        <stp>LP OCT22 50D VOL LME Comdty</stp>
        <stp>PX_LAST</stp>
        <stp>[QwackPricer.xlsx]Base!R102C17</stp>
        <tr r="Q102" s="2"/>
      </tp>
    </main>
    <main first="bloomberg.rtd">
      <tp>
        <v>29.679853439331055</v>
        <stp/>
        <stp>##V3_BDPV12</stp>
        <stp>LN OCT22 50D VOL LME Comdty</stp>
        <stp>PX_LAST</stp>
        <stp>[QwackPricer.xlsx]Base!R102C39</stp>
        <tr r="AM102" s="2"/>
      </tp>
    </main>
    <main first="bofaddin.rtdserver">
      <tp t="e">
        <v>#N/A</v>
        <stp/>
        <stp>BDH|851886752909510084</stp>
        <tr r="E133" s="1"/>
      </tp>
    </main>
    <main first="bloomberg.rtd">
      <tp>
        <v>22.030111312866211</v>
        <stp/>
        <stp>##V3_BDPV12</stp>
        <stp>LX OCT22 50D VOL LME Comdty</stp>
        <stp>PX_LAST</stp>
        <stp>[QwackPricer.xlsx]Base!R102C28</stp>
        <tr r="AB102" s="2"/>
      </tp>
    </main>
    <main first="bofaddin.rtdserver">
      <tp t="e">
        <v>#N/A</v>
        <stp/>
        <stp>BDH|319304744017673499</stp>
        <tr r="G98" s="1"/>
      </tp>
    </main>
    <main first="bloomberg.rtd">
      <tp>
        <v>274</v>
        <stp/>
        <stp>##V3_BDPV12</stp>
        <stp>ZAR2w Curncy</stp>
        <stp>PX_BID</stp>
        <stp>[QwackPricer.xlsx]FX-IR!R35C3</stp>
        <tr r="C35" s="1"/>
      </tp>
      <tp>
        <v>19.710149765014648</v>
        <stp/>
        <stp>##V3_BDPV12</stp>
        <stp>LP NOV23 50D VOL LME Comdty</stp>
        <stp>PX_LAST</stp>
        <stp>[QwackPricer.xlsx]Base!R115C17</stp>
        <tr r="Q115" s="2"/>
      </tp>
    </main>
    <main first="bofaddin.rtdserver">
      <tp t="e">
        <v>#N/A</v>
        <stp/>
        <stp>BDH|273669621699147966</stp>
        <tr r="E116" s="1"/>
      </tp>
    </main>
    <main first="bloomberg.rtd">
      <tp>
        <v>39388</v>
        <stp/>
        <stp>##V3_BDPV12</stp>
        <stp>ZAR5y Curncy</stp>
        <stp>PX_BID</stp>
        <stp>[QwackPricer.xlsx]FX-IR!R45C3</stp>
        <tr r="C45" s="1"/>
      </tp>
      <tp>
        <v>7.9880000000000007E-2</v>
        <stp/>
        <stp>##V3_BDPV12</stp>
        <stp>US00O/N Index</stp>
        <stp>PX_LAST</stp>
        <stp>[QwackPricer.xlsx]FX-IR!R66C3</stp>
        <tr r="C66" s="1"/>
      </tp>
      <tp>
        <v>15.960068702697754</v>
        <stp/>
        <stp>##V3_BDPV12</stp>
        <stp>LA JUL22 50D VOL LME Comdty</stp>
        <stp>PX_LAST</stp>
        <stp>[QwackPricer.xlsx]Base!R99C6</stp>
        <tr r="F99" s="2"/>
      </tp>
      <tp>
        <v>23.959516525268555</v>
        <stp/>
        <stp>##V3_BDPV12</stp>
        <stp>LX OCT22 25DP VOL LME Comdty</stp>
        <stp>PX_LAST</stp>
        <stp>[QwackPricer.xlsx]Base!R102C27</stp>
        <tr r="AA102" s="2"/>
      </tp>
      <tp>
        <v>29.4598388671875</v>
        <stp/>
        <stp>##V3_BDPV12</stp>
        <stp>LN MAR23 50D VOL LME Comdty</stp>
        <stp>PX_LAST</stp>
        <stp>[QwackPricer.xlsx]Base!R107C39</stp>
        <tr r="AM107" s="2"/>
      </tp>
      <tp>
        <v>29.469831466674805</v>
        <stp/>
        <stp>##V3_BDPV12</stp>
        <stp>LN MAY23 50D VOL LME Comdty</stp>
        <stp>PX_LAST</stp>
        <stp>[QwackPricer.xlsx]Base!R109C39</stp>
        <tr r="AM109" s="2"/>
      </tp>
    </main>
    <main first="bofaddin.rtdserver">
      <tp t="e">
        <v>#N/A</v>
        <stp/>
        <stp>BDH|904497576301969529</stp>
        <tr r="G132" s="1"/>
      </tp>
    </main>
    <main first="bloomberg.rtd">
      <tp>
        <v>22.05012321472168</v>
        <stp/>
        <stp>##V3_BDPV12</stp>
        <stp>LX MAR23 50D VOL LME Comdty</stp>
        <stp>PX_LAST</stp>
        <stp>[QwackPricer.xlsx]Base!R107C28</stp>
        <tr r="AB107" s="2"/>
      </tp>
      <tp>
        <v>22.02012825012207</v>
        <stp/>
        <stp>##V3_BDPV12</stp>
        <stp>LX MAY23 50D VOL LME Comdty</stp>
        <stp>PX_LAST</stp>
        <stp>[QwackPricer.xlsx]Base!R109C28</stp>
        <tr r="AB109" s="2"/>
      </tp>
      <tp>
        <v>19.550151824951172</v>
        <stp/>
        <stp>##V3_BDPV12</stp>
        <stp>LP JAN24 50D VOL LME Comdty</stp>
        <stp>PX_LAST</stp>
        <stp>[QwackPricer.xlsx]Base!R117C17</stp>
        <tr r="Q117" s="2"/>
      </tp>
      <tp>
        <v>20.330129623413086</v>
        <stp/>
        <stp>##V3_BDPV12</stp>
        <stp>LP MAR23 50D VOL LME Comdty</stp>
        <stp>PX_LAST</stp>
        <stp>[QwackPricer.xlsx]Base!R107C17</stp>
        <tr r="Q107" s="2"/>
      </tp>
      <tp>
        <v>20.150131225585938</v>
        <stp/>
        <stp>##V3_BDPV12</stp>
        <stp>LP MAY23 50D VOL LME Comdty</stp>
        <stp>PX_LAST</stp>
        <stp>[QwackPricer.xlsx]Base!R109C17</stp>
        <tr r="Q109" s="2"/>
      </tp>
      <tp>
        <v>25.979188919067383</v>
        <stp/>
        <stp>##V3_BDPV12</stp>
        <stp>LX OCT22 10DP VOL LME Comdty</stp>
        <stp>PX_LAST</stp>
        <stp>[QwackPricer.xlsx]Base!R102C26</stp>
        <tr r="Z102" s="2"/>
      </tp>
      <tp>
        <v>21.959995269775391</v>
        <stp/>
        <stp>##V3_BDPV12</stp>
        <stp>LX APR23 10DC VOL LME Comdty</stp>
        <stp>PX_LAST</stp>
        <stp>[QwackPricer.xlsx]Base!R108C30</stp>
        <tr r="AD108" s="2"/>
      </tp>
      <tp>
        <v>22.039976119995117</v>
        <stp/>
        <stp>##V3_BDPV12</stp>
        <stp>LX APR23 25DC VOL LME Comdty</stp>
        <stp>PX_LAST</stp>
        <stp>[QwackPricer.xlsx]Base!R108C29</stp>
        <tr r="AC108" s="2"/>
      </tp>
      <tp>
        <v>25.239330291748047</v>
        <stp/>
        <stp>##V3_BDPV12</stp>
        <stp>LP OCT22 10DP VOL LME Comdty</stp>
        <stp>PX_LAST</stp>
        <stp>[QwackPricer.xlsx]Base!R102C15</stp>
        <tr r="O102" s="2"/>
      </tp>
      <tp>
        <v>23.379524230957031</v>
        <stp/>
        <stp>##V3_BDPV12</stp>
        <stp>LP OCT23 10DP VOL LME Comdty</stp>
        <stp>PX_LAST</stp>
        <stp>[QwackPricer.xlsx]Base!R114C15</stp>
        <tr r="O114" s="2"/>
      </tp>
      <tp>
        <v>22.649574279785156</v>
        <stp/>
        <stp>##V3_BDPV12</stp>
        <stp>LP OCT24 10DP VOL LME Comdty</stp>
        <stp>PX_LAST</stp>
        <stp>[QwackPricer.xlsx]Base!R126C15</stp>
        <tr r="O126" s="2"/>
      </tp>
      <tp>
        <v>22.29960823059082</v>
        <stp/>
        <stp>##V3_BDPV12</stp>
        <stp>LP OCT25 10DP VOL LME Comdty</stp>
        <stp>PX_LAST</stp>
        <stp>[QwackPricer.xlsx]Base!R138C15</stp>
        <tr r="O138" s="2"/>
      </tp>
    </main>
    <main first="bofaddin.rtdserver">
      <tp t="e">
        <v>#N/A</v>
        <stp/>
        <stp>BDH|710651815748775844</stp>
        <tr r="E171" s="1"/>
      </tp>
    </main>
    <main first="bloomberg.rtd">
      <tp>
        <v>554</v>
        <stp/>
        <stp>##V3_BDPV12</stp>
        <stp>ZAR1m Curncy</stp>
        <stp>PX_BID</stp>
        <stp>[QwackPricer.xlsx]FX-IR!R36C3</stp>
        <tr r="C36" s="1"/>
      </tp>
      <tp>
        <v>21.209663391113281</v>
        <stp/>
        <stp>##V3_BDPV12</stp>
        <stp>LP OCT24 25DP VOL LME Comdty</stp>
        <stp>PX_LAST</stp>
        <stp>[QwackPricer.xlsx]Base!R126C16</stp>
        <tr r="P126" s="2"/>
      </tp>
      <tp>
        <v>20.869720458984375</v>
        <stp/>
        <stp>##V3_BDPV12</stp>
        <stp>LP OCT25 25DP VOL LME Comdty</stp>
        <stp>PX_LAST</stp>
        <stp>[QwackPricer.xlsx]Base!R138C16</stp>
        <tr r="P138" s="2"/>
      </tp>
      <tp>
        <v>23.429498672485352</v>
        <stp/>
        <stp>##V3_BDPV12</stp>
        <stp>LP OCT22 25DP VOL LME Comdty</stp>
        <stp>PX_LAST</stp>
        <stp>[QwackPricer.xlsx]Base!R102C16</stp>
        <tr r="P102" s="2"/>
      </tp>
      <tp>
        <v>21.929611206054688</v>
        <stp/>
        <stp>##V3_BDPV12</stp>
        <stp>LP OCT23 25DP VOL LME Comdty</stp>
        <stp>PX_LAST</stp>
        <stp>[QwackPricer.xlsx]Base!R114C16</stp>
        <tr r="P114" s="2"/>
      </tp>
      <tp>
        <v>20.539569854736328</v>
        <stp/>
        <stp>##V3_BDPV12</stp>
        <stp>LP APR23 25DC VOL LME Comdty</stp>
        <stp>PX_LAST</stp>
        <stp>[QwackPricer.xlsx]Base!R108C18</stp>
        <tr r="R108" s="2"/>
      </tp>
      <tp>
        <v>19.649614334106445</v>
        <stp/>
        <stp>##V3_BDPV12</stp>
        <stp>LP APR24 25DC VOL LME Comdty</stp>
        <stp>PX_LAST</stp>
        <stp>[QwackPricer.xlsx]Base!R120C18</stp>
        <tr r="R120" s="2"/>
      </tp>
      <tp>
        <v>19.149606704711914</v>
        <stp/>
        <stp>##V3_BDPV12</stp>
        <stp>LP APR25 25DC VOL LME Comdty</stp>
        <stp>PX_LAST</stp>
        <stp>[QwackPricer.xlsx]Base!R132C18</stp>
        <tr r="R132" s="2"/>
      </tp>
      <tp>
        <v>18.869598388671875</v>
        <stp/>
        <stp>##V3_BDPV12</stp>
        <stp>LP APR26 25DC VOL LME Comdty</stp>
        <stp>PX_LAST</stp>
        <stp>[QwackPricer.xlsx]Base!R144C18</stp>
        <tr r="R144" s="2"/>
      </tp>
      <tp>
        <v>19.329660415649414</v>
        <stp/>
        <stp>##V3_BDPV12</stp>
        <stp>LP APR26 10DC VOL LME Comdty</stp>
        <stp>PX_LAST</stp>
        <stp>[QwackPricer.xlsx]Base!R144C19</stp>
        <tr r="S144" s="2"/>
      </tp>
      <tp>
        <v>21.18956184387207</v>
        <stp/>
        <stp>##V3_BDPV12</stp>
        <stp>LP APR23 10DC VOL LME Comdty</stp>
        <stp>PX_LAST</stp>
        <stp>[QwackPricer.xlsx]Base!R108C19</stp>
        <tr r="S108" s="2"/>
      </tp>
      <tp>
        <v>20.159639358520508</v>
        <stp/>
        <stp>##V3_BDPV12</stp>
        <stp>LP APR24 10DC VOL LME Comdty</stp>
        <stp>PX_LAST</stp>
        <stp>[QwackPricer.xlsx]Base!R120C19</stp>
        <tr r="S120" s="2"/>
      </tp>
      <tp>
        <v>19.629646301269531</v>
        <stp/>
        <stp>##V3_BDPV12</stp>
        <stp>LP APR25 10DC VOL LME Comdty</stp>
        <stp>PX_LAST</stp>
        <stp>[QwackPricer.xlsx]Base!R132C19</stp>
        <tr r="S132" s="2"/>
      </tp>
      <tp>
        <v>30.869571685791016</v>
        <stp/>
        <stp>##V3_BDPV12</stp>
        <stp>LN OCT22 10DP VOL LME Comdty</stp>
        <stp>PX_LAST</stp>
        <stp>[QwackPricer.xlsx]Base!R102C37</stp>
        <tr r="AK102" s="2"/>
      </tp>
      <tp>
        <v>32.149272918701172</v>
        <stp/>
        <stp>##V3_BDPV12</stp>
        <stp>LN APR23 10DC VOL LME Comdty</stp>
        <stp>PX_LAST</stp>
        <stp>[QwackPricer.xlsx]Base!R108C41</stp>
        <tr r="AO108" s="2"/>
      </tp>
      <tp>
        <v>30.938976287841797</v>
        <stp/>
        <stp>##V3_BDPV12</stp>
        <stp>LN APR23 25DC VOL LME Comdty</stp>
        <stp>PX_LAST</stp>
        <stp>[QwackPricer.xlsx]Base!R108C40</stp>
        <tr r="AN108" s="2"/>
      </tp>
      <tp>
        <v>19.210159301757813</v>
        <stp/>
        <stp>##V3_BDPV12</stp>
        <stp>LP JUN24 50D VOL LME Comdty</stp>
        <stp>PX_LAST</stp>
        <stp>[QwackPricer.xlsx]Base!R122C17</stp>
        <tr r="Q122" s="2"/>
      </tp>
      <tp>
        <v>19.170162200927734</v>
        <stp/>
        <stp>##V3_BDPV12</stp>
        <stp>LP JUL24 50D VOL LME Comdty</stp>
        <stp>PX_LAST</stp>
        <stp>[QwackPricer.xlsx]Base!R123C17</stp>
        <tr r="Q123" s="2"/>
      </tp>
      <tp>
        <v>29.899856567382813</v>
        <stp/>
        <stp>##V3_BDPV12</stp>
        <stp>LN OCT22 25DP VOL LME Comdty</stp>
        <stp>PX_LAST</stp>
        <stp>[QwackPricer.xlsx]Base!R102C38</stp>
        <tr r="AL102" s="2"/>
      </tp>
      <tp>
        <v>18.81016731262207</v>
        <stp/>
        <stp>##V3_BDPV12</stp>
        <stp>LP JAN25 50D VOL LME Comdty</stp>
        <stp>PX_LAST</stp>
        <stp>[QwackPricer.xlsx]Base!R129C17</stp>
        <tr r="Q129" s="2"/>
      </tp>
    </main>
    <main first="bofaddin.rtdserver">
      <tp t="e">
        <v>#N/A</v>
        <stp/>
        <stp>BDH|990691413922540394</stp>
        <tr r="G135" s="1"/>
      </tp>
    </main>
    <main first="bloomberg.rtd">
      <tp>
        <v>1177</v>
        <stp/>
        <stp>##V3_BDPV12</stp>
        <stp>ZAR2m Curncy</stp>
        <stp>PX_BID</stp>
        <stp>[QwackPricer.xlsx]FX-IR!R37C3</stp>
        <tr r="C37" s="1"/>
      </tp>
    </main>
    <main first="bofaddin.rtdserver">
      <tp t="e">
        <v>#N/A</v>
        <stp/>
        <stp>BDH|995627929531650348</stp>
        <tr r="E106" s="1"/>
      </tp>
    </main>
    <main first="bloomberg.rtd">
      <tp>
        <v>18.840173721313477</v>
        <stp/>
        <stp>##V3_BDPV12</stp>
        <stp>LP JUN25 50D VOL LME Comdty</stp>
        <stp>PX_LAST</stp>
        <stp>[QwackPricer.xlsx]Base!R134C17</stp>
        <tr r="Q134" s="2"/>
      </tp>
      <tp>
        <v>18.800172805786133</v>
        <stp/>
        <stp>##V3_BDPV12</stp>
        <stp>LP JUL25 50D VOL LME Comdty</stp>
        <stp>PX_LAST</stp>
        <stp>[QwackPricer.xlsx]Base!R135C17</stp>
        <tr r="Q135" s="2"/>
      </tp>
      <tp>
        <v>4.5</v>
        <stp/>
        <stp>##V3_BDPV12</stp>
        <stp>LMCADS G2103 Comdty</stp>
        <stp>PX_SETTLE</stp>
        <stp>[QwackPricer.xlsx]Base!R17C9</stp>
        <tr r="I17" s="2"/>
      </tp>
      <tp>
        <v>4</v>
        <stp/>
        <stp>##V3_BDPV12</stp>
        <stp>LMCADS H2103 Comdty</stp>
        <stp>PX_SETTLE</stp>
        <stp>[QwackPricer.xlsx]Base!R18C9</stp>
        <tr r="I18" s="2"/>
      </tp>
      <tp>
        <v>-1.43</v>
        <stp/>
        <stp>##V3_BDPV12</stp>
        <stp>XPTSR2y TPMT Curncy</stp>
        <stp>PX_LAST</stp>
        <stp>[QwackPricer.xlsx]FX-IR!R59C5</stp>
        <tr r="E59" s="1"/>
      </tp>
      <tp>
        <v>29.829866409301758</v>
        <stp/>
        <stp>##V3_BDPV12</stp>
        <stp>LN DEC22 25DP VOL LME Comdty</stp>
        <stp>PX_LAST</stp>
        <stp>[QwackPricer.xlsx]Base!R104C38</stp>
        <tr r="AL104" s="2"/>
      </tp>
      <tp>
        <v>29.719875335693359</v>
        <stp/>
        <stp>##V3_BDPV12</stp>
        <stp>LN FEB23 25DP VOL LME Comdty</stp>
        <stp>PX_LAST</stp>
        <stp>[QwackPricer.xlsx]Base!R106C38</stp>
        <tr r="AL106" s="2"/>
      </tp>
      <tp>
        <v>30.659595489501953</v>
        <stp/>
        <stp>##V3_BDPV12</stp>
        <stp>LN FEB23 10DP VOL LME Comdty</stp>
        <stp>PX_LAST</stp>
        <stp>[QwackPricer.xlsx]Base!R106C37</stp>
        <tr r="AK106" s="2"/>
      </tp>
      <tp>
        <v>18.820171356201172</v>
        <stp/>
        <stp>##V3_BDPV12</stp>
        <stp>LP MAR25 50D VOL LME Comdty</stp>
        <stp>PX_LAST</stp>
        <stp>[QwackPricer.xlsx]Base!R131C17</stp>
        <tr r="Q131" s="2"/>
      </tp>
      <tp>
        <v>18.830173492431641</v>
        <stp/>
        <stp>##V3_BDPV12</stp>
        <stp>LP MAY25 50D VOL LME Comdty</stp>
        <stp>PX_LAST</stp>
        <stp>[QwackPricer.xlsx]Base!R133C17</stp>
        <tr r="Q133" s="2"/>
      </tp>
      <tp>
        <v>4947</v>
        <stp/>
        <stp>##V3_BDPV12</stp>
        <stp>ZAR9m Curncy</stp>
        <stp>PX_BID</stp>
        <stp>[QwackPricer.xlsx]FX-IR!R40C3</stp>
        <tr r="C40" s="1"/>
      </tp>
      <tp>
        <v>30.809581756591797</v>
        <stp/>
        <stp>##V3_BDPV12</stp>
        <stp>LN DEC22 10DP VOL LME Comdty</stp>
        <stp>PX_LAST</stp>
        <stp>[QwackPricer.xlsx]Base!R104C37</stp>
        <tr r="AK104" s="2"/>
      </tp>
      <tp>
        <v>23.919506072998047</v>
        <stp/>
        <stp>##V3_BDPV12</stp>
        <stp>LX SEP22 25DP VOL LME Comdty</stp>
        <stp>PX_LAST</stp>
        <stp>[QwackPricer.xlsx]Base!R101C27</stp>
        <tr r="AA101" s="2"/>
      </tp>
      <tp>
        <v>25.959178924560547</v>
        <stp/>
        <stp>##V3_BDPV12</stp>
        <stp>LX SEP22 10DP VOL LME Comdty</stp>
        <stp>PX_LAST</stp>
        <stp>[QwackPricer.xlsx]Base!R101C26</stp>
        <tr r="Z101" s="2"/>
      </tp>
    </main>
    <main first="bloomberg.rtd">
      <tp>
        <v>25.289327621459961</v>
        <stp/>
        <stp>##V3_BDPV12</stp>
        <stp>LP SEP22 10DP VOL LME Comdty</stp>
        <stp>PX_LAST</stp>
        <stp>[QwackPricer.xlsx]Base!R101C15</stp>
        <tr r="O101" s="2"/>
      </tp>
      <tp>
        <v>23.429513931274414</v>
        <stp/>
        <stp>##V3_BDPV12</stp>
        <stp>LP SEP23 10DP VOL LME Comdty</stp>
        <stp>PX_LAST</stp>
        <stp>[QwackPricer.xlsx]Base!R113C15</stp>
        <tr r="O113" s="2"/>
      </tp>
      <tp>
        <v>22.689569473266602</v>
        <stp/>
        <stp>##V3_BDPV12</stp>
        <stp>LP SEP24 10DP VOL LME Comdty</stp>
        <stp>PX_LAST</stp>
        <stp>[QwackPricer.xlsx]Base!R125C15</stp>
        <tr r="O125" s="2"/>
      </tp>
      <tp>
        <v>22.339599609375</v>
        <stp/>
        <stp>##V3_BDPV12</stp>
        <stp>LP SEP25 10DP VOL LME Comdty</stp>
        <stp>PX_LAST</stp>
        <stp>[QwackPricer.xlsx]Base!R137C15</stp>
        <tr r="O137" s="2"/>
      </tp>
    </main>
    <main first="bofaddin.rtdserver">
      <tp t="e">
        <v>#N/A</v>
        <stp/>
        <stp>BDH|734136418686477796</stp>
        <tr r="E101" s="1"/>
      </tp>
    </main>
    <main first="bloomberg.rtd">
      <tp>
        <v>21.249658584594727</v>
        <stp/>
        <stp>##V3_BDPV12</stp>
        <stp>LP SEP24 25DP VOL LME Comdty</stp>
        <stp>PX_LAST</stp>
        <stp>[QwackPricer.xlsx]Base!R125C16</stp>
        <tr r="P125" s="2"/>
      </tp>
      <tp>
        <v>20.90971565246582</v>
        <stp/>
        <stp>##V3_BDPV12</stp>
        <stp>LP SEP25 25DP VOL LME Comdty</stp>
        <stp>PX_LAST</stp>
        <stp>[QwackPricer.xlsx]Base!R137C16</stp>
        <tr r="P137" s="2"/>
      </tp>
      <tp>
        <v>23.499496459960938</v>
        <stp/>
        <stp>##V3_BDPV12</stp>
        <stp>LP SEP22 25DP VOL LME Comdty</stp>
        <stp>PX_LAST</stp>
        <stp>[QwackPricer.xlsx]Base!R101C16</stp>
        <tr r="P101" s="2"/>
      </tp>
      <tp>
        <v>21.979604721069336</v>
        <stp/>
        <stp>##V3_BDPV12</stp>
        <stp>LP SEP23 25DP VOL LME Comdty</stp>
        <stp>PX_LAST</stp>
        <stp>[QwackPricer.xlsx]Base!R113C16</stp>
        <tr r="P113" s="2"/>
      </tp>
      <tp>
        <v>30.879571914672852</v>
        <stp/>
        <stp>##V3_BDPV12</stp>
        <stp>LN SEP22 10DP VOL LME Comdty</stp>
        <stp>PX_LAST</stp>
        <stp>[QwackPricer.xlsx]Base!R101C37</stp>
        <tr r="AK101" s="2"/>
      </tp>
      <tp>
        <v>29.929853439331055</v>
        <stp/>
        <stp>##V3_BDPV12</stp>
        <stp>LN SEP22 25DP VOL LME Comdty</stp>
        <stp>PX_LAST</stp>
        <stp>[QwackPricer.xlsx]Base!R101C38</stp>
        <tr r="AL101" s="2"/>
      </tp>
      <tp>
        <v>25.999212265014648</v>
        <stp/>
        <stp>##V3_BDPV12</stp>
        <stp>LX DEC22 10DP VOL LME Comdty</stp>
        <stp>PX_LAST</stp>
        <stp>[QwackPricer.xlsx]Base!R104C26</stp>
        <tr r="Z104" s="2"/>
      </tp>
      <tp>
        <v>25.979228973388672</v>
        <stp/>
        <stp>##V3_BDPV12</stp>
        <stp>LX FEB23 10DP VOL LME Comdty</stp>
        <stp>PX_LAST</stp>
        <stp>[QwackPricer.xlsx]Base!R106C26</stp>
        <tr r="Z106" s="2"/>
      </tp>
      <tp>
        <v>23.969552993774414</v>
        <stp/>
        <stp>##V3_BDPV12</stp>
        <stp>LX FEB23 25DP VOL LME Comdty</stp>
        <stp>PX_LAST</stp>
        <stp>[QwackPricer.xlsx]Base!R106C27</stp>
        <tr r="AA106" s="2"/>
      </tp>
      <tp>
        <v>23.999536514282227</v>
        <stp/>
        <stp>##V3_BDPV12</stp>
        <stp>LX DEC22 25DP VOL LME Comdty</stp>
        <stp>PX_LAST</stp>
        <stp>[QwackPricer.xlsx]Base!R104C27</stp>
        <tr r="AA104" s="2"/>
      </tp>
      <tp>
        <v>20.929729461669922</v>
        <stp/>
        <stp>##V3_BDPV12</stp>
        <stp>LP DEC25 25DP VOL LME Comdty</stp>
        <stp>PX_LAST</stp>
        <stp>[QwackPricer.xlsx]Base!R140C16</stp>
        <tr r="P140" s="2"/>
      </tp>
      <tp>
        <v>21.14967155456543</v>
        <stp/>
        <stp>##V3_BDPV12</stp>
        <stp>LP DEC24 25DP VOL LME Comdty</stp>
        <stp>PX_LAST</stp>
        <stp>[QwackPricer.xlsx]Base!R128C16</stp>
        <tr r="P128" s="2"/>
      </tp>
      <tp>
        <v>23.089513778686523</v>
        <stp/>
        <stp>##V3_BDPV12</stp>
        <stp>LP DEC22 25DP VOL LME Comdty</stp>
        <stp>PX_LAST</stp>
        <stp>[QwackPricer.xlsx]Base!R104C16</stp>
        <tr r="P104" s="2"/>
      </tp>
      <tp>
        <v>21.779619216918945</v>
        <stp/>
        <stp>##V3_BDPV12</stp>
        <stp>LP DEC23 25DP VOL LME Comdty</stp>
        <stp>PX_LAST</stp>
        <stp>[QwackPricer.xlsx]Base!R116C16</stp>
        <tr r="P116" s="2"/>
      </tp>
      <tp>
        <v>20.819736480712891</v>
        <stp/>
        <stp>##V3_BDPV12</stp>
        <stp>LP FEB26 25DP VOL LME Comdty</stp>
        <stp>PX_LAST</stp>
        <stp>[QwackPricer.xlsx]Base!R142C16</stp>
        <tr r="P142" s="2"/>
      </tp>
      <tp>
        <v>20.99968147277832</v>
        <stp/>
        <stp>##V3_BDPV12</stp>
        <stp>LP FEB25 25DP VOL LME Comdty</stp>
        <stp>PX_LAST</stp>
        <stp>[QwackPricer.xlsx]Base!R130C16</stp>
        <tr r="P130" s="2"/>
      </tp>
      <tp>
        <v>22.549539566040039</v>
        <stp/>
        <stp>##V3_BDPV12</stp>
        <stp>LP FEB23 25DP VOL LME Comdty</stp>
        <stp>PX_LAST</stp>
        <stp>[QwackPricer.xlsx]Base!R106C16</stp>
        <tr r="P106" s="2"/>
      </tp>
      <tp>
        <v>21.62962532043457</v>
        <stp/>
        <stp>##V3_BDPV12</stp>
        <stp>LP FEB24 25DP VOL LME Comdty</stp>
        <stp>PX_LAST</stp>
        <stp>[QwackPricer.xlsx]Base!R118C16</stp>
        <tr r="P118" s="2"/>
      </tp>
      <tp>
        <v>24.229393005371094</v>
        <stp/>
        <stp>##V3_BDPV12</stp>
        <stp>LP FEB23 10DP VOL LME Comdty</stp>
        <stp>PX_LAST</stp>
        <stp>[QwackPricer.xlsx]Base!R106C15</stp>
        <tr r="O106" s="2"/>
      </tp>
      <tp>
        <v>23.079547882080078</v>
        <stp/>
        <stp>##V3_BDPV12</stp>
        <stp>LP FEB24 10DP VOL LME Comdty</stp>
        <stp>PX_LAST</stp>
        <stp>[QwackPricer.xlsx]Base!R118C15</stp>
        <tr r="O118" s="2"/>
      </tp>
      <tp>
        <v>22.429582595825195</v>
        <stp/>
        <stp>##V3_BDPV12</stp>
        <stp>LP FEB25 10DP VOL LME Comdty</stp>
        <stp>PX_LAST</stp>
        <stp>[QwackPricer.xlsx]Base!R130C15</stp>
        <tr r="O130" s="2"/>
      </tp>
      <tp>
        <v>22.239620208740234</v>
        <stp/>
        <stp>##V3_BDPV12</stp>
        <stp>LP FEB26 10DP VOL LME Comdty</stp>
        <stp>PX_LAST</stp>
        <stp>[QwackPricer.xlsx]Base!R142C15</stp>
        <tr r="O142" s="2"/>
      </tp>
      <tp>
        <v>24.909360885620117</v>
        <stp/>
        <stp>##V3_BDPV12</stp>
        <stp>LP DEC22 10DP VOL LME Comdty</stp>
        <stp>PX_LAST</stp>
        <stp>[QwackPricer.xlsx]Base!R104C15</stp>
        <tr r="O104" s="2"/>
      </tp>
      <tp>
        <v>23.229536056518555</v>
        <stp/>
        <stp>##V3_BDPV12</stp>
        <stp>LP DEC23 10DP VOL LME Comdty</stp>
        <stp>PX_LAST</stp>
        <stp>[QwackPricer.xlsx]Base!R116C15</stp>
        <tr r="O116" s="2"/>
      </tp>
      <tp>
        <v>22.589576721191406</v>
        <stp/>
        <stp>##V3_BDPV12</stp>
        <stp>LP DEC24 10DP VOL LME Comdty</stp>
        <stp>PX_LAST</stp>
        <stp>[QwackPricer.xlsx]Base!R128C15</stp>
        <tr r="O128" s="2"/>
      </tp>
      <tp>
        <v>22.349617004394531</v>
        <stp/>
        <stp>##V3_BDPV12</stp>
        <stp>LP DEC25 10DP VOL LME Comdty</stp>
        <stp>PX_LAST</stp>
        <stp>[QwackPricer.xlsx]Base!R140C15</stp>
        <tr r="O140" s="2"/>
      </tp>
      <tp>
        <v>0.2</v>
        <stp/>
        <stp>##V3_BDPV12</stp>
        <stp>XAUSR2y TPMT Curncy</stp>
        <stp>PX_LAST</stp>
        <stp>[QwackPricer.xlsx]FX-IR!R59C3</stp>
        <tr r="C59" s="1"/>
      </tp>
      <tp>
        <v>29.539846420288086</v>
        <stp/>
        <stp>##V3_BDPV12</stp>
        <stp>LN JAN23 50D VOL LME Comdty</stp>
        <stp>PX_LAST</stp>
        <stp>[QwackPricer.xlsx]Base!R105C39</stp>
        <tr r="AM105" s="2"/>
      </tp>
    </main>
    <main first="bofaddin.rtdserver">
      <tp t="e">
        <v>#N/A</v>
        <stp/>
        <stp>BDH|631256839683186262</stp>
        <tr r="H98" s="1"/>
      </tp>
    </main>
    <main first="bloomberg.rtd">
      <tp>
        <v>22.070117950439453</v>
        <stp/>
        <stp>##V3_BDPV12</stp>
        <stp>LX JAN23 50D VOL LME Comdty</stp>
        <stp>PX_LAST</stp>
        <stp>[QwackPricer.xlsx]Base!R105C28</stp>
        <tr r="AB105" s="2"/>
      </tp>
    </main>
    <main first="bloomberg.rtd">
      <tp>
        <v>20.560127258300781</v>
        <stp/>
        <stp>##V3_BDPV12</stp>
        <stp>LP JAN23 50D VOL LME Comdty</stp>
        <stp>PX_LAST</stp>
        <stp>[QwackPricer.xlsx]Base!R105C17</stp>
        <tr r="Q105" s="2"/>
      </tp>
      <tp>
        <v>19.41015625</v>
        <stp/>
        <stp>##V3_BDPV12</stp>
        <stp>LP MAR24 50D VOL LME Comdty</stp>
        <stp>PX_LAST</stp>
        <stp>[QwackPricer.xlsx]Base!R119C17</stp>
        <tr r="Q119" s="2"/>
      </tp>
      <tp>
        <v>19.290159225463867</v>
        <stp/>
        <stp>##V3_BDPV12</stp>
        <stp>LP MAY24 50D VOL LME Comdty</stp>
        <stp>PX_LAST</stp>
        <stp>[QwackPricer.xlsx]Base!R121C17</stp>
        <tr r="Q121" s="2"/>
      </tp>
    </main>
    <main first="bofaddin.rtdserver">
      <tp t="e">
        <v>#N/A</v>
        <stp/>
        <stp>BDH|112437550567531623</stp>
        <tr r="D103" s="1"/>
      </tp>
      <tp t="e">
        <v>#N/A</v>
        <stp/>
        <stp>BDH|240609542860480228</stp>
        <tr r="H118" s="1"/>
      </tp>
      <tp t="e">
        <v>#N/A</v>
        <stp/>
        <stp>BDH|355553430405574316</stp>
        <tr r="H133" s="1"/>
      </tp>
    </main>
    <main first="bloomberg.rtd">
      <tp>
        <v>19.990137100219727</v>
        <stp/>
        <stp>##V3_BDPV12</stp>
        <stp>LP JUL23 50D VOL LME Comdty</stp>
        <stp>PX_LAST</stp>
        <stp>[QwackPricer.xlsx]Base!R111C17</stp>
        <tr r="Q111" s="2"/>
      </tp>
      <tp>
        <v>20.06013298034668</v>
        <stp/>
        <stp>##V3_BDPV12</stp>
        <stp>LP JUN23 50D VOL LME Comdty</stp>
        <stp>PX_LAST</stp>
        <stp>[QwackPricer.xlsx]Base!R110C17</stp>
        <tr r="Q110" s="2"/>
      </tp>
      <tp>
        <v>16.490005493164063</v>
        <stp/>
        <stp>##V3_BDPV12</stp>
        <stp>LA DEC21 50D VOL LME Comdty</stp>
        <stp>PX_LAST</stp>
        <stp>[QwackPricer.xlsx]Base!R92C6</stp>
        <tr r="F92" s="2"/>
      </tp>
      <tp>
        <v>11</v>
        <stp/>
        <stp>##V3_BDPV12</stp>
        <stp>ZARON Curncy</stp>
        <stp>PX_BID</stp>
        <stp>[QwackPricer.xlsx]FX-IR!R32C3</stp>
        <tr r="C32" s="1"/>
      </tp>
      <tp>
        <v>18.700178146362305</v>
        <stp/>
        <stp>##V3_BDPV12</stp>
        <stp>LP OCT25 50D VOL LME Comdty</stp>
        <stp>PX_LAST</stp>
        <stp>[QwackPricer.xlsx]Base!R138C17</stp>
        <tr r="Q138" s="2"/>
      </tp>
    </main>
    <main first="bofaddin.rtdserver">
      <tp t="e">
        <v>#N/A</v>
        <stp/>
        <stp>BDH|175783641416695607</stp>
        <tr r="H103" s="1"/>
      </tp>
    </main>
    <main first="bloomberg.rtd">
      <tp>
        <v>1489</v>
        <stp/>
        <stp>##V3_BDPV12</stp>
        <stp>LMSNDS 0003 Comdty</stp>
        <stp>PX_SETTLE</stp>
        <stp>[QwackPricer.xlsx]Base!R16C25</stp>
        <tr r="Y16" s="2"/>
      </tp>
    </main>
    <main first="bloomberg.rtd">
      <tp>
        <v>18.970165252685547</v>
        <stp/>
        <stp>##V3_BDPV12</stp>
        <stp>LP NOV24 50D VOL LME Comdty</stp>
        <stp>PX_LAST</stp>
        <stp>[QwackPricer.xlsx]Base!R127C17</stp>
        <tr r="Q127" s="2"/>
      </tp>
    </main>
    <main first="bloomberg.rtd">
      <tp>
        <v>74</v>
        <stp/>
        <stp>##V3_BDPV12</stp>
        <stp>ZARTN Curncy</stp>
        <stp>PX_BID</stp>
        <stp>[QwackPricer.xlsx]FX-IR!R33C3</stp>
        <tr r="C33" s="1"/>
      </tp>
      <tp>
        <v>32.449272155761719</v>
        <stp/>
        <stp>##V3_BDPV12</stp>
        <stp>LN AUG22 10DC VOL LME Comdty</stp>
        <stp>PX_LAST</stp>
        <stp>[QwackPricer.xlsx]Base!R100C41</stp>
        <tr r="AO100" s="2"/>
      </tp>
      <tp>
        <v>19.030166625976563</v>
        <stp/>
        <stp>##V3_BDPV12</stp>
        <stp>LP OCT24 50D VOL LME Comdty</stp>
        <stp>PX_LAST</stp>
        <stp>[QwackPricer.xlsx]Base!R126C17</stp>
        <tr r="Q126" s="2"/>
      </tp>
      <tp>
        <v>18.530181884765625</v>
        <stp/>
        <stp>##V3_BDPV12</stp>
        <stp>LP MAR26 50D VOL LME Comdty</stp>
        <stp>PX_LAST</stp>
        <stp>[QwackPricer.xlsx]Base!R143C17</stp>
        <tr r="Q143" s="2"/>
      </tp>
      <tp>
        <v>31.219039916992188</v>
        <stp/>
        <stp>##V3_BDPV12</stp>
        <stp>LN AUG22 25DC VOL LME Comdty</stp>
        <stp>PX_LAST</stp>
        <stp>[QwackPricer.xlsx]Base!R100C40</stp>
        <tr r="AN100" s="2"/>
      </tp>
      <tp>
        <v>13299</v>
        <stp/>
        <stp>##V3_BDPV12</stp>
        <stp>ZAR2y Curncy</stp>
        <stp>PX_BID</stp>
        <stp>[QwackPricer.xlsx]FX-IR!R43C3</stp>
        <tr r="C43" s="1"/>
      </tp>
    </main>
    <main first="bofaddin.rtdserver">
      <tp t="e">
        <v>#N/A</v>
        <stp/>
        <stp>BDH|207334599440554890</stp>
        <tr r="F118" s="1"/>
      </tp>
    </main>
    <main first="bloomberg.rtd">
      <tp>
        <v>18.660177230834961</v>
        <stp/>
        <stp>##V3_BDPV12</stp>
        <stp>LP NOV25 50D VOL LME Comdty</stp>
        <stp>PX_LAST</stp>
        <stp>[QwackPricer.xlsx]Base!R139C17</stp>
        <tr r="Q139" s="2"/>
      </tp>
    </main>
    <main first="bofaddin.rtdserver">
      <tp t="e">
        <v>#N/A</v>
        <stp/>
        <stp>BDH|948239669032766472</stp>
        <tr r="E119" s="1"/>
      </tp>
    </main>
    <main first="bloomberg.rtd">
      <tp>
        <v>21.029569625854492</v>
        <stp/>
        <stp>##V3_BDPV12</stp>
        <stp>LP JUL23 10DC VOL LME Comdty</stp>
        <stp>PX_LAST</stp>
        <stp>[QwackPricer.xlsx]Base!R111C19</stp>
        <tr r="S111" s="2"/>
      </tp>
      <tp>
        <v>19.979640960693359</v>
        <stp/>
        <stp>##V3_BDPV12</stp>
        <stp>LP JUL24 10DC VOL LME Comdty</stp>
        <stp>PX_LAST</stp>
        <stp>[QwackPricer.xlsx]Base!R123C19</stp>
        <tr r="S123" s="2"/>
      </tp>
      <tp>
        <v>19.609643936157227</v>
        <stp/>
        <stp>##V3_BDPV12</stp>
        <stp>LP JUL25 10DC VOL LME Comdty</stp>
        <stp>PX_LAST</stp>
        <stp>[QwackPricer.xlsx]Base!R135C19</stp>
        <tr r="S135" s="2"/>
      </tp>
      <tp>
        <v>20.409553527832031</v>
        <stp/>
        <stp>##V3_BDPV12</stp>
        <stp>LP JUN23 25DC VOL LME Comdty</stp>
        <stp>PX_LAST</stp>
        <stp>[QwackPricer.xlsx]Base!R110C18</stp>
        <tr r="R110" s="2"/>
      </tp>
      <tp>
        <v>19.509611129760742</v>
        <stp/>
        <stp>##V3_BDPV12</stp>
        <stp>LP JUN24 25DC VOL LME Comdty</stp>
        <stp>PX_LAST</stp>
        <stp>[QwackPricer.xlsx]Base!R122C18</stp>
        <tr r="R122" s="2"/>
      </tp>
      <tp>
        <v>19.16960334777832</v>
        <stp/>
        <stp>##V3_BDPV12</stp>
        <stp>LP JUN25 25DC VOL LME Comdty</stp>
        <stp>PX_LAST</stp>
        <stp>[QwackPricer.xlsx]Base!R134C18</stp>
        <tr r="R134" s="2"/>
      </tp>
      <tp>
        <v>21.85999870300293</v>
        <stp/>
        <stp>##V3_BDPV12</stp>
        <stp>LX AUG22 10DC VOL LME Comdty</stp>
        <stp>PX_LAST</stp>
        <stp>[QwackPricer.xlsx]Base!R100C30</stp>
        <tr r="AD100" s="2"/>
      </tp>
      <tp>
        <v>21.079555511474609</v>
        <stp/>
        <stp>##V3_BDPV12</stp>
        <stp>LP JUN23 10DC VOL LME Comdty</stp>
        <stp>PX_LAST</stp>
        <stp>[QwackPricer.xlsx]Base!R110C19</stp>
        <tr r="S110" s="2"/>
      </tp>
      <tp>
        <v>20.01963996887207</v>
        <stp/>
        <stp>##V3_BDPV12</stp>
        <stp>LP JUN24 10DC VOL LME Comdty</stp>
        <stp>PX_LAST</stp>
        <stp>[QwackPricer.xlsx]Base!R122C19</stp>
        <tr r="S122" s="2"/>
      </tp>
      <tp>
        <v>19.639644622802734</v>
        <stp/>
        <stp>##V3_BDPV12</stp>
        <stp>LP JUN25 10DC VOL LME Comdty</stp>
        <stp>PX_LAST</stp>
        <stp>[QwackPricer.xlsx]Base!R134C19</stp>
        <tr r="S134" s="2"/>
      </tp>
      <tp>
        <v>20.349559783935547</v>
        <stp/>
        <stp>##V3_BDPV12</stp>
        <stp>LP JUL23 25DC VOL LME Comdty</stp>
        <stp>PX_LAST</stp>
        <stp>[QwackPricer.xlsx]Base!R111C18</stp>
        <tr r="R111" s="2"/>
      </tp>
      <tp>
        <v>21.989988327026367</v>
        <stp/>
        <stp>##V3_BDPV12</stp>
        <stp>LX AUG22 25DC VOL LME Comdty</stp>
        <stp>PX_LAST</stp>
        <stp>[QwackPricer.xlsx]Base!R100C29</stp>
        <tr r="AC100" s="2"/>
      </tp>
      <tp>
        <v>19.469610214233398</v>
        <stp/>
        <stp>##V3_BDPV12</stp>
        <stp>LP JUL24 25DC VOL LME Comdty</stp>
        <stp>PX_LAST</stp>
        <stp>[QwackPricer.xlsx]Base!R123C18</stp>
        <tr r="R123" s="2"/>
      </tp>
      <tp>
        <v>19.129600524902344</v>
        <stp/>
        <stp>##V3_BDPV12</stp>
        <stp>LP JUL25 25DC VOL LME Comdty</stp>
        <stp>PX_LAST</stp>
        <stp>[QwackPricer.xlsx]Base!R135C18</stp>
        <tr r="R135" s="2"/>
      </tp>
      <tp>
        <v>21.99952507019043</v>
        <stp/>
        <stp>##V3_BDPV12</stp>
        <stp>LP AUG22 25DC VOL LME Comdty</stp>
        <stp>PX_LAST</stp>
        <stp>[QwackPricer.xlsx]Base!R100C18</stp>
        <tr r="R100" s="2"/>
      </tp>
      <tp>
        <v>20.2095947265625</v>
        <stp/>
        <stp>##V3_BDPV12</stp>
        <stp>LP AUG23 25DC VOL LME Comdty</stp>
        <stp>PX_LAST</stp>
        <stp>[QwackPricer.xlsx]Base!R112C18</stp>
        <tr r="R112" s="2"/>
      </tp>
      <tp>
        <v>19.419610977172852</v>
        <stp/>
        <stp>##V3_BDPV12</stp>
        <stp>LP AUG24 25DC VOL LME Comdty</stp>
        <stp>PX_LAST</stp>
        <stp>[QwackPricer.xlsx]Base!R124C18</stp>
        <tr r="R124" s="2"/>
      </tp>
      <tp>
        <v>19.089601516723633</v>
        <stp/>
        <stp>##V3_BDPV12</stp>
        <stp>LP AUG25 25DC VOL LME Comdty</stp>
        <stp>PX_LAST</stp>
        <stp>[QwackPricer.xlsx]Base!R136C18</stp>
        <tr r="R136" s="2"/>
      </tp>
      <tp>
        <v>22.779491424560547</v>
        <stp/>
        <stp>##V3_BDPV12</stp>
        <stp>LP AUG22 10DC VOL LME Comdty</stp>
        <stp>PX_LAST</stp>
        <stp>[QwackPricer.xlsx]Base!R100C19</stp>
        <tr r="S100" s="2"/>
      </tp>
      <tp>
        <v>20.759592056274414</v>
        <stp/>
        <stp>##V3_BDPV12</stp>
        <stp>LP AUG23 10DC VOL LME Comdty</stp>
        <stp>PX_LAST</stp>
        <stp>[QwackPricer.xlsx]Base!R112C19</stp>
        <tr r="S112" s="2"/>
      </tp>
      <tp>
        <v>19.919643402099609</v>
        <stp/>
        <stp>##V3_BDPV12</stp>
        <stp>LP AUG24 10DC VOL LME Comdty</stp>
        <stp>PX_LAST</stp>
        <stp>[QwackPricer.xlsx]Base!R124C19</stp>
        <tr r="S124" s="2"/>
      </tp>
      <tp>
        <v>19.569644927978516</v>
        <stp/>
        <stp>##V3_BDPV12</stp>
        <stp>LP AUG25 10DC VOL LME Comdty</stp>
        <stp>PX_LAST</stp>
        <stp>[QwackPricer.xlsx]Base!R136C19</stp>
        <tr r="S136" s="2"/>
      </tp>
      <tp>
        <v>16.739992141723633</v>
        <stp/>
        <stp>##V3_BDPV12</stp>
        <stp>LA AUG21 50D VOL LME Comdty</stp>
        <stp>PX_LAST</stp>
        <stp>[QwackPricer.xlsx]Base!R88C6</stp>
        <tr r="F88" s="2"/>
      </tp>
    </main>
    <main first="bofaddin.rtdserver">
      <tp t="e">
        <v>#N/A</v>
        <stp/>
        <stp>BDH|255451476877413938</stp>
        <tr r="F183" s="1"/>
      </tp>
    </main>
    <main first="bloomberg.rtd">
      <tp>
        <v>18.830171585083008</v>
        <stp/>
        <stp>##V3_BDPV12</stp>
        <stp>LP APR25 50D VOL LME Comdty</stp>
        <stp>PX_LAST</stp>
        <stp>[QwackPricer.xlsx]Base!R132C17</stp>
        <tr r="Q132" s="2"/>
      </tp>
      <tp>
        <v>18.760175704956055</v>
        <stp/>
        <stp>##V3_BDPV12</stp>
        <stp>LP AUG25 50D VOL LME Comdty</stp>
        <stp>PX_LAST</stp>
        <stp>[QwackPricer.xlsx]Base!R136C17</stp>
        <tr r="Q136" s="2"/>
      </tp>
      <tp>
        <v>-0.88</v>
        <stp/>
        <stp>##V3_BDPV12</stp>
        <stp>XAGSR1m TPMT Curncy</stp>
        <stp>PX_LAST</stp>
        <stp>[QwackPricer.xlsx]FX-IR!R53C4</stp>
        <tr r="D53" s="1"/>
      </tp>
    </main>
    <main first="bloomberg.rtd">
      <tp>
        <v>29.489841461181641</v>
        <stp/>
        <stp>##V3_BDPV12</stp>
        <stp>LN FEB23 50D VOL LME Comdty</stp>
        <stp>PX_LAST</stp>
        <stp>[QwackPricer.xlsx]Base!R106C39</stp>
        <tr r="AM106" s="2"/>
      </tp>
      <tp>
        <v>22.030120849609375</v>
        <stp/>
        <stp>##V3_BDPV12</stp>
        <stp>LX FEB23 50D VOL LME Comdty</stp>
        <stp>PX_LAST</stp>
        <stp>[QwackPricer.xlsx]Base!R106C28</stp>
        <tr r="AB106" s="2"/>
      </tp>
      <tp>
        <v>20.450128555297852</v>
        <stp/>
        <stp>##V3_BDPV12</stp>
        <stp>LP FEB23 50D VOL LME Comdty</stp>
        <stp>PX_LAST</stp>
        <stp>[QwackPricer.xlsx]Base!R106C17</stp>
        <tr r="Q106" s="2"/>
      </tp>
    </main>
    <main first="bloomberg.rtd">
      <tp>
        <v>19.35015869140625</v>
        <stp/>
        <stp>##V3_BDPV12</stp>
        <stp>LP APR24 50D VOL LME Comdty</stp>
        <stp>PX_LAST</stp>
        <stp>[QwackPricer.xlsx]Base!R120C17</stp>
        <tr r="Q120" s="2"/>
      </tp>
      <tp>
        <v>19.110162734985352</v>
        <stp/>
        <stp>##V3_BDPV12</stp>
        <stp>LP AUG24 50D VOL LME Comdty</stp>
        <stp>PX_LAST</stp>
        <stp>[QwackPricer.xlsx]Base!R124C17</stp>
        <tr r="Q124" s="2"/>
      </tp>
      <tp>
        <v>-3.16</v>
        <stp/>
        <stp>##V3_BDPV12</stp>
        <stp>LMAHDS J2103 Comdty</stp>
        <stp>PX_SETTLE</stp>
        <stp>[QwackPricer.xlsx]Base!R19C5</stp>
        <tr r="E19" s="2"/>
      </tp>
      <tp>
        <v>0.13</v>
        <stp/>
        <stp>##V3_BDPV12</stp>
        <stp>XPDSR1m TPMT Curncy</stp>
        <stp>PX_LAST</stp>
        <stp>[QwackPricer.xlsx]FX-IR!R53C6</stp>
        <tr r="F53" s="1"/>
      </tp>
      <tp>
        <v>16.310031890869141</v>
        <stp/>
        <stp>##V3_BDPV12</stp>
        <stp>LA JAN22 50D VOL LME Comdty</stp>
        <stp>PX_LAST</stp>
        <stp>[QwackPricer.xlsx]Base!R93C6</stp>
        <tr r="F93" s="2"/>
      </tp>
    </main>
    <main first="bloomberg.rtd">
      <tp>
        <v>-13.1</v>
        <stp/>
        <stp>##V3_BDPV12</stp>
        <stp>LMPBDS 0003 Comdty</stp>
        <stp>PX_SETTLE</stp>
        <stp>[QwackPricer.xlsx]Base!R16C21</stp>
        <tr r="U16" s="2"/>
      </tp>
      <tp>
        <v>29.619844436645508</v>
        <stp/>
        <stp>##V3_BDPV12</stp>
        <stp>LN DEC22 50D VOL LME Comdty</stp>
        <stp>PX_LAST</stp>
        <stp>[QwackPricer.xlsx]Base!R104C39</stp>
        <tr r="AM104" s="2"/>
      </tp>
      <tp>
        <v>22.040117263793945</v>
        <stp/>
        <stp>##V3_BDPV12</stp>
        <stp>LX DEC22 50D VOL LME Comdty</stp>
        <stp>PX_LAST</stp>
        <stp>[QwackPricer.xlsx]Base!R104C28</stp>
        <tr r="AB104" s="2"/>
      </tp>
      <tp>
        <v>20.920129776000977</v>
        <stp/>
        <stp>##V3_BDPV12</stp>
        <stp>LP DEC22 50D VOL LME Comdty</stp>
        <stp>PX_LAST</stp>
        <stp>[QwackPricer.xlsx]Base!R104C17</stp>
        <tr r="Q104" s="2"/>
      </tp>
    </main>
    <main first="bofaddin.rtdserver">
      <tp t="e">
        <v>#N/A</v>
        <stp/>
        <stp>BDH|656956360375283562</stp>
        <tr r="G190" s="1"/>
      </tp>
    </main>
    <main first="bloomberg.rtd">
      <tp>
        <v>-3.91</v>
        <stp/>
        <stp>##V3_BDPV12</stp>
        <stp>LMAHDS G2103 Comdty</stp>
        <stp>PX_SETTLE</stp>
        <stp>[QwackPricer.xlsx]Base!R17C5</stp>
        <tr r="E17" s="2"/>
      </tp>
      <tp>
        <v>-9.91</v>
        <stp/>
        <stp>##V3_BDPV12</stp>
        <stp>LMAHDS H2103 Comdty</stp>
        <stp>PX_SETTLE</stp>
        <stp>[QwackPricer.xlsx]Base!R18C5</stp>
        <tr r="E18" s="2"/>
      </tp>
    </main>
    <main first="bloomberg.rtd">
      <tp>
        <v>19.630151748657227</v>
        <stp/>
        <stp>##V3_BDPV12</stp>
        <stp>LP DEC23 50D VOL LME Comdty</stp>
        <stp>PX_LAST</stp>
        <stp>[QwackPricer.xlsx]Base!R116C17</stp>
        <tr r="Q116" s="2"/>
      </tp>
    </main>
    <main first="bofaddin.rtdserver">
      <tp t="e">
        <v>#N/A</v>
        <stp/>
        <stp>BDH|134629725303018901</stp>
        <tr r="F126" s="1"/>
      </tp>
    </main>
    <main first="bloomberg.rtd">
      <tp>
        <v>18.530181884765625</v>
        <stp/>
        <stp>##V3_BDPV12</stp>
        <stp>LP APR26 50D VOL LME Comdty</stp>
        <stp>PX_LAST</stp>
        <stp>[QwackPricer.xlsx]Base!R144C17</stp>
        <tr r="Q144" s="2"/>
      </tp>
      <tp>
        <v>-0.5</v>
        <stp/>
        <stp>##V3_BDPV12</stp>
        <stp>XPDSR3m TPMT Curncy</stp>
        <stp>PX_LAST</stp>
        <stp>[QwackPricer.xlsx]FX-IR!R55C6</stp>
        <tr r="F55" s="1"/>
      </tp>
      <tp>
        <v>-0.6</v>
        <stp/>
        <stp>##V3_BDPV12</stp>
        <stp>XAGSR6m TPMT Curncy</stp>
        <stp>PX_LAST</stp>
        <stp>[QwackPricer.xlsx]FX-IR!R56C4</stp>
        <tr r="D56" s="1"/>
      </tp>
      <tp>
        <v>0.13</v>
        <stp/>
        <stp>##V3_BDPV12</stp>
        <stp>XAUSR3y TPMT Curncy</stp>
        <stp>PX_LAST</stp>
        <stp>[QwackPricer.xlsx]FX-IR!R60C3</stp>
        <tr r="C60" s="1"/>
      </tp>
      <tp>
        <v>16.759988784790039</v>
        <stp/>
        <stp>##V3_BDPV12</stp>
        <stp>LA JUL21 50D VOL LME Comdty</stp>
        <stp>PX_LAST</stp>
        <stp>[QwackPricer.xlsx]Base!R87C6</stp>
        <tr r="F87" s="2"/>
      </tp>
    </main>
    <main first="bloomberg.rtd">
      <tp>
        <v>18.97016716003418</v>
        <stp/>
        <stp>##V3_BDPV12</stp>
        <stp>LP DEC24 50D VOL LME Comdty</stp>
        <stp>PX_LAST</stp>
        <stp>[QwackPricer.xlsx]Base!R128C17</stp>
        <tr r="Q128" s="2"/>
      </tp>
      <tp>
        <v>18.650178909301758</v>
        <stp/>
        <stp>##V3_BDPV12</stp>
        <stp>LP FEB26 50D VOL LME Comdty</stp>
        <stp>PX_LAST</stp>
        <stp>[QwackPricer.xlsx]Base!R142C17</stp>
        <tr r="Q142" s="2"/>
      </tp>
      <tp>
        <v>1786</v>
        <stp/>
        <stp>##V3_BDPV12</stp>
        <stp>ZAR3m Curncy</stp>
        <stp>PX_BID</stp>
        <stp>[QwackPricer.xlsx]FX-IR!R38C3</stp>
        <tr r="C38" s="1"/>
      </tp>
    </main>
    <main first="bloomberg.rtd">
      <tp>
        <v>-0.05</v>
        <stp/>
        <stp>##V3_BDPV12</stp>
        <stp>XPDSR2m TPMT Curncy</stp>
        <stp>PX_LAST</stp>
        <stp>[QwackPricer.xlsx]FX-IR!R54C6</stp>
        <tr r="F54" s="1"/>
      </tp>
      <tp>
        <v>-0.63</v>
        <stp/>
        <stp>##V3_BDPV12</stp>
        <stp>XAGSR9m TPMT Curncy</stp>
        <stp>PX_LAST</stp>
        <stp>[QwackPricer.xlsx]FX-IR!R57C4</stp>
        <tr r="D57" s="1"/>
      </tp>
      <tp>
        <v>0</v>
        <stp/>
        <stp>##V3_BDPV12</stp>
        <stp>XAUSR4y TPMT Curncy</stp>
        <stp>PX_LAST</stp>
        <stp>[QwackPricer.xlsx]FX-IR!R61C3</stp>
        <tr r="C61" s="1"/>
      </tp>
    </main>
    <main first="bofaddin.rtdserver">
      <tp t="e">
        <v>#N/A</v>
        <stp/>
        <stp>BDH|692597987635421057</stp>
        <tr r="D136" s="1"/>
      </tp>
    </main>
    <main first="bloomberg.rtd">
      <tp>
        <v>18.760177612304688</v>
        <stp/>
        <stp>##V3_BDPV12</stp>
        <stp>LP DEC25 50D VOL LME Comdty</stp>
        <stp>PX_LAST</stp>
        <stp>[QwackPricer.xlsx]Base!R140C17</stp>
        <tr r="Q140" s="2"/>
      </tp>
    </main>
    <main first="bloomberg.rtd">
      <tp>
        <v>3418</v>
        <stp/>
        <stp>##V3_BDPV12</stp>
        <stp>ZAR6m Curncy</stp>
        <stp>PX_BID</stp>
        <stp>[QwackPricer.xlsx]FX-IR!R39C3</stp>
        <tr r="C39" s="1"/>
      </tp>
    </main>
    <main first="bofaddin.rtdserver">
      <tp t="e">
        <v>#N/A</v>
        <stp/>
        <stp>BDH|714464454351530801</stp>
        <tr r="D108" s="1"/>
      </tp>
      <tp t="e">
        <v>#N/A</v>
        <stp/>
        <stp>BDH|176309079519241592</stp>
        <tr r="D203" s="1"/>
      </tp>
      <tp t="e">
        <v>#N/A</v>
        <stp/>
        <stp>BDH|507827046163493768</stp>
        <tr r="D149" s="1"/>
      </tp>
    </main>
    <main first="bloomberg.rtd">
      <tp>
        <v>-0.63</v>
        <stp/>
        <stp>##V3_BDPV12</stp>
        <stp>XPDSR9m TPMT Curncy</stp>
        <stp>PX_LAST</stp>
        <stp>[QwackPricer.xlsx]FX-IR!R57C6</stp>
        <tr r="F57" s="1"/>
      </tp>
      <tp>
        <v>-0.55000000000000004</v>
        <stp/>
        <stp>##V3_BDPV12</stp>
        <stp>XAGSR2m TPMT Curncy</stp>
        <stp>PX_LAST</stp>
        <stp>[QwackPricer.xlsx]FX-IR!R54C4</stp>
        <tr r="D54" s="1"/>
      </tp>
      <tp>
        <v>-0.1</v>
        <stp/>
        <stp>##V3_BDPV12</stp>
        <stp>XAUSR5y TPMT Curncy</stp>
        <stp>PX_LAST</stp>
        <stp>[QwackPricer.xlsx]FX-IR!R62C3</stp>
        <tr r="C62" s="1"/>
      </tp>
      <tp>
        <v>25.999197006225586</v>
        <stp/>
        <stp>##V3_BDPV12</stp>
        <stp>LX NOV22 10DP VOL LME Comdty</stp>
        <stp>PX_LAST</stp>
        <stp>[QwackPricer.xlsx]Base!R103C26</stp>
        <tr r="Z103" s="2"/>
      </tp>
      <tp>
        <v>23.979524612426758</v>
        <stp/>
        <stp>##V3_BDPV12</stp>
        <stp>LX NOV22 25DP VOL LME Comdty</stp>
        <stp>PX_LAST</stp>
        <stp>[QwackPricer.xlsx]Base!R103C27</stp>
        <tr r="AA103" s="2"/>
      </tp>
      <tp>
        <v>-18</v>
        <stp/>
        <stp>##V3_BDPV12</stp>
        <stp>LMZSDS G2103 Comdty</stp>
        <stp>PX_SETTLE</stp>
        <stp>[QwackPricer.xlsx]Base!R17C13</stp>
        <tr r="M17" s="2"/>
      </tp>
      <tp>
        <v>-11</v>
        <stp/>
        <stp>##V3_BDPV12</stp>
        <stp>LMZSDS H2103 Comdty</stp>
        <stp>PX_SETTLE</stp>
        <stp>[QwackPricer.xlsx]Base!R18C13</stp>
        <tr r="M18" s="2"/>
      </tp>
      <tp>
        <v>-4.5</v>
        <stp/>
        <stp>##V3_BDPV12</stp>
        <stp>LMZSDS J2103 Comdty</stp>
        <stp>PX_SETTLE</stp>
        <stp>[QwackPricer.xlsx]Base!R19C13</stp>
        <tr r="M19" s="2"/>
      </tp>
      <tp>
        <v>-14.5</v>
        <stp/>
        <stp>##V3_BDPV12</stp>
        <stp>LMNIDS J2103 Comdty</stp>
        <stp>PX_SETTLE</stp>
        <stp>[QwackPricer.xlsx]Base!R19C17</stp>
        <tr r="Q19" s="2"/>
      </tp>
      <tp>
        <v>-41.4</v>
        <stp/>
        <stp>##V3_BDPV12</stp>
        <stp>LMNIDS G2103 Comdty</stp>
        <stp>PX_SETTLE</stp>
        <stp>[QwackPricer.xlsx]Base!R17C17</stp>
        <tr r="Q17" s="2"/>
      </tp>
      <tp>
        <v>-28.4</v>
        <stp/>
        <stp>##V3_BDPV12</stp>
        <stp>LMNIDS H2103 Comdty</stp>
        <stp>PX_SETTLE</stp>
        <stp>[QwackPricer.xlsx]Base!R18C17</stp>
        <tr r="Q18" s="2"/>
      </tp>
      <tp>
        <v>-12.1</v>
        <stp/>
        <stp>##V3_BDPV12</stp>
        <stp>LMPBDS G2103 Comdty</stp>
        <stp>PX_SETTLE</stp>
        <stp>[QwackPricer.xlsx]Base!R17C21</stp>
        <tr r="U17" s="2"/>
      </tp>
      <tp>
        <v>-3.6</v>
        <stp/>
        <stp>##V3_BDPV12</stp>
        <stp>LMPBDS H2103 Comdty</stp>
        <stp>PX_SETTLE</stp>
        <stp>[QwackPricer.xlsx]Base!R18C21</stp>
        <tr r="U18" s="2"/>
      </tp>
      <tp>
        <v>-1.75</v>
        <stp/>
        <stp>##V3_BDPV12</stp>
        <stp>LMPBDS J2103 Comdty</stp>
        <stp>PX_SETTLE</stp>
        <stp>[QwackPricer.xlsx]Base!R19C21</stp>
        <tr r="U19" s="2"/>
      </tp>
      <tp>
        <v>1484</v>
        <stp/>
        <stp>##V3_BDPV12</stp>
        <stp>LMSNDS G2103 Comdty</stp>
        <stp>PX_SETTLE</stp>
        <stp>[QwackPricer.xlsx]Base!R17C25</stp>
        <tr r="Y17" s="2"/>
      </tp>
      <tp>
        <v>784</v>
        <stp/>
        <stp>##V3_BDPV12</stp>
        <stp>LMSNDS H2103 Comdty</stp>
        <stp>PX_SETTLE</stp>
        <stp>[QwackPricer.xlsx]Base!R18C25</stp>
        <tr r="Y18" s="2"/>
      </tp>
      <tp>
        <v>334</v>
        <stp/>
        <stp>##V3_BDPV12</stp>
        <stp>LMSNDS J2103 Comdty</stp>
        <stp>PX_SETTLE</stp>
        <stp>[QwackPricer.xlsx]Base!R19C25</stp>
        <tr r="Y19" s="2"/>
      </tp>
      <tp>
        <v>19.47015380859375</v>
        <stp/>
        <stp>##V3_BDPV12</stp>
        <stp>LP FEB24 50D VOL LME Comdty</stp>
        <stp>PX_LAST</stp>
        <stp>[QwackPricer.xlsx]Base!R118C17</stp>
        <tr r="Q118" s="2"/>
      </tp>
    </main>
    <main first="bloomberg.rtd">
      <tp>
        <v>21.149667739868164</v>
        <stp/>
        <stp>##V3_BDPV12</stp>
        <stp>LP NOV24 25DP VOL LME Comdty</stp>
        <stp>PX_LAST</stp>
        <stp>[QwackPricer.xlsx]Base!R127C16</stp>
        <tr r="P127" s="2"/>
      </tp>
      <tp>
        <v>20.829723358154297</v>
        <stp/>
        <stp>##V3_BDPV12</stp>
        <stp>LP NOV25 25DP VOL LME Comdty</stp>
        <stp>PX_LAST</stp>
        <stp>[QwackPricer.xlsx]Base!R139C16</stp>
        <tr r="P139" s="2"/>
      </tp>
      <tp>
        <v>23.279504776000977</v>
        <stp/>
        <stp>##V3_BDPV12</stp>
        <stp>LP NOV22 25DP VOL LME Comdty</stp>
        <stp>PX_LAST</stp>
        <stp>[QwackPricer.xlsx]Base!R103C16</stp>
        <tr r="P103" s="2"/>
      </tp>
      <tp>
        <v>21.859613418579102</v>
        <stp/>
        <stp>##V3_BDPV12</stp>
        <stp>LP NOV23 25DP VOL LME Comdty</stp>
        <stp>PX_LAST</stp>
        <stp>[QwackPricer.xlsx]Base!R115C16</stp>
        <tr r="P115" s="2"/>
      </tp>
      <tp>
        <v>25.099336624145508</v>
        <stp/>
        <stp>##V3_BDPV12</stp>
        <stp>LP NOV22 10DP VOL LME Comdty</stp>
        <stp>PX_LAST</stp>
        <stp>[QwackPricer.xlsx]Base!R103C15</stp>
        <tr r="O103" s="2"/>
      </tp>
      <tp>
        <v>23.309528350830078</v>
        <stp/>
        <stp>##V3_BDPV12</stp>
        <stp>LP NOV23 10DP VOL LME Comdty</stp>
        <stp>PX_LAST</stp>
        <stp>[QwackPricer.xlsx]Base!R115C15</stp>
        <tr r="O115" s="2"/>
      </tp>
      <tp>
        <v>22.589574813842773</v>
        <stp/>
        <stp>##V3_BDPV12</stp>
        <stp>LP NOV24 10DP VOL LME Comdty</stp>
        <stp>PX_LAST</stp>
        <stp>[QwackPricer.xlsx]Base!R127C15</stp>
        <tr r="O127" s="2"/>
      </tp>
      <tp>
        <v>22.249614715576172</v>
        <stp/>
        <stp>##V3_BDPV12</stp>
        <stp>LP NOV25 10DP VOL LME Comdty</stp>
        <stp>PX_LAST</stp>
        <stp>[QwackPricer.xlsx]Base!R139C15</stp>
        <tr r="O139" s="2"/>
      </tp>
      <tp>
        <v>22.060125350952148</v>
        <stp/>
        <stp>##V3_BDPV12</stp>
        <stp>LX APR23 50D VOL LME Comdty</stp>
        <stp>PX_LAST</stp>
        <stp>[QwackPricer.xlsx]Base!R108C28</stp>
        <tr r="AB108" s="2"/>
      </tp>
      <tp>
        <v>29.429834365844727</v>
        <stp/>
        <stp>##V3_BDPV12</stp>
        <stp>LN APR23 50D VOL LME Comdty</stp>
        <stp>PX_LAST</stp>
        <stp>[QwackPricer.xlsx]Base!R108C39</stp>
        <tr r="AM108" s="2"/>
      </tp>
      <tp>
        <v>20.220130920410156</v>
        <stp/>
        <stp>##V3_BDPV12</stp>
        <stp>LP APR23 50D VOL LME Comdty</stp>
        <stp>PX_LAST</stp>
        <stp>[QwackPricer.xlsx]Base!R108C17</stp>
        <tr r="Q108" s="2"/>
      </tp>
      <tp>
        <v>29.859859466552734</v>
        <stp/>
        <stp>##V3_BDPV12</stp>
        <stp>LN NOV22 25DP VOL LME Comdty</stp>
        <stp>PX_LAST</stp>
        <stp>[QwackPricer.xlsx]Base!R103C38</stp>
        <tr r="AL103" s="2"/>
      </tp>
      <tp>
        <v>30.839572906494141</v>
        <stp/>
        <stp>##V3_BDPV12</stp>
        <stp>LN NOV22 10DP VOL LME Comdty</stp>
        <stp>PX_LAST</stp>
        <stp>[QwackPricer.xlsx]Base!R103C37</stp>
        <tr r="AK103" s="2"/>
      </tp>
      <tp>
        <v>19.920143127441406</v>
        <stp/>
        <stp>##V3_BDPV12</stp>
        <stp>LP AUG23 50D VOL LME Comdty</stp>
        <stp>PX_LAST</stp>
        <stp>[QwackPricer.xlsx]Base!R112C17</stp>
        <tr r="Q112" s="2"/>
      </tp>
      <tp>
        <v>-14.5</v>
        <stp/>
        <stp>##V3_BDPV12</stp>
        <stp>LMZSDS 03U21 Comdty</stp>
        <stp>PX_SETTLE</stp>
        <stp>[QwackPricer.xlsx]Base!R25C13</stp>
        <tr r="M25" s="2"/>
      </tp>
      <tp>
        <v>-26.25</v>
        <stp/>
        <stp>##V3_BDPV12</stp>
        <stp>LMZSDS 03U22 Comdty</stp>
        <stp>PX_SETTLE</stp>
        <stp>[QwackPricer.xlsx]Base!R37C13</stp>
        <tr r="M37" s="2"/>
      </tp>
      <tp>
        <v>-8.5</v>
        <stp/>
        <stp>##V3_BDPV12</stp>
        <stp>LMZSDS 03U24 Comdty</stp>
        <stp>PX_SETTLE</stp>
        <stp>[QwackPricer.xlsx]Base!R61C13</stp>
        <tr r="M61" s="2"/>
      </tp>
      <tp>
        <v>-15</v>
        <stp/>
        <stp>##V3_BDPV12</stp>
        <stp>LMZSDS 03U23 Comdty</stp>
        <stp>PX_SETTLE</stp>
        <stp>[QwackPricer.xlsx]Base!R49C13</stp>
        <tr r="M49" s="2"/>
      </tp>
      <tp>
        <v>-15.5</v>
        <stp/>
        <stp>##V3_BDPV12</stp>
        <stp>LMPBDS 03V21 Comdty</stp>
        <stp>PX_SETTLE</stp>
        <stp>[QwackPricer.xlsx]Base!R26C21</stp>
        <tr r="U26" s="2"/>
      </tp>
      <tp>
        <v>-35.5</v>
        <stp/>
        <stp>##V3_BDPV12</stp>
        <stp>LMPBDS 03V22 Comdty</stp>
        <stp>PX_SETTLE</stp>
        <stp>[QwackPricer.xlsx]Base!R38C21</stp>
        <tr r="U38" s="2"/>
      </tp>
      <tp>
        <v>-88</v>
        <stp/>
        <stp>##V3_BDPV12</stp>
        <stp>LMPBDS 03V24 Comdty</stp>
        <stp>PX_SETTLE</stp>
        <stp>[QwackPricer.xlsx]Base!R62C21</stp>
        <tr r="U62" s="2"/>
      </tp>
      <tp>
        <v>-63.5</v>
        <stp/>
        <stp>##V3_BDPV12</stp>
        <stp>LMPBDS 03V23 Comdty</stp>
        <stp>PX_SETTLE</stp>
        <stp>[QwackPricer.xlsx]Base!R50C21</stp>
        <tr r="U50" s="2"/>
      </tp>
      <tp>
        <v>930</v>
        <stp/>
        <stp>##V3_BDPV12</stp>
        <stp>LMSNDS 03V21 Comdty</stp>
        <stp>PX_SETTLE</stp>
        <stp>[QwackPricer.xlsx]Base!R26C25</stp>
        <tr r="Y26" s="2"/>
      </tp>
      <tp>
        <v>-25</v>
        <stp/>
        <stp>##V3_BDPV12</stp>
        <stp>LMNIDS 03U21 Comdty</stp>
        <stp>PX_SETTLE</stp>
        <stp>[QwackPricer.xlsx]Base!R25C17</stp>
        <tr r="Q25" s="2"/>
      </tp>
      <tp>
        <v>-91.5</v>
        <stp/>
        <stp>##V3_BDPV12</stp>
        <stp>LMNIDS 03U22 Comdty</stp>
        <stp>PX_SETTLE</stp>
        <stp>[QwackPricer.xlsx]Base!R37C17</stp>
        <tr r="Q37" s="2"/>
      </tp>
      <tp>
        <v>-255</v>
        <stp/>
        <stp>##V3_BDPV12</stp>
        <stp>LMNIDS 03U24 Comdty</stp>
        <stp>PX_SETTLE</stp>
        <stp>[QwackPricer.xlsx]Base!R61C17</stp>
        <tr r="Q61" s="2"/>
      </tp>
      <tp>
        <v>-176.5</v>
        <stp/>
        <stp>##V3_BDPV12</stp>
        <stp>LMNIDS 03U23 Comdty</stp>
        <stp>PX_SETTLE</stp>
        <stp>[QwackPricer.xlsx]Base!R49C17</stp>
        <tr r="Q49" s="2"/>
      </tp>
      <tp>
        <v>-17</v>
        <stp/>
        <stp>##V3_BDPV12</stp>
        <stp>LMZSDS 03V21 Comdty</stp>
        <stp>PX_SETTLE</stp>
        <stp>[QwackPricer.xlsx]Base!R26C13</stp>
        <tr r="M26" s="2"/>
      </tp>
      <tp>
        <v>-25.5</v>
        <stp/>
        <stp>##V3_BDPV12</stp>
        <stp>LMZSDS 03V22 Comdty</stp>
        <stp>PX_SETTLE</stp>
        <stp>[QwackPricer.xlsx]Base!R38C13</stp>
        <tr r="M38" s="2"/>
      </tp>
      <tp>
        <v>-8.5</v>
        <stp/>
        <stp>##V3_BDPV12</stp>
        <stp>LMZSDS 03V24 Comdty</stp>
        <stp>PX_SETTLE</stp>
        <stp>[QwackPricer.xlsx]Base!R62C13</stp>
        <tr r="M62" s="2"/>
      </tp>
      <tp>
        <v>-14.5</v>
        <stp/>
        <stp>##V3_BDPV12</stp>
        <stp>LMZSDS 03V23 Comdty</stp>
        <stp>PX_SETTLE</stp>
        <stp>[QwackPricer.xlsx]Base!R50C13</stp>
        <tr r="M50" s="2"/>
      </tp>
      <tp>
        <v>-12.5</v>
        <stp/>
        <stp>##V3_BDPV12</stp>
        <stp>LMPBDS 03U21 Comdty</stp>
        <stp>PX_SETTLE</stp>
        <stp>[QwackPricer.xlsx]Base!R25C21</stp>
        <tr r="U25" s="2"/>
      </tp>
      <tp>
        <v>-34</v>
        <stp/>
        <stp>##V3_BDPV12</stp>
        <stp>LMPBDS 03U22 Comdty</stp>
        <stp>PX_SETTLE</stp>
        <stp>[QwackPricer.xlsx]Base!R37C21</stp>
        <tr r="U37" s="2"/>
      </tp>
      <tp>
        <v>-86</v>
        <stp/>
        <stp>##V3_BDPV12</stp>
        <stp>LMPBDS 03U24 Comdty</stp>
        <stp>PX_SETTLE</stp>
        <stp>[QwackPricer.xlsx]Base!R61C21</stp>
        <tr r="U61" s="2"/>
      </tp>
      <tp>
        <v>-61</v>
        <stp/>
        <stp>##V3_BDPV12</stp>
        <stp>LMPBDS 03U23 Comdty</stp>
        <stp>PX_SETTLE</stp>
        <stp>[QwackPricer.xlsx]Base!R49C21</stp>
        <tr r="U49" s="2"/>
      </tp>
      <tp>
        <v>835</v>
        <stp/>
        <stp>##V3_BDPV12</stp>
        <stp>LMSNDS 03U21 Comdty</stp>
        <stp>PX_SETTLE</stp>
        <stp>[QwackPricer.xlsx]Base!R25C25</stp>
        <tr r="Y25" s="2"/>
      </tp>
      <tp>
        <v>-30</v>
        <stp/>
        <stp>##V3_BDPV12</stp>
        <stp>LMNIDS 03V21 Comdty</stp>
        <stp>PX_SETTLE</stp>
        <stp>[QwackPricer.xlsx]Base!R26C17</stp>
        <tr r="Q26" s="2"/>
      </tp>
      <tp>
        <v>-100</v>
        <stp/>
        <stp>##V3_BDPV12</stp>
        <stp>LMNIDS 03V22 Comdty</stp>
        <stp>PX_SETTLE</stp>
        <stp>[QwackPricer.xlsx]Base!R38C17</stp>
        <tr r="Q38" s="2"/>
      </tp>
      <tp>
        <v>-262</v>
        <stp/>
        <stp>##V3_BDPV12</stp>
        <stp>LMNIDS 03V24 Comdty</stp>
        <stp>PX_SETTLE</stp>
        <stp>[QwackPricer.xlsx]Base!R62C17</stp>
        <tr r="Q62" s="2"/>
      </tp>
      <tp>
        <v>-183</v>
        <stp/>
        <stp>##V3_BDPV12</stp>
        <stp>LMNIDS 03V23 Comdty</stp>
        <stp>PX_SETTLE</stp>
        <stp>[QwackPricer.xlsx]Base!R50C17</stp>
        <tr r="Q50" s="2"/>
      </tp>
    </main>
    <main first="bloomberg.rtd">
      <tp>
        <v>-12</v>
        <stp/>
        <stp>##V3_BDPV12</stp>
        <stp>LMZSDS 03Q21 Comdty</stp>
        <stp>PX_SETTLE</stp>
        <stp>[QwackPricer.xlsx]Base!R24C13</stp>
        <tr r="M24" s="2"/>
      </tp>
      <tp>
        <v>-27</v>
        <stp/>
        <stp>##V3_BDPV12</stp>
        <stp>LMZSDS 03Q22 Comdty</stp>
        <stp>PX_SETTLE</stp>
        <stp>[QwackPricer.xlsx]Base!R36C13</stp>
        <tr r="M36" s="2"/>
      </tp>
      <tp>
        <v>-8.5</v>
        <stp/>
        <stp>##V3_BDPV12</stp>
        <stp>LMZSDS 03Q24 Comdty</stp>
        <stp>PX_SETTLE</stp>
        <stp>[QwackPricer.xlsx]Base!R60C13</stp>
        <tr r="M60" s="2"/>
      </tp>
      <tp>
        <v>-15.5</v>
        <stp/>
        <stp>##V3_BDPV12</stp>
        <stp>LMZSDS 03Q23 Comdty</stp>
        <stp>PX_SETTLE</stp>
        <stp>[QwackPricer.xlsx]Base!R48C13</stp>
        <tr r="M48" s="2"/>
      </tp>
      <tp>
        <v>-20</v>
        <stp/>
        <stp>##V3_BDPV12</stp>
        <stp>LMNIDS 03Q21 Comdty</stp>
        <stp>PX_SETTLE</stp>
        <stp>[QwackPricer.xlsx]Base!R24C17</stp>
        <tr r="Q24" s="2"/>
      </tp>
      <tp>
        <v>-83</v>
        <stp/>
        <stp>##V3_BDPV12</stp>
        <stp>LMNIDS 03Q22 Comdty</stp>
        <stp>PX_SETTLE</stp>
        <stp>[QwackPricer.xlsx]Base!R36C17</stp>
        <tr r="Q36" s="2"/>
      </tp>
      <tp>
        <v>-248</v>
        <stp/>
        <stp>##V3_BDPV12</stp>
        <stp>LMNIDS 03Q24 Comdty</stp>
        <stp>PX_SETTLE</stp>
        <stp>[QwackPricer.xlsx]Base!R60C17</stp>
        <tr r="Q60" s="2"/>
      </tp>
      <tp>
        <v>-170</v>
        <stp/>
        <stp>##V3_BDPV12</stp>
        <stp>LMNIDS 03Q23 Comdty</stp>
        <stp>PX_SETTLE</stp>
        <stp>[QwackPricer.xlsx]Base!R48C17</stp>
        <tr r="Q48" s="2"/>
      </tp>
      <tp>
        <v>-9.75</v>
        <stp/>
        <stp>##V3_BDPV12</stp>
        <stp>LMPBDS 03Q21 Comdty</stp>
        <stp>PX_SETTLE</stp>
        <stp>[QwackPricer.xlsx]Base!R24C21</stp>
        <tr r="U24" s="2"/>
      </tp>
      <tp>
        <v>-32.5</v>
        <stp/>
        <stp>##V3_BDPV12</stp>
        <stp>LMPBDS 03Q22 Comdty</stp>
        <stp>PX_SETTLE</stp>
        <stp>[QwackPricer.xlsx]Base!R36C21</stp>
        <tr r="U36" s="2"/>
      </tp>
      <tp>
        <v>-84</v>
        <stp/>
        <stp>##V3_BDPV12</stp>
        <stp>LMPBDS 03Q24 Comdty</stp>
        <stp>PX_SETTLE</stp>
        <stp>[QwackPricer.xlsx]Base!R60C21</stp>
        <tr r="U60" s="2"/>
      </tp>
      <tp>
        <v>-58.5</v>
        <stp/>
        <stp>##V3_BDPV12</stp>
        <stp>LMPBDS 03Q23 Comdty</stp>
        <stp>PX_SETTLE</stp>
        <stp>[QwackPricer.xlsx]Base!R48C21</stp>
        <tr r="U48" s="2"/>
      </tp>
      <tp>
        <v>685</v>
        <stp/>
        <stp>##V3_BDPV12</stp>
        <stp>LMSNDS 03Q21 Comdty</stp>
        <stp>PX_SETTLE</stp>
        <stp>[QwackPricer.xlsx]Base!R24C25</stp>
        <tr r="Y24" s="2"/>
      </tp>
      <tp>
        <v>-0.5</v>
        <stp/>
        <stp>##V3_BDPV12</stp>
        <stp>XPDSR6m TPMT Curncy</stp>
        <stp>PX_LAST</stp>
        <stp>[QwackPricer.xlsx]FX-IR!R56C6</stp>
        <tr r="F56" s="1"/>
      </tp>
      <tp>
        <v>-0.25</v>
        <stp/>
        <stp>##V3_BDPV12</stp>
        <stp>XAGSR3m TPMT Curncy</stp>
        <stp>PX_LAST</stp>
        <stp>[QwackPricer.xlsx]FX-IR!R55C4</stp>
        <tr r="D55" s="1"/>
      </tp>
      <tp>
        <v>-18.75</v>
        <stp/>
        <stp>##V3_BDPV12</stp>
        <stp>LMZSDS 03X21 Comdty</stp>
        <stp>PX_SETTLE</stp>
        <stp>[QwackPricer.xlsx]Base!R27C13</stp>
        <tr r="M27" s="2"/>
      </tp>
      <tp>
        <v>-24.75</v>
        <stp/>
        <stp>##V3_BDPV12</stp>
        <stp>LMZSDS 03X22 Comdty</stp>
        <stp>PX_SETTLE</stp>
        <stp>[QwackPricer.xlsx]Base!R39C13</stp>
        <tr r="M39" s="2"/>
      </tp>
      <tp>
        <v>-8.5</v>
        <stp/>
        <stp>##V3_BDPV12</stp>
        <stp>LMZSDS 03X24 Comdty</stp>
        <stp>PX_SETTLE</stp>
        <stp>[QwackPricer.xlsx]Base!R63C13</stp>
        <tr r="M63" s="2"/>
      </tp>
      <tp>
        <v>-14</v>
        <stp/>
        <stp>##V3_BDPV12</stp>
        <stp>LMZSDS 03X23 Comdty</stp>
        <stp>PX_SETTLE</stp>
        <stp>[QwackPricer.xlsx]Base!R51C13</stp>
        <tr r="M51" s="2"/>
      </tp>
      <tp>
        <v>-35</v>
        <stp/>
        <stp>##V3_BDPV12</stp>
        <stp>LMNIDS 03X21 Comdty</stp>
        <stp>PX_SETTLE</stp>
        <stp>[QwackPricer.xlsx]Base!R27C17</stp>
        <tr r="Q27" s="2"/>
      </tp>
      <tp>
        <v>-108</v>
        <stp/>
        <stp>##V3_BDPV12</stp>
        <stp>LMNIDS 03X22 Comdty</stp>
        <stp>PX_SETTLE</stp>
        <stp>[QwackPricer.xlsx]Base!R39C17</stp>
        <tr r="Q39" s="2"/>
      </tp>
      <tp>
        <v>-269</v>
        <stp/>
        <stp>##V3_BDPV12</stp>
        <stp>LMNIDS 03X24 Comdty</stp>
        <stp>PX_SETTLE</stp>
        <stp>[QwackPricer.xlsx]Base!R63C17</stp>
        <tr r="Q63" s="2"/>
      </tp>
      <tp>
        <v>-189.5</v>
        <stp/>
        <stp>##V3_BDPV12</stp>
        <stp>LMNIDS 03X23 Comdty</stp>
        <stp>PX_SETTLE</stp>
        <stp>[QwackPricer.xlsx]Base!R51C17</stp>
        <tr r="Q51" s="2"/>
      </tp>
      <tp>
        <v>-20.5</v>
        <stp/>
        <stp>##V3_BDPV12</stp>
        <stp>LMPBDS 03Z21 Comdty</stp>
        <stp>PX_SETTLE</stp>
        <stp>[QwackPricer.xlsx]Base!R28C21</stp>
        <tr r="U28" s="2"/>
      </tp>
      <tp>
        <v>-92</v>
        <stp/>
        <stp>##V3_BDPV12</stp>
        <stp>LMPBDS 03Z24 Comdty</stp>
        <stp>PX_SETTLE</stp>
        <stp>[QwackPricer.xlsx]Base!R64C21</stp>
        <tr r="U64" s="2"/>
      </tp>
      <tp>
        <v>-38.5</v>
        <stp/>
        <stp>##V3_BDPV12</stp>
        <stp>LMPBDS 03Z22 Comdty</stp>
        <stp>PX_SETTLE</stp>
        <stp>[QwackPricer.xlsx]Base!R40C21</stp>
        <tr r="U40" s="2"/>
      </tp>
      <tp>
        <v>-68</v>
        <stp/>
        <stp>##V3_BDPV12</stp>
        <stp>LMPBDS 03Z23 Comdty</stp>
        <stp>PX_SETTLE</stp>
        <stp>[QwackPricer.xlsx]Base!R52C21</stp>
        <tr r="U52" s="2"/>
      </tp>
      <tp>
        <v>985</v>
        <stp/>
        <stp>##V3_BDPV12</stp>
        <stp>LMSNDS 03Z21 Comdty</stp>
        <stp>PX_SETTLE</stp>
        <stp>[QwackPricer.xlsx]Base!R28C25</stp>
        <tr r="Y28" s="2"/>
      </tp>
      <tp>
        <v>-20.5</v>
        <stp/>
        <stp>##V3_BDPV12</stp>
        <stp>LMZSDS 03Z21 Comdty</stp>
        <stp>PX_SETTLE</stp>
        <stp>[QwackPricer.xlsx]Base!R28C13</stp>
        <tr r="M28" s="2"/>
      </tp>
      <tp>
        <v>-8.5</v>
        <stp/>
        <stp>##V3_BDPV12</stp>
        <stp>LMZSDS 03Z24 Comdty</stp>
        <stp>PX_SETTLE</stp>
        <stp>[QwackPricer.xlsx]Base!R64C13</stp>
        <tr r="M64" s="2"/>
      </tp>
      <tp>
        <v>-23.5</v>
        <stp/>
        <stp>##V3_BDPV12</stp>
        <stp>LMZSDS 03Z22 Comdty</stp>
        <stp>PX_SETTLE</stp>
        <stp>[QwackPricer.xlsx]Base!R40C13</stp>
        <tr r="M40" s="2"/>
      </tp>
      <tp>
        <v>-13.5</v>
        <stp/>
        <stp>##V3_BDPV12</stp>
        <stp>LMZSDS 03Z23 Comdty</stp>
        <stp>PX_SETTLE</stp>
        <stp>[QwackPricer.xlsx]Base!R52C13</stp>
        <tr r="M52" s="2"/>
      </tp>
      <tp>
        <v>-40</v>
        <stp/>
        <stp>##V3_BDPV12</stp>
        <stp>LMNIDS 03Z21 Comdty</stp>
        <stp>PX_SETTLE</stp>
        <stp>[QwackPricer.xlsx]Base!R28C17</stp>
        <tr r="Q28" s="2"/>
      </tp>
      <tp>
        <v>-276</v>
        <stp/>
        <stp>##V3_BDPV12</stp>
        <stp>LMNIDS 03Z24 Comdty</stp>
        <stp>PX_SETTLE</stp>
        <stp>[QwackPricer.xlsx]Base!R64C17</stp>
        <tr r="Q64" s="2"/>
      </tp>
      <tp>
        <v>-116</v>
        <stp/>
        <stp>##V3_BDPV12</stp>
        <stp>LMNIDS 03Z22 Comdty</stp>
        <stp>PX_SETTLE</stp>
        <stp>[QwackPricer.xlsx]Base!R40C17</stp>
        <tr r="Q40" s="2"/>
      </tp>
      <tp>
        <v>-196</v>
        <stp/>
        <stp>##V3_BDPV12</stp>
        <stp>LMNIDS 03Z23 Comdty</stp>
        <stp>PX_SETTLE</stp>
        <stp>[QwackPricer.xlsx]Base!R52C17</stp>
        <tr r="Q52" s="2"/>
      </tp>
      <tp>
        <v>-18</v>
        <stp/>
        <stp>##V3_BDPV12</stp>
        <stp>LMPBDS 03X21 Comdty</stp>
        <stp>PX_SETTLE</stp>
        <stp>[QwackPricer.xlsx]Base!R27C21</stp>
        <tr r="U27" s="2"/>
      </tp>
      <tp>
        <v>-37</v>
        <stp/>
        <stp>##V3_BDPV12</stp>
        <stp>LMPBDS 03X22 Comdty</stp>
        <stp>PX_SETTLE</stp>
        <stp>[QwackPricer.xlsx]Base!R39C21</stp>
        <tr r="U39" s="2"/>
      </tp>
      <tp>
        <v>-90</v>
        <stp/>
        <stp>##V3_BDPV12</stp>
        <stp>LMPBDS 03X24 Comdty</stp>
        <stp>PX_SETTLE</stp>
        <stp>[QwackPricer.xlsx]Base!R63C21</stp>
        <tr r="U63" s="2"/>
      </tp>
      <tp>
        <v>-65.75</v>
        <stp/>
        <stp>##V3_BDPV12</stp>
        <stp>LMPBDS 03X23 Comdty</stp>
        <stp>PX_SETTLE</stp>
        <stp>[QwackPricer.xlsx]Base!R51C21</stp>
        <tr r="U51" s="2"/>
      </tp>
      <tp>
        <v>955</v>
        <stp/>
        <stp>##V3_BDPV12</stp>
        <stp>LMSNDS 03X21 Comdty</stp>
        <stp>PX_SETTLE</stp>
        <stp>[QwackPricer.xlsx]Base!R27C25</stp>
        <tr r="Y27" s="2"/>
      </tp>
      <tp>
        <v>-24</v>
        <stp/>
        <stp>##V3_BDPV12</stp>
        <stp>LMPBDS 03G22 Comdty</stp>
        <stp>PX_SETTLE</stp>
        <stp>[QwackPricer.xlsx]Base!R30C21</stp>
        <tr r="U30" s="2"/>
      </tp>
      <tp>
        <v>-43.5</v>
        <stp/>
        <stp>##V3_BDPV12</stp>
        <stp>LMPBDS 03G23 Comdty</stp>
        <stp>PX_SETTLE</stp>
        <stp>[QwackPricer.xlsx]Base!R42C21</stp>
        <tr r="U42" s="2"/>
      </tp>
      <tp>
        <v>1035</v>
        <stp/>
        <stp>##V3_BDPV12</stp>
        <stp>LMSNDS 03G22 Comdty</stp>
        <stp>PX_SETTLE</stp>
        <stp>[QwackPricer.xlsx]Base!R30C25</stp>
        <tr r="Y30" s="2"/>
      </tp>
      <tp>
        <v>-72</v>
        <stp/>
        <stp>##V3_BDPV12</stp>
        <stp>LMPBDS 03G24 Comdty</stp>
        <stp>PX_SETTLE</stp>
        <stp>[QwackPricer.xlsx]Base!R54C21</stp>
        <tr r="U54" s="2"/>
      </tp>
      <tp>
        <v>-22.5</v>
        <stp/>
        <stp>##V3_BDPV12</stp>
        <stp>LMPBDS 03F22 Comdty</stp>
        <stp>PX_SETTLE</stp>
        <stp>[QwackPricer.xlsx]Base!R29C21</stp>
        <tr r="U29" s="2"/>
      </tp>
      <tp>
        <v>-41</v>
        <stp/>
        <stp>##V3_BDPV12</stp>
        <stp>LMPBDS 03F23 Comdty</stp>
        <stp>PX_SETTLE</stp>
        <stp>[QwackPricer.xlsx]Base!R41C21</stp>
        <tr r="U41" s="2"/>
      </tp>
      <tp>
        <v>-70</v>
        <stp/>
        <stp>##V3_BDPV12</stp>
        <stp>LMPBDS 03F24 Comdty</stp>
        <stp>PX_SETTLE</stp>
        <stp>[QwackPricer.xlsx]Base!R53C21</stp>
        <tr r="U53" s="2"/>
      </tp>
      <tp>
        <v>1010</v>
        <stp/>
        <stp>##V3_BDPV12</stp>
        <stp>LMSNDS 03F22 Comdty</stp>
        <stp>PX_SETTLE</stp>
        <stp>[QwackPricer.xlsx]Base!R29C25</stp>
        <tr r="Y29" s="2"/>
      </tp>
      <tp>
        <v>-22</v>
        <stp/>
        <stp>##V3_BDPV12</stp>
        <stp>LMZSDS 03F22 Comdty</stp>
        <stp>PX_SETTLE</stp>
        <stp>[QwackPricer.xlsx]Base!R29C13</stp>
        <tr r="M29" s="2"/>
      </tp>
      <tp>
        <v>-22.5</v>
        <stp/>
        <stp>##V3_BDPV12</stp>
        <stp>LMZSDS 03F23 Comdty</stp>
        <stp>PX_SETTLE</stp>
        <stp>[QwackPricer.xlsx]Base!R41C13</stp>
        <tr r="M41" s="2"/>
      </tp>
      <tp>
        <v>-12.5</v>
        <stp/>
        <stp>##V3_BDPV12</stp>
        <stp>LMZSDS 03F24 Comdty</stp>
        <stp>PX_SETTLE</stp>
        <stp>[QwackPricer.xlsx]Base!R53C13</stp>
        <tr r="M53" s="2"/>
      </tp>
      <tp>
        <v>-44</v>
        <stp/>
        <stp>##V3_BDPV12</stp>
        <stp>LMNIDS 03F22 Comdty</stp>
        <stp>PX_SETTLE</stp>
        <stp>[QwackPricer.xlsx]Base!R29C17</stp>
        <tr r="Q29" s="2"/>
      </tp>
      <tp>
        <v>-123</v>
        <stp/>
        <stp>##V3_BDPV12</stp>
        <stp>LMNIDS 03F23 Comdty</stp>
        <stp>PX_SETTLE</stp>
        <stp>[QwackPricer.xlsx]Base!R41C17</stp>
        <tr r="Q41" s="2"/>
      </tp>
      <tp>
        <v>-202.5</v>
        <stp/>
        <stp>##V3_BDPV12</stp>
        <stp>LMNIDS 03F24 Comdty</stp>
        <stp>PX_SETTLE</stp>
        <stp>[QwackPricer.xlsx]Base!R53C17</stp>
        <tr r="Q53" s="2"/>
      </tp>
      <tp>
        <v>16.839982986450195</v>
        <stp/>
        <stp>##V3_BDPV12</stp>
        <stp>LA JUN21 50D VOL LME Comdty</stp>
        <stp>PX_LAST</stp>
        <stp>[QwackPricer.xlsx]Base!R86C6</stp>
        <tr r="F86" s="2"/>
      </tp>
      <tp>
        <v>-23.25</v>
        <stp/>
        <stp>##V3_BDPV12</stp>
        <stp>LMZSDS 03G22 Comdty</stp>
        <stp>PX_SETTLE</stp>
        <stp>[QwackPricer.xlsx]Base!R30C13</stp>
        <tr r="M30" s="2"/>
      </tp>
      <tp>
        <v>-21.5</v>
        <stp/>
        <stp>##V3_BDPV12</stp>
        <stp>LMZSDS 03G23 Comdty</stp>
        <stp>PX_SETTLE</stp>
        <stp>[QwackPricer.xlsx]Base!R42C13</stp>
        <tr r="M42" s="2"/>
      </tp>
      <tp>
        <v>-11.5</v>
        <stp/>
        <stp>##V3_BDPV12</stp>
        <stp>LMZSDS 03G24 Comdty</stp>
        <stp>PX_SETTLE</stp>
        <stp>[QwackPricer.xlsx]Base!R54C13</stp>
        <tr r="M54" s="2"/>
      </tp>
      <tp>
        <v>-48</v>
        <stp/>
        <stp>##V3_BDPV12</stp>
        <stp>LMNIDS 03G22 Comdty</stp>
        <stp>PX_SETTLE</stp>
        <stp>[QwackPricer.xlsx]Base!R30C17</stp>
        <tr r="Q30" s="2"/>
      </tp>
      <tp>
        <v>-130</v>
        <stp/>
        <stp>##V3_BDPV12</stp>
        <stp>LMNIDS 03G23 Comdty</stp>
        <stp>PX_SETTLE</stp>
        <stp>[QwackPricer.xlsx]Base!R42C17</stp>
        <tr r="Q42" s="2"/>
      </tp>
      <tp>
        <v>-209</v>
        <stp/>
        <stp>##V3_BDPV12</stp>
        <stp>LMNIDS 03G24 Comdty</stp>
        <stp>PX_SETTLE</stp>
        <stp>[QwackPricer.xlsx]Base!R54C17</stp>
        <tr r="Q54" s="2"/>
      </tp>
      <tp>
        <v>-5.75</v>
        <stp/>
        <stp>##V3_BDPV12</stp>
        <stp>LMZSDS 03M21 Comdty</stp>
        <stp>PX_SETTLE</stp>
        <stp>[QwackPricer.xlsx]Base!R22C13</stp>
        <tr r="M22" s="2"/>
      </tp>
      <tp>
        <v>-28.5</v>
        <stp/>
        <stp>##V3_BDPV12</stp>
        <stp>LMZSDS 03M22 Comdty</stp>
        <stp>PX_SETTLE</stp>
        <stp>[QwackPricer.xlsx]Base!R34C13</stp>
        <tr r="M34" s="2"/>
      </tp>
      <tp>
        <v>-17.5</v>
        <stp/>
        <stp>##V3_BDPV12</stp>
        <stp>LMZSDS 03M23 Comdty</stp>
        <stp>PX_SETTLE</stp>
        <stp>[QwackPricer.xlsx]Base!R46C13</stp>
        <tr r="M46" s="2"/>
      </tp>
      <tp>
        <v>-8.5</v>
        <stp/>
        <stp>##V3_BDPV12</stp>
        <stp>LMZSDS 03M24 Comdty</stp>
        <stp>PX_SETTLE</stp>
        <stp>[QwackPricer.xlsx]Base!R58C13</stp>
        <tr r="M58" s="2"/>
      </tp>
      <tp>
        <v>-7.15</v>
        <stp/>
        <stp>##V3_BDPV12</stp>
        <stp>LMPBDS 03N21 Comdty</stp>
        <stp>PX_SETTLE</stp>
        <stp>[QwackPricer.xlsx]Base!R23C21</stp>
        <tr r="U23" s="2"/>
      </tp>
      <tp>
        <v>-30.75</v>
        <stp/>
        <stp>##V3_BDPV12</stp>
        <stp>LMPBDS 03N22 Comdty</stp>
        <stp>PX_SETTLE</stp>
        <stp>[QwackPricer.xlsx]Base!R35C21</stp>
        <tr r="U35" s="2"/>
      </tp>
      <tp>
        <v>-56</v>
        <stp/>
        <stp>##V3_BDPV12</stp>
        <stp>LMPBDS 03N23 Comdty</stp>
        <stp>PX_SETTLE</stp>
        <stp>[QwackPricer.xlsx]Base!R47C21</stp>
        <tr r="U47" s="2"/>
      </tp>
      <tp>
        <v>485</v>
        <stp/>
        <stp>##V3_BDPV12</stp>
        <stp>LMSNDS 03N21 Comdty</stp>
        <stp>PX_SETTLE</stp>
        <stp>[QwackPricer.xlsx]Base!R23C25</stp>
        <tr r="Y23" s="2"/>
      </tp>
      <tp>
        <v>-82</v>
        <stp/>
        <stp>##V3_BDPV12</stp>
        <stp>LMPBDS 03N24 Comdty</stp>
        <stp>PX_SETTLE</stp>
        <stp>[QwackPricer.xlsx]Base!R59C21</stp>
        <tr r="U59" s="2"/>
      </tp>
      <tp>
        <v>-7</v>
        <stp/>
        <stp>##V3_BDPV12</stp>
        <stp>LMNIDS 03M21 Comdty</stp>
        <stp>PX_SETTLE</stp>
        <stp>[QwackPricer.xlsx]Base!R22C17</stp>
        <tr r="Q22" s="2"/>
      </tp>
      <tp>
        <v>-66</v>
        <stp/>
        <stp>##V3_BDPV12</stp>
        <stp>LMNIDS 03M22 Comdty</stp>
        <stp>PX_SETTLE</stp>
        <stp>[QwackPricer.xlsx]Base!R34C17</stp>
        <tr r="Q34" s="2"/>
      </tp>
      <tp>
        <v>-157</v>
        <stp/>
        <stp>##V3_BDPV12</stp>
        <stp>LMNIDS 03M23 Comdty</stp>
        <stp>PX_SETTLE</stp>
        <stp>[QwackPricer.xlsx]Base!R46C17</stp>
        <tr r="Q46" s="2"/>
      </tp>
      <tp>
        <v>-235</v>
        <stp/>
        <stp>##V3_BDPV12</stp>
        <stp>LMNIDS 03M24 Comdty</stp>
        <stp>PX_SETTLE</stp>
        <stp>[QwackPricer.xlsx]Base!R58C17</stp>
        <tr r="Q58" s="2"/>
      </tp>
      <tp>
        <v>-9.25</v>
        <stp/>
        <stp>##V3_BDPV12</stp>
        <stp>LMZSDS 03N21 Comdty</stp>
        <stp>PX_SETTLE</stp>
        <stp>[QwackPricer.xlsx]Base!R23C13</stp>
        <tr r="M23" s="2"/>
      </tp>
      <tp>
        <v>-27.75</v>
        <stp/>
        <stp>##V3_BDPV12</stp>
        <stp>LMZSDS 03N22 Comdty</stp>
        <stp>PX_SETTLE</stp>
        <stp>[QwackPricer.xlsx]Base!R35C13</stp>
        <tr r="M35" s="2"/>
      </tp>
      <tp>
        <v>-16.5</v>
        <stp/>
        <stp>##V3_BDPV12</stp>
        <stp>LMZSDS 03N23 Comdty</stp>
        <stp>PX_SETTLE</stp>
        <stp>[QwackPricer.xlsx]Base!R47C13</stp>
        <tr r="M47" s="2"/>
      </tp>
      <tp>
        <v>-8.5</v>
        <stp/>
        <stp>##V3_BDPV12</stp>
        <stp>LMZSDS 03N24 Comdty</stp>
        <stp>PX_SETTLE</stp>
        <stp>[QwackPricer.xlsx]Base!R59C13</stp>
        <tr r="M59" s="2"/>
      </tp>
      <tp>
        <v>-4.6500000000000004</v>
        <stp/>
        <stp>##V3_BDPV12</stp>
        <stp>LMPBDS 03M21 Comdty</stp>
        <stp>PX_SETTLE</stp>
        <stp>[QwackPricer.xlsx]Base!R22C21</stp>
        <tr r="U22" s="2"/>
      </tp>
      <tp>
        <v>-29</v>
        <stp/>
        <stp>##V3_BDPV12</stp>
        <stp>LMPBDS 03M22 Comdty</stp>
        <stp>PX_SETTLE</stp>
        <stp>[QwackPricer.xlsx]Base!R34C21</stp>
        <tr r="U34" s="2"/>
      </tp>
      <tp>
        <v>-53.5</v>
        <stp/>
        <stp>##V3_BDPV12</stp>
        <stp>LMPBDS 03M23 Comdty</stp>
        <stp>PX_SETTLE</stp>
        <stp>[QwackPricer.xlsx]Base!R46C21</stp>
        <tr r="U46" s="2"/>
      </tp>
      <tp>
        <v>255</v>
        <stp/>
        <stp>##V3_BDPV12</stp>
        <stp>LMSNDS 03M21 Comdty</stp>
        <stp>PX_SETTLE</stp>
        <stp>[QwackPricer.xlsx]Base!R22C25</stp>
        <tr r="Y22" s="2"/>
      </tp>
      <tp>
        <v>-80</v>
        <stp/>
        <stp>##V3_BDPV12</stp>
        <stp>LMPBDS 03M24 Comdty</stp>
        <stp>PX_SETTLE</stp>
        <stp>[QwackPricer.xlsx]Base!R58C21</stp>
        <tr r="U58" s="2"/>
      </tp>
      <tp>
        <v>-15</v>
        <stp/>
        <stp>##V3_BDPV12</stp>
        <stp>LMNIDS 03N21 Comdty</stp>
        <stp>PX_SETTLE</stp>
        <stp>[QwackPricer.xlsx]Base!R23C17</stp>
        <tr r="Q23" s="2"/>
      </tp>
      <tp>
        <v>-74.5</v>
        <stp/>
        <stp>##V3_BDPV12</stp>
        <stp>LMNIDS 03N22 Comdty</stp>
        <stp>PX_SETTLE</stp>
        <stp>[QwackPricer.xlsx]Base!R35C17</stp>
        <tr r="Q35" s="2"/>
      </tp>
      <tp>
        <v>-163.5</v>
        <stp/>
        <stp>##V3_BDPV12</stp>
        <stp>LMNIDS 03N23 Comdty</stp>
        <stp>PX_SETTLE</stp>
        <stp>[QwackPricer.xlsx]Base!R47C17</stp>
        <tr r="Q47" s="2"/>
      </tp>
      <tp>
        <v>-241.5</v>
        <stp/>
        <stp>##V3_BDPV12</stp>
        <stp>LMNIDS 03N24 Comdty</stp>
        <stp>PX_SETTLE</stp>
        <stp>[QwackPricer.xlsx]Base!R59C17</stp>
        <tr r="Q59" s="2"/>
      </tp>
      <tp>
        <v>-24.5</v>
        <stp/>
        <stp>##V3_BDPV12</stp>
        <stp>LMZSDS 03H22 Comdty</stp>
        <stp>PX_SETTLE</stp>
        <stp>[QwackPricer.xlsx]Base!R31C13</stp>
        <tr r="M31" s="2"/>
      </tp>
      <tp>
        <v>-20.5</v>
        <stp/>
        <stp>##V3_BDPV12</stp>
        <stp>LMZSDS 03H23 Comdty</stp>
        <stp>PX_SETTLE</stp>
        <stp>[QwackPricer.xlsx]Base!R43C13</stp>
        <tr r="M43" s="2"/>
      </tp>
      <tp>
        <v>-10.5</v>
        <stp/>
        <stp>##V3_BDPV12</stp>
        <stp>LMZSDS 03H24 Comdty</stp>
        <stp>PX_SETTLE</stp>
        <stp>[QwackPricer.xlsx]Base!R55C13</stp>
        <tr r="M55" s="2"/>
      </tp>
      <tp>
        <v>-2.15</v>
        <stp/>
        <stp>##V3_BDPV12</stp>
        <stp>LMPBDS 03K21 Comdty</stp>
        <stp>PX_SETTLE</stp>
        <stp>[QwackPricer.xlsx]Base!R21C21</stp>
        <tr r="U21" s="2"/>
      </tp>
      <tp>
        <v>-28</v>
        <stp/>
        <stp>##V3_BDPV12</stp>
        <stp>LMPBDS 03K22 Comdty</stp>
        <stp>PX_SETTLE</stp>
        <stp>[QwackPricer.xlsx]Base!R33C21</stp>
        <tr r="U33" s="2"/>
      </tp>
      <tp>
        <v>-51</v>
        <stp/>
        <stp>##V3_BDPV12</stp>
        <stp>LMPBDS 03K23 Comdty</stp>
        <stp>PX_SETTLE</stp>
        <stp>[QwackPricer.xlsx]Base!R45C21</stp>
        <tr r="U45" s="2"/>
      </tp>
      <tp>
        <v>-78</v>
        <stp/>
        <stp>##V3_BDPV12</stp>
        <stp>LMPBDS 03K24 Comdty</stp>
        <stp>PX_SETTLE</stp>
        <stp>[QwackPricer.xlsx]Base!R57C21</stp>
        <tr r="U57" s="2"/>
      </tp>
      <tp>
        <v>35</v>
        <stp/>
        <stp>##V3_BDPV12</stp>
        <stp>LMSNDS 03K21 Comdty</stp>
        <stp>PX_SETTLE</stp>
        <stp>[QwackPricer.xlsx]Base!R21C25</stp>
        <tr r="Y21" s="2"/>
      </tp>
      <tp>
        <v>-48</v>
        <stp/>
        <stp>##V3_BDPV12</stp>
        <stp>LMNIDS 03H22 Comdty</stp>
        <stp>PX_SETTLE</stp>
        <stp>[QwackPricer.xlsx]Base!R31C17</stp>
        <tr r="Q31" s="2"/>
      </tp>
      <tp>
        <v>-137</v>
        <stp/>
        <stp>##V3_BDPV12</stp>
        <stp>LMNIDS 03H23 Comdty</stp>
        <stp>PX_SETTLE</stp>
        <stp>[QwackPricer.xlsx]Base!R43C17</stp>
        <tr r="Q43" s="2"/>
      </tp>
      <tp>
        <v>-215.5</v>
        <stp/>
        <stp>##V3_BDPV12</stp>
        <stp>LMNIDS 03H24 Comdty</stp>
        <stp>PX_SETTLE</stp>
        <stp>[QwackPricer.xlsx]Base!R55C17</stp>
        <tr r="Q55" s="2"/>
      </tp>
      <tp>
        <v>-27</v>
        <stp/>
        <stp>##V3_BDPV12</stp>
        <stp>LMPBDS 03J22 Comdty</stp>
        <stp>PX_SETTLE</stp>
        <stp>[QwackPricer.xlsx]Base!R32C21</stp>
        <tr r="U32" s="2"/>
      </tp>
      <tp>
        <v>-48.5</v>
        <stp/>
        <stp>##V3_BDPV12</stp>
        <stp>LMPBDS 03J23 Comdty</stp>
        <stp>PX_SETTLE</stp>
        <stp>[QwackPricer.xlsx]Base!R44C21</stp>
        <tr r="U44" s="2"/>
      </tp>
      <tp>
        <v>1075</v>
        <stp/>
        <stp>##V3_BDPV12</stp>
        <stp>LMSNDS 03J22 Comdty</stp>
        <stp>PX_SETTLE</stp>
        <stp>[QwackPricer.xlsx]Base!R32C25</stp>
        <tr r="Y32" s="2"/>
      </tp>
      <tp>
        <v>-76</v>
        <stp/>
        <stp>##V3_BDPV12</stp>
        <stp>LMPBDS 03J24 Comdty</stp>
        <stp>PX_SETTLE</stp>
        <stp>[QwackPricer.xlsx]Base!R56C21</stp>
        <tr r="U56" s="2"/>
      </tp>
      <tp>
        <v>-26</v>
        <stp/>
        <stp>##V3_BDPV12</stp>
        <stp>LMZSDS 03J22 Comdty</stp>
        <stp>PX_SETTLE</stp>
        <stp>[QwackPricer.xlsx]Base!R32C13</stp>
        <tr r="M32" s="2"/>
      </tp>
      <tp>
        <v>-19.5</v>
        <stp/>
        <stp>##V3_BDPV12</stp>
        <stp>LMZSDS 03J23 Comdty</stp>
        <stp>PX_SETTLE</stp>
        <stp>[QwackPricer.xlsx]Base!R44C13</stp>
        <tr r="M44" s="2"/>
      </tp>
      <tp>
        <v>-9.5</v>
        <stp/>
        <stp>##V3_BDPV12</stp>
        <stp>LMZSDS 03J24 Comdty</stp>
        <stp>PX_SETTLE</stp>
        <stp>[QwackPricer.xlsx]Base!R56C13</stp>
        <tr r="M56" s="2"/>
      </tp>
      <tp>
        <v>-55.5</v>
        <stp/>
        <stp>##V3_BDPV12</stp>
        <stp>LMNIDS 03J22 Comdty</stp>
        <stp>PX_SETTLE</stp>
        <stp>[QwackPricer.xlsx]Base!R32C17</stp>
        <tr r="Q32" s="2"/>
      </tp>
      <tp>
        <v>-144</v>
        <stp/>
        <stp>##V3_BDPV12</stp>
        <stp>LMNIDS 03J23 Comdty</stp>
        <stp>PX_SETTLE</stp>
        <stp>[QwackPricer.xlsx]Base!R44C17</stp>
        <tr r="Q44" s="2"/>
      </tp>
      <tp>
        <v>-222</v>
        <stp/>
        <stp>##V3_BDPV12</stp>
        <stp>LMNIDS 03J24 Comdty</stp>
        <stp>PX_SETTLE</stp>
        <stp>[QwackPricer.xlsx]Base!R56C17</stp>
        <tr r="Q56" s="2"/>
      </tp>
      <tp>
        <v>-1.25</v>
        <stp/>
        <stp>##V3_BDPV12</stp>
        <stp>LMZSDS 03K21 Comdty</stp>
        <stp>PX_SETTLE</stp>
        <stp>[QwackPricer.xlsx]Base!R21C13</stp>
        <tr r="M21" s="2"/>
      </tp>
      <tp>
        <v>-27.25</v>
        <stp/>
        <stp>##V3_BDPV12</stp>
        <stp>LMZSDS 03K22 Comdty</stp>
        <stp>PX_SETTLE</stp>
        <stp>[QwackPricer.xlsx]Base!R33C13</stp>
        <tr r="M33" s="2"/>
      </tp>
      <tp>
        <v>-18.5</v>
        <stp/>
        <stp>##V3_BDPV12</stp>
        <stp>LMZSDS 03K23 Comdty</stp>
        <stp>PX_SETTLE</stp>
        <stp>[QwackPricer.xlsx]Base!R45C13</stp>
        <tr r="M45" s="2"/>
      </tp>
      <tp>
        <v>-8.5</v>
        <stp/>
        <stp>##V3_BDPV12</stp>
        <stp>LMZSDS 03K24 Comdty</stp>
        <stp>PX_SETTLE</stp>
        <stp>[QwackPricer.xlsx]Base!R57C13</stp>
        <tr r="M57" s="2"/>
      </tp>
      <tp>
        <v>-25.5</v>
        <stp/>
        <stp>##V3_BDPV12</stp>
        <stp>LMPBDS 03H22 Comdty</stp>
        <stp>PX_SETTLE</stp>
        <stp>[QwackPricer.xlsx]Base!R31C21</stp>
        <tr r="U31" s="2"/>
      </tp>
      <tp>
        <v>-46</v>
        <stp/>
        <stp>##V3_BDPV12</stp>
        <stp>LMPBDS 03H23 Comdty</stp>
        <stp>PX_SETTLE</stp>
        <stp>[QwackPricer.xlsx]Base!R43C21</stp>
        <tr r="U43" s="2"/>
      </tp>
      <tp>
        <v>1060</v>
        <stp/>
        <stp>##V3_BDPV12</stp>
        <stp>LMSNDS 03H22 Comdty</stp>
        <stp>PX_SETTLE</stp>
        <stp>[QwackPricer.xlsx]Base!R31C25</stp>
        <tr r="Y31" s="2"/>
      </tp>
      <tp>
        <v>-74</v>
        <stp/>
        <stp>##V3_BDPV12</stp>
        <stp>LMPBDS 03H24 Comdty</stp>
        <stp>PX_SETTLE</stp>
        <stp>[QwackPricer.xlsx]Base!R55C21</stp>
        <tr r="U55" s="2"/>
      </tp>
      <tp>
        <v>1</v>
        <stp/>
        <stp>##V3_BDPV12</stp>
        <stp>LMNIDS 03K21 Comdty</stp>
        <stp>PX_SETTLE</stp>
        <stp>[QwackPricer.xlsx]Base!R21C17</stp>
        <tr r="Q21" s="2"/>
      </tp>
      <tp>
        <v>-63</v>
        <stp/>
        <stp>##V3_BDPV12</stp>
        <stp>LMNIDS 03K22 Comdty</stp>
        <stp>PX_SETTLE</stp>
        <stp>[QwackPricer.xlsx]Base!R33C17</stp>
        <tr r="Q33" s="2"/>
      </tp>
      <tp>
        <v>-150.5</v>
        <stp/>
        <stp>##V3_BDPV12</stp>
        <stp>LMNIDS 03K23 Comdty</stp>
        <stp>PX_SETTLE</stp>
        <stp>[QwackPricer.xlsx]Base!R45C17</stp>
        <tr r="Q45" s="2"/>
      </tp>
      <tp>
        <v>-228.5</v>
        <stp/>
        <stp>##V3_BDPV12</stp>
        <stp>LMNIDS 03K24 Comdty</stp>
        <stp>PX_SETTLE</stp>
        <stp>[QwackPricer.xlsx]Base!R57C17</stp>
        <tr r="Q57" s="2"/>
      </tp>
    </main>
    <main first="bloomberg.rtd">
      <tp>
        <v>18.820169448852539</v>
        <stp/>
        <stp>##V3_BDPV12</stp>
        <stp>LP FEB25 50D VOL LME Comdty</stp>
        <stp>PX_LAST</stp>
        <stp>[QwackPricer.xlsx]Base!R130C17</stp>
        <tr r="Q130" s="2"/>
      </tp>
    </main>
    <main first="bloomberg.rtd">
      <tp>
        <v>29.719863891601563</v>
        <stp/>
        <stp>##V3_BDPV12</stp>
        <stp>LN AUG22 50D VOL LME Comdty</stp>
        <stp>PX_LAST</stp>
        <stp>[QwackPricer.xlsx]Base!R100C39</stp>
        <tr r="AM100" s="2"/>
      </tp>
      <tp>
        <v>22.010103225708008</v>
        <stp/>
        <stp>##V3_BDPV12</stp>
        <stp>LX AUG22 50D VOL LME Comdty</stp>
        <stp>PX_LAST</stp>
        <stp>[QwackPricer.xlsx]Base!R100C28</stp>
        <tr r="AB100" s="2"/>
      </tp>
      <tp>
        <v>21.640111923217773</v>
        <stp/>
        <stp>##V3_BDPV12</stp>
        <stp>LP AUG22 50D VOL LME Comdty</stp>
        <stp>PX_LAST</stp>
        <stp>[QwackPricer.xlsx]Base!R100C17</stp>
        <tr r="Q100" s="2"/>
      </tp>
      <tp>
        <v>-7.0000000000000007E-2</v>
        <stp/>
        <stp>##V3_BDPV12</stp>
        <stp>FDBSM V21 Index</stp>
        <stp>PX_LAST</stp>
        <stp>[QwackPricer.xlsx]Energy!R80C6</stp>
        <tr r="F80" s="3"/>
      </tp>
      <tp>
        <v>-0.11</v>
        <stp/>
        <stp>##V3_BDPV12</stp>
        <stp>FDBSM Q22 Index</stp>
        <stp>PX_LAST</stp>
        <stp>[QwackPricer.xlsx]Energy!R90C6</stp>
        <tr r="F90" s="3"/>
      </tp>
      <tp>
        <v>16.52000617980957</v>
        <stp/>
        <stp>##V3_BDPV12</stp>
        <stp>LA NOV21 50D VOL LME Comdty</stp>
        <stp>PX_LAST</stp>
        <stp>[QwackPricer.xlsx]Base!R91C6</stp>
        <tr r="F91" s="2"/>
      </tp>
      <tp>
        <v>16.160045623779297</v>
        <stp/>
        <stp>##V3_BDPV12</stp>
        <stp>LA MAR22 50D VOL LME Comdty</stp>
        <stp>PX_LAST</stp>
        <stp>[QwackPricer.xlsx]Base!R95C6</stp>
        <tr r="F95" s="2"/>
      </tp>
      <tp>
        <v>-0.22</v>
        <stp/>
        <stp>##V3_BDPV12</stp>
        <stp>FDBSM M23 Index</stp>
        <stp>PX_LAST</stp>
        <stp>[QwackPricer.xlsx]Energy!R100C6</stp>
        <tr r="F100" s="3"/>
      </tp>
      <tp>
        <v>-0.08</v>
        <stp/>
        <stp>##V3_BDPV12</stp>
        <stp>FDBSM X21 Index</stp>
        <stp>PX_LAST</stp>
        <stp>[QwackPricer.xlsx]Energy!R81C6</stp>
        <tr r="F81" s="3"/>
      </tp>
      <tp>
        <v>-0.1</v>
        <stp/>
        <stp>##V3_BDPV12</stp>
        <stp>FDBSM U22 Index</stp>
        <stp>PX_LAST</stp>
        <stp>[QwackPricer.xlsx]Energy!R91C6</stp>
        <tr r="F91" s="3"/>
      </tp>
      <tp>
        <v>17.009979248046875</v>
        <stp/>
        <stp>##V3_BDPV12</stp>
        <stp>LA APR21 50D VOL LME Comdty</stp>
        <stp>PX_LAST</stp>
        <stp>[QwackPricer.xlsx]Base!R84C6</stp>
        <tr r="F84" s="2"/>
      </tp>
      <tp>
        <v>22.009984970092773</v>
        <stp/>
        <stp>##V3_BDPV12</stp>
        <stp>LX OCT22 25DC VOL LME Comdty</stp>
        <stp>PX_LAST</stp>
        <stp>[QwackPricer.xlsx]Base!R102C29</stp>
        <tr r="AC102" s="2"/>
      </tp>
      <tp>
        <v>21.889997482299805</v>
        <stp/>
        <stp>##V3_BDPV12</stp>
        <stp>LX OCT22 10DC VOL LME Comdty</stp>
        <stp>PX_LAST</stp>
        <stp>[QwackPricer.xlsx]Base!R102C30</stp>
        <tr r="AD102" s="2"/>
      </tp>
      <tp>
        <v>25.999242782592773</v>
        <stp/>
        <stp>##V3_BDPV12</stp>
        <stp>LX APR23 10DP VOL LME Comdty</stp>
        <stp>PX_LAST</stp>
        <stp>[QwackPricer.xlsx]Base!R108C26</stp>
        <tr r="Z108" s="2"/>
      </tp>
      <tp>
        <v>24.009571075439453</v>
        <stp/>
        <stp>##V3_BDPV12</stp>
        <stp>LX APR23 25DP VOL LME Comdty</stp>
        <stp>PX_LAST</stp>
        <stp>[QwackPricer.xlsx]Base!R108C27</stp>
        <tr r="AA108" s="2"/>
      </tp>
      <tp>
        <v>22.429500579833984</v>
        <stp/>
        <stp>##V3_BDPV12</stp>
        <stp>LP OCT22 10DC VOL LME Comdty</stp>
        <stp>PX_LAST</stp>
        <stp>[QwackPricer.xlsx]Base!R102C19</stp>
        <tr r="S102" s="2"/>
      </tp>
      <tp>
        <v>20.609619140625</v>
        <stp/>
        <stp>##V3_BDPV12</stp>
        <stp>LP OCT23 10DC VOL LME Comdty</stp>
        <stp>PX_LAST</stp>
        <stp>[QwackPricer.xlsx]Base!R114C19</stp>
        <tr r="S114" s="2"/>
      </tp>
      <tp>
        <v>19.829647064208984</v>
        <stp/>
        <stp>##V3_BDPV12</stp>
        <stp>LP OCT24 10DC VOL LME Comdty</stp>
        <stp>PX_LAST</stp>
        <stp>[QwackPricer.xlsx]Base!R126C19</stp>
        <tr r="S126" s="2"/>
      </tp>
      <tp>
        <v>19.509651184082031</v>
        <stp/>
        <stp>##V3_BDPV12</stp>
        <stp>LP OCT25 10DC VOL LME Comdty</stp>
        <stp>PX_LAST</stp>
        <stp>[QwackPricer.xlsx]Base!R138C19</stp>
        <tr r="S138" s="2"/>
      </tp>
      <tp>
        <v>21.649530410766602</v>
        <stp/>
        <stp>##V3_BDPV12</stp>
        <stp>LP OCT22 25DC VOL LME Comdty</stp>
        <stp>PX_LAST</stp>
        <stp>[QwackPricer.xlsx]Base!R102C18</stp>
        <tr r="R102" s="2"/>
      </tp>
      <tp>
        <v>20.069614410400391</v>
        <stp/>
        <stp>##V3_BDPV12</stp>
        <stp>LP OCT23 25DC VOL LME Comdty</stp>
        <stp>PX_LAST</stp>
        <stp>[QwackPricer.xlsx]Base!R114C18</stp>
        <tr r="R114" s="2"/>
      </tp>
      <tp>
        <v>19.33961296081543</v>
        <stp/>
        <stp>##V3_BDPV12</stp>
        <stp>LP OCT24 25DC VOL LME Comdty</stp>
        <stp>PX_LAST</stp>
        <stp>[QwackPricer.xlsx]Base!R126C18</stp>
        <tr r="R126" s="2"/>
      </tp>
      <tp>
        <v>19.03959846496582</v>
        <stp/>
        <stp>##V3_BDPV12</stp>
        <stp>LP OCT25 25DC VOL LME Comdty</stp>
        <stp>PX_LAST</stp>
        <stp>[QwackPricer.xlsx]Base!R138C18</stp>
        <tr r="R138" s="2"/>
      </tp>
      <tp>
        <v>20.699743270874023</v>
        <stp/>
        <stp>##V3_BDPV12</stp>
        <stp>LP APR26 25DP VOL LME Comdty</stp>
        <stp>PX_LAST</stp>
        <stp>[QwackPricer.xlsx]Base!R144C16</stp>
        <tr r="P144" s="2"/>
      </tp>
      <tp>
        <v>21.519634246826172</v>
        <stp/>
        <stp>##V3_BDPV12</stp>
        <stp>LP APR24 25DP VOL LME Comdty</stp>
        <stp>PX_LAST</stp>
        <stp>[QwackPricer.xlsx]Base!R120C16</stp>
        <tr r="P120" s="2"/>
      </tp>
      <tp>
        <v>21.00969123840332</v>
        <stp/>
        <stp>##V3_BDPV12</stp>
        <stp>LP APR25 25DP VOL LME Comdty</stp>
        <stp>PX_LAST</stp>
        <stp>[QwackPricer.xlsx]Base!R132C16</stp>
        <tr r="P132" s="2"/>
      </tp>
      <tp>
        <v>22.339550018310547</v>
        <stp/>
        <stp>##V3_BDPV12</stp>
        <stp>LP APR23 25DP VOL LME Comdty</stp>
        <stp>PX_LAST</stp>
        <stp>[QwackPricer.xlsx]Base!R108C16</stp>
        <tr r="P108" s="2"/>
      </tp>
      <tp>
        <v>23.999414443969727</v>
        <stp/>
        <stp>##V3_BDPV12</stp>
        <stp>LP APR23 10DP VOL LME Comdty</stp>
        <stp>PX_LAST</stp>
        <stp>[QwackPricer.xlsx]Base!R108C15</stp>
        <tr r="O108" s="2"/>
      </tp>
      <tp>
        <v>22.96955680847168</v>
        <stp/>
        <stp>##V3_BDPV12</stp>
        <stp>LP APR24 10DP VOL LME Comdty</stp>
        <stp>PX_LAST</stp>
        <stp>[QwackPricer.xlsx]Base!R120C15</stp>
        <tr r="O120" s="2"/>
      </tp>
      <tp>
        <v>22.439584732055664</v>
        <stp/>
        <stp>##V3_BDPV12</stp>
        <stp>LP APR25 10DP VOL LME Comdty</stp>
        <stp>PX_LAST</stp>
        <stp>[QwackPricer.xlsx]Base!R132C15</stp>
        <tr r="O132" s="2"/>
      </tp>
      <tp>
        <v>22.129623413085938</v>
        <stp/>
        <stp>##V3_BDPV12</stp>
        <stp>LP APR26 10DP VOL LME Comdty</stp>
        <stp>PX_LAST</stp>
        <stp>[QwackPricer.xlsx]Base!R144C15</stp>
        <tr r="O144" s="2"/>
      </tp>
      <tp>
        <v>31.189018249511719</v>
        <stp/>
        <stp>##V3_BDPV12</stp>
        <stp>LN OCT22 25DC VOL LME Comdty</stp>
        <stp>PX_LAST</stp>
        <stp>[QwackPricer.xlsx]Base!R102C40</stp>
        <tr r="AN102" s="2"/>
      </tp>
      <tp>
        <v>29.649883270263672</v>
        <stp/>
        <stp>##V3_BDPV12</stp>
        <stp>LN APR23 25DP VOL LME Comdty</stp>
        <stp>PX_LAST</stp>
        <stp>[QwackPricer.xlsx]Base!R108C38</stp>
        <tr r="AL108" s="2"/>
      </tp>
      <tp>
        <v>30.599601745605469</v>
        <stp/>
        <stp>##V3_BDPV12</stp>
        <stp>LN APR23 10DP VOL LME Comdty</stp>
        <stp>PX_LAST</stp>
        <stp>[QwackPricer.xlsx]Base!R108C37</stp>
        <tr r="AK108" s="2"/>
      </tp>
      <tp>
        <v>32.419269561767578</v>
        <stp/>
        <stp>##V3_BDPV12</stp>
        <stp>LN OCT22 10DC VOL LME Comdty</stp>
        <stp>PX_LAST</stp>
        <stp>[QwackPricer.xlsx]Base!R102C41</stp>
        <tr r="AO102" s="2"/>
      </tp>
      <tp>
        <v>-0.37</v>
        <stp/>
        <stp>##V3_BDPV12</stp>
        <stp>FDBSM G21 Index</stp>
        <stp>PX_LAST</stp>
        <stp>[QwackPricer.xlsx]Energy!R72C6</stp>
        <tr r="F72" s="3"/>
      </tp>
      <tp>
        <v>-0.1</v>
        <stp/>
        <stp>##V3_BDPV12</stp>
        <stp>FDBSM Z21 Index</stp>
        <stp>PX_LAST</stp>
        <stp>[QwackPricer.xlsx]Energy!R82C6</stp>
        <tr r="F82" s="3"/>
      </tp>
      <tp>
        <v>-0.1</v>
        <stp/>
        <stp>##V3_BDPV12</stp>
        <stp>FDBSM V22 Index</stp>
        <stp>PX_LAST</stp>
        <stp>[QwackPricer.xlsx]Energy!R92C6</stp>
        <tr r="F92" s="3"/>
      </tp>
      <tp>
        <v>-0.5</v>
        <stp/>
        <stp>##V3_BDPV12</stp>
        <stp>XAGSR12m TPMT Curncy</stp>
        <stp>PX_LAST</stp>
        <stp>[QwackPricer.xlsx]FX-IR!R58C4</stp>
        <tr r="D58" s="1"/>
      </tp>
      <tp>
        <v>0.28999999999999998</v>
        <stp/>
        <stp>##V3_BDPV12</stp>
        <stp>XAUSR12m TPMT Curncy</stp>
        <stp>PX_LAST</stp>
        <stp>[QwackPricer.xlsx]FX-IR!R58C3</stp>
        <tr r="C58" s="1"/>
      </tp>
      <tp>
        <v>-0.75</v>
        <stp/>
        <stp>##V3_BDPV12</stp>
        <stp>XPDSR12m TPMT Curncy</stp>
        <stp>PX_LAST</stp>
        <stp>[QwackPricer.xlsx]FX-IR!R58C6</stp>
        <tr r="F58" s="1"/>
      </tp>
      <tp>
        <v>-1.3</v>
        <stp/>
        <stp>##V3_BDPV12</stp>
        <stp>XPTSR12m TPMT Curncy</stp>
        <stp>PX_LAST</stp>
        <stp>[QwackPricer.xlsx]FX-IR!R58C5</stp>
        <tr r="E58" s="1"/>
      </tp>
      <tp>
        <v>-0.16</v>
        <stp/>
        <stp>##V3_BDPV12</stp>
        <stp>FDBSM H21 Index</stp>
        <stp>PX_LAST</stp>
        <stp>[QwackPricer.xlsx]Energy!R73C6</stp>
        <tr r="F73" s="3"/>
      </tp>
      <tp>
        <v>-0.1</v>
        <stp/>
        <stp>##V3_BDPV12</stp>
        <stp>FDBSM F22 Index</stp>
        <stp>PX_LAST</stp>
        <stp>[QwackPricer.xlsx]Energy!R83C6</stp>
        <tr r="F83" s="3"/>
      </tp>
      <tp>
        <v>-0.1</v>
        <stp/>
        <stp>##V3_BDPV12</stp>
        <stp>FDBSM X22 Index</stp>
        <stp>PX_LAST</stp>
        <stp>[QwackPricer.xlsx]Energy!R93C6</stp>
        <tr r="F93" s="3"/>
      </tp>
      <tp>
        <v>16.550008773803711</v>
        <stp/>
        <stp>##V3_BDPV12</stp>
        <stp>LA OCT21 50D VOL LME Comdty</stp>
        <stp>PX_LAST</stp>
        <stp>[QwackPricer.xlsx]Base!R90C6</stp>
        <tr r="F90" s="2"/>
      </tp>
      <tp>
        <v>16.060054779052734</v>
        <stp/>
        <stp>##V3_BDPV12</stp>
        <stp>LA APR22 50D VOL LME Comdty</stp>
        <stp>PX_LAST</stp>
        <stp>[QwackPricer.xlsx]Base!R96C6</stp>
        <tr r="F96" s="2"/>
      </tp>
      <tp>
        <v>21.939994812011719</v>
        <stp/>
        <stp>##V3_BDPV12</stp>
        <stp>LX MAR23 10DC VOL LME Comdty</stp>
        <stp>PX_LAST</stp>
        <stp>[QwackPricer.xlsx]Base!R107C30</stp>
        <tr r="AD107" s="2"/>
      </tp>
      <tp>
        <v>21.139556884765625</v>
        <stp/>
        <stp>##V3_BDPV12</stp>
        <stp>LP MAY23 10DC VOL LME Comdty</stp>
        <stp>PX_LAST</stp>
        <stp>[QwackPricer.xlsx]Base!R109C19</stp>
        <tr r="S109" s="2"/>
      </tp>
      <tp>
        <v>20.099641799926758</v>
        <stp/>
        <stp>##V3_BDPV12</stp>
        <stp>LP MAY24 10DC VOL LME Comdty</stp>
        <stp>PX_LAST</stp>
        <stp>[QwackPricer.xlsx]Base!R121C19</stp>
        <tr r="S121" s="2"/>
      </tp>
      <tp>
        <v>19.629646301269531</v>
        <stp/>
        <stp>##V3_BDPV12</stp>
        <stp>LP MAY25 10DC VOL LME Comdty</stp>
        <stp>PX_LAST</stp>
        <stp>[QwackPricer.xlsx]Base!R133C19</stp>
        <tr r="S133" s="2"/>
      </tp>
      <tp>
        <v>20.479560852050781</v>
        <stp/>
        <stp>##V3_BDPV12</stp>
        <stp>LP MAY23 25DC VOL LME Comdty</stp>
        <stp>PX_LAST</stp>
        <stp>[QwackPricer.xlsx]Base!R109C18</stp>
        <tr r="R109" s="2"/>
      </tp>
      <tp>
        <v>22.029977798461914</v>
        <stp/>
        <stp>##V3_BDPV12</stp>
        <stp>LX MAR23 25DC VOL LME Comdty</stp>
        <stp>PX_LAST</stp>
        <stp>[QwackPricer.xlsx]Base!R107C29</stp>
        <tr r="AC107" s="2"/>
      </tp>
      <tp>
        <v>19.58961296081543</v>
        <stp/>
        <stp>##V3_BDPV12</stp>
        <stp>LP MAY24 25DC VOL LME Comdty</stp>
        <stp>PX_LAST</stp>
        <stp>[QwackPricer.xlsx]Base!R121C18</stp>
        <tr r="R121" s="2"/>
      </tp>
      <tp>
        <v>19.159605026245117</v>
        <stp/>
        <stp>##V3_BDPV12</stp>
        <stp>LP MAY25 25DC VOL LME Comdty</stp>
        <stp>PX_LAST</stp>
        <stp>[QwackPricer.xlsx]Base!R133C18</stp>
        <tr r="R133" s="2"/>
      </tp>
      <tp>
        <v>32.239276885986328</v>
        <stp/>
        <stp>##V3_BDPV12</stp>
        <stp>LN JAN23 10DC VOL LME Comdty</stp>
        <stp>PX_LAST</stp>
        <stp>[QwackPricer.xlsx]Base!R105C41</stp>
        <tr r="AO105" s="2"/>
      </tp>
      <tp>
        <v>31.039005279541016</v>
        <stp/>
        <stp>##V3_BDPV12</stp>
        <stp>LN JAN23 25DC VOL LME Comdty</stp>
        <stp>PX_LAST</stp>
        <stp>[QwackPricer.xlsx]Base!R105C40</stp>
        <tr r="AN105" s="2"/>
      </tp>
      <tp>
        <v>20.629583358764648</v>
        <stp/>
        <stp>##V3_BDPV12</stp>
        <stp>LP MAR23 25DC VOL LME Comdty</stp>
        <stp>PX_LAST</stp>
        <stp>[QwackPricer.xlsx]Base!R107C18</stp>
        <tr r="R107" s="2"/>
      </tp>
      <tp>
        <v>19.699613571166992</v>
        <stp/>
        <stp>##V3_BDPV12</stp>
        <stp>LP MAR24 25DC VOL LME Comdty</stp>
        <stp>PX_LAST</stp>
        <stp>[QwackPricer.xlsx]Base!R119C18</stp>
        <tr r="R119" s="2"/>
      </tp>
      <tp>
        <v>21.999977111816406</v>
        <stp/>
        <stp>##V3_BDPV12</stp>
        <stp>LX MAY23 25DC VOL LME Comdty</stp>
        <stp>PX_LAST</stp>
        <stp>[QwackPricer.xlsx]Base!R109C29</stp>
        <tr r="AC109" s="2"/>
      </tp>
      <tp>
        <v>19.139608383178711</v>
        <stp/>
        <stp>##V3_BDPV12</stp>
        <stp>LP MAR25 25DC VOL LME Comdty</stp>
        <stp>PX_LAST</stp>
        <stp>[QwackPricer.xlsx]Base!R131C18</stp>
        <tr r="R131" s="2"/>
      </tp>
      <tp>
        <v>18.869598388671875</v>
        <stp/>
        <stp>##V3_BDPV12</stp>
        <stp>LP MAR26 25DC VOL LME Comdty</stp>
        <stp>PX_LAST</stp>
        <stp>[QwackPricer.xlsx]Base!R143C18</stp>
        <tr r="R143" s="2"/>
      </tp>
      <tp>
        <v>19.329658508300781</v>
        <stp/>
        <stp>##V3_BDPV12</stp>
        <stp>LP MAR26 10DC VOL LME Comdty</stp>
        <stp>PX_LAST</stp>
        <stp>[QwackPricer.xlsx]Base!R143C19</stp>
        <tr r="S143" s="2"/>
      </tp>
      <tp>
        <v>21.269567489624023</v>
        <stp/>
        <stp>##V3_BDPV12</stp>
        <stp>LP MAR23 10DC VOL LME Comdty</stp>
        <stp>PX_LAST</stp>
        <stp>[QwackPricer.xlsx]Base!R107C19</stp>
        <tr r="S107" s="2"/>
      </tp>
      <tp>
        <v>20.219636917114258</v>
        <stp/>
        <stp>##V3_BDPV12</stp>
        <stp>LP MAR24 10DC VOL LME Comdty</stp>
        <stp>PX_LAST</stp>
        <stp>[QwackPricer.xlsx]Base!R119C19</stp>
        <tr r="S119" s="2"/>
      </tp>
      <tp>
        <v>19.619646072387695</v>
        <stp/>
        <stp>##V3_BDPV12</stp>
        <stp>LP MAR25 10DC VOL LME Comdty</stp>
        <stp>PX_LAST</stp>
        <stp>[QwackPricer.xlsx]Base!R131C19</stp>
        <tr r="S131" s="2"/>
      </tp>
      <tp>
        <v>21.91999626159668</v>
        <stp/>
        <stp>##V3_BDPV12</stp>
        <stp>LX MAY23 10DC VOL LME Comdty</stp>
        <stp>PX_LAST</stp>
        <stp>[QwackPricer.xlsx]Base!R109C30</stp>
        <tr r="AD109" s="2"/>
      </tp>
      <tp>
        <v>20.839582443237305</v>
        <stp/>
        <stp>##V3_BDPV12</stp>
        <stp>LP JAN23 25DC VOL LME Comdty</stp>
        <stp>PX_LAST</stp>
        <stp>[QwackPricer.xlsx]Base!R105C18</stp>
        <tr r="R105" s="2"/>
      </tp>
      <tp>
        <v>19.83961296081543</v>
        <stp/>
        <stp>##V3_BDPV12</stp>
        <stp>LP JAN24 25DC VOL LME Comdty</stp>
        <stp>PX_LAST</stp>
        <stp>[QwackPricer.xlsx]Base!R117C18</stp>
        <tr r="R117" s="2"/>
      </tp>
      <tp>
        <v>19.129610061645508</v>
        <stp/>
        <stp>##V3_BDPV12</stp>
        <stp>LP JAN25 25DC VOL LME Comdty</stp>
        <stp>PX_LAST</stp>
        <stp>[QwackPricer.xlsx]Base!R129C18</stp>
        <tr r="R129" s="2"/>
      </tp>
      <tp>
        <v>19.00959587097168</v>
        <stp/>
        <stp>##V3_BDPV12</stp>
        <stp>LP JAN26 25DC VOL LME Comdty</stp>
        <stp>PX_LAST</stp>
        <stp>[QwackPricer.xlsx]Base!R141C18</stp>
        <tr r="R141" s="2"/>
      </tp>
      <tp>
        <v>19.469659805297852</v>
        <stp/>
        <stp>##V3_BDPV12</stp>
        <stp>LP JAN26 10DC VOL LME Comdty</stp>
        <stp>PX_LAST</stp>
        <stp>[QwackPricer.xlsx]Base!R141C19</stp>
        <tr r="S141" s="2"/>
      </tp>
      <tp>
        <v>21.469554901123047</v>
        <stp/>
        <stp>##V3_BDPV12</stp>
        <stp>LP JAN23 10DC VOL LME Comdty</stp>
        <stp>PX_LAST</stp>
        <stp>[QwackPricer.xlsx]Base!R105C19</stp>
        <tr r="S105" s="2"/>
      </tp>
      <tp>
        <v>20.36962890625</v>
        <stp/>
        <stp>##V3_BDPV12</stp>
        <stp>LP JAN24 10DC VOL LME Comdty</stp>
        <stp>PX_LAST</stp>
        <stp>[QwackPricer.xlsx]Base!R117C19</stp>
        <tr r="S117" s="2"/>
      </tp>
      <tp>
        <v>19.609647750854492</v>
        <stp/>
        <stp>##V3_BDPV12</stp>
        <stp>LP JAN25 10DC VOL LME Comdty</stp>
        <stp>PX_LAST</stp>
        <stp>[QwackPricer.xlsx]Base!R129C19</stp>
        <tr r="S129" s="2"/>
      </tp>
      <tp>
        <v>32.179271697998047</v>
        <stp/>
        <stp>##V3_BDPV12</stp>
        <stp>LN MAR23 10DC VOL LME Comdty</stp>
        <stp>PX_LAST</stp>
        <stp>[QwackPricer.xlsx]Base!R107C41</stp>
        <tr r="AO107" s="2"/>
      </tp>
      <tp>
        <v>30.968982696533203</v>
        <stp/>
        <stp>##V3_BDPV12</stp>
        <stp>LN MAR23 25DC VOL LME Comdty</stp>
        <stp>PX_LAST</stp>
        <stp>[QwackPricer.xlsx]Base!R107C40</stp>
        <tr r="AN107" s="2"/>
      </tp>
      <tp>
        <v>21.949996948242188</v>
        <stp/>
        <stp>##V3_BDPV12</stp>
        <stp>LX JAN23 10DC VOL LME Comdty</stp>
        <stp>PX_LAST</stp>
        <stp>[QwackPricer.xlsx]Base!R105C30</stp>
        <tr r="AD105" s="2"/>
      </tp>
      <tp>
        <v>22.049980163574219</v>
        <stp/>
        <stp>##V3_BDPV12</stp>
        <stp>LX JAN23 25DC VOL LME Comdty</stp>
        <stp>PX_LAST</stp>
        <stp>[QwackPricer.xlsx]Base!R105C29</stp>
        <tr r="AC105" s="2"/>
      </tp>
      <tp>
        <v>30.978967666625977</v>
        <stp/>
        <stp>##V3_BDPV12</stp>
        <stp>LN MAY23 25DC VOL LME Comdty</stp>
        <stp>PX_LAST</stp>
        <stp>[QwackPricer.xlsx]Base!R109C40</stp>
        <tr r="AN109" s="2"/>
      </tp>
      <tp>
        <v>32.18927001953125</v>
        <stp/>
        <stp>##V3_BDPV12</stp>
        <stp>LN MAY23 10DC VOL LME Comdty</stp>
        <stp>PX_LAST</stp>
        <stp>[QwackPricer.xlsx]Base!R109C41</stp>
        <tr r="AO109" s="2"/>
      </tp>
      <tp>
        <v>0.04</v>
        <stp/>
        <stp>##V3_BDPV12</stp>
        <stp>FDBSM J21 Index</stp>
        <stp>PX_LAST</stp>
        <stp>[QwackPricer.xlsx]Energy!R74C6</stp>
        <tr r="F74" s="3"/>
      </tp>
      <tp>
        <v>-0.1</v>
        <stp/>
        <stp>##V3_BDPV12</stp>
        <stp>FDBSM G22 Index</stp>
        <stp>PX_LAST</stp>
        <stp>[QwackPricer.xlsx]Energy!R84C6</stp>
        <tr r="F84" s="3"/>
      </tp>
      <tp>
        <v>-0.11</v>
        <stp/>
        <stp>##V3_BDPV12</stp>
        <stp>FDBSM Z22 Index</stp>
        <stp>PX_LAST</stp>
        <stp>[QwackPricer.xlsx]Energy!R94C6</stp>
        <tr r="F94" s="3"/>
      </tp>
      <tp>
        <v>-0.75</v>
        <stp/>
        <stp>##V3_BDPV12</stp>
        <stp>XPDSR2y TPMT Curncy</stp>
        <stp>PX_LAST</stp>
        <stp>[QwackPricer.xlsx]FX-IR!R59C6</stp>
        <tr r="F59" s="1"/>
      </tp>
      <tp>
        <v>29.949846267700195</v>
        <stp/>
        <stp>##V3_BDPV12</stp>
        <stp>LN AUG22 25DP VOL LME Comdty</stp>
        <stp>PX_LAST</stp>
        <stp>[QwackPricer.xlsx]Base!R100C38</stp>
        <tr r="AL100" s="2"/>
      </tp>
      <tp>
        <v>30.919565200805664</v>
        <stp/>
        <stp>##V3_BDPV12</stp>
        <stp>LN AUG22 10DP VOL LME Comdty</stp>
        <stp>PX_LAST</stp>
        <stp>[QwackPricer.xlsx]Base!R100C37</stp>
        <tr r="AK100" s="2"/>
      </tp>
      <tp>
        <v>23.769460678100586</v>
        <stp/>
        <stp>##V3_BDPV12</stp>
        <stp>LP JUL23 10DP VOL LME Comdty</stp>
        <stp>PX_LAST</stp>
        <stp>[QwackPricer.xlsx]Base!R111C15</stp>
        <tr r="O111" s="2"/>
      </tp>
      <tp>
        <v>22.789566040039063</v>
        <stp/>
        <stp>##V3_BDPV12</stp>
        <stp>LP JUL24 10DP VOL LME Comdty</stp>
        <stp>PX_LAST</stp>
        <stp>[QwackPricer.xlsx]Base!R123C15</stp>
        <tr r="O123" s="2"/>
      </tp>
      <tp>
        <v>22.409587860107422</v>
        <stp/>
        <stp>##V3_BDPV12</stp>
        <stp>LP JUL25 10DP VOL LME Comdty</stp>
        <stp>PX_LAST</stp>
        <stp>[QwackPricer.xlsx]Base!R135C15</stp>
        <tr r="O135" s="2"/>
      </tp>
      <tp>
        <v>25.949169158935547</v>
        <stp/>
        <stp>##V3_BDPV12</stp>
        <stp>LX AUG22 10DP VOL LME Comdty</stp>
        <stp>PX_LAST</stp>
        <stp>[QwackPricer.xlsx]Base!R100C26</stp>
        <tr r="Z100" s="2"/>
      </tp>
      <tp>
        <v>21.389642715454102</v>
        <stp/>
        <stp>##V3_BDPV12</stp>
        <stp>LP JUN24 25DP VOL LME Comdty</stp>
        <stp>PX_LAST</stp>
        <stp>[QwackPricer.xlsx]Base!R122C16</stp>
        <tr r="P122" s="2"/>
      </tp>
      <tp>
        <v>21.009702682495117</v>
        <stp/>
        <stp>##V3_BDPV12</stp>
        <stp>LP JUN25 25DP VOL LME Comdty</stp>
        <stp>PX_LAST</stp>
        <stp>[QwackPricer.xlsx]Base!R134C16</stp>
        <tr r="P134" s="2"/>
      </tp>
      <tp>
        <v>22.189565658569336</v>
        <stp/>
        <stp>##V3_BDPV12</stp>
        <stp>LP JUN23 25DP VOL LME Comdty</stp>
        <stp>PX_LAST</stp>
        <stp>[QwackPricer.xlsx]Base!R110C16</stp>
        <tr r="P110" s="2"/>
      </tp>
      <tp>
        <v>23.839437484741211</v>
        <stp/>
        <stp>##V3_BDPV12</stp>
        <stp>LP JUN23 10DP VOL LME Comdty</stp>
        <stp>PX_LAST</stp>
        <stp>[QwackPricer.xlsx]Base!R110C15</stp>
        <tr r="O110" s="2"/>
      </tp>
      <tp>
        <v>22.829563140869141</v>
        <stp/>
        <stp>##V3_BDPV12</stp>
        <stp>LP JUN24 10DP VOL LME Comdty</stp>
        <stp>PX_LAST</stp>
        <stp>[QwackPricer.xlsx]Base!R122C15</stp>
        <tr r="O122" s="2"/>
      </tp>
      <tp>
        <v>22.449586868286133</v>
        <stp/>
        <stp>##V3_BDPV12</stp>
        <stp>LP JUN25 10DP VOL LME Comdty</stp>
        <stp>PX_LAST</stp>
        <stp>[QwackPricer.xlsx]Base!R134C15</stp>
        <tr r="O134" s="2"/>
      </tp>
      <tp>
        <v>21.349647521972656</v>
        <stp/>
        <stp>##V3_BDPV12</stp>
        <stp>LP JUL24 25DP VOL LME Comdty</stp>
        <stp>PX_LAST</stp>
        <stp>[QwackPricer.xlsx]Base!R123C16</stp>
        <tr r="P123" s="2"/>
      </tp>
      <tp>
        <v>20.969705581665039</v>
        <stp/>
        <stp>##V3_BDPV12</stp>
        <stp>LP JUL25 25DP VOL LME Comdty</stp>
        <stp>PX_LAST</stp>
        <stp>[QwackPricer.xlsx]Base!R135C16</stp>
        <tr r="P135" s="2"/>
      </tp>
      <tp>
        <v>22.119575500488281</v>
        <stp/>
        <stp>##V3_BDPV12</stp>
        <stp>LP JUL23 25DP VOL LME Comdty</stp>
        <stp>PX_LAST</stp>
        <stp>[QwackPricer.xlsx]Base!R111C16</stp>
        <tr r="P111" s="2"/>
      </tp>
      <tp>
        <v>23.919496536254883</v>
        <stp/>
        <stp>##V3_BDPV12</stp>
        <stp>LX AUG22 25DP VOL LME Comdty</stp>
        <stp>PX_LAST</stp>
        <stp>[QwackPricer.xlsx]Base!R100C27</stp>
        <tr r="AA100" s="2"/>
      </tp>
      <tp>
        <v>21.289653778076172</v>
        <stp/>
        <stp>##V3_BDPV12</stp>
        <stp>LP AUG24 25DP VOL LME Comdty</stp>
        <stp>PX_LAST</stp>
        <stp>[QwackPricer.xlsx]Base!R124C16</stp>
        <tr r="P124" s="2"/>
      </tp>
      <tp>
        <v>20.929712295532227</v>
        <stp/>
        <stp>##V3_BDPV12</stp>
        <stp>LP AUG25 25DP VOL LME Comdty</stp>
        <stp>PX_LAST</stp>
        <stp>[QwackPricer.xlsx]Base!R136C16</stp>
        <tr r="P136" s="2"/>
      </tp>
      <tp>
        <v>23.709491729736328</v>
        <stp/>
        <stp>##V3_BDPV12</stp>
        <stp>LP AUG22 25DP VOL LME Comdty</stp>
        <stp>PX_LAST</stp>
        <stp>[QwackPricer.xlsx]Base!R100C16</stp>
        <tr r="P100" s="2"/>
      </tp>
      <tp>
        <v>22.059593200683594</v>
        <stp/>
        <stp>##V3_BDPV12</stp>
        <stp>LP AUG23 25DP VOL LME Comdty</stp>
        <stp>PX_LAST</stp>
        <stp>[QwackPricer.xlsx]Base!R112C16</stp>
        <tr r="P112" s="2"/>
      </tp>
      <tp>
        <v>25.509323120117188</v>
        <stp/>
        <stp>##V3_BDPV12</stp>
        <stp>LP AUG22 10DP VOL LME Comdty</stp>
        <stp>PX_LAST</stp>
        <stp>[QwackPricer.xlsx]Base!R100C15</stp>
        <tr r="O100" s="2"/>
      </tp>
      <tp>
        <v>23.509490966796875</v>
        <stp/>
        <stp>##V3_BDPV12</stp>
        <stp>LP AUG23 10DP VOL LME Comdty</stp>
        <stp>PX_LAST</stp>
        <stp>[QwackPricer.xlsx]Base!R112C15</stp>
        <tr r="O112" s="2"/>
      </tp>
      <tp>
        <v>22.739568710327148</v>
        <stp/>
        <stp>##V3_BDPV12</stp>
        <stp>LP AUG24 10DP VOL LME Comdty</stp>
        <stp>PX_LAST</stp>
        <stp>[QwackPricer.xlsx]Base!R124C15</stp>
        <tr r="O124" s="2"/>
      </tp>
      <tp>
        <v>22.359594345092773</v>
        <stp/>
        <stp>##V3_BDPV12</stp>
        <stp>LP AUG25 10DP VOL LME Comdty</stp>
        <stp>PX_LAST</stp>
        <stp>[QwackPricer.xlsx]Base!R136C15</stp>
        <tr r="O136" s="2"/>
      </tp>
      <tp>
        <v>0.08</v>
        <stp/>
        <stp>##V3_BDPV12</stp>
        <stp>FDBSM K21 Index</stp>
        <stp>PX_LAST</stp>
        <stp>[QwackPricer.xlsx]Energy!R75C6</stp>
        <tr r="F75" s="3"/>
      </tp>
      <tp>
        <v>-0.1</v>
        <stp/>
        <stp>##V3_BDPV12</stp>
        <stp>FDBSM H22 Index</stp>
        <stp>PX_LAST</stp>
        <stp>[QwackPricer.xlsx]Energy!R85C6</stp>
        <tr r="F85" s="3"/>
      </tp>
      <tp>
        <v>-0.25</v>
        <stp/>
        <stp>##V3_BDPV12</stp>
        <stp>FDBSM F23 Index</stp>
        <stp>PX_LAST</stp>
        <stp>[QwackPricer.xlsx]Energy!R95C6</stp>
        <tr r="F95" s="3"/>
      </tp>
      <tp>
        <v>0.04</v>
        <stp/>
        <stp>##V3_BDPV12</stp>
        <stp>FDBSM M21 Index</stp>
        <stp>PX_LAST</stp>
        <stp>[QwackPricer.xlsx]Energy!R76C6</stp>
        <tr r="F76" s="3"/>
      </tp>
      <tp>
        <v>-0.1</v>
        <stp/>
        <stp>##V3_BDPV12</stp>
        <stp>FDBSM J22 Index</stp>
        <stp>PX_LAST</stp>
        <stp>[QwackPricer.xlsx]Energy!R86C6</stp>
        <tr r="F86" s="3"/>
      </tp>
      <tp>
        <v>-0.25</v>
        <stp/>
        <stp>##V3_BDPV12</stp>
        <stp>FDBSM G23 Index</stp>
        <stp>PX_LAST</stp>
        <stp>[QwackPricer.xlsx]Energy!R96C6</stp>
        <tr r="F96" s="3"/>
      </tp>
      <tp>
        <v>17.009986877441406</v>
        <stp/>
        <stp>##V3_BDPV12</stp>
        <stp>LA MAR21 50D VOL LME Comdty</stp>
        <stp>PX_LAST</stp>
        <stp>[QwackPricer.xlsx]Base!R83C6</stp>
        <tr r="F83" s="2"/>
      </tp>
      <tp>
        <v>0.02</v>
        <stp/>
        <stp>##V3_BDPV12</stp>
        <stp>FDBSM N21 Index</stp>
        <stp>PX_LAST</stp>
        <stp>[QwackPricer.xlsx]Energy!R77C6</stp>
        <tr r="F77" s="3"/>
      </tp>
      <tp>
        <v>-0.1</v>
        <stp/>
        <stp>##V3_BDPV12</stp>
        <stp>FDBSM K22 Index</stp>
        <stp>PX_LAST</stp>
        <stp>[QwackPricer.xlsx]Energy!R87C6</stp>
        <tr r="F87" s="3"/>
      </tp>
      <tp>
        <v>-0.25</v>
        <stp/>
        <stp>##V3_BDPV12</stp>
        <stp>FDBSM H23 Index</stp>
        <stp>PX_LAST</stp>
        <stp>[QwackPricer.xlsx]Energy!R97C6</stp>
        <tr r="F97" s="3"/>
      </tp>
      <tp>
        <v>-0.5</v>
        <stp/>
        <stp>##V3_BDPV12</stp>
        <stp>XAGSR2y TPMT Curncy</stp>
        <stp>PX_LAST</stp>
        <stp>[QwackPricer.xlsx]FX-IR!R59C4</stp>
        <tr r="D59" s="1"/>
      </tp>
      <tp>
        <v>21.979986190795898</v>
        <stp/>
        <stp>##V3_BDPV12</stp>
        <stp>LX SEP22 25DC VOL LME Comdty</stp>
        <stp>PX_LAST</stp>
        <stp>[QwackPricer.xlsx]Base!R101C29</stp>
        <tr r="AC101" s="2"/>
      </tp>
      <tp>
        <v>32.359275817871094</v>
        <stp/>
        <stp>##V3_BDPV12</stp>
        <stp>LN DEC22 10DC VOL LME Comdty</stp>
        <stp>PX_LAST</stp>
        <stp>[QwackPricer.xlsx]Base!R104C41</stp>
        <tr r="AO104" s="2"/>
      </tp>
      <tp>
        <v>32.209274291992188</v>
        <stp/>
        <stp>##V3_BDPV12</stp>
        <stp>LN FEB23 10DC VOL LME Comdty</stp>
        <stp>PX_LAST</stp>
        <stp>[QwackPricer.xlsx]Base!R106C41</stp>
        <tr r="AO106" s="2"/>
      </tp>
      <tp>
        <v>30.998991012573242</v>
        <stp/>
        <stp>##V3_BDPV12</stp>
        <stp>LN FEB23 25DC VOL LME Comdty</stp>
        <stp>PX_LAST</stp>
        <stp>[QwackPricer.xlsx]Base!R106C40</stp>
        <tr r="AN106" s="2"/>
      </tp>
      <tp>
        <v>21.869997024536133</v>
        <stp/>
        <stp>##V3_BDPV12</stp>
        <stp>LX SEP22 10DC VOL LME Comdty</stp>
        <stp>PX_LAST</stp>
        <stp>[QwackPricer.xlsx]Base!R101C30</stp>
        <tr r="AD101" s="2"/>
      </tp>
      <tp>
        <v>31.138999938964844</v>
        <stp/>
        <stp>##V3_BDPV12</stp>
        <stp>LN DEC22 25DC VOL LME Comdty</stp>
        <stp>PX_LAST</stp>
        <stp>[QwackPricer.xlsx]Base!R104C40</stp>
        <tr r="AN104" s="2"/>
      </tp>
      <tp>
        <v>22.519495010375977</v>
        <stp/>
        <stp>##V3_BDPV12</stp>
        <stp>LP SEP22 10DC VOL LME Comdty</stp>
        <stp>PX_LAST</stp>
        <stp>[QwackPricer.xlsx]Base!R101C19</stp>
        <tr r="S101" s="2"/>
      </tp>
      <tp>
        <v>20.669612884521484</v>
        <stp/>
        <stp>##V3_BDPV12</stp>
        <stp>LP SEP23 10DC VOL LME Comdty</stp>
        <stp>PX_LAST</stp>
        <stp>[QwackPricer.xlsx]Base!R113C19</stp>
        <tr r="S113" s="2"/>
      </tp>
      <tp>
        <v>19.879644393920898</v>
        <stp/>
        <stp>##V3_BDPV12</stp>
        <stp>LP SEP24 10DC VOL LME Comdty</stp>
        <stp>PX_LAST</stp>
        <stp>[QwackPricer.xlsx]Base!R125C19</stp>
        <tr r="S125" s="2"/>
      </tp>
      <tp>
        <v>19.549646377563477</v>
        <stp/>
        <stp>##V3_BDPV12</stp>
        <stp>LP SEP25 10DC VOL LME Comdty</stp>
        <stp>PX_LAST</stp>
        <stp>[QwackPricer.xlsx]Base!R137C19</stp>
        <tr r="S137" s="2"/>
      </tp>
      <tp>
        <v>21.739528656005859</v>
        <stp/>
        <stp>##V3_BDPV12</stp>
        <stp>LP SEP22 25DC VOL LME Comdty</stp>
        <stp>PX_LAST</stp>
        <stp>[QwackPricer.xlsx]Base!R101C18</stp>
        <tr r="R101" s="2"/>
      </tp>
      <tp>
        <v>20.129610061645508</v>
        <stp/>
        <stp>##V3_BDPV12</stp>
        <stp>LP SEP23 25DC VOL LME Comdty</stp>
        <stp>PX_LAST</stp>
        <stp>[QwackPricer.xlsx]Base!R113C18</stp>
        <tr r="R113" s="2"/>
      </tp>
      <tp>
        <v>19.379610061645508</v>
        <stp/>
        <stp>##V3_BDPV12</stp>
        <stp>LP SEP24 25DC VOL LME Comdty</stp>
        <stp>PX_LAST</stp>
        <stp>[QwackPricer.xlsx]Base!R125C18</stp>
        <tr r="R125" s="2"/>
      </tp>
      <tp>
        <v>19.069599151611328</v>
        <stp/>
        <stp>##V3_BDPV12</stp>
        <stp>LP SEP25 25DC VOL LME Comdty</stp>
        <stp>PX_LAST</stp>
        <stp>[QwackPricer.xlsx]Base!R137C18</stp>
        <tr r="R137" s="2"/>
      </tp>
      <tp>
        <v>31.189029693603516</v>
        <stp/>
        <stp>##V3_BDPV12</stp>
        <stp>LN SEP22 25DC VOL LME Comdty</stp>
        <stp>PX_LAST</stp>
        <stp>[QwackPricer.xlsx]Base!R101C40</stp>
        <tr r="AN101" s="2"/>
      </tp>
      <tp>
        <v>21.91999626159668</v>
        <stp/>
        <stp>##V3_BDPV12</stp>
        <stp>LX FEB23 10DC VOL LME Comdty</stp>
        <stp>PX_LAST</stp>
        <stp>[QwackPricer.xlsx]Base!R106C30</stp>
        <tr r="AD106" s="2"/>
      </tp>
      <tp>
        <v>21.919998168945313</v>
        <stp/>
        <stp>##V3_BDPV12</stp>
        <stp>LX DEC22 10DC VOL LME Comdty</stp>
        <stp>PX_LAST</stp>
        <stp>[QwackPricer.xlsx]Base!R104C30</stp>
        <tr r="AD104" s="2"/>
      </tp>
      <tp>
        <v>22.009979248046875</v>
        <stp/>
        <stp>##V3_BDPV12</stp>
        <stp>LX FEB23 25DC VOL LME Comdty</stp>
        <stp>PX_LAST</stp>
        <stp>[QwackPricer.xlsx]Base!R106C29</stp>
        <tr r="AC106" s="2"/>
      </tp>
      <tp>
        <v>22.019981384277344</v>
        <stp/>
        <stp>##V3_BDPV12</stp>
        <stp>LX DEC22 25DC VOL LME Comdty</stp>
        <stp>PX_LAST</stp>
        <stp>[QwackPricer.xlsx]Base!R104C29</stp>
        <tr r="AC104" s="2"/>
      </tp>
      <tp>
        <v>32.419269561767578</v>
        <stp/>
        <stp>##V3_BDPV12</stp>
        <stp>LN SEP22 10DC VOL LME Comdty</stp>
        <stp>PX_LAST</stp>
        <stp>[QwackPricer.xlsx]Base!R101C41</stp>
        <tr r="AO101" s="2"/>
      </tp>
      <tp>
        <v>21.209548950195313</v>
        <stp/>
        <stp>##V3_BDPV12</stp>
        <stp>LP DEC22 25DC VOL LME Comdty</stp>
        <stp>PX_LAST</stp>
        <stp>[QwackPricer.xlsx]Base!R104C18</stp>
        <tr r="R104" s="2"/>
      </tp>
      <tp>
        <v>19.919612884521484</v>
        <stp/>
        <stp>##V3_BDPV12</stp>
        <stp>LP DEC23 25DC VOL LME Comdty</stp>
        <stp>PX_LAST</stp>
        <stp>[QwackPricer.xlsx]Base!R116C18</stp>
        <tr r="R116" s="2"/>
      </tp>
      <tp>
        <v>19.289609909057617</v>
        <stp/>
        <stp>##V3_BDPV12</stp>
        <stp>LP DEC24 25DC VOL LME Comdty</stp>
        <stp>PX_LAST</stp>
        <stp>[QwackPricer.xlsx]Base!R128C18</stp>
        <tr r="R128" s="2"/>
      </tp>
      <tp>
        <v>19.109596252441406</v>
        <stp/>
        <stp>##V3_BDPV12</stp>
        <stp>LP DEC25 25DC VOL LME Comdty</stp>
        <stp>PX_LAST</stp>
        <stp>[QwackPricer.xlsx]Base!R140C18</stp>
        <tr r="R140" s="2"/>
      </tp>
      <tp>
        <v>20.739589691162109</v>
        <stp/>
        <stp>##V3_BDPV12</stp>
        <stp>LP FEB23 25DC VOL LME Comdty</stp>
        <stp>PX_LAST</stp>
        <stp>[QwackPricer.xlsx]Base!R106C18</stp>
        <tr r="R106" s="2"/>
      </tp>
      <tp>
        <v>19.769611358642578</v>
        <stp/>
        <stp>##V3_BDPV12</stp>
        <stp>LP FEB24 25DC VOL LME Comdty</stp>
        <stp>PX_LAST</stp>
        <stp>[QwackPricer.xlsx]Base!R118C18</stp>
        <tr r="R118" s="2"/>
      </tp>
      <tp>
        <v>19.139608383178711</v>
        <stp/>
        <stp>##V3_BDPV12</stp>
        <stp>LP FEB25 25DC VOL LME Comdty</stp>
        <stp>PX_LAST</stp>
        <stp>[QwackPricer.xlsx]Base!R130C18</stp>
        <tr r="R130" s="2"/>
      </tp>
      <tp>
        <v>18.999595642089844</v>
        <stp/>
        <stp>##V3_BDPV12</stp>
        <stp>LP FEB26 25DC VOL LME Comdty</stp>
        <stp>PX_LAST</stp>
        <stp>[QwackPricer.xlsx]Base!R142C18</stp>
        <tr r="R142" s="2"/>
      </tp>
      <tp>
        <v>19.459659576416016</v>
        <stp/>
        <stp>##V3_BDPV12</stp>
        <stp>LP FEB26 10DC VOL LME Comdty</stp>
        <stp>PX_LAST</stp>
        <stp>[QwackPricer.xlsx]Base!R142C19</stp>
        <tr r="S142" s="2"/>
      </tp>
      <tp>
        <v>21.36956787109375</v>
        <stp/>
        <stp>##V3_BDPV12</stp>
        <stp>LP FEB23 10DC VOL LME Comdty</stp>
        <stp>PX_LAST</stp>
        <stp>[QwackPricer.xlsx]Base!R106C19</stp>
        <tr r="S106" s="2"/>
      </tp>
      <tp>
        <v>20.289634704589844</v>
        <stp/>
        <stp>##V3_BDPV12</stp>
        <stp>LP FEB24 10DC VOL LME Comdty</stp>
        <stp>PX_LAST</stp>
        <stp>[QwackPricer.xlsx]Base!R118C19</stp>
        <tr r="S118" s="2"/>
      </tp>
      <tp>
        <v>19.619647979736328</v>
        <stp/>
        <stp>##V3_BDPV12</stp>
        <stp>LP FEB25 10DC VOL LME Comdty</stp>
        <stp>PX_LAST</stp>
        <stp>[QwackPricer.xlsx]Base!R130C19</stp>
        <tr r="S130" s="2"/>
      </tp>
      <tp>
        <v>19.569658279418945</v>
        <stp/>
        <stp>##V3_BDPV12</stp>
        <stp>LP DEC25 10DC VOL LME Comdty</stp>
        <stp>PX_LAST</stp>
        <stp>[QwackPricer.xlsx]Base!R140C19</stp>
        <tr r="S140" s="2"/>
      </tp>
      <tp>
        <v>21.959524154663086</v>
        <stp/>
        <stp>##V3_BDPV12</stp>
        <stp>LP DEC22 10DC VOL LME Comdty</stp>
        <stp>PX_LAST</stp>
        <stp>[QwackPricer.xlsx]Base!R104C19</stp>
        <tr r="S104" s="2"/>
      </tp>
      <tp>
        <v>20.449625015258789</v>
        <stp/>
        <stp>##V3_BDPV12</stp>
        <stp>LP DEC23 10DC VOL LME Comdty</stp>
        <stp>PX_LAST</stp>
        <stp>[QwackPricer.xlsx]Base!R116C19</stp>
        <tr r="S116" s="2"/>
      </tp>
      <tp>
        <v>19.769647598266602</v>
        <stp/>
        <stp>##V3_BDPV12</stp>
        <stp>LP DEC24 10DC VOL LME Comdty</stp>
        <stp>PX_LAST</stp>
        <stp>[QwackPricer.xlsx]Base!R128C19</stp>
        <tr r="S128" s="2"/>
      </tp>
      <tp>
        <v>0.01</v>
        <stp/>
        <stp>##V3_BDPV12</stp>
        <stp>FDBSM Q21 Index</stp>
        <stp>PX_LAST</stp>
        <stp>[QwackPricer.xlsx]Energy!R78C6</stp>
        <tr r="F78" s="3"/>
      </tp>
      <tp>
        <v>-0.1</v>
        <stp/>
        <stp>##V3_BDPV12</stp>
        <stp>FDBSM M22 Index</stp>
        <stp>PX_LAST</stp>
        <stp>[QwackPricer.xlsx]Energy!R88C6</stp>
        <tr r="F88" s="3"/>
      </tp>
      <tp>
        <v>-0.22</v>
        <stp/>
        <stp>##V3_BDPV12</stp>
        <stp>FDBSM J23 Index</stp>
        <stp>PX_LAST</stp>
        <stp>[QwackPricer.xlsx]Energy!R98C6</stp>
        <tr r="F98" s="3"/>
      </tp>
      <tp>
        <v>0</v>
        <stp/>
        <stp>##V3_BDPV12</stp>
        <stp>FDBSM U21 Index</stp>
        <stp>PX_LAST</stp>
        <stp>[QwackPricer.xlsx]Energy!R79C6</stp>
        <tr r="F79" s="3"/>
      </tp>
      <tp>
        <v>-0.1</v>
        <stp/>
        <stp>##V3_BDPV12</stp>
        <stp>FDBSM N22 Index</stp>
        <stp>PX_LAST</stp>
        <stp>[QwackPricer.xlsx]Energy!R89C6</stp>
        <tr r="F89" s="3"/>
      </tp>
      <tp>
        <v>-0.22</v>
        <stp/>
        <stp>##V3_BDPV12</stp>
        <stp>FDBSM K23 Index</stp>
        <stp>PX_LAST</stp>
        <stp>[QwackPricer.xlsx]Energy!R99C6</stp>
        <tr r="F99" s="3"/>
      </tp>
      <tp>
        <v>16.030059814453125</v>
        <stp/>
        <stp>##V3_BDPV12</stp>
        <stp>LA MAY22 50D VOL LME Comdty</stp>
        <stp>PX_LAST</stp>
        <stp>[QwackPricer.xlsx]Base!R97C6</stp>
        <tr r="F97" s="2"/>
      </tp>
      <tp>
        <v>-0.55000000000000004</v>
        <stp/>
        <stp>##V3_BDPV12</stp>
        <stp>XPTSR1m TPMT Curncy</stp>
        <stp>PX_LAST</stp>
        <stp>[QwackPricer.xlsx]FX-IR!R53C5</stp>
        <tr r="E53" s="1"/>
      </tp>
      <tp>
        <v>18.740177154541016</v>
        <stp/>
        <stp>##V3_BDPV12</stp>
        <stp>LP SEP25 50D VOL LME Comdty</stp>
        <stp>PX_LAST</stp>
        <stp>[QwackPricer.xlsx]Base!R137C17</stp>
        <tr r="Q137" s="2"/>
      </tp>
      <tp>
        <v>0.21</v>
        <stp/>
        <stp>##V3_BDPV12</stp>
        <stp>XAUSR1m TPMT Curncy</stp>
        <stp>PX_LAST</stp>
        <stp>[QwackPricer.xlsx]FX-IR!R53C3</stp>
        <tr r="C53" s="1"/>
      </tp>
      <tp>
        <v>16.86998176574707</v>
        <stp/>
        <stp>##V3_BDPV12</stp>
        <stp>LA MAY21 50D VOL LME Comdty</stp>
        <stp>PX_LAST</stp>
        <stp>[QwackPricer.xlsx]Base!R85C6</stp>
        <tr r="F85" s="2"/>
      </tp>
      <tp>
        <v>-19</v>
        <stp/>
        <stp>##V3_BDPV12</stp>
        <stp>LMZSDS 0003 Comdty</stp>
        <stp>PX_SETTLE</stp>
        <stp>[QwackPricer.xlsx]Base!R16C13</stp>
        <tr r="M16" s="2"/>
      </tp>
      <tp>
        <v>19.070163726806641</v>
        <stp/>
        <stp>##V3_BDPV12</stp>
        <stp>LP SEP24 50D VOL LME Comdty</stp>
        <stp>PX_LAST</stp>
        <stp>[QwackPricer.xlsx]Base!R125C17</stp>
        <tr r="Q125" s="2"/>
      </tp>
      <tp>
        <v>-0.85</v>
        <stp/>
        <stp>##V3_BDPV12</stp>
        <stp>XPTSR3m TPMT Curncy</stp>
        <stp>PX_LAST</stp>
        <stp>[QwackPricer.xlsx]FX-IR!R55C5</stp>
        <tr r="E55" s="1"/>
      </tp>
      <tp>
        <v>0.23</v>
        <stp/>
        <stp>##V3_BDPV12</stp>
        <stp>XAUSR2m TPMT Curncy</stp>
        <stp>PX_LAST</stp>
        <stp>[QwackPricer.xlsx]FX-IR!R54C3</stp>
        <tr r="C54" s="1"/>
      </tp>
      <tp>
        <v>19.840147018432617</v>
        <stp/>
        <stp>##V3_BDPV12</stp>
        <stp>LP SEP23 50D VOL LME Comdty</stp>
        <stp>PX_LAST</stp>
        <stp>[QwackPricer.xlsx]Base!R113C17</stp>
        <tr r="Q113" s="2"/>
      </tp>
      <tp>
        <v>-0.65</v>
        <stp/>
        <stp>##V3_BDPV12</stp>
        <stp>XPTSR2m TPMT Curncy</stp>
        <stp>PX_LAST</stp>
        <stp>[QwackPricer.xlsx]FX-IR!R54C5</stp>
        <tr r="E54" s="1"/>
      </tp>
      <tp>
        <v>0.22</v>
        <stp/>
        <stp>##V3_BDPV12</stp>
        <stp>XAUSR3m TPMT Curncy</stp>
        <stp>PX_LAST</stp>
        <stp>[QwackPricer.xlsx]FX-IR!R55C3</stp>
        <tr r="C55" s="1"/>
      </tp>
      <tp>
        <v>21.91999626159668</v>
        <stp/>
        <stp>##V3_BDPV12</stp>
        <stp>LX NOV22 10DC VOL LME Comdty</stp>
        <stp>PX_LAST</stp>
        <stp>[QwackPricer.xlsx]Base!R103C30</stp>
        <tr r="AD103" s="2"/>
      </tp>
      <tp>
        <v>22.029983520507813</v>
        <stp/>
        <stp>##V3_BDPV12</stp>
        <stp>LX NOV22 25DC VOL LME Comdty</stp>
        <stp>PX_LAST</stp>
        <stp>[QwackPricer.xlsx]Base!R103C29</stp>
        <tr r="AC103" s="2"/>
      </tp>
      <tp>
        <v>29.689859390258789</v>
        <stp/>
        <stp>##V3_BDPV12</stp>
        <stp>LN SEP22 50D VOL LME Comdty</stp>
        <stp>PX_LAST</stp>
        <stp>[QwackPricer.xlsx]Base!R101C39</stp>
        <tr r="AM101" s="2"/>
      </tp>
      <tp>
        <v>22.000106811523438</v>
        <stp/>
        <stp>##V3_BDPV12</stp>
        <stp>LX SEP22 50D VOL LME Comdty</stp>
        <stp>PX_LAST</stp>
        <stp>[QwackPricer.xlsx]Base!R101C28</stp>
        <tr r="AB101" s="2"/>
      </tp>
      <tp>
        <v>21.400115966796875</v>
        <stp/>
        <stp>##V3_BDPV12</stp>
        <stp>LP SEP22 50D VOL LME Comdty</stp>
        <stp>PX_LAST</stp>
        <stp>[QwackPricer.xlsx]Base!R101C17</stp>
        <tr r="Q101" s="2"/>
      </tp>
      <tp>
        <v>21.459537506103516</v>
        <stp/>
        <stp>##V3_BDPV12</stp>
        <stp>LP NOV22 25DC VOL LME Comdty</stp>
        <stp>PX_LAST</stp>
        <stp>[QwackPricer.xlsx]Base!R103C18</stp>
        <tr r="R103" s="2"/>
      </tp>
      <tp>
        <v>19.999612808227539</v>
        <stp/>
        <stp>##V3_BDPV12</stp>
        <stp>LP NOV23 25DC VOL LME Comdty</stp>
        <stp>PX_LAST</stp>
        <stp>[QwackPricer.xlsx]Base!R115C18</stp>
        <tr r="R115" s="2"/>
      </tp>
      <tp>
        <v>19.279611587524414</v>
        <stp/>
        <stp>##V3_BDPV12</stp>
        <stp>LP NOV24 25DC VOL LME Comdty</stp>
        <stp>PX_LAST</stp>
        <stp>[QwackPricer.xlsx]Base!R127C18</stp>
        <tr r="R127" s="2"/>
      </tp>
      <tp>
        <v>18.999597549438477</v>
        <stp/>
        <stp>##V3_BDPV12</stp>
        <stp>LP NOV25 25DC VOL LME Comdty</stp>
        <stp>PX_LAST</stp>
        <stp>[QwackPricer.xlsx]Base!R139C18</stp>
        <tr r="R139" s="2"/>
      </tp>
      <tp>
        <v>22.229507446289063</v>
        <stp/>
        <stp>##V3_BDPV12</stp>
        <stp>LP NOV22 10DC VOL LME Comdty</stp>
        <stp>PX_LAST</stp>
        <stp>[QwackPricer.xlsx]Base!R103C19</stp>
        <tr r="S103" s="2"/>
      </tp>
      <tp>
        <v>20.539621353149414</v>
        <stp/>
        <stp>##V3_BDPV12</stp>
        <stp>LP NOV23 10DC VOL LME Comdty</stp>
        <stp>PX_LAST</stp>
        <stp>[QwackPricer.xlsx]Base!R115C19</stp>
        <tr r="S115" s="2"/>
      </tp>
      <tp>
        <v>19.769647598266602</v>
        <stp/>
        <stp>##V3_BDPV12</stp>
        <stp>LP NOV24 10DC VOL LME Comdty</stp>
        <stp>PX_LAST</stp>
        <stp>[QwackPricer.xlsx]Base!R127C19</stp>
        <tr r="S127" s="2"/>
      </tp>
      <tp>
        <v>19.469654083251953</v>
        <stp/>
        <stp>##V3_BDPV12</stp>
        <stp>LP NOV25 10DC VOL LME Comdty</stp>
        <stp>PX_LAST</stp>
        <stp>[QwackPricer.xlsx]Base!R139C19</stp>
        <tr r="S139" s="2"/>
      </tp>
      <tp>
        <v>32.399269104003906</v>
        <stp/>
        <stp>##V3_BDPV12</stp>
        <stp>LN NOV22 10DC VOL LME Comdty</stp>
        <stp>PX_LAST</stp>
        <stp>[QwackPricer.xlsx]Base!R103C41</stp>
        <tr r="AO103" s="2"/>
      </tp>
      <tp>
        <v>31.159008026123047</v>
        <stp/>
        <stp>##V3_BDPV12</stp>
        <stp>LN NOV22 25DC VOL LME Comdty</stp>
        <stp>PX_LAST</stp>
        <stp>[QwackPricer.xlsx]Base!R103C40</stp>
        <tr r="AN103" s="2"/>
      </tp>
      <tp>
        <v>-1.2</v>
        <stp/>
        <stp>##V3_BDPV12</stp>
        <stp>XPTSR9m TPMT Curncy</stp>
        <stp>PX_LAST</stp>
        <stp>[QwackPricer.xlsx]FX-IR!R57C5</stp>
        <tr r="E57" s="1"/>
      </tp>
      <tp>
        <v>0.24</v>
        <stp/>
        <stp>##V3_BDPV12</stp>
        <stp>XAUSR6m TPMT Curncy</stp>
        <stp>PX_LAST</stp>
        <stp>[QwackPricer.xlsx]FX-IR!R56C3</stp>
        <tr r="C56" s="1"/>
      </tp>
      <tp>
        <v>16.680007934570313</v>
        <stp/>
        <stp>##V3_BDPV12</stp>
        <stp>LA SEP21 50D VOL LME Comdty</stp>
        <stp>PX_LAST</stp>
        <stp>[QwackPricer.xlsx]Base!R89C6</stp>
        <tr r="F89" s="2"/>
      </tp>
      <tp>
        <v>37.694000000000003</v>
        <stp/>
        <stp>##V3_BDPV12</stp>
        <stp>FS1SM M23 Index</stp>
        <stp>PX_LAST</stp>
        <stp>[QwackPricer.xlsx]Energy!R100C22</stp>
        <tr r="V100" s="3"/>
      </tp>
      <tp>
        <v>-1</v>
        <stp/>
        <stp>##V3_BDPV12</stp>
        <stp>XPTSR6m TPMT Curncy</stp>
        <stp>PX_LAST</stp>
        <stp>[QwackPricer.xlsx]FX-IR!R56C5</stp>
        <tr r="E56" s="1"/>
      </tp>
      <tp>
        <v>0.26</v>
        <stp/>
        <stp>##V3_BDPV12</stp>
        <stp>XAUSR9m TPMT Curncy</stp>
        <stp>PX_LAST</stp>
        <stp>[QwackPricer.xlsx]FX-IR!R57C3</stp>
        <tr r="C57" s="1"/>
      </tp>
      <tp>
        <v>-8.42</v>
        <stp/>
        <stp>##V3_BDPV12</stp>
        <stp>FROSM M23 Index</stp>
        <stp>PX_LAST</stp>
        <stp>[QwackPricer.xlsx]Energy!R100C14</stp>
        <tr r="N100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Risk%20Management%20Sheets\Energy\Delta%20Vol%20Bootstrapper_201807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tion"/>
      <sheetName val="Surface"/>
      <sheetName val="BB Data"/>
      <sheetName val="Chains"/>
      <sheetName val="Delta Vol Bootstrapper_20180709"/>
    </sheetNames>
    <sheetDataSet>
      <sheetData sheetId="0"/>
      <sheetData sheetId="1">
        <row r="37">
          <cell r="E37" t="str">
            <v>RR</v>
          </cell>
          <cell r="H37" t="str">
            <v>BF</v>
          </cell>
        </row>
        <row r="38">
          <cell r="D38" t="str">
            <v>ATM</v>
          </cell>
          <cell r="E38">
            <v>0.25</v>
          </cell>
          <cell r="F38">
            <v>0.1</v>
          </cell>
          <cell r="G38">
            <v>0.05</v>
          </cell>
          <cell r="H38">
            <v>0.25</v>
          </cell>
          <cell r="I38">
            <v>0.1</v>
          </cell>
          <cell r="J38">
            <v>0.05</v>
          </cell>
        </row>
        <row r="39">
          <cell r="C39">
            <v>44250</v>
          </cell>
          <cell r="D39">
            <v>0.28316479294117686</v>
          </cell>
          <cell r="E39">
            <v>-3.9702532133656765E-2</v>
          </cell>
          <cell r="F39">
            <v>-7.8383399452020996E-2</v>
          </cell>
          <cell r="G39">
            <v>-0.12702750229297088</v>
          </cell>
          <cell r="H39">
            <v>8.9516716743850977E-3</v>
          </cell>
          <cell r="I39">
            <v>4.1002359761388496E-2</v>
          </cell>
          <cell r="J39">
            <v>8.6110292019898393E-2</v>
          </cell>
          <cell r="L39">
            <v>44259</v>
          </cell>
          <cell r="M39">
            <v>0.29401379428002555</v>
          </cell>
          <cell r="N39">
            <v>-3.4249032216078834E-2</v>
          </cell>
          <cell r="O39">
            <v>-5.3162610732991999E-2</v>
          </cell>
          <cell r="P39">
            <v>1.3575037798182754E-2</v>
          </cell>
          <cell r="Q39">
            <v>3.7951314215877052E-2</v>
          </cell>
        </row>
        <row r="40">
          <cell r="C40">
            <v>44281</v>
          </cell>
          <cell r="D40">
            <v>0.29197925245633222</v>
          </cell>
          <cell r="E40">
            <v>-5.7157865366799454E-2</v>
          </cell>
          <cell r="F40">
            <v>-0.12198978568688851</v>
          </cell>
          <cell r="G40">
            <v>-0.16973485832912505</v>
          </cell>
          <cell r="H40">
            <v>1.3095028281808807E-2</v>
          </cell>
          <cell r="I40">
            <v>5.286044540350282E-2</v>
          </cell>
          <cell r="J40">
            <v>9.7359577325969782E-2</v>
          </cell>
          <cell r="L40">
            <v>44287</v>
          </cell>
          <cell r="M40">
            <v>0.29622921154919185</v>
          </cell>
          <cell r="N40">
            <v>-3.4628225261861878E-2</v>
          </cell>
          <cell r="O40">
            <v>-6.8246305433500298E-2</v>
          </cell>
          <cell r="P40">
            <v>6.181462915345215E-3</v>
          </cell>
          <cell r="Q40">
            <v>2.101148318854823E-2</v>
          </cell>
        </row>
        <row r="41">
          <cell r="C41">
            <v>44313</v>
          </cell>
          <cell r="D41">
            <v>0.28753049517152118</v>
          </cell>
          <cell r="E41">
            <v>-6.7378756964503295E-2</v>
          </cell>
          <cell r="F41">
            <v>-0.13468762177194332</v>
          </cell>
          <cell r="G41">
            <v>-0.19052858247734727</v>
          </cell>
          <cell r="H41">
            <v>1.0718623466554611E-2</v>
          </cell>
          <cell r="I41">
            <v>5.080573927005605E-2</v>
          </cell>
          <cell r="J41">
            <v>9.395431267559734E-2</v>
          </cell>
          <cell r="L41">
            <v>44321</v>
          </cell>
          <cell r="M41">
            <v>0.29226127526549872</v>
          </cell>
          <cell r="N41">
            <v>-5.3052123529208683E-2</v>
          </cell>
          <cell r="O41">
            <v>-9.2755267905423822E-2</v>
          </cell>
          <cell r="P41">
            <v>5.6296429976719908E-3</v>
          </cell>
          <cell r="Q41">
            <v>1.9628810471695068E-2</v>
          </cell>
        </row>
        <row r="42">
          <cell r="C42">
            <v>44341</v>
          </cell>
          <cell r="D42">
            <v>0.28612189749892347</v>
          </cell>
          <cell r="E42">
            <v>-6.8110004499519483E-2</v>
          </cell>
          <cell r="F42">
            <v>-0.14287103684224833</v>
          </cell>
          <cell r="G42">
            <v>-0.20830064507113039</v>
          </cell>
          <cell r="H42">
            <v>1.2546023055170941E-2</v>
          </cell>
          <cell r="I42">
            <v>5.0880048703671521E-2</v>
          </cell>
          <cell r="J42">
            <v>9.4649565774814204E-2</v>
          </cell>
          <cell r="L42">
            <v>44350</v>
          </cell>
          <cell r="M42">
            <v>0.29160102625567252</v>
          </cell>
          <cell r="N42">
            <v>-5.7755026627867245E-2</v>
          </cell>
          <cell r="O42">
            <v>-0.10236946217262</v>
          </cell>
          <cell r="P42">
            <v>5.606590557293567E-3</v>
          </cell>
          <cell r="Q42">
            <v>1.9464926754219625E-2</v>
          </cell>
        </row>
        <row r="43">
          <cell r="C43">
            <v>44372</v>
          </cell>
          <cell r="D43">
            <v>0.28558276971029867</v>
          </cell>
          <cell r="E43">
            <v>-7.2472040521191272E-2</v>
          </cell>
          <cell r="F43">
            <v>-0.15459889991618248</v>
          </cell>
          <cell r="G43">
            <v>-0.21102202667672587</v>
          </cell>
          <cell r="H43">
            <v>1.4046472055656067E-2</v>
          </cell>
          <cell r="I43">
            <v>5.6561648590479741E-2</v>
          </cell>
          <cell r="J43">
            <v>9.9194215777988926E-2</v>
          </cell>
          <cell r="L43">
            <v>44382</v>
          </cell>
          <cell r="M43">
            <v>0.29167762252386392</v>
          </cell>
          <cell r="N43">
            <v>-2.9376994659051692E-2</v>
          </cell>
          <cell r="O43">
            <v>-7.2718192767371459E-2</v>
          </cell>
          <cell r="P43">
            <v>6.4303149234005708E-3</v>
          </cell>
          <cell r="Q43">
            <v>2.2947212292219299E-2</v>
          </cell>
        </row>
        <row r="44">
          <cell r="C44">
            <v>44404</v>
          </cell>
          <cell r="D44">
            <v>0.28147764517666457</v>
          </cell>
          <cell r="E44">
            <v>-7.4072627081955E-2</v>
          </cell>
          <cell r="F44">
            <v>-0.14160644211393142</v>
          </cell>
          <cell r="G44">
            <v>-0.19063294073721904</v>
          </cell>
          <cell r="H44">
            <v>1.4195529680441854E-2</v>
          </cell>
          <cell r="I44">
            <v>5.1270600937207755E-2</v>
          </cell>
          <cell r="J44">
            <v>9.0434022489627064E-2</v>
          </cell>
          <cell r="L44">
            <v>44413</v>
          </cell>
          <cell r="M44">
            <v>0.29318341704410228</v>
          </cell>
          <cell r="N44">
            <v>-2.8034911488855396E-2</v>
          </cell>
          <cell r="O44">
            <v>-6.6606971720531802E-2</v>
          </cell>
          <cell r="P44">
            <v>6.1474283413442965E-3</v>
          </cell>
          <cell r="Q44">
            <v>2.080062009108043E-2</v>
          </cell>
        </row>
        <row r="45">
          <cell r="C45">
            <v>44433</v>
          </cell>
          <cell r="D45">
            <v>0.27940188255535692</v>
          </cell>
          <cell r="E45">
            <v>-7.3838968060472909E-2</v>
          </cell>
          <cell r="F45">
            <v>-0.14680472927393412</v>
          </cell>
          <cell r="G45">
            <v>-0.18729628945745391</v>
          </cell>
          <cell r="H45">
            <v>1.4866353405793453E-2</v>
          </cell>
          <cell r="I45">
            <v>5.3307780428185625E-2</v>
          </cell>
          <cell r="J45">
            <v>8.9581113348796704E-2</v>
          </cell>
          <cell r="L45">
            <v>44442</v>
          </cell>
          <cell r="M45">
            <v>0.29248533563231405</v>
          </cell>
          <cell r="N45">
            <v>-2.6771053893962504E-2</v>
          </cell>
          <cell r="O45">
            <v>-6.9052073515992005E-2</v>
          </cell>
          <cell r="P45">
            <v>6.1502817428785717E-3</v>
          </cell>
          <cell r="Q45">
            <v>2.162710926566741E-2</v>
          </cell>
        </row>
        <row r="46">
          <cell r="C46">
            <v>44466</v>
          </cell>
          <cell r="D46">
            <v>0.27595570871542596</v>
          </cell>
          <cell r="E46">
            <v>-7.4255122754601832E-2</v>
          </cell>
          <cell r="F46">
            <v>-0.13799219798881224</v>
          </cell>
          <cell r="G46">
            <v>-0.17324057098433659</v>
          </cell>
          <cell r="H46">
            <v>1.4606297680702207E-2</v>
          </cell>
          <cell r="I46">
            <v>5.1719437772069721E-2</v>
          </cell>
          <cell r="J46">
            <v>8.7363387776727808E-2</v>
          </cell>
          <cell r="L46">
            <v>44474</v>
          </cell>
          <cell r="M46">
            <v>0.28810788469039289</v>
          </cell>
          <cell r="N46">
            <v>-4.9230427593717319E-2</v>
          </cell>
          <cell r="O46">
            <v>-6.4906951208476116E-2</v>
          </cell>
          <cell r="P46">
            <v>1.0295412751909427E-2</v>
          </cell>
          <cell r="Q46">
            <v>2.098271439686555E-2</v>
          </cell>
        </row>
        <row r="47">
          <cell r="C47">
            <v>44495</v>
          </cell>
          <cell r="D47">
            <v>0.27281671484629788</v>
          </cell>
          <cell r="E47">
            <v>-7.3773803549100181E-2</v>
          </cell>
          <cell r="F47">
            <v>-0.12662749715159771</v>
          </cell>
          <cell r="G47">
            <v>-0.16476886417689235</v>
          </cell>
          <cell r="H47">
            <v>1.4484777212143474E-2</v>
          </cell>
          <cell r="I47">
            <v>5.0529622418559572E-2</v>
          </cell>
          <cell r="J47">
            <v>8.7590301384204206E-2</v>
          </cell>
          <cell r="L47">
            <v>44504</v>
          </cell>
          <cell r="M47">
            <v>0.29189189699604906</v>
          </cell>
          <cell r="N47">
            <v>-1.1748786172760484E-2</v>
          </cell>
          <cell r="O47">
            <v>-5.9561373027311001E-2</v>
          </cell>
          <cell r="P47">
            <v>2.4810367953273516E-3</v>
          </cell>
          <cell r="Q47">
            <v>2.0500003121895132E-2</v>
          </cell>
        </row>
        <row r="48">
          <cell r="C48">
            <v>44677</v>
          </cell>
          <cell r="D48">
            <v>0.25701479350730844</v>
          </cell>
          <cell r="E48">
            <v>-7.4443413207040343E-2</v>
          </cell>
          <cell r="F48">
            <v>-0.1221880372581988</v>
          </cell>
          <cell r="G48">
            <v>-0.15400199771669931</v>
          </cell>
          <cell r="H48">
            <v>1.523542898777569E-2</v>
          </cell>
          <cell r="I48">
            <v>4.7033525615607918E-2</v>
          </cell>
          <cell r="J48">
            <v>8.1797843229671707E-2</v>
          </cell>
          <cell r="L48">
            <v>44533</v>
          </cell>
          <cell r="M48">
            <v>0.29088076630194459</v>
          </cell>
          <cell r="N48">
            <v>-1.1520407338901917E-2</v>
          </cell>
          <cell r="O48">
            <v>-5.7473198399378839E-2</v>
          </cell>
          <cell r="P48">
            <v>2.5207002155879787E-3</v>
          </cell>
          <cell r="Q48">
            <v>1.9081627287195996E-2</v>
          </cell>
        </row>
        <row r="49">
          <cell r="C49">
            <v>44860</v>
          </cell>
          <cell r="D49">
            <v>0.24217228359442541</v>
          </cell>
          <cell r="E49">
            <v>-6.7610041403239479E-2</v>
          </cell>
          <cell r="F49">
            <v>-0.1224624765285692</v>
          </cell>
          <cell r="G49">
            <v>-0.16277280783474318</v>
          </cell>
          <cell r="H49">
            <v>1.2150520710160567E-2</v>
          </cell>
          <cell r="I49">
            <v>4.2945711564660621E-2</v>
          </cell>
          <cell r="J49">
            <v>7.6675187763417335E-2</v>
          </cell>
          <cell r="L49">
            <v>44715</v>
          </cell>
          <cell r="M49">
            <v>0.27815697442648901</v>
          </cell>
          <cell r="N49">
            <v>-1.0462916510814688E-2</v>
          </cell>
          <cell r="O49">
            <v>-5.7602285525979041E-2</v>
          </cell>
          <cell r="P49">
            <v>2.0103024468941769E-3</v>
          </cell>
          <cell r="Q49">
            <v>1.7423190180502587E-2</v>
          </cell>
        </row>
        <row r="50">
          <cell r="C50">
            <v>45041</v>
          </cell>
          <cell r="D50">
            <v>0.23633511605997165</v>
          </cell>
          <cell r="E50">
            <v>-6.4373537188734342E-2</v>
          </cell>
          <cell r="F50">
            <v>-0.14063514077001638</v>
          </cell>
          <cell r="G50">
            <v>-0.18240229634928978</v>
          </cell>
          <cell r="H50">
            <v>1.1936381791758682E-2</v>
          </cell>
          <cell r="I50">
            <v>4.6229523958248753E-2</v>
          </cell>
          <cell r="J50">
            <v>7.1873342699856166E-2</v>
          </cell>
          <cell r="L50">
            <v>44900</v>
          </cell>
          <cell r="M50">
            <v>0.26724858483759123</v>
          </cell>
          <cell r="N50">
            <v>-9.962054912737859E-3</v>
          </cell>
          <cell r="O50">
            <v>-6.615010379714871E-2</v>
          </cell>
          <cell r="P50">
            <v>1.9748731840743047E-3</v>
          </cell>
          <cell r="Q50">
            <v>1.8755441661874206E-2</v>
          </cell>
        </row>
        <row r="51">
          <cell r="C51">
            <v>45225</v>
          </cell>
          <cell r="D51">
            <v>0.22933609864029308</v>
          </cell>
          <cell r="E51">
            <v>-6.1051044722030184E-2</v>
          </cell>
          <cell r="F51">
            <v>-0.11394872115369968</v>
          </cell>
          <cell r="G51">
            <v>-0.14763226120170864</v>
          </cell>
          <cell r="H51">
            <v>1.1949429380199217E-2</v>
          </cell>
          <cell r="I51">
            <v>4.1391670089950788E-2</v>
          </cell>
          <cell r="J51">
            <v>6.7372217030495785E-2</v>
          </cell>
          <cell r="L51">
            <v>45082</v>
          </cell>
          <cell r="M51">
            <v>0.25681380597882136</v>
          </cell>
          <cell r="N51">
            <v>-9.4478862986468945E-3</v>
          </cell>
          <cell r="O51">
            <v>-5.3597697492948661E-2</v>
          </cell>
          <cell r="P51">
            <v>1.9770319062882543E-3</v>
          </cell>
          <cell r="Q51">
            <v>1.6792711392847829E-2</v>
          </cell>
        </row>
        <row r="52">
          <cell r="C52">
            <v>45593</v>
          </cell>
          <cell r="D52">
            <v>0.22460224873410739</v>
          </cell>
          <cell r="E52">
            <v>-5.9856465543180054E-2</v>
          </cell>
          <cell r="F52">
            <v>-0.11691509418514839</v>
          </cell>
          <cell r="G52">
            <v>-0.15281044705463998</v>
          </cell>
          <cell r="H52">
            <v>1.181334624101027E-2</v>
          </cell>
          <cell r="I52">
            <v>4.2802138371563617E-2</v>
          </cell>
          <cell r="J52">
            <v>6.3152977962346937E-2</v>
          </cell>
          <cell r="L52">
            <v>45265</v>
          </cell>
          <cell r="M52">
            <v>0.24770722266871248</v>
          </cell>
          <cell r="N52">
            <v>-9.2630205308636554E-3</v>
          </cell>
          <cell r="O52">
            <v>-5.4992980939582298E-2</v>
          </cell>
          <cell r="P52">
            <v>1.9545169644007172E-3</v>
          </cell>
          <cell r="Q52">
            <v>1.7364942151607204E-2</v>
          </cell>
        </row>
      </sheetData>
      <sheetData sheetId="2"/>
      <sheetData sheetId="3"/>
      <sheetData sheetId="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Gavin Brennan" id="{0CE68563-33B9-4C11-9B76-E5FB4149211B}" userId="9798bcd43cf414b7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3" dT="2020-05-11T12:18:59.59" personId="{0CE68563-33B9-4C11-9B76-E5FB4149211B}" id="{F5E58993-FF94-41D8-B77E-F22115EAA9A7}">
    <text>Additional time spread in units/year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231EE-CDEF-4A3C-AFE6-7A493A0BB9BE}">
  <sheetPr codeName="Sheet1">
    <tabColor theme="4"/>
  </sheetPr>
  <dimension ref="A1:AC208"/>
  <sheetViews>
    <sheetView workbookViewId="0">
      <selection activeCell="B88" sqref="B88"/>
    </sheetView>
  </sheetViews>
  <sheetFormatPr defaultRowHeight="15" x14ac:dyDescent="0.25"/>
  <cols>
    <col min="1" max="1" width="11.28515625" style="3" customWidth="1"/>
    <col min="2" max="2" width="13.85546875" bestFit="1" customWidth="1"/>
    <col min="3" max="3" width="24.42578125" bestFit="1" customWidth="1"/>
    <col min="4" max="4" width="12.28515625" customWidth="1"/>
    <col min="5" max="5" width="10.5703125" customWidth="1"/>
    <col min="6" max="6" width="11.140625" customWidth="1"/>
    <col min="7" max="7" width="9.85546875" bestFit="1" customWidth="1"/>
    <col min="8" max="8" width="11.5703125" customWidth="1"/>
    <col min="9" max="9" width="13.85546875" customWidth="1"/>
    <col min="10" max="10" width="14.85546875" customWidth="1"/>
    <col min="11" max="11" width="14.42578125" customWidth="1"/>
    <col min="12" max="13" width="17" bestFit="1" customWidth="1"/>
    <col min="14" max="14" width="17.85546875" customWidth="1"/>
    <col min="16" max="16" width="13.42578125" bestFit="1" customWidth="1"/>
    <col min="17" max="17" width="24.42578125" bestFit="1" customWidth="1"/>
    <col min="18" max="18" width="26.5703125" bestFit="1" customWidth="1"/>
    <col min="19" max="19" width="10.140625" bestFit="1" customWidth="1"/>
    <col min="20" max="20" width="11.5703125" bestFit="1" customWidth="1"/>
    <col min="21" max="21" width="15.28515625" bestFit="1" customWidth="1"/>
    <col min="22" max="22" width="15.7109375" bestFit="1" customWidth="1"/>
    <col min="23" max="24" width="26.140625" bestFit="1" customWidth="1"/>
    <col min="25" max="25" width="26.5703125" bestFit="1" customWidth="1"/>
    <col min="26" max="27" width="26.42578125" bestFit="1" customWidth="1"/>
    <col min="28" max="28" width="26" bestFit="1" customWidth="1"/>
    <col min="29" max="29" width="26.28515625" bestFit="1" customWidth="1"/>
  </cols>
  <sheetData>
    <row r="1" spans="1:29" x14ac:dyDescent="0.25">
      <c r="A1" s="3" t="s">
        <v>0</v>
      </c>
      <c r="B1" s="1">
        <f ca="1">TODAY()</f>
        <v>44238</v>
      </c>
      <c r="D1" s="1"/>
      <c r="K1" s="3" t="s">
        <v>80</v>
      </c>
      <c r="P1" s="3" t="s">
        <v>81</v>
      </c>
    </row>
    <row r="2" spans="1:29" x14ac:dyDescent="0.25">
      <c r="A2" s="3" t="s">
        <v>59</v>
      </c>
      <c r="B2" s="1" cm="1">
        <f t="array" aca="1" ref="B2" ca="1">_xll.QDates_SpotDate(valDate,"2b","LON","NYC")</f>
        <v>44243</v>
      </c>
      <c r="L2" t="str">
        <f t="array" aca="1" ref="L2:N15" ca="1">_xll.QCurves_ExtractCalibrationInfoFromModel(B6)</f>
        <v>Time (ms)</v>
      </c>
      <c r="M2">
        <f ca="1"/>
        <v>62</v>
      </c>
      <c r="N2" s="21" t="str">
        <f ca="1"/>
        <v>Curves in stage</v>
      </c>
      <c r="Q2" s="5" t="s">
        <v>82</v>
      </c>
      <c r="R2" s="5" t="s">
        <v>54</v>
      </c>
      <c r="T2" s="5" t="s">
        <v>83</v>
      </c>
      <c r="U2" t="str">
        <f t="array" aca="1" ref="U2:AC2" ca="1">TRANSPOSE(R3:R11)</f>
        <v>ZAR.JIBAR.3M¬1</v>
      </c>
      <c r="V2" t="str">
        <f ca="1"/>
        <v>USD.LIBOR.3M¬1</v>
      </c>
      <c r="W2" t="str">
        <f ca="1"/>
        <v>ZAR.DISC.[USD.LIBOR.3M]¬1</v>
      </c>
      <c r="X2" t="str">
        <f ca="1"/>
        <v>EUR.DISC.[USD.LIBOR.3M]¬1</v>
      </c>
      <c r="Y2" t="str">
        <f ca="1"/>
        <v>AUD.DISC.[USD.LIBOR.3M]¬1</v>
      </c>
      <c r="Z2" t="str">
        <f ca="1"/>
        <v>XAU.DISC.[USD.LIBOR.3M]¬1</v>
      </c>
      <c r="AA2" t="str">
        <f ca="1"/>
        <v>XAG.DISC.[USD.LIBOR.3M]¬1</v>
      </c>
      <c r="AB2" t="str">
        <f ca="1"/>
        <v>XPT.DISC.[USD.LIBOR.3M]¬1</v>
      </c>
      <c r="AC2" t="str">
        <f ca="1"/>
        <v>XPD.DISC.[USD.LIBOR.3M]¬1</v>
      </c>
    </row>
    <row r="3" spans="1:29" x14ac:dyDescent="0.25">
      <c r="L3" t="str">
        <f ca="1"/>
        <v>Passes Stage 0</v>
      </c>
      <c r="M3" s="8">
        <f ca="1"/>
        <v>4</v>
      </c>
      <c r="N3" t="str">
        <f ca="1"/>
        <v>ZAR.JIBAR.3M</v>
      </c>
      <c r="Q3" t="str">
        <f t="array" aca="1" ref="Q3:Q12" ca="1">_xll.QCurves_ListCurvesInModel(B6)</f>
        <v>ZAR.JIBAR.3M</v>
      </c>
      <c r="R3" t="str" cm="1">
        <f t="array" aca="1" ref="R3" ca="1">_xll.QCurves_ExtractCurveFromModel($B$6,Q3,Q3)</f>
        <v>ZAR.JIBAR.3M¬1</v>
      </c>
      <c r="T3" s="1">
        <f ca="1">valDate+1</f>
        <v>44239</v>
      </c>
      <c r="U3" s="11" cm="1">
        <f t="array" aca="1" ref="U3" ca="1">_xll.QCurves_GetForwardRate(U$2,valDate,$T3,"CC","Act365F")</f>
        <v>3.5228299899927193E-2</v>
      </c>
      <c r="V3" s="11" cm="1">
        <f t="array" aca="1" ref="V3" ca="1">_xll.QCurves_GetForwardRate(V$2,valDate,$T3,"CC","Act365F")</f>
        <v>8.0989354596170977E-4</v>
      </c>
      <c r="W3" s="11" cm="1">
        <f t="array" aca="1" ref="W3" ca="1">_xll.QCurves_GetForwardRate(W$2,valDate,$T3,"CC","Act365F")</f>
        <v>2.8207339209417266E-2</v>
      </c>
      <c r="X3" s="11" cm="1">
        <f t="array" aca="1" ref="X3" ca="1">_xll.QCurves_GetForwardRate(X$2,valDate,$T3,"CC","Act365F")</f>
        <v>-5.7493336785746744E-3</v>
      </c>
      <c r="Y3" s="11" cm="1">
        <f t="array" aca="1" ref="Y3" ca="1">_xll.QCurves_GetForwardRate(Y$2,valDate,$T3,"CC","Act365F")</f>
        <v>-1.075234811176213E-3</v>
      </c>
      <c r="Z3" s="11" cm="1">
        <f t="array" aca="1" ref="Z3" ca="1">_xll.QCurves_GetForwardRate(Z$2,valDate,$T3,"CC","Act365F")</f>
        <v>-7.1096830302552186E-4</v>
      </c>
      <c r="AA3" s="11" cm="1">
        <f t="array" aca="1" ref="AA3" ca="1">_xll.QCurves_GetForwardRate(AA$2,valDate,$T3,"CC","Act365F")</f>
        <v>8.5712140952022495E-3</v>
      </c>
      <c r="AB3" s="11" cm="1">
        <f t="array" aca="1" ref="AB3" ca="1">_xll.QCurves_GetForwardRate(AB$2,valDate,$T3,"CC","Act365F")</f>
        <v>6.036183795899517E-3</v>
      </c>
      <c r="AC3" s="11" cm="1">
        <f t="array" aca="1" ref="AC3" ca="1">_xll.QCurves_GetForwardRate(AC$2,valDate,$T3,"CC","Act365F")</f>
        <v>2.994310111974095E-3</v>
      </c>
    </row>
    <row r="4" spans="1:29" x14ac:dyDescent="0.25">
      <c r="A4" s="3" t="s">
        <v>23</v>
      </c>
      <c r="B4" t="str" cm="1">
        <f t="array" aca="1" ref="B4" ca="1">_xll.QIns_CreateFundingInstrumentCollection(A4,E66:E91,K66:L88,O50:R62,L32:N45)</f>
        <v>Instruments¬1</v>
      </c>
      <c r="L4" t="str">
        <f ca="1"/>
        <v>Passes Stage 1</v>
      </c>
      <c r="M4" s="8">
        <f ca="1"/>
        <v>5</v>
      </c>
      <c r="N4" t="str">
        <f ca="1"/>
        <v>USD.LIBOR.3M</v>
      </c>
      <c r="Q4" t="str">
        <f ca="1"/>
        <v>USD.LIBOR.3M</v>
      </c>
      <c r="R4" t="str" cm="1">
        <f t="array" aca="1" ref="R4" ca="1">_xll.QCurves_ExtractCurveFromModel($B$6,Q4,Q4)</f>
        <v>USD.LIBOR.3M¬1</v>
      </c>
      <c r="T4" s="1">
        <f ca="1">T3+1</f>
        <v>44240</v>
      </c>
      <c r="U4" s="11" cm="1">
        <f t="array" aca="1" ref="U4" ca="1">_xll.QCurves_GetForwardRate(U$2,valDate,$T4,"CC","Act365F")</f>
        <v>3.5211827746102542E-2</v>
      </c>
      <c r="V4" s="11" cm="1">
        <f t="array" aca="1" ref="V4" ca="1">_xll.QCurves_GetForwardRate(V$2,valDate,$T4,"CC","Act365F")</f>
        <v>8.1968100582765547E-4</v>
      </c>
      <c r="W4" s="11" cm="1">
        <f t="array" aca="1" ref="W4" ca="1">_xll.QCurves_GetForwardRate(W$2,valDate,$T4,"CC","Act365F")</f>
        <v>2.9459924665744909E-2</v>
      </c>
      <c r="X4" s="11" cm="1">
        <f t="array" aca="1" ref="X4" ca="1">_xll.QCurves_GetForwardRate(X$2,valDate,$T4,"CC","Act365F")</f>
        <v>-5.7647339690838507E-3</v>
      </c>
      <c r="Y4" s="11" cm="1">
        <f t="array" aca="1" ref="Y4" ca="1">_xll.QCurves_GetForwardRate(Y$2,valDate,$T4,"CC","Act365F")</f>
        <v>-1.0401967583219499E-3</v>
      </c>
      <c r="Z4" s="11" cm="1">
        <f t="array" aca="1" ref="Z4" ca="1">_xll.QCurves_GetForwardRate(Z$2,valDate,$T4,"CC","Act365F")</f>
        <v>-7.011776747736458E-4</v>
      </c>
      <c r="AA4" s="11" cm="1">
        <f t="array" aca="1" ref="AA4" ca="1">_xll.QCurves_GetForwardRate(AA$2,valDate,$T4,"CC","Act365F")</f>
        <v>8.5712140952272902E-3</v>
      </c>
      <c r="AB4" s="11" cm="1">
        <f t="array" aca="1" ref="AB4" ca="1">_xll.QCurves_GetForwardRate(AB$2,valDate,$T4,"CC","Act365F")</f>
        <v>6.0361837959058339E-3</v>
      </c>
      <c r="AC4" s="11" cm="1">
        <f t="array" aca="1" ref="AC4" ca="1">_xll.QCurves_GetForwardRate(AC$2,valDate,$T4,"CC","Act365F")</f>
        <v>2.9943101119626002E-3</v>
      </c>
    </row>
    <row r="5" spans="1:29" x14ac:dyDescent="0.25">
      <c r="A5" s="3" t="s">
        <v>77</v>
      </c>
      <c r="B5" t="str">
        <f ca="1">_xll.QIns_CreateFxMatrix(A5,"USD",valDate,$H$12:$I$18,I21:I27,B20:C27)</f>
        <v>FX Matrix¬1</v>
      </c>
      <c r="L5" t="str">
        <f ca="1"/>
        <v>Passes Stage 2</v>
      </c>
      <c r="M5" s="8">
        <f ca="1"/>
        <v>4</v>
      </c>
      <c r="N5" t="str">
        <f ca="1"/>
        <v>ZAR.DISC.[USD.LIBOR.3M]</v>
      </c>
      <c r="Q5" t="str">
        <f ca="1"/>
        <v>ZAR.DISC.[USD.LIBOR.3M]</v>
      </c>
      <c r="R5" t="str" cm="1">
        <f t="array" aca="1" ref="R5" ca="1">_xll.QCurves_ExtractCurveFromModel($B$6,Q5,Q5)</f>
        <v>ZAR.DISC.[USD.LIBOR.3M]¬1</v>
      </c>
      <c r="T5" s="1">
        <f ca="1">MetalSpotDate</f>
        <v>44243</v>
      </c>
      <c r="U5" s="11" cm="1">
        <f t="array" aca="1" ref="U5" ca="1">_xll.QCurves_GetForwardRate(U$2,valDate,$T5,"CC","Act365F")</f>
        <v>3.5162411284601638E-2</v>
      </c>
      <c r="V5" s="11" cm="1">
        <f t="array" aca="1" ref="V5" ca="1">_xll.QCurves_GetForwardRate(V$2,valDate,$T5,"CC","Act365F")</f>
        <v>8.4904338549746919E-4</v>
      </c>
      <c r="W5" s="11" cm="1">
        <f t="array" aca="1" ref="W5" ca="1">_xll.QCurves_GetForwardRate(W$2,valDate,$T5,"CC","Act365F")</f>
        <v>3.3217681034718345E-2</v>
      </c>
      <c r="X5" s="11" cm="1">
        <f t="array" aca="1" ref="X5" ca="1">_xll.QCurves_GetForwardRate(X$2,valDate,$T5,"CC","Act365F")</f>
        <v>-5.8109348405651602E-3</v>
      </c>
      <c r="Y5" s="11" cm="1">
        <f t="array" aca="1" ref="Y5" ca="1">_xll.QCurves_GetForwardRate(Y$2,valDate,$T5,"CC","Act365F")</f>
        <v>-9.3508259985084809E-4</v>
      </c>
      <c r="Z5" s="11" cm="1">
        <f t="array" aca="1" ref="Z5" ca="1">_xll.QCurves_GetForwardRate(Z$2,valDate,$T5,"CC","Act365F")</f>
        <v>-6.7180578996793258E-4</v>
      </c>
      <c r="AA5" s="11" cm="1">
        <f t="array" aca="1" ref="AA5" ca="1">_xll.QCurves_GetForwardRate(AA$2,valDate,$T5,"CC","Act365F")</f>
        <v>8.5712140952187692E-3</v>
      </c>
      <c r="AB5" s="11" cm="1">
        <f t="array" aca="1" ref="AB5" ca="1">_xll.QCurves_GetForwardRate(AB$2,valDate,$T5,"CC","Act365F")</f>
        <v>6.0361837959056145E-3</v>
      </c>
      <c r="AC5" s="11" cm="1">
        <f t="array" aca="1" ref="AC5" ca="1">_xll.QCurves_GetForwardRate(AC$2,valDate,$T5,"CC","Act365F")</f>
        <v>2.9943101119708502E-3</v>
      </c>
    </row>
    <row r="6" spans="1:29" x14ac:dyDescent="0.25">
      <c r="A6" s="3" t="s">
        <v>79</v>
      </c>
      <c r="B6" t="str">
        <f ca="1">_xll.QCurves_CreateFundingModel(A6,valDate,B4,,B5,M95:M208)</f>
        <v>F-Model¬1</v>
      </c>
      <c r="L6" t="str">
        <f ca="1"/>
        <v>Passes Stage 3</v>
      </c>
      <c r="M6" s="8">
        <f ca="1"/>
        <v>6</v>
      </c>
      <c r="N6" t="str">
        <f ca="1"/>
        <v>EUR.DISC.[USD.LIBOR.3M]</v>
      </c>
      <c r="Q6" t="str">
        <f ca="1"/>
        <v>EUR.DISC.[USD.LIBOR.3M]</v>
      </c>
      <c r="R6" t="str" cm="1">
        <f t="array" aca="1" ref="R6" ca="1">_xll.QCurves_ExtractCurveFromModel($B$6,Q6,Q6)</f>
        <v>EUR.DISC.[USD.LIBOR.3M]¬1</v>
      </c>
      <c r="T6" s="1">
        <f ca="1">S52</f>
        <v>44250</v>
      </c>
      <c r="U6" s="11" cm="1">
        <f t="array" aca="1" ref="U6" ca="1">_xll.QCurves_GetForwardRate(U$2,valDate,$T6,"CC","Act365F")</f>
        <v>3.5047106207796649E-2</v>
      </c>
      <c r="V6" s="11" cm="1">
        <f t="array" aca="1" ref="V6" ca="1">_xll.QCurves_GetForwardRate(V$2,valDate,$T6,"CC","Act365F")</f>
        <v>9.1755560471779669E-4</v>
      </c>
      <c r="W6" s="11" cm="1">
        <f t="array" aca="1" ref="W6" ca="1">_xll.QCurves_GetForwardRate(W$2,valDate,$T6,"CC","Act365F")</f>
        <v>4.1985779228993693E-2</v>
      </c>
      <c r="X6" s="11" cm="1">
        <f t="array" aca="1" ref="X6" ca="1">_xll.QCurves_GetForwardRate(X$2,valDate,$T6,"CC","Act365F")</f>
        <v>-5.9187368739963423E-3</v>
      </c>
      <c r="Y6" s="11" cm="1">
        <f t="array" aca="1" ref="Y6" ca="1">_xll.QCurves_GetForwardRate(Y$2,valDate,$T6,"CC","Act365F")</f>
        <v>-6.8981623008612257E-4</v>
      </c>
      <c r="Z6" s="11" cm="1">
        <f t="array" aca="1" ref="Z6" ca="1">_xll.QCurves_GetForwardRate(Z$2,valDate,$T6,"CC","Act365F")</f>
        <v>-6.0327139211384048E-4</v>
      </c>
      <c r="AA6" s="11" cm="1">
        <f t="array" aca="1" ref="AA6" ca="1">_xll.QCurves_GetForwardRate(AA$2,valDate,$T6,"CC","Act365F")</f>
        <v>8.5712140952210764E-3</v>
      </c>
      <c r="AB6" s="11" cm="1">
        <f t="array" aca="1" ref="AB6" ca="1">_xll.QCurves_GetForwardRate(AB$2,valDate,$T6,"CC","Act365F")</f>
        <v>6.0361837959055859E-3</v>
      </c>
      <c r="AC6" s="11" cm="1">
        <f t="array" aca="1" ref="AC6" ca="1">_xll.QCurves_GetForwardRate(AC$2,valDate,$T6,"CC","Act365F")</f>
        <v>2.9943101119726547E-3</v>
      </c>
    </row>
    <row r="7" spans="1:29" x14ac:dyDescent="0.25">
      <c r="A7" s="3" t="s">
        <v>154</v>
      </c>
      <c r="B7" t="str">
        <f ca="1">_xll.QCurves_CreateAssetFxModel(A7,valDate,_xll.QUtils_Join(CurvesBase,CurvesEnergyBasis,CurvesEnergyFlat),_xll.QUtils_Join(VolsBase,VolsEnergy),FundingModel,_xll.QUtils_Join(FixingsBase,FixingsEnergy,$N$22:$N$27),CorrelMatrix)</f>
        <v>A-Model¬1</v>
      </c>
      <c r="L7" t="str">
        <f ca="1"/>
        <v>Passes Stage 4</v>
      </c>
      <c r="M7" s="8">
        <f ca="1"/>
        <v>6</v>
      </c>
      <c r="N7" t="str">
        <f ca="1"/>
        <v>AUD.DISC.[USD.LIBOR.3M]</v>
      </c>
      <c r="Q7" t="str">
        <f ca="1"/>
        <v>AUD.DISC.[USD.LIBOR.3M]</v>
      </c>
      <c r="R7" t="str" cm="1">
        <f t="array" aca="1" ref="R7" ca="1">_xll.QCurves_ExtractCurveFromModel($B$6,Q7,Q7)</f>
        <v>AUD.DISC.[USD.LIBOR.3M]¬1</v>
      </c>
      <c r="T7" s="1">
        <f t="shared" ref="T7:T14" ca="1" si="0">S53</f>
        <v>44271</v>
      </c>
      <c r="U7" s="11" cm="1">
        <f t="array" aca="1" ref="U7" ca="1">_xll.QCurves_GetForwardRate(U$2,valDate,$T7,"CC","Act365F")</f>
        <v>3.4904509577696058E-2</v>
      </c>
      <c r="V7" s="11" cm="1">
        <f t="array" aca="1" ref="V7" ca="1">_xll.QCurves_GetForwardRate(V$2,valDate,$T7,"CC","Act365F")</f>
        <v>1.1101526184802177E-3</v>
      </c>
      <c r="W7" s="11" cm="1">
        <f t="array" aca="1" ref="W7" ca="1">_xll.QCurves_GetForwardRate(W$2,valDate,$T7,"CC","Act365F")</f>
        <v>4.7731933577540395E-2</v>
      </c>
      <c r="X7" s="11" cm="1">
        <f t="array" aca="1" ref="X7" ca="1">_xll.QCurves_GetForwardRate(X$2,valDate,$T7,"CC","Act365F")</f>
        <v>-5.9417793681184675E-3</v>
      </c>
      <c r="Y7" s="11" cm="1">
        <f t="array" aca="1" ref="Y7" ca="1">_xll.QCurves_GetForwardRate(Y$2,valDate,$T7,"CC","Act365F")</f>
        <v>-5.8817364175243016E-4</v>
      </c>
      <c r="Z7" s="11" cm="1">
        <f t="array" aca="1" ref="Z7" ca="1">_xll.QCurves_GetForwardRate(Z$2,valDate,$T7,"CC","Act365F")</f>
        <v>-9.2669721120633344E-4</v>
      </c>
      <c r="AA7" s="11" cm="1">
        <f t="array" aca="1" ref="AA7" ca="1">_xll.QCurves_GetForwardRate(AA$2,valDate,$T7,"CC","Act365F")</f>
        <v>8.7340812569830558E-3</v>
      </c>
      <c r="AB7" s="11" cm="1">
        <f t="array" aca="1" ref="AB7" ca="1">_xll.QCurves_GetForwardRate(AB$2,valDate,$T7,"CC","Act365F")</f>
        <v>6.6285767651965716E-3</v>
      </c>
      <c r="AC7" s="11" cm="1">
        <f t="array" aca="1" ref="AC7" ca="1">_xll.QCurves_GetForwardRate(AC$2,valDate,$T7,"CC","Act365F")</f>
        <v>3.1689939823527255E-4</v>
      </c>
    </row>
    <row r="8" spans="1:29" x14ac:dyDescent="0.25">
      <c r="E8">
        <f>D12*D15</f>
        <v>27025.643252000002</v>
      </c>
      <c r="L8" t="str">
        <f ca="1"/>
        <v>Passes Stage 5</v>
      </c>
      <c r="M8" s="186">
        <f ca="1"/>
        <v>4</v>
      </c>
      <c r="N8" t="str">
        <f ca="1"/>
        <v>XAU.DISC.[USD.LIBOR.3M]</v>
      </c>
      <c r="Q8" t="str">
        <f ca="1"/>
        <v>XAU.DISC.[USD.LIBOR.3M]</v>
      </c>
      <c r="R8" t="str" cm="1">
        <f t="array" aca="1" ref="R8" ca="1">_xll.QCurves_ExtractCurveFromModel($B$6,Q8,Q8)</f>
        <v>XAU.DISC.[USD.LIBOR.3M]¬1</v>
      </c>
      <c r="T8" s="1">
        <f t="shared" ca="1" si="0"/>
        <v>44302</v>
      </c>
      <c r="U8" s="11" cm="1">
        <f t="array" aca="1" ref="U8" ca="1">_xll.QCurves_GetForwardRate(U$2,valDate,$T8,"CC","Act365F")</f>
        <v>3.5654448130956334E-2</v>
      </c>
      <c r="V8" s="11" cm="1">
        <f t="array" aca="1" ref="V8" ca="1">_xll.QCurves_GetForwardRate(V$2,valDate,$T8,"CC","Act365F")</f>
        <v>1.5574248277454169E-3</v>
      </c>
      <c r="W8" s="11" cm="1">
        <f t="array" aca="1" ref="W8" ca="1">_xll.QCurves_GetForwardRate(W$2,valDate,$T8,"CC","Act365F")</f>
        <v>4.9689925135347042E-2</v>
      </c>
      <c r="X8" s="11" cm="1">
        <f t="array" aca="1" ref="X8" ca="1">_xll.QCurves_GetForwardRate(X$2,valDate,$T8,"CC","Act365F")</f>
        <v>-5.9065790160923171E-3</v>
      </c>
      <c r="Y8" s="11" cm="1">
        <f t="array" aca="1" ref="Y8" ca="1">_xll.QCurves_GetForwardRate(Y$2,valDate,$T8,"CC","Act365F")</f>
        <v>-2.3853428137652388E-4</v>
      </c>
      <c r="Z8" s="11" cm="1">
        <f t="array" aca="1" ref="Z8" ca="1">_xll.QCurves_GetForwardRate(Z$2,valDate,$T8,"CC","Act365F")</f>
        <v>-7.1074773031254933E-4</v>
      </c>
      <c r="AA8" s="11" cm="1">
        <f t="array" aca="1" ref="AA8" ca="1">_xll.QCurves_GetForwardRate(AA$2,valDate,$T8,"CC","Act365F")</f>
        <v>9.1751223791175819E-3</v>
      </c>
      <c r="AB8" s="11" cm="1">
        <f t="array" aca="1" ref="AB8" ca="1">_xll.QCurves_GetForwardRate(AB$2,valDate,$T8,"CC","Act365F")</f>
        <v>8.0413207995654809E-3</v>
      </c>
      <c r="AC8" s="11" cm="1">
        <f t="array" aca="1" ref="AC8" ca="1">_xll.QCurves_GetForwardRate(AC$2,valDate,$T8,"CC","Act365F")</f>
        <v>2.1923823494527602E-3</v>
      </c>
    </row>
    <row r="9" spans="1:29" x14ac:dyDescent="0.25">
      <c r="L9" t="str">
        <f ca="1"/>
        <v>Passes Stage 6</v>
      </c>
      <c r="M9" s="186">
        <f ca="1"/>
        <v>5</v>
      </c>
      <c r="N9" t="str">
        <f ca="1"/>
        <v>XAG.DISC.[USD.LIBOR.3M]</v>
      </c>
      <c r="Q9" t="str">
        <f ca="1"/>
        <v>XAG.DISC.[USD.LIBOR.3M]</v>
      </c>
      <c r="R9" t="str" cm="1">
        <f t="array" aca="1" ref="R9" ca="1">_xll.QCurves_ExtractCurveFromModel($B$6,Q9,Q9)</f>
        <v>XAG.DISC.[USD.LIBOR.3M]¬1</v>
      </c>
      <c r="T9" s="1">
        <f t="shared" ca="1" si="0"/>
        <v>44333</v>
      </c>
      <c r="U9" s="11" cm="1">
        <f t="array" aca="1" ref="U9" ca="1">_xll.QCurves_GetForwardRate(U$2,valDate,$T9,"CC","Act365F")</f>
        <v>3.6267434623842153E-2</v>
      </c>
      <c r="V9" s="11" cm="1">
        <f t="array" aca="1" ref="V9" ca="1">_xll.QCurves_GetForwardRate(V$2,valDate,$T9,"CC","Act365F")</f>
        <v>2.0361603633639678E-3</v>
      </c>
      <c r="W9" s="11" cm="1">
        <f t="array" aca="1" ref="W9" ca="1">_xll.QCurves_GetForwardRate(W$2,valDate,$T9,"CC","Act365F")</f>
        <v>5.02626906022835E-2</v>
      </c>
      <c r="X9" s="11" cm="1">
        <f t="array" aca="1" ref="X9" ca="1">_xll.QCurves_GetForwardRate(X$2,valDate,$T9,"CC","Act365F")</f>
        <v>-5.4270094533526506E-3</v>
      </c>
      <c r="Y9" s="11" cm="1">
        <f t="array" aca="1" ref="Y9" ca="1">_xll.QCurves_GetForwardRate(Y$2,valDate,$T9,"CC","Act365F")</f>
        <v>3.0555828506380962E-4</v>
      </c>
      <c r="Z9" s="11" cm="1">
        <f t="array" aca="1" ref="Z9" ca="1">_xll.QCurves_GetForwardRate(Z$2,valDate,$T9,"CC","Act365F")</f>
        <v>-1.5646131938626978E-4</v>
      </c>
      <c r="AA9" s="11" cm="1">
        <f t="array" aca="1" ref="AA9" ca="1">_xll.QCurves_GetForwardRate(AA$2,valDate,$T9,"CC","Act365F")</f>
        <v>9.6532999238126554E-3</v>
      </c>
      <c r="AB9" s="11" cm="1">
        <f t="array" aca="1" ref="AB9" ca="1">_xll.QCurves_GetForwardRate(AB$2,valDate,$T9,"CC","Act365F")</f>
        <v>1.0482328499738281E-2</v>
      </c>
      <c r="AC9" s="11" cm="1">
        <f t="array" aca="1" ref="AC9" ca="1">_xll.QCurves_GetForwardRate(AC$2,valDate,$T9,"CC","Act365F")</f>
        <v>6.9547048658438271E-3</v>
      </c>
    </row>
    <row r="10" spans="1:29" x14ac:dyDescent="0.25">
      <c r="L10" t="str">
        <f ca="1"/>
        <v>Passes Stage 7</v>
      </c>
      <c r="M10" s="8">
        <f ca="1"/>
        <v>5</v>
      </c>
      <c r="N10" t="str">
        <f ca="1"/>
        <v>XPT.DISC.[USD.LIBOR.3M]</v>
      </c>
      <c r="Q10" t="str">
        <f ca="1"/>
        <v>XPT.DISC.[USD.LIBOR.3M]</v>
      </c>
      <c r="R10" t="str" cm="1">
        <f t="array" aca="1" ref="R10" ca="1">_xll.QCurves_ExtractCurveFromModel($B$6,Q10,Q10)</f>
        <v>XPT.DISC.[USD.LIBOR.3M]¬1</v>
      </c>
      <c r="T10" s="1">
        <f t="shared" ca="1" si="0"/>
        <v>44424</v>
      </c>
      <c r="U10" s="11" cm="1">
        <f t="array" aca="1" ref="U10" ca="1">_xll.QCurves_GetForwardRate(U$2,valDate,$T10,"CC","Act365F")</f>
        <v>3.640212673106611E-2</v>
      </c>
      <c r="V10" s="11" cm="1">
        <f t="array" aca="1" ref="V10" ca="1">_xll.QCurves_GetForwardRate(V$2,valDate,$T10,"CC","Act365F")</f>
        <v>1.5581314370478124E-3</v>
      </c>
      <c r="W10" s="11" cm="1">
        <f t="array" aca="1" ref="W10" ca="1">_xll.QCurves_GetForwardRate(W$2,valDate,$T10,"CC","Act365F")</f>
        <v>4.7654042237753255E-2</v>
      </c>
      <c r="X10" s="11" cm="1">
        <f t="array" aca="1" ref="X10" ca="1">_xll.QCurves_GetForwardRate(X$2,valDate,$T10,"CC","Act365F")</f>
        <v>-6.0070997480859189E-3</v>
      </c>
      <c r="Y10" s="11" cm="1">
        <f t="array" aca="1" ref="Y10" ca="1">_xll.QCurves_GetForwardRate(Y$2,valDate,$T10,"CC","Act365F")</f>
        <v>-9.8081489063063699E-5</v>
      </c>
      <c r="Z10" s="11" cm="1">
        <f t="array" aca="1" ref="Z10" ca="1">_xll.QCurves_GetForwardRate(Z$2,valDate,$T10,"CC","Act365F")</f>
        <v>-8.4924525472509973E-4</v>
      </c>
      <c r="AA10" s="11" cm="1">
        <f t="array" aca="1" ref="AA10" ca="1">_xll.QCurves_GetForwardRate(AA$2,valDate,$T10,"CC","Act365F")</f>
        <v>9.1794570464561048E-3</v>
      </c>
      <c r="AB10" s="11" cm="1">
        <f t="array" aca="1" ref="AB10" ca="1">_xll.QCurves_GetForwardRate(AB$2,valDate,$T10,"CC","Act365F")</f>
        <v>1.1588795135780983E-2</v>
      </c>
      <c r="AC10" s="11" cm="1">
        <f t="array" aca="1" ref="AC10" ca="1">_xll.QCurves_GetForwardRate(AC$2,valDate,$T10,"CC","Act365F")</f>
        <v>6.5551800846071267E-3</v>
      </c>
    </row>
    <row r="11" spans="1:29" x14ac:dyDescent="0.25">
      <c r="A11" s="3" t="s">
        <v>2</v>
      </c>
      <c r="B11" s="5" t="s">
        <v>40</v>
      </c>
      <c r="C11" s="5" t="s">
        <v>14</v>
      </c>
      <c r="D11" s="5" t="s">
        <v>15</v>
      </c>
      <c r="E11" s="5" t="s">
        <v>16</v>
      </c>
      <c r="F11" s="5" t="s">
        <v>17</v>
      </c>
      <c r="G11" s="5" t="s">
        <v>41</v>
      </c>
      <c r="H11" s="5" t="s">
        <v>19</v>
      </c>
      <c r="I11" s="7" t="s">
        <v>18</v>
      </c>
      <c r="L11" t="str">
        <f ca="1"/>
        <v>Passes Stage 8</v>
      </c>
      <c r="M11" s="186">
        <f ca="1"/>
        <v>5</v>
      </c>
      <c r="N11" t="str">
        <f ca="1"/>
        <v>XPD.DISC.[USD.LIBOR.3M]</v>
      </c>
      <c r="Q11" t="str">
        <f ca="1"/>
        <v>XPD.DISC.[USD.LIBOR.3M]</v>
      </c>
      <c r="R11" t="str" cm="1">
        <f t="array" aca="1" ref="R11" ca="1">_xll.QCurves_ExtractCurveFromModel($B$6,Q11,Q11)</f>
        <v>XPD.DISC.[USD.LIBOR.3M]¬1</v>
      </c>
      <c r="T11" s="1">
        <f t="shared" ca="1" si="0"/>
        <v>44516</v>
      </c>
      <c r="U11" s="11" cm="1">
        <f t="array" aca="1" ref="U11" ca="1">_xll.QCurves_GetForwardRate(U$2,valDate,$T11,"CC","Act365F")</f>
        <v>3.6722223136097222E-2</v>
      </c>
      <c r="V11" s="11" cm="1">
        <f t="array" aca="1" ref="V11" ca="1">_xll.QCurves_GetForwardRate(V$2,valDate,$T11,"CC","Act365F")</f>
        <v>1.6048415109112598E-3</v>
      </c>
      <c r="W11" s="11" cm="1">
        <f t="array" aca="1" ref="W11" ca="1">_xll.QCurves_GetForwardRate(W$2,valDate,$T11,"CC","Act365F")</f>
        <v>4.5759454031953806E-2</v>
      </c>
      <c r="X11" s="11" cm="1">
        <f t="array" aca="1" ref="X11" ca="1">_xll.QCurves_GetForwardRate(X$2,valDate,$T11,"CC","Act365F")</f>
        <v>-6.0622569016495374E-3</v>
      </c>
      <c r="Y11" s="11" cm="1">
        <f t="array" aca="1" ref="Y11" ca="1">_xll.QCurves_GetForwardRate(Y$2,valDate,$T11,"CC","Act365F")</f>
        <v>-1.1648097831683123E-6</v>
      </c>
      <c r="Z11" s="11" cm="1">
        <f t="array" aca="1" ref="Z11" ca="1">_xll.QCurves_GetForwardRate(Z$2,valDate,$T11,"CC","Act365F")</f>
        <v>-1.0086622560313489E-3</v>
      </c>
      <c r="AA11" s="11" cm="1">
        <f t="array" aca="1" ref="AA11" ca="1">_xll.QCurves_GetForwardRate(AA$2,valDate,$T11,"CC","Act365F")</f>
        <v>9.2324468369412837E-3</v>
      </c>
      <c r="AB11" s="11" cm="1">
        <f t="array" aca="1" ref="AB11" ca="1">_xll.QCurves_GetForwardRate(AB$2,valDate,$T11,"CC","Act365F")</f>
        <v>1.3700671877315929E-2</v>
      </c>
      <c r="AC11" s="11" cm="1">
        <f t="array" aca="1" ref="AC11" ca="1">_xll.QCurves_GetForwardRate(AC$2,valDate,$T11,"CC","Act365F")</f>
        <v>7.9310739597331873E-3</v>
      </c>
    </row>
    <row r="12" spans="1:29" x14ac:dyDescent="0.25">
      <c r="B12" s="8" t="str">
        <f t="shared" ref="B12:B18" si="1">H12</f>
        <v>ZAR</v>
      </c>
      <c r="C12" s="8" t="s">
        <v>7</v>
      </c>
      <c r="D12" cm="1">
        <f t="array" ref="D12">_xll.BDP(B12&amp;" Curncy","PX_LAST")</f>
        <v>14.660600000000001</v>
      </c>
      <c r="E12" s="6"/>
      <c r="F12">
        <f>IF(E12&lt;&gt;"",E12,D12)</f>
        <v>14.660600000000001</v>
      </c>
      <c r="G12" t="b">
        <f>LEFT(C12,3)="USD"</f>
        <v>1</v>
      </c>
      <c r="H12" s="8" t="str">
        <f>IF(G12,RIGHT(C12,3),LEFT(C12,3))</f>
        <v>ZAR</v>
      </c>
      <c r="I12" s="13">
        <f>IF(G12,F12,1/F12)</f>
        <v>14.660600000000001</v>
      </c>
      <c r="L12" t="str">
        <f ca="1"/>
        <v>Passes Stage 9</v>
      </c>
      <c r="M12" s="186">
        <f ca="1"/>
        <v>4</v>
      </c>
      <c r="N12" t="str">
        <f ca="1"/>
        <v>ZAR.FUNDING.3M</v>
      </c>
      <c r="Q12" t="str">
        <f ca="1"/>
        <v>ZAR.FUNDING.3M</v>
      </c>
      <c r="T12" s="1">
        <f t="shared" ca="1" si="0"/>
        <v>44608</v>
      </c>
      <c r="U12" s="11" cm="1">
        <f t="array" aca="1" ref="U12" ca="1">_xll.QCurves_GetForwardRate(U$2,valDate,$T12,"CC","Act365F")</f>
        <v>3.7123063376918515E-2</v>
      </c>
      <c r="V12" s="11" cm="1">
        <f t="array" aca="1" ref="V12" ca="1">_xll.QCurves_GetForwardRate(V$2,valDate,$T12,"CC","Act365F")</f>
        <v>1.6997310739350379E-3</v>
      </c>
      <c r="W12" s="11" cm="1">
        <f t="array" aca="1" ref="W12" ca="1">_xll.QCurves_GetForwardRate(W$2,valDate,$T12,"CC","Act365F")</f>
        <v>4.4997110040759208E-2</v>
      </c>
      <c r="X12" s="11" cm="1">
        <f t="array" aca="1" ref="X12" ca="1">_xll.QCurves_GetForwardRate(X$2,valDate,$T12,"CC","Act365F")</f>
        <v>-6.3753029585966285E-3</v>
      </c>
      <c r="Y12" s="11" cm="1">
        <f t="array" aca="1" ref="Y12" ca="1">_xll.QCurves_GetForwardRate(Y$2,valDate,$T12,"CC","Act365F")</f>
        <v>3.390537626370816E-5</v>
      </c>
      <c r="Z12" s="11" cm="1">
        <f t="array" aca="1" ref="Z12" ca="1">_xll.QCurves_GetForwardRate(Z$2,valDate,$T12,"CC","Act365F")</f>
        <v>-1.2171093735160832E-3</v>
      </c>
      <c r="AA12" s="11" cm="1">
        <f t="array" aca="1" ref="AA12" ca="1">_xll.QCurves_GetForwardRate(AA$2,valDate,$T12,"CC","Act365F")</f>
        <v>9.3341587820101081E-3</v>
      </c>
      <c r="AB12" s="11" cm="1">
        <f t="array" aca="1" ref="AB12" ca="1">_xll.QCurves_GetForwardRate(AB$2,valDate,$T12,"CC","Act365F")</f>
        <v>1.4858717678054837E-2</v>
      </c>
      <c r="AC12" s="11" cm="1">
        <f t="array" aca="1" ref="AC12" ca="1">_xll.QCurves_GetForwardRate(AC$2,valDate,$T12,"CC","Act365F")</f>
        <v>9.2587952146687604E-3</v>
      </c>
    </row>
    <row r="13" spans="1:29" x14ac:dyDescent="0.25">
      <c r="B13" s="8" t="str">
        <f t="shared" si="1"/>
        <v>EUR</v>
      </c>
      <c r="C13" s="8" t="s">
        <v>8</v>
      </c>
      <c r="D13" s="185" cm="1">
        <f t="array" ref="D13">_xll.BDP(B13&amp;" Curncy","PX_LAST")</f>
        <v>1.2132000000000001</v>
      </c>
      <c r="E13" s="6"/>
      <c r="F13">
        <f t="shared" ref="F13:F18" si="2">IF(E13&lt;&gt;"",E13,D13)</f>
        <v>1.2132000000000001</v>
      </c>
      <c r="G13" t="b">
        <f t="shared" ref="G13:G18" si="3">LEFT(C13,3)="USD"</f>
        <v>0</v>
      </c>
      <c r="H13" s="8" t="str">
        <f t="shared" ref="H13:H18" si="4">IF(G13,RIGHT(C13,3),LEFT(C13,3))</f>
        <v>EUR</v>
      </c>
      <c r="I13" s="13">
        <f t="shared" ref="I13:I18" si="5">IF(G13,F13,1/F13)</f>
        <v>0.82426640290141773</v>
      </c>
      <c r="L13" t="e">
        <f ca="1"/>
        <v>#N/A</v>
      </c>
      <c r="M13" s="186" t="e">
        <f ca="1"/>
        <v>#N/A</v>
      </c>
      <c r="N13" t="e">
        <f ca="1"/>
        <v>#N/A</v>
      </c>
      <c r="T13" s="1">
        <f t="shared" ca="1" si="0"/>
        <v>44973</v>
      </c>
      <c r="U13" s="11" cm="1">
        <f t="array" aca="1" ref="U13" ca="1">_xll.QCurves_GetForwardRate(U$2,valDate,$T13,"CC","Act365F")</f>
        <v>3.9880373970942636E-2</v>
      </c>
      <c r="V13" s="11" cm="1">
        <f t="array" aca="1" ref="V13" ca="1">_xll.QCurves_GetForwardRate(V$2,valDate,$T13,"CC","Act365F")</f>
        <v>1.9399124606854896E-3</v>
      </c>
      <c r="W13" s="11" cm="1">
        <f t="array" aca="1" ref="W13" ca="1">_xll.QCurves_GetForwardRate(W$2,valDate,$T13,"CC","Act365F")</f>
        <v>4.5280349442711205E-2</v>
      </c>
      <c r="X13" s="11" cm="1">
        <f t="array" aca="1" ref="X13" ca="1">_xll.QCurves_GetForwardRate(X$2,valDate,$T13,"CC","Act365F")</f>
        <v>-6.4116492160559485E-3</v>
      </c>
      <c r="Y13" s="11" cm="1">
        <f t="array" aca="1" ref="Y13" ca="1">_xll.QCurves_GetForwardRate(Y$2,valDate,$T13,"CC","Act365F")</f>
        <v>7.0845535332448857E-4</v>
      </c>
      <c r="Z13" s="11" cm="1">
        <f t="array" aca="1" ref="Z13" ca="1">_xll.QCurves_GetForwardRate(Z$2,valDate,$T13,"CC","Act365F")</f>
        <v>-8.034392068127895E-5</v>
      </c>
      <c r="AA13" s="11" cm="1">
        <f t="array" aca="1" ref="AA13" ca="1">_xll.QCurves_GetForwardRate(AA$2,valDate,$T13,"CC","Act365F")</f>
        <v>9.6029008702786054E-3</v>
      </c>
      <c r="AB13" s="11" cm="1">
        <f t="array" aca="1" ref="AB13" ca="1">_xll.QCurves_GetForwardRate(AB$2,valDate,$T13,"CC","Act365F")</f>
        <v>1.6588085842833087E-2</v>
      </c>
      <c r="AC13" s="11" cm="1">
        <f t="array" aca="1" ref="AC13" ca="1">_xll.QCurves_GetForwardRate(AC$2,valDate,$T13,"CC","Act365F")</f>
        <v>9.5649627479434708E-3</v>
      </c>
    </row>
    <row r="14" spans="1:29" x14ac:dyDescent="0.25">
      <c r="B14" s="8" t="str">
        <f t="shared" si="1"/>
        <v>AUD</v>
      </c>
      <c r="C14" s="8" t="s">
        <v>9</v>
      </c>
      <c r="D14" s="185" cm="1">
        <f t="array" ref="D14">_xll.BDP(B14&amp;" Curncy","PX_LAST")</f>
        <v>0.77449999999999997</v>
      </c>
      <c r="E14" s="6"/>
      <c r="F14">
        <f t="shared" si="2"/>
        <v>0.77449999999999997</v>
      </c>
      <c r="G14" t="b">
        <f t="shared" si="3"/>
        <v>0</v>
      </c>
      <c r="H14" s="8" t="str">
        <f t="shared" si="4"/>
        <v>AUD</v>
      </c>
      <c r="I14" s="13">
        <f t="shared" si="5"/>
        <v>1.2911555842479019</v>
      </c>
      <c r="L14" t="e">
        <f ca="1"/>
        <v>#N/A</v>
      </c>
      <c r="M14" s="186" t="e">
        <f ca="1"/>
        <v>#N/A</v>
      </c>
      <c r="N14" t="e">
        <f ca="1"/>
        <v>#N/A</v>
      </c>
      <c r="T14" s="1">
        <f t="shared" ca="1" si="0"/>
        <v>45338</v>
      </c>
      <c r="U14" s="11" cm="1">
        <f t="array" aca="1" ref="U14" ca="1">_xll.QCurves_GetForwardRate(U$2,valDate,$T14,"CC","Act365F")</f>
        <v>4.3189452973161152E-2</v>
      </c>
      <c r="V14" s="11" cm="1">
        <f t="array" aca="1" ref="V14" ca="1">_xll.QCurves_GetForwardRate(V$2,valDate,$T14,"CC","Act365F")</f>
        <v>2.7436297786223494E-3</v>
      </c>
      <c r="W14" s="11" cm="1">
        <f t="array" aca="1" ref="W14" ca="1">_xll.QCurves_GetForwardRate(W$2,valDate,$T14,"CC","Act365F")</f>
        <v>4.7575534963473748E-2</v>
      </c>
      <c r="X14" s="11" cm="1">
        <f t="array" aca="1" ref="X14" ca="1">_xll.QCurves_GetForwardRate(X$2,valDate,$T14,"CC","Act365F")</f>
        <v>-6.1646281458612971E-3</v>
      </c>
      <c r="Y14" s="11" cm="1">
        <f t="array" aca="1" ref="Y14" ca="1">_xll.QCurves_GetForwardRate(Y$2,valDate,$T14,"CC","Act365F")</f>
        <v>1.7007656969480092E-3</v>
      </c>
      <c r="Z14" s="11" cm="1">
        <f t="array" aca="1" ref="Z14" ca="1">_xll.QCurves_GetForwardRate(Z$2,valDate,$T14,"CC","Act365F")</f>
        <v>1.4272396765144493E-3</v>
      </c>
      <c r="AA14" s="11" cm="1">
        <f t="array" aca="1" ref="AA14" ca="1">_xll.QCurves_GetForwardRate(AA$2,valDate,$T14,"CC","Act365F")</f>
        <v>1.0436009586795164E-2</v>
      </c>
      <c r="AB14" s="11" cm="1">
        <f t="array" aca="1" ref="AB14" ca="1">_xll.QCurves_GetForwardRate(AB$2,valDate,$T14,"CC","Act365F")</f>
        <v>1.8262653233553441E-2</v>
      </c>
      <c r="AC14" s="11" cm="1">
        <f t="array" aca="1" ref="AC14" ca="1">_xll.QCurves_GetForwardRate(AC$2,valDate,$T14,"CC","Act365F")</f>
        <v>1.1134438227982451E-2</v>
      </c>
    </row>
    <row r="15" spans="1:29" x14ac:dyDescent="0.25">
      <c r="B15" s="8" t="str">
        <f t="shared" si="1"/>
        <v>XAU</v>
      </c>
      <c r="C15" s="8" t="s">
        <v>10</v>
      </c>
      <c r="D15" s="185" cm="1">
        <f t="array" ref="D15">_xll.BDP(B15&amp;" Curncy","PX_LAST")</f>
        <v>1843.42</v>
      </c>
      <c r="E15" s="6"/>
      <c r="F15">
        <f t="shared" si="2"/>
        <v>1843.42</v>
      </c>
      <c r="G15" t="b">
        <f t="shared" si="3"/>
        <v>0</v>
      </c>
      <c r="H15" s="8" t="str">
        <f t="shared" si="4"/>
        <v>XAU</v>
      </c>
      <c r="I15" s="13">
        <f>IF(G15,F15,1/F15)</f>
        <v>5.4246997428692323E-4</v>
      </c>
      <c r="L15" t="e">
        <f ca="1"/>
        <v>#N/A</v>
      </c>
      <c r="M15" t="e">
        <f ca="1"/>
        <v>#N/A</v>
      </c>
      <c r="N15" t="e">
        <f ca="1"/>
        <v>#N/A</v>
      </c>
      <c r="U15" s="11" t="str">
        <f t="array" ref="U15:AA15">TRANSPOSE(C12:C18)</f>
        <v>USD/ZAR</v>
      </c>
      <c r="V15" t="str">
        <v>EUR/USD</v>
      </c>
      <c r="W15" t="str">
        <v>AUD/USD</v>
      </c>
      <c r="X15" t="str">
        <v>XAU/USD</v>
      </c>
      <c r="Y15" t="str">
        <v>XAG/USD</v>
      </c>
      <c r="Z15" t="str">
        <v>XPD/USD</v>
      </c>
      <c r="AA15" t="str">
        <v>XPT/USD</v>
      </c>
    </row>
    <row r="16" spans="1:29" x14ac:dyDescent="0.25">
      <c r="B16" s="8" t="str">
        <f t="shared" si="1"/>
        <v>XAG</v>
      </c>
      <c r="C16" s="8" t="s">
        <v>11</v>
      </c>
      <c r="D16" s="185" cm="1">
        <f t="array" ref="D16">_xll.BDP(B16&amp;" Curncy","PX_LAST")</f>
        <v>27.150099999999998</v>
      </c>
      <c r="E16" s="6">
        <v>29.6</v>
      </c>
      <c r="F16">
        <f t="shared" si="2"/>
        <v>29.6</v>
      </c>
      <c r="G16" t="b">
        <f t="shared" si="3"/>
        <v>0</v>
      </c>
      <c r="H16" s="8" t="str">
        <f t="shared" si="4"/>
        <v>XAG</v>
      </c>
      <c r="I16" s="13">
        <f t="shared" si="5"/>
        <v>3.3783783783783779E-2</v>
      </c>
      <c r="S16" s="23"/>
      <c r="T16" s="1">
        <f ca="1">valDate</f>
        <v>44238</v>
      </c>
      <c r="U16" s="22" cm="1">
        <f t="array" aca="1" ref="U16" ca="1">_xll.QCurves_GetForwardFxRate($B$6,$T16,U$15)</f>
        <v>14.654100843055907</v>
      </c>
      <c r="V16" s="21" cm="1">
        <f t="array" aca="1" ref="V16" ca="1">_xll.QCurves_GetForwardFxRate($B$6,$T16,V$15)</f>
        <v>1.2130893216846481</v>
      </c>
      <c r="W16" s="21" cm="1">
        <f t="array" aca="1" ref="W16" ca="1">_xll.QCurves_GetForwardFxRate($B$6,$T16,W$15)</f>
        <v>0.77448107138780709</v>
      </c>
      <c r="X16" s="21" cm="1">
        <f t="array" aca="1" ref="X16" ca="1">_xll.QCurves_GetForwardFxRate($B$6,$T16,X$15)</f>
        <v>1843.3815954166689</v>
      </c>
      <c r="Y16" s="21" cm="1">
        <f t="array" aca="1" ref="Y16" ca="1">_xll.QCurves_GetForwardFxRate($B$6,$T16,Y$15)</f>
        <v>29.603131347167032</v>
      </c>
      <c r="Z16" s="21" cm="1">
        <f t="array" aca="1" ref="Z16" ca="1">_xll.QCurves_GetForwardFxRate($B$6,$T16,Z$15)</f>
        <v>2373.1297386501583</v>
      </c>
      <c r="AA16" s="21" cm="1">
        <f t="array" aca="1" ref="AA16" ca="1">_xll.QCurves_GetForwardFxRate($B$6,$T16,AA$15)</f>
        <v>1264.0498160401999</v>
      </c>
    </row>
    <row r="17" spans="1:27" x14ac:dyDescent="0.25">
      <c r="B17" s="8" t="str">
        <f t="shared" si="1"/>
        <v>XPD</v>
      </c>
      <c r="C17" s="8" t="s">
        <v>12</v>
      </c>
      <c r="D17" s="185" cm="1">
        <f t="array" ref="D17">_xll.BDP(B17&amp;" Curncy","PX_LAST")</f>
        <v>2373.06</v>
      </c>
      <c r="E17" s="6"/>
      <c r="F17">
        <f t="shared" si="2"/>
        <v>2373.06</v>
      </c>
      <c r="G17" t="b">
        <f t="shared" si="3"/>
        <v>0</v>
      </c>
      <c r="H17" s="8" t="str">
        <f t="shared" si="4"/>
        <v>XPD</v>
      </c>
      <c r="I17" s="13">
        <f t="shared" si="5"/>
        <v>4.2139684626600258E-4</v>
      </c>
      <c r="S17" s="23">
        <f ca="1">(U17-U16)*10000</f>
        <v>11.000000000045418</v>
      </c>
      <c r="T17" s="1">
        <f ca="1">T16+1</f>
        <v>44239</v>
      </c>
      <c r="U17" s="22" cm="1">
        <f t="array" aca="1" ref="U17" ca="1">_xll.QCurves_GetForwardFxRate($B$6,$T17,U$15)</f>
        <v>14.655200843055912</v>
      </c>
      <c r="V17" s="21" cm="1">
        <f t="array" aca="1" ref="V17" ca="1">_xll.QCurves_GetForwardFxRate($B$6,$T17,V$15)</f>
        <v>1.2131111216846482</v>
      </c>
      <c r="W17" s="21" cm="1">
        <f t="array" aca="1" ref="W17" ca="1">_xll.QCurves_GetForwardFxRate($B$6,$T17,W$15)</f>
        <v>0.77448507138780731</v>
      </c>
      <c r="X17" s="21" cm="1">
        <f t="array" aca="1" ref="X17" ca="1">_xll.QCurves_GetForwardFxRate($B$6,$T17,X$15)</f>
        <v>1843.3892763333331</v>
      </c>
      <c r="Y17" s="21" cm="1">
        <f t="array" aca="1" ref="Y17" ca="1">_xll.QCurves_GetForwardFxRate($B$6,$T17,Y$15)</f>
        <v>29.602501876074232</v>
      </c>
      <c r="Z17" s="21" cm="1">
        <f t="array" aca="1" ref="Z17" ca="1">_xll.QCurves_GetForwardFxRate($B$6,$T17,Z$15)</f>
        <v>2373.1155362161794</v>
      </c>
      <c r="AA17" s="21" cm="1">
        <f t="array" aca="1" ref="AA17" ca="1">_xll.QCurves_GetForwardFxRate($B$6,$T17,AA$15)</f>
        <v>1264.0317167417536</v>
      </c>
    </row>
    <row r="18" spans="1:27" x14ac:dyDescent="0.25">
      <c r="B18" s="8" t="str">
        <f t="shared" si="1"/>
        <v>XPT</v>
      </c>
      <c r="C18" s="8" t="s">
        <v>13</v>
      </c>
      <c r="D18" s="185" cm="1">
        <f t="array" ref="D18">_xll.BDP(B18&amp;" Curncy","PX_LAST")</f>
        <v>1263.96</v>
      </c>
      <c r="E18" s="6"/>
      <c r="F18">
        <f t="shared" si="2"/>
        <v>1263.96</v>
      </c>
      <c r="G18" t="b">
        <f t="shared" si="3"/>
        <v>0</v>
      </c>
      <c r="H18" s="8" t="str">
        <f t="shared" si="4"/>
        <v>XPT</v>
      </c>
      <c r="I18" s="13">
        <f t="shared" si="5"/>
        <v>7.9116427735054901E-4</v>
      </c>
      <c r="S18" s="23">
        <f ca="1">(U18-U17)*10000</f>
        <v>53.991569440885456</v>
      </c>
      <c r="T18" s="1">
        <f t="shared" ref="T18:T26" ca="1" si="6">T5</f>
        <v>44243</v>
      </c>
      <c r="U18" s="22" cm="1">
        <f t="array" aca="1" ref="U18" ca="1">_xll.QCurves_GetForwardFxRate($B$6,$T18,U$15)</f>
        <v>14.660600000000001</v>
      </c>
      <c r="V18" s="21" cm="1">
        <f t="array" aca="1" ref="V18" ca="1">_xll.QCurves_GetForwardFxRate($B$6,$T18,V$15)</f>
        <v>1.2132000000000001</v>
      </c>
      <c r="W18" s="21" cm="1">
        <f t="array" aca="1" ref="W18" ca="1">_xll.QCurves_GetForwardFxRate($B$6,$T18,W$15)</f>
        <v>0.77449999999999997</v>
      </c>
      <c r="X18" s="21" cm="1">
        <f t="array" aca="1" ref="X18" ca="1">_xll.QCurves_GetForwardFxRate($B$6,$T18,X$15)</f>
        <v>1843.4199999999998</v>
      </c>
      <c r="Y18" s="21" cm="1">
        <f t="array" aca="1" ref="Y18" ca="1">_xll.QCurves_GetForwardFxRate($B$6,$T18,Y$15)</f>
        <v>29.600000000000005</v>
      </c>
      <c r="Z18" s="21" cm="1">
        <f t="array" aca="1" ref="Z18" ca="1">_xll.QCurves_GetForwardFxRate($B$6,$T18,Z$15)</f>
        <v>2373.06</v>
      </c>
      <c r="AA18" s="21" cm="1">
        <f t="array" aca="1" ref="AA18" ca="1">_xll.QCurves_GetForwardFxRate($B$6,$T18,AA$15)</f>
        <v>1263.96</v>
      </c>
    </row>
    <row r="19" spans="1:27" x14ac:dyDescent="0.25">
      <c r="T19" s="1">
        <f t="shared" ca="1" si="6"/>
        <v>44250</v>
      </c>
      <c r="U19" s="22" cm="1">
        <f t="array" aca="1" ref="U19" ca="1">_xll.QCurves_GetForwardFxRate($B$6,$T19,U$15)</f>
        <v>14.6739</v>
      </c>
      <c r="V19" s="21" cm="1">
        <f t="array" aca="1" ref="V19" ca="1">_xll.QCurves_GetForwardFxRate($B$6,$T19,V$15)</f>
        <v>1.2133620000000001</v>
      </c>
      <c r="W19" s="21" cm="1">
        <f t="array" aca="1" ref="W19" ca="1">_xll.QCurves_GetForwardFxRate($B$6,$T19,W$15)</f>
        <v>0.77452200000000004</v>
      </c>
      <c r="X19" s="21" cm="1">
        <f t="array" aca="1" ref="X19" ca="1">_xll.QCurves_GetForwardFxRate($B$6,$T19,X$15)</f>
        <v>1843.4737664166666</v>
      </c>
      <c r="Y19" s="21" cm="1">
        <f t="array" aca="1" ref="Y19" ca="1">_xll.QCurves_GetForwardFxRate($B$6,$T19,Y$15)</f>
        <v>29.595683333333337</v>
      </c>
      <c r="Z19" s="21" cm="1">
        <f t="array" aca="1" ref="Z19" ca="1">_xll.QCurves_GetForwardFxRate($B$6,$T19,Z$15)</f>
        <v>2372.9677143333333</v>
      </c>
      <c r="AA19" s="21" cm="1">
        <f t="array" aca="1" ref="AA19" ca="1">_xll.QCurves_GetForwardFxRate($B$6,$T19,AA$15)</f>
        <v>1263.837115</v>
      </c>
    </row>
    <row r="20" spans="1:27" x14ac:dyDescent="0.25">
      <c r="A20" s="3" t="s">
        <v>20</v>
      </c>
      <c r="B20" s="8" t="s">
        <v>21</v>
      </c>
      <c r="C20" s="8" t="s">
        <v>22</v>
      </c>
      <c r="E20" s="3" t="s">
        <v>53</v>
      </c>
      <c r="F20" s="5" t="s">
        <v>54</v>
      </c>
      <c r="H20" s="2" t="s">
        <v>78</v>
      </c>
      <c r="I20" s="5" t="s">
        <v>54</v>
      </c>
      <c r="K20" s="3" t="s">
        <v>121</v>
      </c>
      <c r="L20" s="12" t="s">
        <v>122</v>
      </c>
      <c r="M20" s="71">
        <f ca="1">M21-365</f>
        <v>43872</v>
      </c>
      <c r="T20" s="1">
        <f t="shared" ca="1" si="6"/>
        <v>44271</v>
      </c>
      <c r="U20" s="22" cm="1">
        <f t="array" aca="1" ref="U20" ca="1">_xll.QCurves_GetForwardFxRate($B$6,$T20,U$15)</f>
        <v>14.716000000000001</v>
      </c>
      <c r="V20" s="21" cm="1">
        <f t="array" aca="1" ref="V20" ca="1">_xll.QCurves_GetForwardFxRate($B$6,$T20,V$15)</f>
        <v>1.2138630000000001</v>
      </c>
      <c r="W20" s="21" cm="1">
        <f t="array" aca="1" ref="W20" ca="1">_xll.QCurves_GetForwardFxRate($B$6,$T20,W$15)</f>
        <v>0.77460000000000007</v>
      </c>
      <c r="X20" s="21" cm="1">
        <f t="array" aca="1" ref="X20" ca="1">_xll.QCurves_GetForwardFxRate($B$6,$T20,X$15)</f>
        <v>1843.7210919333334</v>
      </c>
      <c r="Y20" s="21" cm="1">
        <f t="array" aca="1" ref="Y20" ca="1">_xll.QCurves_GetForwardFxRate($B$6,$T20,Y$15)</f>
        <v>29.582733333333337</v>
      </c>
      <c r="Z20" s="21" cm="1">
        <f t="array" aca="1" ref="Z20" ca="1">_xll.QCurves_GetForwardFxRate($B$6,$T20,Z$15)</f>
        <v>2373.2999427333334</v>
      </c>
      <c r="AA20" s="21" cm="1">
        <f t="array" aca="1" ref="AA20" ca="1">_xll.QCurves_GetForwardFxRate($B$6,$T20,AA$15)</f>
        <v>1263.4193059999998</v>
      </c>
    </row>
    <row r="21" spans="1:27" x14ac:dyDescent="0.25">
      <c r="B21" s="8" t="str">
        <f t="shared" ref="B21:B27" si="7">H12</f>
        <v>ZAR</v>
      </c>
      <c r="C21" s="8" t="str">
        <f>B21&amp;".DISC.[USD.LIBOR.3M]"</f>
        <v>ZAR.DISC.[USD.LIBOR.3M]</v>
      </c>
      <c r="E21" s="8" t="s">
        <v>22</v>
      </c>
      <c r="F21" t="str">
        <f ca="1">_xll.QIns_CreateRateIndex($E$21,"USD","3m","ACT360","ACT360","3m","NYC+LON","2b","MF")</f>
        <v>USD.LIBOR.3M¬1</v>
      </c>
      <c r="H21" t="str" cm="1">
        <f t="array" aca="1" ref="H21" ca="1">_xll.QUtils_Replace(C12,"/","")</f>
        <v>USDZAR</v>
      </c>
      <c r="I21" t="str" cm="1">
        <f t="array" aca="1" ref="I21" ca="1">_xll.QIns_CreateFxPair(C12,LEFT(C12,3),RIGHT(C12,3),LEFT(C12,3)&amp;"+"&amp;RIGHT(C12,3),"2b")</f>
        <v>USD/ZAR¬1</v>
      </c>
      <c r="L21" s="12" t="s">
        <v>123</v>
      </c>
      <c r="M21" s="71">
        <f ca="1">valDate-1</f>
        <v>44237</v>
      </c>
      <c r="T21" s="1">
        <f t="shared" ca="1" si="6"/>
        <v>44302</v>
      </c>
      <c r="U21" s="22" cm="1">
        <f t="array" aca="1" ref="U21" ca="1">_xll.QCurves_GetForwardFxRate($B$6,$T21,U$15)</f>
        <v>14.778299999999998</v>
      </c>
      <c r="V21" s="21" cm="1">
        <f t="array" aca="1" ref="V21" ca="1">_xll.QCurves_GetForwardFxRate($B$6,$T21,V$15)</f>
        <v>1.2146780000000001</v>
      </c>
      <c r="W21" s="21" cm="1">
        <f t="array" aca="1" ref="W21" ca="1">_xll.QCurves_GetForwardFxRate($B$6,$T21,W$15)</f>
        <v>0.774725</v>
      </c>
      <c r="X21" s="21" cm="1">
        <f t="array" aca="1" ref="X21" ca="1">_xll.QCurves_GetForwardFxRate($B$6,$T21,X$15)</f>
        <v>1844.1148669277779</v>
      </c>
      <c r="Y21" s="21" cm="1">
        <f t="array" aca="1" ref="Y21" ca="1">_xll.QCurves_GetForwardFxRate($B$6,$T21,Y$15)</f>
        <v>29.563616666666672</v>
      </c>
      <c r="Z21" s="21" cm="1">
        <f t="array" aca="1" ref="Z21" ca="1">_xll.QCurves_GetForwardFxRate($B$6,$T21,Z$15)</f>
        <v>2372.8655409166668</v>
      </c>
      <c r="AA21" s="21" cm="1">
        <f t="array" aca="1" ref="AA21" ca="1">_xll.QCurves_GetForwardFxRate($B$6,$T21,AA$15)</f>
        <v>1262.6135315000001</v>
      </c>
    </row>
    <row r="22" spans="1:27" x14ac:dyDescent="0.25">
      <c r="B22" s="8" t="str">
        <f t="shared" si="7"/>
        <v>EUR</v>
      </c>
      <c r="C22" s="8" t="str">
        <f t="shared" ref="C22:C27" si="8">B22&amp;".DISC.[USD.LIBOR.3M]"</f>
        <v>EUR.DISC.[USD.LIBOR.3M]</v>
      </c>
      <c r="E22" s="8" t="s">
        <v>52</v>
      </c>
      <c r="F22" t="str">
        <f ca="1">_xll.QIns_CreateRateIndex($E$22,"ZAR","3m","ACT365F","ACT365F","3m","JHB","0b","MF")</f>
        <v>ZAR.JIBAR.3M¬1</v>
      </c>
      <c r="H22" t="str" cm="1">
        <f t="array" aca="1" ref="H22" ca="1">_xll.QUtils_Replace(C13,"/","")</f>
        <v>EURUSD</v>
      </c>
      <c r="I22" t="str" cm="1">
        <f t="array" aca="1" ref="I22" ca="1">_xll.QIns_CreateFxPair(C13,LEFT(C13,3),RIGHT(C13,3),LEFT(C13,3)&amp;"+"&amp;RIGHT(C13,3),"2b")</f>
        <v>EUR/USD¬1</v>
      </c>
      <c r="L22" s="8" t="s">
        <v>7</v>
      </c>
      <c r="M22" t="s">
        <v>124</v>
      </c>
      <c r="N22" t="str">
        <f ca="1">_xll.QCurves_CreateFixingDictionary("Fixings."&amp;L22,L22,_xll.BDH(M22,"PX_LAST",$M$20,$M$21,"Array=true"),"FX",L22)</f>
        <v>Fixings.USD/ZAR¬1</v>
      </c>
      <c r="T22" s="1">
        <f t="shared" ca="1" si="6"/>
        <v>44333</v>
      </c>
      <c r="U22" s="22" cm="1">
        <f t="array" aca="1" ref="U22" ca="1">_xll.QCurves_GetForwardFxRate($B$6,$T22,U$15)</f>
        <v>14.8392</v>
      </c>
      <c r="V22" s="21" cm="1">
        <f t="array" aca="1" ref="V22" ca="1">_xll.QCurves_GetForwardFxRate($B$6,$T22,V$15)</f>
        <v>1.2154480000000001</v>
      </c>
      <c r="W22" s="21" cm="1">
        <f t="array" aca="1" ref="W22" ca="1">_xll.QCurves_GetForwardFxRate($B$6,$T22,W$15)</f>
        <v>0.77483000000000002</v>
      </c>
      <c r="X22" s="21" cm="1">
        <f t="array" aca="1" ref="X22" ca="1">_xll.QCurves_GetForwardFxRate($B$6,$T22,X$15)</f>
        <v>1844.4338809999999</v>
      </c>
      <c r="Y22" s="21" cm="1">
        <f t="array" aca="1" ref="Y22" ca="1">_xll.QCurves_GetForwardFxRate($B$6,$T22,Y$15)</f>
        <v>29.544500000000003</v>
      </c>
      <c r="Z22" s="21" cm="1">
        <f t="array" aca="1" ref="Z22" ca="1">_xll.QCurves_GetForwardFxRate($B$6,$T22,Z$15)</f>
        <v>2370.0936750000001</v>
      </c>
      <c r="AA22" s="21" cm="1">
        <f t="array" aca="1" ref="AA22" ca="1">_xll.QCurves_GetForwardFxRate($B$6,$T22,AA$15)</f>
        <v>1261.274085</v>
      </c>
    </row>
    <row r="23" spans="1:27" x14ac:dyDescent="0.25">
      <c r="B23" s="8" t="str">
        <f t="shared" si="7"/>
        <v>AUD</v>
      </c>
      <c r="C23" s="8" t="str">
        <f t="shared" si="8"/>
        <v>AUD.DISC.[USD.LIBOR.3M]</v>
      </c>
      <c r="H23" t="str" cm="1">
        <f t="array" aca="1" ref="H23" ca="1">_xll.QUtils_Replace(C14,"/","")</f>
        <v>AUDUSD</v>
      </c>
      <c r="I23" t="str" cm="1">
        <f t="array" aca="1" ref="I23" ca="1">_xll.QIns_CreateFxPair(C14,LEFT(C14,3),RIGHT(C14,3),LEFT(C14,3)&amp;"+"&amp;RIGHT(C14,3),"2b")</f>
        <v>AUD/USD¬1</v>
      </c>
      <c r="L23" s="186" t="s">
        <v>7</v>
      </c>
      <c r="M23" s="185" t="s">
        <v>124</v>
      </c>
      <c r="N23" s="185" t="str">
        <f ca="1">_xll.QCurves_CreateFixingDictionary("Fixings.BFIX."&amp;L23,"BFIX1300",_xll.BDH(M23,"PX_LAST",$M$20,$M$21,"Array=true"),"FX",L23)</f>
        <v>Fixings.BFIX.USD/ZAR¬1</v>
      </c>
      <c r="T23" s="1">
        <f t="shared" ca="1" si="6"/>
        <v>44424</v>
      </c>
      <c r="U23" s="22" cm="1">
        <f t="array" aca="1" ref="U23" ca="1">_xll.QCurves_GetForwardFxRate($B$6,$T23,U$15)</f>
        <v>15.002399999999998</v>
      </c>
      <c r="V23" s="21" cm="1">
        <f t="array" aca="1" ref="V23" ca="1">_xll.QCurves_GetForwardFxRate($B$6,$T23,V$15)</f>
        <v>1.2177750000000001</v>
      </c>
      <c r="W23" s="21" cm="1">
        <f t="array" aca="1" ref="W23" ca="1">_xll.QCurves_GetForwardFxRate($B$6,$T23,W$15)</f>
        <v>0.77513500000000002</v>
      </c>
      <c r="X23" s="21" cm="1">
        <f t="array" aca="1" ref="X23" ca="1">_xll.QCurves_GetForwardFxRate($B$6,$T23,X$15)</f>
        <v>1845.6443934666665</v>
      </c>
      <c r="Y23" s="21" cm="1">
        <f t="array" aca="1" ref="Y23" ca="1">_xll.QCurves_GetForwardFxRate($B$6,$T23,Y$15)</f>
        <v>29.488383333333338</v>
      </c>
      <c r="Z23" s="21" cm="1">
        <f t="array" aca="1" ref="Z23" ca="1">_xll.QCurves_GetForwardFxRate($B$6,$T23,Z$15)</f>
        <v>2367.0943908333334</v>
      </c>
      <c r="AA23" s="21" cm="1">
        <f t="array" aca="1" ref="AA23" ca="1">_xll.QCurves_GetForwardFxRate($B$6,$T23,AA$15)</f>
        <v>1257.60509</v>
      </c>
    </row>
    <row r="24" spans="1:27" x14ac:dyDescent="0.25">
      <c r="B24" s="8" t="str">
        <f t="shared" si="7"/>
        <v>XAU</v>
      </c>
      <c r="C24" s="8" t="str">
        <f t="shared" si="8"/>
        <v>XAU.DISC.[USD.LIBOR.3M]</v>
      </c>
      <c r="H24" t="str" cm="1">
        <f t="array" aca="1" ref="H24" ca="1">_xll.QUtils_Replace(C15,"/","")</f>
        <v>XAUUSD</v>
      </c>
      <c r="I24" t="str">
        <f ca="1">_xll.QIns_CreateFxPair(C15,LEFT(C15,3),RIGHT(C15,3),LEFT(C15,3)&amp;"+"&amp;RIGHT(C15,3),"2b")</f>
        <v>XAU/USD¬1</v>
      </c>
      <c r="L24" s="8" t="s">
        <v>10</v>
      </c>
      <c r="M24" t="s">
        <v>125</v>
      </c>
      <c r="N24" t="str">
        <f ca="1">_xll.QCurves_CreateFixingDictionary("Fixings."&amp;L24,L24,_xll.BDH(M24,"PX_LAST",$M$20,$M$21,"Array=true"),"FX",L24)</f>
        <v>Fixings.XAU/USD¬1</v>
      </c>
      <c r="T24" s="1">
        <f t="shared" ca="1" si="6"/>
        <v>44516</v>
      </c>
      <c r="U24" s="22" cm="1">
        <f t="array" aca="1" ref="U24" ca="1">_xll.QCurves_GetForwardFxRate($B$6,$T24,U$15)</f>
        <v>15.155299999999999</v>
      </c>
      <c r="V24" s="21" cm="1">
        <f t="array" aca="1" ref="V24" ca="1">_xll.QCurves_GetForwardFxRate($B$6,$T24,V$15)</f>
        <v>1.220194</v>
      </c>
      <c r="W24" s="21" cm="1">
        <f t="array" aca="1" ref="W24" ca="1">_xll.QCurves_GetForwardFxRate($B$6,$T24,W$15)</f>
        <v>0.77542899999999981</v>
      </c>
      <c r="X24" s="21" cm="1">
        <f t="array" aca="1" ref="X24" ca="1">_xll.QCurves_GetForwardFxRate($B$6,$T24,X$15)</f>
        <v>1847.0546097666663</v>
      </c>
      <c r="Y24" s="21" cm="1">
        <f t="array" aca="1" ref="Y24" ca="1">_xll.QCurves_GetForwardFxRate($B$6,$T24,Y$15)</f>
        <v>29.431650000000005</v>
      </c>
      <c r="Z24" s="21" cm="1">
        <f t="array" aca="1" ref="Z24" ca="1">_xll.QCurves_GetForwardFxRate($B$6,$T24,Z$15)</f>
        <v>2361.7227058499993</v>
      </c>
      <c r="AA24" s="21" cm="1">
        <f t="array" aca="1" ref="AA24" ca="1">_xll.QCurves_GetForwardFxRate($B$6,$T24,AA$15)</f>
        <v>1252.4579640000002</v>
      </c>
    </row>
    <row r="25" spans="1:27" x14ac:dyDescent="0.25">
      <c r="B25" s="8" t="str">
        <f t="shared" si="7"/>
        <v>XAG</v>
      </c>
      <c r="C25" s="8" t="str">
        <f t="shared" si="8"/>
        <v>XAG.DISC.[USD.LIBOR.3M]</v>
      </c>
      <c r="H25" t="str" cm="1">
        <f t="array" aca="1" ref="H25" ca="1">_xll.QUtils_Replace(C16,"/","")</f>
        <v>XAGUSD</v>
      </c>
      <c r="I25" t="str" cm="1">
        <f t="array" aca="1" ref="I25" ca="1">_xll.QIns_CreateFxPair(C16,LEFT(C16,3),RIGHT(C16,3),LEFT(C16,3)&amp;"+"&amp;RIGHT(C16,3),"2b")</f>
        <v>XAG/USD¬1</v>
      </c>
      <c r="L25" s="8" t="s">
        <v>11</v>
      </c>
      <c r="M25" t="s">
        <v>126</v>
      </c>
      <c r="N25" t="str">
        <f ca="1">_xll.QCurves_CreateFixingDictionary("Fixings."&amp;L25,L25,_xll.BDH(M25,"PX_LAST",$M$20,$M$21,"Array=true"),"FX",L25)</f>
        <v>Fixings.XAG/USD¬1</v>
      </c>
      <c r="T25" s="1">
        <f t="shared" ca="1" si="6"/>
        <v>44608</v>
      </c>
      <c r="U25" s="22" cm="1">
        <f t="array" aca="1" ref="U25" ca="1">_xll.QCurves_GetForwardFxRate($B$6,$T25,U$15)</f>
        <v>15.311599999999999</v>
      </c>
      <c r="V25" s="21" cm="1">
        <f t="array" aca="1" ref="V25" ca="1">_xll.QCurves_GetForwardFxRate($B$6,$T25,V$15)</f>
        <v>1.2230599999999998</v>
      </c>
      <c r="W25" s="21" cm="1">
        <f t="array" aca="1" ref="W25" ca="1">_xll.QCurves_GetForwardFxRate($B$6,$T25,W$15)</f>
        <v>0.77578999999999998</v>
      </c>
      <c r="X25" s="21" cm="1">
        <f t="array" aca="1" ref="X25" ca="1">_xll.QCurves_GetForwardFxRate($B$6,$T25,X$15)</f>
        <v>1848.8401668611107</v>
      </c>
      <c r="Y25" s="21" cm="1">
        <f t="array" aca="1" ref="Y25" ca="1">_xll.QCurves_GetForwardFxRate($B$6,$T25,Y$15)</f>
        <v>29.374916666666667</v>
      </c>
      <c r="Z25" s="21" cm="1">
        <f t="array" aca="1" ref="Z25" ca="1">_xll.QCurves_GetForwardFxRate($B$6,$T25,Z$15)</f>
        <v>2355.0148562499999</v>
      </c>
      <c r="AA25" s="21" cm="1">
        <f t="array" aca="1" ref="AA25" ca="1">_xll.QCurves_GetForwardFxRate($B$6,$T25,AA$15)</f>
        <v>1247.3003050000002</v>
      </c>
    </row>
    <row r="26" spans="1:27" x14ac:dyDescent="0.25">
      <c r="B26" s="8" t="str">
        <f t="shared" si="7"/>
        <v>XPD</v>
      </c>
      <c r="C26" s="8" t="str">
        <f t="shared" si="8"/>
        <v>XPD.DISC.[USD.LIBOR.3M]</v>
      </c>
      <c r="H26" t="str" cm="1">
        <f t="array" aca="1" ref="H26" ca="1">_xll.QUtils_Replace(C17,"/","")</f>
        <v>XPDUSD</v>
      </c>
      <c r="I26" t="str" cm="1">
        <f t="array" aca="1" ref="I26" ca="1">_xll.QIns_CreateFxPair(C17,LEFT(C17,3),RIGHT(C17,3),LEFT(C17,3)&amp;"+"&amp;RIGHT(C17,3),"2b")</f>
        <v>XPD/USD¬1</v>
      </c>
      <c r="L26" s="8" t="s">
        <v>13</v>
      </c>
      <c r="M26" t="s">
        <v>127</v>
      </c>
      <c r="N26" t="str">
        <f ca="1">_xll.QCurves_CreateFixingDictionary("Fixings."&amp;L26,L26,_xll.BDH(M26,"PX_LAST",$M$20,$M$21,"Array=true"),"FX",L26)</f>
        <v>Fixings.XPT/USD¬1</v>
      </c>
      <c r="T26" s="1">
        <f t="shared" ca="1" si="6"/>
        <v>44973</v>
      </c>
      <c r="U26" s="22" cm="1">
        <f t="array" aca="1" ref="U26" ca="1">_xll.QCurves_GetForwardFxRate($B$6,$T26,U$15)</f>
        <v>15.990500000000001</v>
      </c>
      <c r="V26" s="21" cm="1">
        <f t="array" aca="1" ref="V26" ca="1">_xll.QCurves_GetForwardFxRate($B$6,$T26,V$15)</f>
        <v>1.2336630000000002</v>
      </c>
      <c r="W26" s="21" cm="1">
        <f t="array" aca="1" ref="W26" ca="1">_xll.QCurves_GetForwardFxRate($B$6,$T26,W$15)</f>
        <v>0.77640400000000009</v>
      </c>
      <c r="X26" s="21" cm="1">
        <f t="array" aca="1" ref="X26" ca="1">_xll.QCurves_GetForwardFxRate($B$6,$T26,X$15)</f>
        <v>1850.8960922222184</v>
      </c>
      <c r="Y26" s="21" cm="1">
        <f t="array" aca="1" ref="Y26" ca="1">_xll.QCurves_GetForwardFxRate($B$6,$T26,Y$15)</f>
        <v>29.149833333333333</v>
      </c>
      <c r="Z26" s="21" cm="1">
        <f t="array" aca="1" ref="Z26" ca="1">_xll.QCurves_GetForwardFxRate($B$6,$T26,Z$15)</f>
        <v>2336.9697124999998</v>
      </c>
      <c r="AA26" s="21" cm="1">
        <f t="array" aca="1" ref="AA26" ca="1">_xll.QCurves_GetForwardFxRate($B$6,$T26,AA$15)</f>
        <v>1227.3086710000002</v>
      </c>
    </row>
    <row r="27" spans="1:27" x14ac:dyDescent="0.25">
      <c r="B27" s="8" t="str">
        <f t="shared" si="7"/>
        <v>XPT</v>
      </c>
      <c r="C27" s="8" t="str">
        <f t="shared" si="8"/>
        <v>XPT.DISC.[USD.LIBOR.3M]</v>
      </c>
      <c r="H27" t="str" cm="1">
        <f t="array" aca="1" ref="H27" ca="1">_xll.QUtils_Replace(C18,"/","")</f>
        <v>XPTUSD</v>
      </c>
      <c r="I27" t="str" cm="1">
        <f t="array" aca="1" ref="I27" ca="1">_xll.QIns_CreateFxPair(C18,LEFT(C18,3),RIGHT(C18,3),LEFT(C18,3)&amp;"+"&amp;RIGHT(C18,3),"2b")</f>
        <v>XPT/USD¬1</v>
      </c>
      <c r="L27" s="8" t="s">
        <v>12</v>
      </c>
      <c r="M27" t="s">
        <v>128</v>
      </c>
      <c r="N27" t="str">
        <f ca="1">_xll.QCurves_CreateFixingDictionary("Fixings."&amp;L27,L27,_xll.BDH(M27,"PX_LAST",$M$20,$M$21,"Array=true"),"FX",L27)</f>
        <v>Fixings.XPD/USD¬1</v>
      </c>
    </row>
    <row r="29" spans="1:27" x14ac:dyDescent="0.25">
      <c r="A29" s="3" t="s">
        <v>38</v>
      </c>
      <c r="K29" s="4" t="s">
        <v>41</v>
      </c>
      <c r="L29" t="b">
        <f>VLOOKUP(L31,$B$12:$G$18,6,FALSE)</f>
        <v>1</v>
      </c>
      <c r="M29" t="b">
        <f>VLOOKUP(M31,$B$12:$G$18,6,FALSE)</f>
        <v>0</v>
      </c>
      <c r="N29" t="b">
        <f>VLOOKUP(N31,$B$12:$G$18,6,FALSE)</f>
        <v>0</v>
      </c>
    </row>
    <row r="30" spans="1:27" x14ac:dyDescent="0.25">
      <c r="C30" s="198" t="s">
        <v>15</v>
      </c>
      <c r="D30" s="198"/>
      <c r="E30" s="198"/>
      <c r="F30" s="198" t="s">
        <v>16</v>
      </c>
      <c r="G30" s="198"/>
      <c r="H30" s="198"/>
      <c r="I30" s="198" t="s">
        <v>17</v>
      </c>
      <c r="J30" s="198"/>
      <c r="K30" s="198"/>
      <c r="L30" s="198" t="s">
        <v>39</v>
      </c>
      <c r="M30" s="198"/>
      <c r="N30" s="198"/>
    </row>
    <row r="31" spans="1:27" x14ac:dyDescent="0.25">
      <c r="C31" s="5" t="s">
        <v>1</v>
      </c>
      <c r="D31" s="5" t="s">
        <v>3</v>
      </c>
      <c r="E31" s="5" t="s">
        <v>4</v>
      </c>
      <c r="F31" s="5" t="s">
        <v>1</v>
      </c>
      <c r="G31" s="5" t="s">
        <v>3</v>
      </c>
      <c r="H31" s="5" t="s">
        <v>4</v>
      </c>
      <c r="I31" s="5" t="s">
        <v>1</v>
      </c>
      <c r="J31" s="5" t="s">
        <v>3</v>
      </c>
      <c r="K31" s="5" t="s">
        <v>4</v>
      </c>
      <c r="L31" s="5" t="s">
        <v>1</v>
      </c>
      <c r="M31" s="5" t="s">
        <v>3</v>
      </c>
      <c r="N31" s="5" t="s">
        <v>4</v>
      </c>
    </row>
    <row r="32" spans="1:27" x14ac:dyDescent="0.25">
      <c r="B32" s="9" t="s">
        <v>24</v>
      </c>
      <c r="C32">
        <f>_xll.BDP(C$31&amp;$B32&amp;" Curncy","PX_BID")</f>
        <v>11</v>
      </c>
      <c r="D32">
        <f>_xll.BDP(D$31&amp;$B32&amp;" Curncy","PX_LAST")</f>
        <v>0.218</v>
      </c>
      <c r="E32">
        <f>_xll.BDP(E$31&amp;$B32&amp;" Curncy","PX_LAST")</f>
        <v>0.04</v>
      </c>
      <c r="F32" s="6"/>
      <c r="G32" s="6"/>
      <c r="H32" s="6"/>
      <c r="I32" s="14">
        <f t="array" aca="1" ref="I32:I45" ca="1">_xll.QCurves_BendCurve(C32:C45,F32:F45)</f>
        <v>11</v>
      </c>
      <c r="J32">
        <f t="array" aca="1" ref="J32:J45" ca="1">_xll.QCurves_BendCurve(D32:D45,G32:G45)</f>
        <v>0.218</v>
      </c>
      <c r="K32">
        <f t="array" aca="1" ref="K32:K45" ca="1">_xll.QCurves_BendCurve(E32:E45,H32:H45)</f>
        <v>0.04</v>
      </c>
      <c r="L32" t="str">
        <f ca="1">_xll.QIns_CreateFxSwap(L$31&amp;"_Swap_"&amp;$B32,valDate,$B32,VLOOKUP(L$31,$B$12:$F$18,5,FALSE),IF(L$29,"USD",L$31),IF(L$29,L$31,"USD"),1000000,I32,IF(L$29,VLOOKUP(L$31,$B$20:$C$27,2,FALSE),$C$20),VLOOKUP(L$31,$B$20:$C$27,2,FALSE))</f>
        <v>ZAR_Swap_ON¬1</v>
      </c>
      <c r="M32" t="str">
        <f ca="1">_xll.QIns_CreateFxSwap(M$31&amp;"_Swap_"&amp;$B32,valDate,$B32,VLOOKUP(M$31,$B$12:$F$18,5,FALSE),IF(M$29,"USD",M$31),IF(M$29,M$31,"USD"),100000,J32,IF(M$29,VLOOKUP(M$31,$B$20:$C$27,2,FALSE),$C$20),VLOOKUP(M$31,$B$20:$C$27,2,FALSE))</f>
        <v>EUR_Swap_ON¬1</v>
      </c>
      <c r="N32" t="str">
        <f ca="1">_xll.QIns_CreateFxSwap(N$31&amp;"_Swap_"&amp;$B32,valDate,$B32,VLOOKUP(N$31,$B$12:$F$18,5,FALSE),IF(N$29,"USD",N$31),IF(N$29,N$31,"USD"),100000,K32,IF(N$29,VLOOKUP(N$31,$B$20:$C$27,2,FALSE),$C$20),VLOOKUP(N$31,$B$20:$C$27,2,FALSE))</f>
        <v>AUD_Swap_ON¬1</v>
      </c>
    </row>
    <row r="33" spans="1:18" x14ac:dyDescent="0.25">
      <c r="B33" s="9" t="s">
        <v>25</v>
      </c>
      <c r="C33">
        <f>_xll.BDP(C$31&amp;$B33&amp;" Curncy","PX_BID")</f>
        <v>74</v>
      </c>
      <c r="D33">
        <f>_xll.BDP(D$31&amp;$B33&amp;" Curncy","PX_LAST")</f>
        <v>0.88600000000000001</v>
      </c>
      <c r="E33">
        <f>_xll.BDP(E$31&amp;$B33&amp;" Curncy","PX_LAST")</f>
        <v>0.114</v>
      </c>
      <c r="F33" s="6"/>
      <c r="G33" s="6"/>
      <c r="H33" s="6"/>
      <c r="I33" s="14">
        <f ca="1"/>
        <v>74</v>
      </c>
      <c r="J33">
        <f ca="1"/>
        <v>0.88600000000000001</v>
      </c>
      <c r="K33">
        <f ca="1"/>
        <v>0.114</v>
      </c>
    </row>
    <row r="34" spans="1:18" x14ac:dyDescent="0.25">
      <c r="B34" s="9" t="s">
        <v>26</v>
      </c>
      <c r="C34">
        <f>_xll.BDP(C$31&amp;$B34&amp;" Curncy","PX_BID")</f>
        <v>133</v>
      </c>
      <c r="D34">
        <f>_xll.BDP(D$31&amp;$B34&amp;" Curncy","PX_LAST")</f>
        <v>1.62</v>
      </c>
      <c r="E34">
        <f>_xll.BDP(E$31&amp;$B34&amp;" Curncy","PX_LAST")</f>
        <v>0.22</v>
      </c>
      <c r="F34" s="6"/>
      <c r="G34" s="6"/>
      <c r="H34" s="6"/>
      <c r="I34" s="14">
        <f ca="1"/>
        <v>133</v>
      </c>
      <c r="J34">
        <f ca="1"/>
        <v>1.62</v>
      </c>
      <c r="K34">
        <f ca="1"/>
        <v>0.22</v>
      </c>
      <c r="L34" t="str">
        <f ca="1">_xll.QIns_CreateFxSwap(L$31&amp;"_Swap_"&amp;$B34,valDate,$B34,VLOOKUP(L$31,$B$12:$F$18,5,FALSE),IF(L$29,"USD",L$31),IF(L$29,L$31,"USD"),1000000,I34,IF(L$29,VLOOKUP(L$31,$B$20:$C$27,2,FALSE),$C$20),VLOOKUP(L$31,$B$20:$C$27,2,FALSE))</f>
        <v>ZAR_Swap_1w¬1</v>
      </c>
      <c r="M34" t="str">
        <f ca="1">_xll.QIns_CreateFxSwap(M$31&amp;"_Swap_"&amp;$B34,valDate,$B34,VLOOKUP(M$31,$B$12:$F$18,5,FALSE),IF(M$29,"USD",M$31),IF(M$29,M$31,"USD"),100000,J34,IF(M$29,VLOOKUP(M$31,$B$20:$C$27,2,FALSE),$C$20),VLOOKUP(M$31,$B$20:$C$27,2,FALSE))</f>
        <v>EUR_Swap_1w¬1</v>
      </c>
      <c r="N34" t="str">
        <f ca="1">_xll.QIns_CreateFxSwap(N$31&amp;"_Swap_"&amp;$B34,valDate,$B34,VLOOKUP(N$31,$B$12:$F$18,5,FALSE),IF(N$29,"USD",N$31),IF(N$29,N$31,"USD"),100000,K34,IF(N$29,VLOOKUP(N$31,$B$20:$C$27,2,FALSE),$C$20),VLOOKUP(N$31,$B$20:$C$27,2,FALSE))</f>
        <v>AUD_Swap_1w¬1</v>
      </c>
    </row>
    <row r="35" spans="1:18" x14ac:dyDescent="0.25">
      <c r="B35" s="9" t="s">
        <v>27</v>
      </c>
      <c r="C35">
        <f>_xll.BDP(C$31&amp;$B35&amp;" Curncy","PX_BID")</f>
        <v>274</v>
      </c>
      <c r="D35">
        <f>_xll.BDP(D$31&amp;$B35&amp;" Curncy","PX_LAST")</f>
        <v>3.33</v>
      </c>
      <c r="E35">
        <f>_xll.BDP(E$31&amp;$B35&amp;" Curncy","PX_LAST")</f>
        <v>0.49</v>
      </c>
      <c r="F35" s="6"/>
      <c r="G35" s="6"/>
      <c r="H35" s="6"/>
      <c r="I35" s="14">
        <f ca="1"/>
        <v>274</v>
      </c>
      <c r="J35">
        <f ca="1"/>
        <v>3.33</v>
      </c>
      <c r="K35">
        <f ca="1"/>
        <v>0.49</v>
      </c>
      <c r="L35" t="str">
        <f ca="1">_xll.QIns_CreateFxSwap(L$31&amp;"_Swap_"&amp;$B35,valDate,$B35,VLOOKUP(L$31,$B$12:$F$18,5,FALSE),IF(L$29,"USD",L$31),IF(L$29,L$31,"USD"),1000000,I35,IF(L$29,VLOOKUP(L$31,$B$20:$C$27,2,FALSE),$C$20),VLOOKUP(L$31,$B$20:$C$27,2,FALSE))</f>
        <v>ZAR_Swap_2w¬1</v>
      </c>
      <c r="M35" t="str">
        <f ca="1">_xll.QIns_CreateFxSwap(M$31&amp;"_Swap_"&amp;$B35,valDate,$B35,VLOOKUP(M$31,$B$12:$F$18,5,FALSE),IF(M$29,"USD",M$31),IF(M$29,M$31,"USD"),100000,J35,IF(M$29,VLOOKUP(M$31,$B$20:$C$27,2,FALSE),$C$20),VLOOKUP(M$31,$B$20:$C$27,2,FALSE))</f>
        <v>EUR_Swap_2w¬1</v>
      </c>
      <c r="N35" t="str">
        <f ca="1">_xll.QIns_CreateFxSwap(N$31&amp;"_Swap_"&amp;$B35,valDate,$B35,VLOOKUP(N$31,$B$12:$F$18,5,FALSE),IF(N$29,"USD",N$31),IF(N$29,N$31,"USD"),100000,K35,IF(N$29,VLOOKUP(N$31,$B$20:$C$27,2,FALSE),$C$20),VLOOKUP(N$31,$B$20:$C$27,2,FALSE))</f>
        <v>AUD_Swap_2w¬1</v>
      </c>
    </row>
    <row r="36" spans="1:18" x14ac:dyDescent="0.25">
      <c r="B36" s="9" t="s">
        <v>28</v>
      </c>
      <c r="C36">
        <f>_xll.BDP(C$31&amp;$B36&amp;" Curncy","PX_BID")</f>
        <v>554</v>
      </c>
      <c r="D36">
        <f>_xll.BDP(D$31&amp;$B36&amp;" Curncy","PX_LAST")</f>
        <v>6.63</v>
      </c>
      <c r="E36">
        <f>_xll.BDP(E$31&amp;$B36&amp;" Curncy","PX_LAST")</f>
        <v>1</v>
      </c>
      <c r="F36" s="6"/>
      <c r="G36" s="6"/>
      <c r="H36" s="6"/>
      <c r="I36" s="14">
        <f ca="1"/>
        <v>554</v>
      </c>
      <c r="J36">
        <f ca="1"/>
        <v>6.63</v>
      </c>
      <c r="K36">
        <f ca="1"/>
        <v>1</v>
      </c>
      <c r="L36" t="str">
        <f ca="1">_xll.QIns_CreateFxSwap(L$31&amp;"_Swap_"&amp;$B36,valDate,$B36,VLOOKUP(L$31,$B$12:$F$18,5,FALSE),IF(L$29,"USD",L$31),IF(L$29,L$31,"USD"),1000000,I36,IF(L$29,VLOOKUP(L$31,$B$20:$C$27,2,FALSE),$C$20),VLOOKUP(L$31,$B$20:$C$27,2,FALSE))</f>
        <v>ZAR_Swap_1m¬1</v>
      </c>
      <c r="M36" t="str">
        <f ca="1">_xll.QIns_CreateFxSwap(M$31&amp;"_Swap_"&amp;$B36,valDate,$B36,VLOOKUP(M$31,$B$12:$F$18,5,FALSE),IF(M$29,"USD",M$31),IF(M$29,M$31,"USD"),100000,J36,IF(M$29,VLOOKUP(M$31,$B$20:$C$27,2,FALSE),$C$20),VLOOKUP(M$31,$B$20:$C$27,2,FALSE))</f>
        <v>EUR_Swap_1m¬1</v>
      </c>
      <c r="N36" t="str">
        <f ca="1">_xll.QIns_CreateFxSwap(N$31&amp;"_Swap_"&amp;$B36,valDate,$B36,VLOOKUP(N$31,$B$12:$F$18,5,FALSE),IF(N$29,"USD",N$31),IF(N$29,N$31,"USD"),100000,K36,IF(N$29,VLOOKUP(N$31,$B$20:$C$27,2,FALSE),$C$20),VLOOKUP(N$31,$B$20:$C$27,2,FALSE))</f>
        <v>AUD_Swap_1m¬1</v>
      </c>
    </row>
    <row r="37" spans="1:18" x14ac:dyDescent="0.25">
      <c r="B37" s="9" t="s">
        <v>29</v>
      </c>
      <c r="C37">
        <f>_xll.BDP(C$31&amp;$B37&amp;" Curncy","PX_BID")</f>
        <v>1177</v>
      </c>
      <c r="D37">
        <f>_xll.BDP(D$31&amp;$B37&amp;" Curncy","PX_LAST")</f>
        <v>14.78</v>
      </c>
      <c r="E37">
        <f>_xll.BDP(E$31&amp;$B37&amp;" Curncy","PX_LAST")</f>
        <v>2.25</v>
      </c>
      <c r="F37" s="6"/>
      <c r="G37" s="6"/>
      <c r="H37" s="6"/>
      <c r="I37" s="14">
        <f ca="1"/>
        <v>1177</v>
      </c>
      <c r="J37">
        <f ca="1"/>
        <v>14.78</v>
      </c>
      <c r="K37">
        <f ca="1"/>
        <v>2.25</v>
      </c>
      <c r="L37" t="str">
        <f ca="1">_xll.QIns_CreateFxSwap(L$31&amp;"_Swap_"&amp;$B37,valDate,$B37,VLOOKUP(L$31,$B$12:$F$18,5,FALSE),IF(L$29,"USD",L$31),IF(L$29,L$31,"USD"),1000000,I37,IF(L$29,VLOOKUP(L$31,$B$20:$C$27,2,FALSE),$C$20),VLOOKUP(L$31,$B$20:$C$27,2,FALSE))</f>
        <v>ZAR_Swap_2m¬1</v>
      </c>
      <c r="M37" t="str">
        <f ca="1">_xll.QIns_CreateFxSwap(M$31&amp;"_Swap_"&amp;$B37,valDate,$B37,VLOOKUP(M$31,$B$12:$F$18,5,FALSE),IF(M$29,"USD",M$31),IF(M$29,M$31,"USD"),100000,J37,IF(M$29,VLOOKUP(M$31,$B$20:$C$27,2,FALSE),$C$20),VLOOKUP(M$31,$B$20:$C$27,2,FALSE))</f>
        <v>EUR_Swap_2m¬1</v>
      </c>
      <c r="N37" t="str">
        <f ca="1">_xll.QIns_CreateFxSwap(N$31&amp;"_Swap_"&amp;$B37,valDate,$B37,VLOOKUP(N$31,$B$12:$F$18,5,FALSE),IF(N$29,"USD",N$31),IF(N$29,N$31,"USD"),100000,K37,IF(N$29,VLOOKUP(N$31,$B$20:$C$27,2,FALSE),$C$20),VLOOKUP(N$31,$B$20:$C$27,2,FALSE))</f>
        <v>AUD_Swap_2m¬1</v>
      </c>
    </row>
    <row r="38" spans="1:18" x14ac:dyDescent="0.25">
      <c r="B38" s="9" t="s">
        <v>30</v>
      </c>
      <c r="C38">
        <f>_xll.BDP(C$31&amp;$B38&amp;" Curncy","PX_BID")</f>
        <v>1786</v>
      </c>
      <c r="D38">
        <f>_xll.BDP(D$31&amp;$B38&amp;" Curncy","PX_LAST")</f>
        <v>22.48</v>
      </c>
      <c r="E38">
        <f>_xll.BDP(E$31&amp;$B38&amp;" Curncy","PX_LAST")</f>
        <v>3.3</v>
      </c>
      <c r="F38" s="6"/>
      <c r="G38" s="6"/>
      <c r="H38" s="6"/>
      <c r="I38" s="14">
        <f ca="1"/>
        <v>1786</v>
      </c>
      <c r="J38">
        <f ca="1"/>
        <v>22.48</v>
      </c>
      <c r="K38">
        <f ca="1"/>
        <v>3.3</v>
      </c>
      <c r="L38" t="str">
        <f ca="1">_xll.QIns_CreateFxSwap(L$31&amp;"_Swap_"&amp;$B38,valDate,$B38,VLOOKUP(L$31,$B$12:$F$18,5,FALSE),IF(L$29,"USD",L$31),IF(L$29,L$31,"USD"),1000000,I38,IF(L$29,VLOOKUP(L$31,$B$20:$C$27,2,FALSE),$C$20),VLOOKUP(L$31,$B$20:$C$27,2,FALSE))</f>
        <v>ZAR_Swap_3m¬1</v>
      </c>
      <c r="M38" t="str">
        <f ca="1">_xll.QIns_CreateFxSwap(M$31&amp;"_Swap_"&amp;$B38,valDate,$B38,VLOOKUP(M$31,$B$12:$F$18,5,FALSE),IF(M$29,"USD",M$31),IF(M$29,M$31,"USD"),100000,J38,IF(M$29,VLOOKUP(M$31,$B$20:$C$27,2,FALSE),$C$20),VLOOKUP(M$31,$B$20:$C$27,2,FALSE))</f>
        <v>EUR_Swap_3m¬1</v>
      </c>
      <c r="N38" t="str">
        <f ca="1">_xll.QIns_CreateFxSwap(N$31&amp;"_Swap_"&amp;$B38,valDate,$B38,VLOOKUP(N$31,$B$12:$F$18,5,FALSE),IF(N$29,"USD",N$31),IF(N$29,N$31,"USD"),100000,K38,IF(N$29,VLOOKUP(N$31,$B$20:$C$27,2,FALSE),$C$20),VLOOKUP(N$31,$B$20:$C$27,2,FALSE))</f>
        <v>AUD_Swap_3m¬1</v>
      </c>
    </row>
    <row r="39" spans="1:18" x14ac:dyDescent="0.25">
      <c r="B39" s="9" t="s">
        <v>31</v>
      </c>
      <c r="C39">
        <f>_xll.BDP(C$31&amp;$B39&amp;" Curncy","PX_BID")</f>
        <v>3418</v>
      </c>
      <c r="D39">
        <f>_xll.BDP(D$31&amp;$B39&amp;" Curncy","PX_LAST")</f>
        <v>45.75</v>
      </c>
      <c r="E39">
        <f>_xll.BDP(E$31&amp;$B39&amp;" Curncy","PX_LAST")</f>
        <v>6.35</v>
      </c>
      <c r="F39" s="6"/>
      <c r="G39" s="6"/>
      <c r="H39" s="6"/>
      <c r="I39" s="14">
        <f ca="1"/>
        <v>3418</v>
      </c>
      <c r="J39">
        <f ca="1"/>
        <v>45.75</v>
      </c>
      <c r="K39">
        <f ca="1"/>
        <v>6.35</v>
      </c>
      <c r="L39" t="str">
        <f ca="1">_xll.QIns_CreateFxSwap(L$31&amp;"_Swap_"&amp;$B39,valDate,$B39,VLOOKUP(L$31,$B$12:$F$18,5,FALSE),IF(L$29,"USD",L$31),IF(L$29,L$31,"USD"),1000000,I39,IF(L$29,VLOOKUP(L$31,$B$20:$C$27,2,FALSE),$C$20),VLOOKUP(L$31,$B$20:$C$27,2,FALSE))</f>
        <v>ZAR_Swap_6m¬1</v>
      </c>
      <c r="M39" t="str">
        <f ca="1">_xll.QIns_CreateFxSwap(M$31&amp;"_Swap_"&amp;$B39,valDate,$B39,VLOOKUP(M$31,$B$12:$F$18,5,FALSE),IF(M$29,"USD",M$31),IF(M$29,M$31,"USD"),100000,J39,IF(M$29,VLOOKUP(M$31,$B$20:$C$27,2,FALSE),$C$20),VLOOKUP(M$31,$B$20:$C$27,2,FALSE))</f>
        <v>EUR_Swap_6m¬1</v>
      </c>
      <c r="N39" t="str">
        <f ca="1">_xll.QIns_CreateFxSwap(N$31&amp;"_Swap_"&amp;$B39,valDate,$B39,VLOOKUP(N$31,$B$12:$F$18,5,FALSE),IF(N$29,"USD",N$31),IF(N$29,N$31,"USD"),100000,K39,IF(N$29,VLOOKUP(N$31,$B$20:$C$27,2,FALSE),$C$20),VLOOKUP(N$31,$B$20:$C$27,2,FALSE))</f>
        <v>AUD_Swap_6m¬1</v>
      </c>
    </row>
    <row r="40" spans="1:18" x14ac:dyDescent="0.25">
      <c r="B40" s="9" t="s">
        <v>32</v>
      </c>
      <c r="C40">
        <f>_xll.BDP(C$31&amp;$B40&amp;" Curncy","PX_BID")</f>
        <v>4947</v>
      </c>
      <c r="D40">
        <f>_xll.BDP(D$31&amp;$B40&amp;" Curncy","PX_LAST")</f>
        <v>69.94</v>
      </c>
      <c r="E40">
        <f>_xll.BDP(E$31&amp;$B40&amp;" Curncy","PX_LAST")</f>
        <v>9.2899999999999991</v>
      </c>
      <c r="F40" s="6"/>
      <c r="G40" s="6"/>
      <c r="H40" s="6"/>
      <c r="I40" s="14">
        <f ca="1"/>
        <v>4947</v>
      </c>
      <c r="J40">
        <f ca="1"/>
        <v>69.94</v>
      </c>
      <c r="K40">
        <f ca="1"/>
        <v>9.2899999999999991</v>
      </c>
      <c r="L40" t="str">
        <f ca="1">_xll.QIns_CreateFxSwap(L$31&amp;"_Swap_"&amp;$B40,valDate,$B40,VLOOKUP(L$31,$B$12:$F$18,5,FALSE),IF(L$29,"USD",L$31),IF(L$29,L$31,"USD"),1000000,I40,IF(L$29,VLOOKUP(L$31,$B$20:$C$27,2,FALSE),$C$20),VLOOKUP(L$31,$B$20:$C$27,2,FALSE))</f>
        <v>ZAR_Swap_9m¬1</v>
      </c>
      <c r="M40" t="str">
        <f ca="1">_xll.QIns_CreateFxSwap(M$31&amp;"_Swap_"&amp;$B40,valDate,$B40,VLOOKUP(M$31,$B$12:$F$18,5,FALSE),IF(M$29,"USD",M$31),IF(M$29,M$31,"USD"),100000,J40,IF(M$29,VLOOKUP(M$31,$B$20:$C$27,2,FALSE),$C$20),VLOOKUP(M$31,$B$20:$C$27,2,FALSE))</f>
        <v>EUR_Swap_9m¬1</v>
      </c>
      <c r="N40" t="str">
        <f ca="1">_xll.QIns_CreateFxSwap(N$31&amp;"_Swap_"&amp;$B40,valDate,$B40,VLOOKUP(N$31,$B$12:$F$18,5,FALSE),IF(N$29,"USD",N$31),IF(N$29,N$31,"USD"),100000,K40,IF(N$29,VLOOKUP(N$31,$B$20:$C$27,2,FALSE),$C$20),VLOOKUP(N$31,$B$20:$C$27,2,FALSE))</f>
        <v>AUD_Swap_9m¬1</v>
      </c>
    </row>
    <row r="41" spans="1:18" x14ac:dyDescent="0.25">
      <c r="B41" s="9" t="s">
        <v>33</v>
      </c>
      <c r="C41">
        <f>_xll.BDP(C$31&amp;$B41&amp;" Curncy","PX_BID")</f>
        <v>6510</v>
      </c>
      <c r="D41">
        <f>_xll.BDP(D$31&amp;$B41&amp;" Curncy","PX_LAST")</f>
        <v>98.6</v>
      </c>
      <c r="E41">
        <f>_xll.BDP(E$31&amp;$B41&amp;" Curncy","PX_LAST")</f>
        <v>12.9</v>
      </c>
      <c r="F41" s="6"/>
      <c r="G41" s="6"/>
      <c r="H41" s="6"/>
      <c r="I41" s="14">
        <f ca="1"/>
        <v>6510</v>
      </c>
      <c r="J41">
        <f ca="1"/>
        <v>98.6</v>
      </c>
      <c r="K41">
        <f ca="1"/>
        <v>12.9</v>
      </c>
      <c r="L41" t="str">
        <f ca="1">_xll.QIns_CreateFxSwap(L$31&amp;"_Swap_"&amp;$B41,valDate,$B41,VLOOKUP(L$31,$B$12:$F$18,5,FALSE),IF(L$29,"USD",L$31),IF(L$29,L$31,"USD"),1000000,I41,IF(L$29,VLOOKUP(L$31,$B$20:$C$27,2,FALSE),$C$20),VLOOKUP(L$31,$B$20:$C$27,2,FALSE))</f>
        <v>ZAR_Swap_12m¬1</v>
      </c>
      <c r="M41" t="str">
        <f ca="1">_xll.QIns_CreateFxSwap(M$31&amp;"_Swap_"&amp;$B41,valDate,$B41,VLOOKUP(M$31,$B$12:$F$18,5,FALSE),IF(M$29,"USD",M$31),IF(M$29,M$31,"USD"),100000,J41,IF(M$29,VLOOKUP(M$31,$B$20:$C$27,2,FALSE),$C$20),VLOOKUP(M$31,$B$20:$C$27,2,FALSE))</f>
        <v>EUR_Swap_12m¬1</v>
      </c>
      <c r="N41" t="str">
        <f ca="1">_xll.QIns_CreateFxSwap(N$31&amp;"_Swap_"&amp;$B41,valDate,$B41,VLOOKUP(N$31,$B$12:$F$18,5,FALSE),IF(N$29,"USD",N$31),IF(N$29,N$31,"USD"),100000,K41,IF(N$29,VLOOKUP(N$31,$B$20:$C$27,2,FALSE),$C$20),VLOOKUP(N$31,$B$20:$C$27,2,FALSE))</f>
        <v>AUD_Swap_12m¬1</v>
      </c>
    </row>
    <row r="42" spans="1:18" x14ac:dyDescent="0.25">
      <c r="B42" s="9" t="s">
        <v>34</v>
      </c>
      <c r="C42">
        <f>_xll.BDP(C$31&amp;$B42&amp;" Curncy","PX_BID")</f>
        <v>9771</v>
      </c>
      <c r="D42">
        <f>_xll.BDP(D$31&amp;$B42&amp;" Curncy","PX_LAST")</f>
        <v>149.06</v>
      </c>
      <c r="E42">
        <f>_xll.BDP(E$31&amp;$B42&amp;" Curncy","PX_LAST")</f>
        <v>16.84</v>
      </c>
      <c r="F42" s="6"/>
      <c r="G42" s="6"/>
      <c r="H42" s="6"/>
      <c r="I42" s="14">
        <f ca="1"/>
        <v>9771</v>
      </c>
      <c r="J42">
        <f ca="1"/>
        <v>149.06</v>
      </c>
      <c r="K42">
        <f ca="1"/>
        <v>16.84</v>
      </c>
      <c r="L42" t="str">
        <f ca="1">_xll.QIns_CreateFxSwap(L$31&amp;"_Swap_"&amp;$B42,valDate,$B42,VLOOKUP(L$31,$B$12:$F$18,5,FALSE),IF(L$29,"USD",L$31),IF(L$29,L$31,"USD"),1000000,I42,IF(L$29,VLOOKUP(L$31,$B$20:$C$27,2,FALSE),$C$20),VLOOKUP(L$31,$B$20:$C$27,2,FALSE))</f>
        <v>ZAR_Swap_18m¬1</v>
      </c>
      <c r="M42" t="str">
        <f ca="1">_xll.QIns_CreateFxSwap(M$31&amp;"_Swap_"&amp;$B42,valDate,$B42,VLOOKUP(M$31,$B$12:$F$18,5,FALSE),IF(M$29,"USD",M$31),IF(M$29,M$31,"USD"),100000,J42,IF(M$29,VLOOKUP(M$31,$B$20:$C$27,2,FALSE),$C$20),VLOOKUP(M$31,$B$20:$C$27,2,FALSE))</f>
        <v>EUR_Swap_18m¬1</v>
      </c>
      <c r="N42" t="str">
        <f ca="1">_xll.QIns_CreateFxSwap(N$31&amp;"_Swap_"&amp;$B42,valDate,$B42,VLOOKUP(N$31,$B$12:$F$18,5,FALSE),IF(N$29,"USD",N$31),IF(N$29,N$31,"USD"),100000,K42,IF(N$29,VLOOKUP(N$31,$B$20:$C$27,2,FALSE),$C$20),VLOOKUP(N$31,$B$20:$C$27,2,FALSE))</f>
        <v>AUD_Swap_18m¬1</v>
      </c>
    </row>
    <row r="43" spans="1:18" x14ac:dyDescent="0.25">
      <c r="B43" s="9" t="s">
        <v>35</v>
      </c>
      <c r="C43">
        <f>_xll.BDP(C$31&amp;$B43&amp;" Curncy","PX_BID")</f>
        <v>13299</v>
      </c>
      <c r="D43">
        <f>_xll.BDP(D$31&amp;$B43&amp;" Curncy","PX_LAST")</f>
        <v>204.63</v>
      </c>
      <c r="E43">
        <f>_xll.BDP(E$31&amp;$B43&amp;" Curncy","PX_LAST")</f>
        <v>19.04</v>
      </c>
      <c r="F43" s="6"/>
      <c r="G43" s="6"/>
      <c r="H43" s="6"/>
      <c r="I43" s="14">
        <f ca="1"/>
        <v>13299</v>
      </c>
      <c r="J43">
        <f ca="1"/>
        <v>204.63</v>
      </c>
      <c r="K43">
        <f ca="1"/>
        <v>19.04</v>
      </c>
      <c r="L43" t="str">
        <f ca="1">_xll.QIns_CreateFxSwap(L$31&amp;"_Swap_"&amp;$B43,valDate,$B43,VLOOKUP(L$31,$B$12:$F$18,5,FALSE),IF(L$29,"USD",L$31),IF(L$29,L$31,"USD"),1000000,I43,IF(L$29,VLOOKUP(L$31,$B$20:$C$27,2,FALSE),$C$20),VLOOKUP(L$31,$B$20:$C$27,2,FALSE))</f>
        <v>ZAR_Swap_2y¬1</v>
      </c>
      <c r="M43" t="str">
        <f ca="1">_xll.QIns_CreateFxSwap(M$31&amp;"_Swap_"&amp;$B43,valDate,$B43,VLOOKUP(M$31,$B$12:$F$18,5,FALSE),IF(M$29,"USD",M$31),IF(M$29,M$31,"USD"),100000,J43,IF(M$29,VLOOKUP(M$31,$B$20:$C$27,2,FALSE),$C$20),VLOOKUP(M$31,$B$20:$C$27,2,FALSE))</f>
        <v>EUR_Swap_2y¬1</v>
      </c>
      <c r="N43" t="str">
        <f ca="1">_xll.QIns_CreateFxSwap(N$31&amp;"_Swap_"&amp;$B43,valDate,$B43,VLOOKUP(N$31,$B$12:$F$18,5,FALSE),IF(N$29,"USD",N$31),IF(N$29,N$31,"USD"),100000,K43,IF(N$29,VLOOKUP(N$31,$B$20:$C$27,2,FALSE),$C$20),VLOOKUP(N$31,$B$20:$C$27,2,FALSE))</f>
        <v>AUD_Swap_2y¬1</v>
      </c>
    </row>
    <row r="44" spans="1:18" x14ac:dyDescent="0.25">
      <c r="B44" s="9" t="s">
        <v>36</v>
      </c>
      <c r="C44">
        <f>_xll.BDP(C$31&amp;$B44&amp;" Curncy","PX_BID")</f>
        <v>21134</v>
      </c>
      <c r="D44">
        <f>_xll.BDP(D$31&amp;$B44&amp;" Curncy","PX_LAST")</f>
        <v>328.98</v>
      </c>
      <c r="E44">
        <f>_xll.BDP(E$31&amp;$B44&amp;" Curncy","PX_LAST")</f>
        <v>24.19</v>
      </c>
      <c r="F44" s="6"/>
      <c r="G44" s="6"/>
      <c r="H44" s="6"/>
      <c r="I44" s="14">
        <f ca="1"/>
        <v>21134</v>
      </c>
      <c r="J44">
        <f ca="1"/>
        <v>328.98</v>
      </c>
      <c r="K44">
        <f ca="1"/>
        <v>24.19</v>
      </c>
      <c r="L44" t="str">
        <f ca="1">_xll.QIns_CreateFxSwap(L$31&amp;"_Swap_"&amp;$B44,valDate,$B44,VLOOKUP(L$31,$B$12:$F$18,5,FALSE),IF(L$29,"USD",L$31),IF(L$29,L$31,"USD"),1000000,I44,IF(L$29,VLOOKUP(L$31,$B$20:$C$27,2,FALSE),$C$20),VLOOKUP(L$31,$B$20:$C$27,2,FALSE))</f>
        <v>ZAR_Swap_3y¬1</v>
      </c>
      <c r="M44" t="str">
        <f ca="1">_xll.QIns_CreateFxSwap(M$31&amp;"_Swap_"&amp;$B44,valDate,$B44,VLOOKUP(M$31,$B$12:$F$18,5,FALSE),IF(M$29,"USD",M$31),IF(M$29,M$31,"USD"),100000,J44,IF(M$29,VLOOKUP(M$31,$B$20:$C$27,2,FALSE),$C$20),VLOOKUP(M$31,$B$20:$C$27,2,FALSE))</f>
        <v>EUR_Swap_3y¬1</v>
      </c>
      <c r="N44" t="str">
        <f ca="1">_xll.QIns_CreateFxSwap(N$31&amp;"_Swap_"&amp;$B44,valDate,$B44,VLOOKUP(N$31,$B$12:$F$18,5,FALSE),IF(N$29,"USD",N$31),IF(N$29,N$31,"USD"),100000,K44,IF(N$29,VLOOKUP(N$31,$B$20:$C$27,2,FALSE),$C$20),VLOOKUP(N$31,$B$20:$C$27,2,FALSE))</f>
        <v>AUD_Swap_3y¬1</v>
      </c>
    </row>
    <row r="45" spans="1:18" x14ac:dyDescent="0.25">
      <c r="B45" s="9" t="s">
        <v>37</v>
      </c>
      <c r="C45">
        <f>_xll.BDP(C$31&amp;$B45&amp;" Curncy","PX_BID")</f>
        <v>39388</v>
      </c>
      <c r="D45">
        <f>_xll.BDP(D$31&amp;$B45&amp;" Curncy","PX_LAST")</f>
        <v>692.5</v>
      </c>
      <c r="E45">
        <f>_xll.BDP(E$31&amp;$B45&amp;" Curncy","PX_LAST")</f>
        <v>9.2100000000000009</v>
      </c>
      <c r="F45" s="6"/>
      <c r="G45" s="6"/>
      <c r="H45" s="6"/>
      <c r="I45" s="14">
        <f ca="1"/>
        <v>39388</v>
      </c>
      <c r="J45">
        <f ca="1"/>
        <v>692.5</v>
      </c>
      <c r="K45">
        <f ca="1"/>
        <v>9.2100000000000009</v>
      </c>
      <c r="L45" t="str">
        <f ca="1">_xll.QIns_CreateFxSwap(L$31&amp;"_Swap_"&amp;$B45,valDate,$B45,VLOOKUP(L$31,$B$12:$F$18,5,FALSE),IF(L$29,"USD",L$31),IF(L$29,L$31,"USD"),1000000,I45,IF(L$29,VLOOKUP(L$31,$B$20:$C$27,2,FALSE),$C$20),VLOOKUP(L$31,$B$20:$C$27,2,FALSE))</f>
        <v>ZAR_Swap_5y¬1</v>
      </c>
      <c r="M45" t="str">
        <f ca="1">_xll.QIns_CreateFxSwap(M$31&amp;"_Swap_"&amp;$B45,valDate,$B45,VLOOKUP(M$31,$B$12:$F$18,5,FALSE),IF(M$29,"USD",M$31),IF(M$29,M$31,"USD"),100000,J45,IF(M$29,VLOOKUP(M$31,$B$20:$C$27,2,FALSE),$C$20),VLOOKUP(M$31,$B$20:$C$27,2,FALSE))</f>
        <v>EUR_Swap_5y¬1</v>
      </c>
      <c r="N45" t="str">
        <f ca="1">_xll.QIns_CreateFxSwap(N$31&amp;"_Swap_"&amp;$B45,valDate,$B45,VLOOKUP(N$31,$B$12:$F$18,5,FALSE),IF(N$29,"USD",N$31),IF(N$29,N$31,"USD"),100000,K45,IF(N$29,VLOOKUP(N$31,$B$20:$C$27,2,FALSE),$C$20),VLOOKUP(N$31,$B$20:$C$27,2,FALSE))</f>
        <v>AUD_Swap_5y¬1</v>
      </c>
    </row>
    <row r="46" spans="1:18" x14ac:dyDescent="0.25">
      <c r="I46" s="15"/>
    </row>
    <row r="47" spans="1:18" x14ac:dyDescent="0.25">
      <c r="A47" s="3" t="s">
        <v>55</v>
      </c>
    </row>
    <row r="48" spans="1:18" x14ac:dyDescent="0.25">
      <c r="C48" s="198" t="s">
        <v>15</v>
      </c>
      <c r="D48" s="198"/>
      <c r="E48" s="198"/>
      <c r="F48" s="198"/>
      <c r="G48" s="198" t="s">
        <v>16</v>
      </c>
      <c r="H48" s="198"/>
      <c r="I48" s="198"/>
      <c r="J48" s="198"/>
      <c r="K48" s="198" t="s">
        <v>17</v>
      </c>
      <c r="L48" s="198"/>
      <c r="M48" s="198"/>
      <c r="N48" s="198"/>
      <c r="O48" s="198" t="s">
        <v>39</v>
      </c>
      <c r="P48" s="198"/>
      <c r="Q48" s="198"/>
      <c r="R48" s="198"/>
    </row>
    <row r="49" spans="1:19" x14ac:dyDescent="0.25">
      <c r="C49" s="5" t="s">
        <v>5</v>
      </c>
      <c r="D49" s="5" t="s">
        <v>6</v>
      </c>
      <c r="E49" s="5" t="s">
        <v>56</v>
      </c>
      <c r="F49" s="5" t="s">
        <v>57</v>
      </c>
      <c r="G49" s="5" t="str">
        <f t="shared" ref="G49:R49" si="9">C49</f>
        <v>XAU</v>
      </c>
      <c r="H49" s="5" t="str">
        <f t="shared" si="9"/>
        <v>XAG</v>
      </c>
      <c r="I49" s="5" t="str">
        <f t="shared" si="9"/>
        <v>XPT</v>
      </c>
      <c r="J49" s="5" t="str">
        <f t="shared" si="9"/>
        <v>XPD</v>
      </c>
      <c r="K49" s="5" t="str">
        <f t="shared" si="9"/>
        <v>XAU</v>
      </c>
      <c r="L49" s="5" t="str">
        <f t="shared" si="9"/>
        <v>XAG</v>
      </c>
      <c r="M49" s="5" t="str">
        <f t="shared" si="9"/>
        <v>XPT</v>
      </c>
      <c r="N49" s="5" t="str">
        <f t="shared" si="9"/>
        <v>XPD</v>
      </c>
      <c r="O49" s="5" t="str">
        <f t="shared" si="9"/>
        <v>XAU</v>
      </c>
      <c r="P49" s="5" t="str">
        <f t="shared" si="9"/>
        <v>XAG</v>
      </c>
      <c r="Q49" s="5" t="str">
        <f t="shared" si="9"/>
        <v>XPT</v>
      </c>
      <c r="R49" s="5" t="str">
        <f t="shared" si="9"/>
        <v>XPD</v>
      </c>
      <c r="S49" s="5" t="s">
        <v>60</v>
      </c>
    </row>
    <row r="50" spans="1:19" s="185" customFormat="1" x14ac:dyDescent="0.25">
      <c r="A50" s="3"/>
      <c r="B50" s="185" t="s">
        <v>24</v>
      </c>
      <c r="C50" s="191">
        <f>C52</f>
        <v>0.15</v>
      </c>
      <c r="D50" s="191">
        <f t="shared" ref="D50:N50" si="10">D52</f>
        <v>-0.25</v>
      </c>
      <c r="E50" s="191">
        <f t="shared" si="10"/>
        <v>-0.5</v>
      </c>
      <c r="F50" s="191">
        <f t="shared" si="10"/>
        <v>-0.2</v>
      </c>
      <c r="G50" s="191">
        <f t="shared" si="10"/>
        <v>0</v>
      </c>
      <c r="H50" s="191">
        <f t="shared" si="10"/>
        <v>-0.75</v>
      </c>
      <c r="I50" s="191">
        <f t="shared" si="10"/>
        <v>0</v>
      </c>
      <c r="J50" s="191">
        <f t="shared" si="10"/>
        <v>0</v>
      </c>
      <c r="K50" s="191">
        <f t="shared" ca="1" si="10"/>
        <v>0.15</v>
      </c>
      <c r="L50" s="191">
        <f t="shared" ca="1" si="10"/>
        <v>-0.75</v>
      </c>
      <c r="M50" s="191">
        <f t="shared" ca="1" si="10"/>
        <v>-0.5</v>
      </c>
      <c r="N50" s="191">
        <f t="shared" ca="1" si="10"/>
        <v>-0.2</v>
      </c>
      <c r="O50" s="185" t="str">
        <f ca="1">_xll.QIns_CreateContangoSwap(O$49&amp;"_"&amp;$B50,MetalSpotDate,valDate+1,O$49,"USD",100,K50/100,$C$20,VLOOKUP(O$49,$B$20:$C$27,2,FALSE),valDate+1)</f>
        <v>XAU_ON¬1</v>
      </c>
      <c r="S50" s="1"/>
    </row>
    <row r="51" spans="1:19" s="185" customFormat="1" x14ac:dyDescent="0.25">
      <c r="A51" s="3"/>
      <c r="B51" s="185" t="s">
        <v>25</v>
      </c>
      <c r="C51" s="191">
        <f>C52</f>
        <v>0.15</v>
      </c>
      <c r="D51" s="191">
        <f t="shared" ref="D51:N51" si="11">D52</f>
        <v>-0.25</v>
      </c>
      <c r="E51" s="191">
        <f t="shared" si="11"/>
        <v>-0.5</v>
      </c>
      <c r="F51" s="191">
        <f t="shared" si="11"/>
        <v>-0.2</v>
      </c>
      <c r="G51" s="191">
        <f t="shared" si="11"/>
        <v>0</v>
      </c>
      <c r="H51" s="191">
        <f t="shared" si="11"/>
        <v>-0.75</v>
      </c>
      <c r="I51" s="191">
        <f t="shared" si="11"/>
        <v>0</v>
      </c>
      <c r="J51" s="191">
        <f t="shared" si="11"/>
        <v>0</v>
      </c>
      <c r="K51" s="191">
        <f t="shared" ca="1" si="11"/>
        <v>0.15</v>
      </c>
      <c r="L51" s="191">
        <f t="shared" ca="1" si="11"/>
        <v>-0.75</v>
      </c>
      <c r="M51" s="191">
        <f t="shared" ca="1" si="11"/>
        <v>-0.5</v>
      </c>
      <c r="N51" s="191">
        <f t="shared" ca="1" si="11"/>
        <v>-0.2</v>
      </c>
      <c r="S51" s="1"/>
    </row>
    <row r="52" spans="1:19" x14ac:dyDescent="0.25">
      <c r="B52" s="9" t="s">
        <v>26</v>
      </c>
      <c r="C52">
        <f>_xll.BDP(C$49&amp;"SR"&amp;$B52&amp;"  Curncy","PX_LAST")</f>
        <v>0.15</v>
      </c>
      <c r="D52">
        <f>_xll.BDP(D$49&amp;"SR"&amp;$B52&amp;"  Curncy","PX_LAST")</f>
        <v>-0.25</v>
      </c>
      <c r="E52">
        <f>_xll.BDP(E$49&amp;"SR"&amp;$B52&amp;"  Curncy","PX_LAST")</f>
        <v>-0.5</v>
      </c>
      <c r="F52">
        <f>_xll.BDP(F$49&amp;"SR"&amp;$B52&amp;"  Curncy","PX_LAST")</f>
        <v>-0.2</v>
      </c>
      <c r="G52" s="6"/>
      <c r="H52" s="6">
        <v>-0.75</v>
      </c>
      <c r="I52" s="6"/>
      <c r="J52" s="6"/>
      <c r="K52" s="14">
        <f t="array" aca="1" ref="K52:K62" ca="1">_xll.QCurves_BendCurve(C52:C62,G52:G62)</f>
        <v>0.15</v>
      </c>
      <c r="L52" s="14">
        <f t="array" aca="1" ref="L52:L62" ca="1">_xll.QCurves_BendCurve(D52:D62,H52:H62)</f>
        <v>-0.75</v>
      </c>
      <c r="M52" s="14">
        <f t="array" aca="1" ref="M52:M62" ca="1">_xll.QCurves_BendCurve(E52:E62,I52:I62)</f>
        <v>-0.5</v>
      </c>
      <c r="N52" s="14">
        <f t="array" aca="1" ref="N52:N62" ca="1">_xll.QCurves_BendCurve(F52:F62,J52:J62)</f>
        <v>-0.2</v>
      </c>
      <c r="O52" t="str">
        <f ca="1">_xll.QIns_CreateContangoSwap(O$49&amp;"_"&amp;$B52,MetalSpotDate,$S52,O$49,"USD",100,K52/100,$C$20,VLOOKUP(O$49,$B$20:$C$27,2,FALSE))</f>
        <v>XAU_1w¬1</v>
      </c>
      <c r="P52" t="str" cm="1">
        <f t="array" aca="1" ref="P52" ca="1">_xll.QIns_CreateContangoSwap(P$49&amp;"_"&amp;$B52,MetalSpotDate,$S52,P$49,"USD",100,L52/100,$C$20,VLOOKUP(P$49,$B$20:$C$27,2,FALSE))</f>
        <v>XAG_1w¬1</v>
      </c>
      <c r="Q52" t="str" cm="1">
        <f t="array" aca="1" ref="Q52" ca="1">_xll.QIns_CreateContangoSwap(Q$49&amp;"_"&amp;$B52,MetalSpotDate,$S52,Q$49,"USD",100,M52/100,$C$20,VLOOKUP(Q$49,$B$20:$C$27,2,FALSE))</f>
        <v>XPT_1w¬1</v>
      </c>
      <c r="R52" t="str" cm="1">
        <f t="array" aca="1" ref="R52" ca="1">_xll.QIns_CreateContangoSwap(R$49&amp;"_"&amp;$B52,MetalSpotDate,$S52,R$49,"USD",100,N52/100,$C$20,VLOOKUP(R$49,$B$20:$C$27,2,FALSE))</f>
        <v>XPD_1w¬1</v>
      </c>
      <c r="S52" s="1" cm="1">
        <f t="array" aca="1" ref="S52" ca="1">_xll.QDates_AddPeriod(MetalSpotDate,B52,"F","NYC+LON")</f>
        <v>44250</v>
      </c>
    </row>
    <row r="53" spans="1:19" x14ac:dyDescent="0.25">
      <c r="B53" s="9" t="s">
        <v>28</v>
      </c>
      <c r="C53">
        <f>_xll.BDP(C$49&amp;"SR"&amp;$B53&amp;" TPMT Curncy","PX_LAST")</f>
        <v>0.21</v>
      </c>
      <c r="D53">
        <f>_xll.BDP(D$49&amp;"SR"&amp;$B53&amp;" TPMT Curncy","PX_LAST")</f>
        <v>-0.88</v>
      </c>
      <c r="E53">
        <f>_xll.BDP(E$49&amp;"SR"&amp;$B53&amp;" TPMT Curncy","PX_LAST")</f>
        <v>-0.55000000000000004</v>
      </c>
      <c r="F53">
        <f>_xll.BDP(F$49&amp;"SR"&amp;$B53&amp;" TPMT Curncy","PX_LAST")</f>
        <v>0.13</v>
      </c>
      <c r="G53" s="6"/>
      <c r="H53" s="6">
        <v>-0.75</v>
      </c>
      <c r="I53" s="6"/>
      <c r="J53" s="6"/>
      <c r="K53" s="14">
        <f ca="1"/>
        <v>0.21</v>
      </c>
      <c r="L53" s="14">
        <f ca="1"/>
        <v>-0.75</v>
      </c>
      <c r="M53" s="14">
        <f ca="1"/>
        <v>-0.55000000000000004</v>
      </c>
      <c r="N53" s="14">
        <f ca="1"/>
        <v>0.13</v>
      </c>
      <c r="O53" t="str">
        <f ca="1">_xll.QIns_CreateContangoSwap(O$49&amp;"_"&amp;$B53,MetalSpotDate,$S53,O$49,"USD",100,K53/100,$C$20,VLOOKUP(O$49,$B$20:$C$27,2,FALSE))</f>
        <v>XAU_1m¬1</v>
      </c>
      <c r="P53" t="str" cm="1">
        <f t="array" aca="1" ref="P53" ca="1">_xll.QIns_CreateContangoSwap(P$49&amp;"_"&amp;$B53,MetalSpotDate,$S53,P$49,"USD",100,L53/100,$C$20,VLOOKUP(P$49,$B$20:$C$27,2,FALSE))</f>
        <v>XAG_1m¬1</v>
      </c>
      <c r="Q53" t="str" cm="1">
        <f t="array" aca="1" ref="Q53" ca="1">_xll.QIns_CreateContangoSwap(Q$49&amp;"_"&amp;$B53,MetalSpotDate,$S53,Q$49,"USD",100,M53/100,$C$20,VLOOKUP(Q$49,$B$20:$C$27,2,FALSE))</f>
        <v>XPT_1m¬1</v>
      </c>
      <c r="R53" t="str" cm="1">
        <f t="array" aca="1" ref="R53" ca="1">_xll.QIns_CreateContangoSwap(R$49&amp;"_"&amp;$B53,MetalSpotDate,$S53,R$49,"USD",100,N53/100,$C$20,VLOOKUP(R$49,$B$20:$C$27,2,FALSE))</f>
        <v>XPD_1m¬1</v>
      </c>
      <c r="S53" s="1" cm="1">
        <f t="array" aca="1" ref="S53" ca="1">_xll.QDates_AddPeriod(MetalSpotDate,B53,"MF","NYC+LON")</f>
        <v>44271</v>
      </c>
    </row>
    <row r="54" spans="1:19" x14ac:dyDescent="0.25">
      <c r="B54" s="9" t="s">
        <v>29</v>
      </c>
      <c r="C54">
        <f>_xll.BDP(C$49&amp;"SR"&amp;$B54&amp;" TPMT Curncy","PX_LAST")</f>
        <v>0.23</v>
      </c>
      <c r="D54">
        <f>_xll.BDP(D$49&amp;"SR"&amp;$B54&amp;" TPMT Curncy","PX_LAST")</f>
        <v>-0.55000000000000004</v>
      </c>
      <c r="E54">
        <f>_xll.BDP(E$49&amp;"SR"&amp;$B54&amp;" TPMT Curncy","PX_LAST")</f>
        <v>-0.65</v>
      </c>
      <c r="F54">
        <f>_xll.BDP(F$49&amp;"SR"&amp;$B54&amp;" TPMT Curncy","PX_LAST")</f>
        <v>-0.05</v>
      </c>
      <c r="G54" s="6"/>
      <c r="H54" s="6">
        <v>-0.75</v>
      </c>
      <c r="I54" s="6"/>
      <c r="J54" s="6"/>
      <c r="K54" s="14">
        <f ca="1"/>
        <v>0.23</v>
      </c>
      <c r="L54" s="14">
        <f ca="1"/>
        <v>-0.75</v>
      </c>
      <c r="M54" s="14">
        <f ca="1"/>
        <v>-0.65</v>
      </c>
      <c r="N54" s="14">
        <f ca="1"/>
        <v>-0.05</v>
      </c>
      <c r="O54" t="str">
        <f ca="1">_xll.QIns_CreateContangoSwap(O$49&amp;"_"&amp;$B54,MetalSpotDate,$S54,O$49,"USD",100,K54/100,$C$20,VLOOKUP(O$49,$B$20:$C$27,2,FALSE))</f>
        <v>XAU_2m¬1</v>
      </c>
      <c r="P54" t="str" cm="1">
        <f t="array" aca="1" ref="P54" ca="1">_xll.QIns_CreateContangoSwap(P$49&amp;"_"&amp;$B54,MetalSpotDate,$S54,P$49,"USD",100,L54/100,$C$20,VLOOKUP(P$49,$B$20:$C$27,2,FALSE))</f>
        <v>XAG_2m¬1</v>
      </c>
      <c r="Q54" t="str" cm="1">
        <f t="array" aca="1" ref="Q54" ca="1">_xll.QIns_CreateContangoSwap(Q$49&amp;"_"&amp;$B54,MetalSpotDate,$S54,Q$49,"USD",100,M54/100,$C$20,VLOOKUP(Q$49,$B$20:$C$27,2,FALSE))</f>
        <v>XPT_2m¬1</v>
      </c>
      <c r="R54" t="str" cm="1">
        <f t="array" aca="1" ref="R54" ca="1">_xll.QIns_CreateContangoSwap(R$49&amp;"_"&amp;$B54,MetalSpotDate,$S54,R$49,"USD",100,N54/100,$C$20,VLOOKUP(R$49,$B$20:$C$27,2,FALSE))</f>
        <v>XPD_2m¬1</v>
      </c>
      <c r="S54" s="1" cm="1">
        <f t="array" aca="1" ref="S54" ca="1">_xll.QDates_AddPeriod(MetalSpotDate,B54,"MF","NYC+LON")</f>
        <v>44302</v>
      </c>
    </row>
    <row r="55" spans="1:19" x14ac:dyDescent="0.25">
      <c r="B55" s="9" t="s">
        <v>30</v>
      </c>
      <c r="C55">
        <f>_xll.BDP(C$49&amp;"SR"&amp;$B55&amp;" TPMT Curncy","PX_LAST")</f>
        <v>0.22</v>
      </c>
      <c r="D55">
        <f>_xll.BDP(D$49&amp;"SR"&amp;$B55&amp;" TPMT Curncy","PX_LAST")</f>
        <v>-0.25</v>
      </c>
      <c r="E55">
        <f>_xll.BDP(E$49&amp;"SR"&amp;$B55&amp;" TPMT Curncy","PX_LAST")</f>
        <v>-0.85</v>
      </c>
      <c r="F55">
        <f>_xll.BDP(F$49&amp;"SR"&amp;$B55&amp;" TPMT Curncy","PX_LAST")</f>
        <v>-0.5</v>
      </c>
      <c r="G55" s="6"/>
      <c r="H55" s="6">
        <v>-0.75</v>
      </c>
      <c r="I55" s="6"/>
      <c r="J55" s="6"/>
      <c r="K55" s="14">
        <f ca="1"/>
        <v>0.22</v>
      </c>
      <c r="L55" s="14">
        <f ca="1"/>
        <v>-0.75</v>
      </c>
      <c r="M55" s="14">
        <f ca="1"/>
        <v>-0.85</v>
      </c>
      <c r="N55" s="14">
        <f ca="1"/>
        <v>-0.5</v>
      </c>
      <c r="O55" t="str" cm="1">
        <f t="array" aca="1" ref="O55" ca="1">_xll.QIns_CreateContangoSwap(O$49&amp;"_"&amp;$B55,MetalSpotDate,$S55,O$49,"USD",100,K55/100,$C$20,VLOOKUP(O$49,$B$20:$C$27,2,FALSE))</f>
        <v>XAU_3m¬1</v>
      </c>
      <c r="P55" t="str" cm="1">
        <f t="array" aca="1" ref="P55" ca="1">_xll.QIns_CreateContangoSwap(P$49&amp;"_"&amp;$B55,MetalSpotDate,$S55,P$49,"USD",100,L55/100,$C$20,VLOOKUP(P$49,$B$20:$C$27,2,FALSE))</f>
        <v>XAG_3m¬1</v>
      </c>
      <c r="Q55" t="str" cm="1">
        <f t="array" aca="1" ref="Q55" ca="1">_xll.QIns_CreateContangoSwap(Q$49&amp;"_"&amp;$B55,MetalSpotDate,$S55,Q$49,"USD",100,M55/100,$C$20,VLOOKUP(Q$49,$B$20:$C$27,2,FALSE))</f>
        <v>XPT_3m¬1</v>
      </c>
      <c r="R55" t="str" cm="1">
        <f t="array" aca="1" ref="R55" ca="1">_xll.QIns_CreateContangoSwap(R$49&amp;"_"&amp;$B55,MetalSpotDate,$S55,R$49,"USD",100,N55/100,$C$20,VLOOKUP(R$49,$B$20:$C$27,2,FALSE))</f>
        <v>XPD_3m¬1</v>
      </c>
      <c r="S55" s="1" cm="1">
        <f t="array" aca="1" ref="S55" ca="1">_xll.QDates_AddPeriod(MetalSpotDate,B55,"MF","NYC+LON")</f>
        <v>44333</v>
      </c>
    </row>
    <row r="56" spans="1:19" x14ac:dyDescent="0.25">
      <c r="B56" s="9" t="s">
        <v>31</v>
      </c>
      <c r="C56">
        <f>_xll.BDP(C$49&amp;"SR"&amp;$B56&amp;" TPMT Curncy","PX_LAST")</f>
        <v>0.24</v>
      </c>
      <c r="D56">
        <f>_xll.BDP(D$49&amp;"SR"&amp;$B56&amp;" TPMT Curncy","PX_LAST")</f>
        <v>-0.6</v>
      </c>
      <c r="E56">
        <f>_xll.BDP(E$49&amp;"SR"&amp;$B56&amp;" TPMT Curncy","PX_LAST")</f>
        <v>-1</v>
      </c>
      <c r="F56">
        <f>_xll.BDP(F$49&amp;"SR"&amp;$B56&amp;" TPMT Curncy","PX_LAST")</f>
        <v>-0.5</v>
      </c>
      <c r="G56" s="6"/>
      <c r="H56" s="6">
        <v>-0.75</v>
      </c>
      <c r="I56" s="6"/>
      <c r="J56" s="6"/>
      <c r="K56" s="14">
        <f ca="1"/>
        <v>0.24</v>
      </c>
      <c r="L56" s="14">
        <f ca="1"/>
        <v>-0.75</v>
      </c>
      <c r="M56" s="14">
        <f ca="1"/>
        <v>-1</v>
      </c>
      <c r="N56" s="14">
        <f ca="1"/>
        <v>-0.5</v>
      </c>
      <c r="O56" t="str">
        <f ca="1">_xll.QIns_CreateContangoSwap(O$49&amp;"_"&amp;$B56,MetalSpotDate,$S56,O$49,"USD",100,K56/100,$C$20,VLOOKUP(O$49,$B$20:$C$27,2,FALSE))</f>
        <v>XAU_6m¬1</v>
      </c>
      <c r="P56" t="str" cm="1">
        <f t="array" aca="1" ref="P56" ca="1">_xll.QIns_CreateContangoSwap(P$49&amp;"_"&amp;$B56,MetalSpotDate,$S56,P$49,"USD",100,L56/100,$C$20,VLOOKUP(P$49,$B$20:$C$27,2,FALSE))</f>
        <v>XAG_6m¬1</v>
      </c>
      <c r="Q56" t="str" cm="1">
        <f t="array" aca="1" ref="Q56" ca="1">_xll.QIns_CreateContangoSwap(Q$49&amp;"_"&amp;$B56,MetalSpotDate,$S56,Q$49,"USD",100,M56/100,$C$20,VLOOKUP(Q$49,$B$20:$C$27,2,FALSE))</f>
        <v>XPT_6m¬1</v>
      </c>
      <c r="R56" t="str" cm="1">
        <f t="array" aca="1" ref="R56" ca="1">_xll.QIns_CreateContangoSwap(R$49&amp;"_"&amp;$B56,MetalSpotDate,$S56,R$49,"USD",100,N56/100,$C$20,VLOOKUP(R$49,$B$20:$C$27,2,FALSE))</f>
        <v>XPD_6m¬1</v>
      </c>
      <c r="S56" s="1" cm="1">
        <f t="array" aca="1" ref="S56" ca="1">_xll.QDates_AddPeriod(MetalSpotDate,B56,"MF","NYC+LON")</f>
        <v>44424</v>
      </c>
    </row>
    <row r="57" spans="1:19" x14ac:dyDescent="0.25">
      <c r="B57" s="9" t="s">
        <v>32</v>
      </c>
      <c r="C57">
        <f>_xll.BDP(C$49&amp;"SR"&amp;$B57&amp;" TPMT Curncy","PX_LAST")</f>
        <v>0.26</v>
      </c>
      <c r="D57">
        <f>_xll.BDP(D$49&amp;"SR"&amp;$B57&amp;" TPMT Curncy","PX_LAST")</f>
        <v>-0.63</v>
      </c>
      <c r="E57">
        <f>_xll.BDP(E$49&amp;"SR"&amp;$B57&amp;" TPMT Curncy","PX_LAST")</f>
        <v>-1.2</v>
      </c>
      <c r="F57">
        <f>_xll.BDP(F$49&amp;"SR"&amp;$B57&amp;" TPMT Curncy","PX_LAST")</f>
        <v>-0.63</v>
      </c>
      <c r="G57" s="6"/>
      <c r="H57" s="6">
        <v>-0.75</v>
      </c>
      <c r="I57" s="6"/>
      <c r="J57" s="6"/>
      <c r="K57" s="14">
        <f ca="1"/>
        <v>0.26</v>
      </c>
      <c r="L57" s="14">
        <f ca="1"/>
        <v>-0.75</v>
      </c>
      <c r="M57" s="14">
        <f ca="1"/>
        <v>-1.2</v>
      </c>
      <c r="N57" s="14">
        <f ca="1"/>
        <v>-0.63</v>
      </c>
      <c r="O57" t="str">
        <f ca="1">_xll.QIns_CreateContangoSwap(O$49&amp;"_"&amp;$B57,MetalSpotDate,$S57,O$49,"USD",100,K57/100,$C$20,VLOOKUP(O$49,$B$20:$C$27,2,FALSE))</f>
        <v>XAU_9m¬1</v>
      </c>
      <c r="P57" t="str" cm="1">
        <f t="array" aca="1" ref="P57" ca="1">_xll.QIns_CreateContangoSwap(P$49&amp;"_"&amp;$B57,MetalSpotDate,$S57,P$49,"USD",100,L57/100,$C$20,VLOOKUP(P$49,$B$20:$C$27,2,FALSE))</f>
        <v>XAG_9m¬1</v>
      </c>
      <c r="Q57" t="str" cm="1">
        <f t="array" aca="1" ref="Q57" ca="1">_xll.QIns_CreateContangoSwap(Q$49&amp;"_"&amp;$B57,MetalSpotDate,$S57,Q$49,"USD",100,M57/100,$C$20,VLOOKUP(Q$49,$B$20:$C$27,2,FALSE))</f>
        <v>XPT_9m¬1</v>
      </c>
      <c r="R57" t="str" cm="1">
        <f t="array" aca="1" ref="R57" ca="1">_xll.QIns_CreateContangoSwap(R$49&amp;"_"&amp;$B57,MetalSpotDate,$S57,R$49,"USD",100,N57/100,$C$20,VLOOKUP(R$49,$B$20:$C$27,2,FALSE))</f>
        <v>XPD_9m¬1</v>
      </c>
      <c r="S57" s="1" cm="1">
        <f t="array" aca="1" ref="S57" ca="1">_xll.QDates_AddPeriod(MetalSpotDate,B57,"MF","NYC+LON")</f>
        <v>44516</v>
      </c>
    </row>
    <row r="58" spans="1:19" x14ac:dyDescent="0.25">
      <c r="B58" s="9" t="s">
        <v>33</v>
      </c>
      <c r="C58">
        <f>_xll.BDP(C$49&amp;"SR"&amp;$B58&amp;" TPMT Curncy","PX_LAST")</f>
        <v>0.28999999999999998</v>
      </c>
      <c r="D58">
        <f>_xll.BDP(D$49&amp;"SR"&amp;$B58&amp;" TPMT Curncy","PX_LAST")</f>
        <v>-0.5</v>
      </c>
      <c r="E58">
        <f>_xll.BDP(E$49&amp;"SR"&amp;$B58&amp;" TPMT Curncy","PX_LAST")</f>
        <v>-1.3</v>
      </c>
      <c r="F58">
        <f>_xll.BDP(F$49&amp;"SR"&amp;$B58&amp;" TPMT Curncy","PX_LAST")</f>
        <v>-0.75</v>
      </c>
      <c r="G58" s="6"/>
      <c r="H58" s="6">
        <v>-0.75</v>
      </c>
      <c r="I58" s="6"/>
      <c r="J58" s="6"/>
      <c r="K58" s="14">
        <f ca="1"/>
        <v>0.28999999999999998</v>
      </c>
      <c r="L58" s="14">
        <f ca="1"/>
        <v>-0.75</v>
      </c>
      <c r="M58" s="14">
        <f ca="1"/>
        <v>-1.3</v>
      </c>
      <c r="N58" s="14">
        <f ca="1"/>
        <v>-0.75</v>
      </c>
      <c r="O58" t="str">
        <f ca="1">_xll.QIns_CreateContangoSwap(O$49&amp;"_"&amp;$B58,MetalSpotDate,$S58,O$49,"USD",100,K58/100,$C$20,VLOOKUP(O$49,$B$20:$C$27,2,FALSE))</f>
        <v>XAU_12m¬1</v>
      </c>
      <c r="P58" t="str" cm="1">
        <f t="array" aca="1" ref="P58" ca="1">_xll.QIns_CreateContangoSwap(P$49&amp;"_"&amp;$B58,MetalSpotDate,$S58,P$49,"USD",100,L58/100,$C$20,VLOOKUP(P$49,$B$20:$C$27,2,FALSE))</f>
        <v>XAG_12m¬1</v>
      </c>
      <c r="Q58" t="str" cm="1">
        <f t="array" aca="1" ref="Q58" ca="1">_xll.QIns_CreateContangoSwap(Q$49&amp;"_"&amp;$B58,MetalSpotDate,$S58,Q$49,"USD",100,M58/100,$C$20,VLOOKUP(Q$49,$B$20:$C$27,2,FALSE))</f>
        <v>XPT_12m¬1</v>
      </c>
      <c r="R58" t="str" cm="1">
        <f t="array" aca="1" ref="R58" ca="1">_xll.QIns_CreateContangoSwap(R$49&amp;"_"&amp;$B58,MetalSpotDate,$S58,R$49,"USD",100,N58/100,$C$20,VLOOKUP(R$49,$B$20:$C$27,2,FALSE))</f>
        <v>XPD_12m¬1</v>
      </c>
      <c r="S58" s="1" cm="1">
        <f t="array" aca="1" ref="S58" ca="1">_xll.QDates_AddPeriod(MetalSpotDate,B58,"MF","NYC+LON")</f>
        <v>44608</v>
      </c>
    </row>
    <row r="59" spans="1:19" x14ac:dyDescent="0.25">
      <c r="B59" s="9" t="s">
        <v>35</v>
      </c>
      <c r="C59">
        <f>_xll.BDP(C$49&amp;"SR"&amp;$B59&amp;" TPMT Curncy","PX_LAST")</f>
        <v>0.2</v>
      </c>
      <c r="D59">
        <f>_xll.BDP(D$49&amp;"SR"&amp;$B59&amp;" TPMT Curncy","PX_LAST")</f>
        <v>-0.5</v>
      </c>
      <c r="E59">
        <f>_xll.BDP(E$49&amp;"SR"&amp;$B59&amp;" TPMT Curncy","PX_LAST")</f>
        <v>-1.43</v>
      </c>
      <c r="F59">
        <f>_xll.BDP(F$49&amp;"SR"&amp;$B59&amp;" TPMT Curncy","PX_LAST")</f>
        <v>-0.75</v>
      </c>
      <c r="G59" s="6"/>
      <c r="H59" s="6">
        <v>-0.75</v>
      </c>
      <c r="I59" s="6"/>
      <c r="J59" s="6"/>
      <c r="K59" s="14">
        <f ca="1"/>
        <v>0.2</v>
      </c>
      <c r="L59" s="14">
        <f ca="1"/>
        <v>-0.75</v>
      </c>
      <c r="M59" s="14">
        <f ca="1"/>
        <v>-1.43</v>
      </c>
      <c r="N59" s="14">
        <f ca="1"/>
        <v>-0.75</v>
      </c>
      <c r="O59" t="str">
        <f ca="1">_xll.QIns_CreateContangoSwap(O$49&amp;"_"&amp;$B59,MetalSpotDate,$S59,O$49,"USD",100,K59/100,$C$20,VLOOKUP(O$49,$B$20:$C$27,2,FALSE))</f>
        <v>XAU_2y¬1</v>
      </c>
      <c r="P59" t="str" cm="1">
        <f t="array" aca="1" ref="P59" ca="1">_xll.QIns_CreateContangoSwap(P$49&amp;"_"&amp;$B59,MetalSpotDate,$S59,P$49,"USD",100,L59/100,$C$20,VLOOKUP(P$49,$B$20:$C$27,2,FALSE))</f>
        <v>XAG_2y¬1</v>
      </c>
      <c r="Q59" t="str" cm="1">
        <f t="array" aca="1" ref="Q59" ca="1">_xll.QIns_CreateContangoSwap(Q$49&amp;"_"&amp;$B59,MetalSpotDate,$S59,Q$49,"USD",100,M59/100,$C$20,VLOOKUP(Q$49,$B$20:$C$27,2,FALSE))</f>
        <v>XPT_2y¬1</v>
      </c>
      <c r="R59" t="str" cm="1">
        <f t="array" aca="1" ref="R59" ca="1">_xll.QIns_CreateContangoSwap(R$49&amp;"_"&amp;$B59,MetalSpotDate,$S59,R$49,"USD",100,N59/100,$C$20,VLOOKUP(R$49,$B$20:$C$27,2,FALSE))</f>
        <v>XPD_2y¬1</v>
      </c>
      <c r="S59" s="1" cm="1">
        <f t="array" aca="1" ref="S59" ca="1">_xll.QDates_AddPeriod(MetalSpotDate,B59,"MF","NYC+LON")</f>
        <v>44973</v>
      </c>
    </row>
    <row r="60" spans="1:19" x14ac:dyDescent="0.25">
      <c r="B60" s="9" t="s">
        <v>36</v>
      </c>
      <c r="C60">
        <f>_xll.BDP(C$49&amp;"SR"&amp;$B60&amp;" TPMT Curncy","PX_LAST")</f>
        <v>0.13</v>
      </c>
      <c r="D60" s="18">
        <f>D59+(C60-C59)</f>
        <v>-0.57000000000000006</v>
      </c>
      <c r="E60" s="18">
        <f>E59+(D60-D59)</f>
        <v>-1.5</v>
      </c>
      <c r="F60" s="18">
        <f>F59+(E60-E59)</f>
        <v>-0.82000000000000006</v>
      </c>
      <c r="G60" s="6"/>
      <c r="H60" s="6">
        <v>-0.75</v>
      </c>
      <c r="I60" s="6"/>
      <c r="J60" s="6"/>
      <c r="K60" s="14">
        <f ca="1"/>
        <v>0.13</v>
      </c>
      <c r="L60" s="14">
        <f ca="1"/>
        <v>-0.75</v>
      </c>
      <c r="M60" s="14">
        <f ca="1"/>
        <v>-1.5</v>
      </c>
      <c r="N60" s="14">
        <f ca="1"/>
        <v>-0.82000000000000006</v>
      </c>
      <c r="O60" t="str">
        <f ca="1">_xll.QIns_CreateContangoSwap(O$49&amp;"_"&amp;$B60,MetalSpotDate,$S60,O$49,"USD",100,K60/100,$C$20,VLOOKUP(O$49,$B$20:$C$27,2,FALSE))</f>
        <v>XAU_3y¬1</v>
      </c>
      <c r="P60" t="str" cm="1">
        <f t="array" aca="1" ref="P60" ca="1">_xll.QIns_CreateContangoSwap(P$49&amp;"_"&amp;$B60,MetalSpotDate,$S60,P$49,"USD",100,L60/100,$C$20,VLOOKUP(P$49,$B$20:$C$27,2,FALSE))</f>
        <v>XAG_3y¬1</v>
      </c>
      <c r="Q60" t="str" cm="1">
        <f t="array" aca="1" ref="Q60" ca="1">_xll.QIns_CreateContangoSwap(Q$49&amp;"_"&amp;$B60,MetalSpotDate,$S60,Q$49,"USD",100,M60/100,$C$20,VLOOKUP(Q$49,$B$20:$C$27,2,FALSE))</f>
        <v>XPT_3y¬1</v>
      </c>
      <c r="R60" t="str" cm="1">
        <f t="array" aca="1" ref="R60" ca="1">_xll.QIns_CreateContangoSwap(R$49&amp;"_"&amp;$B60,MetalSpotDate,$S60,R$49,"USD",100,N60/100,$C$20,VLOOKUP(R$49,$B$20:$C$27,2,FALSE))</f>
        <v>XPD_3y¬1</v>
      </c>
      <c r="S60" s="1" cm="1">
        <f t="array" aca="1" ref="S60" ca="1">_xll.QDates_AddPeriod(MetalSpotDate,B60,"MF","NYC+LON")</f>
        <v>45338</v>
      </c>
    </row>
    <row r="61" spans="1:19" x14ac:dyDescent="0.25">
      <c r="B61" s="9" t="s">
        <v>58</v>
      </c>
      <c r="C61">
        <f>_xll.BDP(C$49&amp;"SR"&amp;$B61&amp;" TPMT Curncy","PX_LAST")</f>
        <v>0</v>
      </c>
      <c r="D61" s="18">
        <f>D60+(C61-C60)</f>
        <v>-0.70000000000000007</v>
      </c>
      <c r="E61" s="18">
        <f t="shared" ref="E61:F62" si="12">E60+(D61-D60)</f>
        <v>-1.63</v>
      </c>
      <c r="F61" s="18">
        <f t="shared" si="12"/>
        <v>-0.95</v>
      </c>
      <c r="G61" s="6"/>
      <c r="H61" s="6">
        <v>-0.75</v>
      </c>
      <c r="I61" s="6"/>
      <c r="J61" s="6"/>
      <c r="K61" s="14">
        <f ca="1"/>
        <v>0</v>
      </c>
      <c r="L61" s="14">
        <f ca="1"/>
        <v>-0.75</v>
      </c>
      <c r="M61" s="14">
        <f ca="1"/>
        <v>-1.63</v>
      </c>
      <c r="N61" s="14">
        <f ca="1"/>
        <v>-0.95</v>
      </c>
      <c r="O61" t="str" cm="1">
        <f t="array" aca="1" ref="O61" ca="1">_xll.QIns_CreateContangoSwap(O$49&amp;"_"&amp;$B61,MetalSpotDate,$S61,O$49,"USD",100,K61/100,$C$20,VLOOKUP(O$49,$B$20:$C$27,2,FALSE))</f>
        <v>XAU_4y¬1</v>
      </c>
      <c r="P61" t="str" cm="1">
        <f t="array" aca="1" ref="P61" ca="1">_xll.QIns_CreateContangoSwap(P$49&amp;"_"&amp;$B61,MetalSpotDate,$S61,P$49,"USD",100,L61/100,$C$20,VLOOKUP(P$49,$B$20:$C$27,2,FALSE))</f>
        <v>XAG_4y¬1</v>
      </c>
      <c r="Q61" t="str" cm="1">
        <f t="array" aca="1" ref="Q61" ca="1">_xll.QIns_CreateContangoSwap(Q$49&amp;"_"&amp;$B61,MetalSpotDate,$S61,Q$49,"USD",100,M61/100,$C$20,VLOOKUP(Q$49,$B$20:$C$27,2,FALSE))</f>
        <v>XPT_4y¬1</v>
      </c>
      <c r="R61" t="str" cm="1">
        <f t="array" aca="1" ref="R61" ca="1">_xll.QIns_CreateContangoSwap(R$49&amp;"_"&amp;$B61,MetalSpotDate,$S61,R$49,"USD",100,N61/100,$C$20,VLOOKUP(R$49,$B$20:$C$27,2,FALSE))</f>
        <v>XPD_4y¬1</v>
      </c>
      <c r="S61" s="1" cm="1">
        <f t="array" aca="1" ref="S61" ca="1">_xll.QDates_AddPeriod(MetalSpotDate,B61,"MF","NYC+LON")</f>
        <v>45706</v>
      </c>
    </row>
    <row r="62" spans="1:19" x14ac:dyDescent="0.25">
      <c r="B62" s="9" t="s">
        <v>37</v>
      </c>
      <c r="C62">
        <f>_xll.BDP(C$49&amp;"SR"&amp;$B62&amp;" TPMT Curncy","PX_LAST")</f>
        <v>-0.1</v>
      </c>
      <c r="D62" s="18">
        <f>D61+(C62-C61)</f>
        <v>-0.8</v>
      </c>
      <c r="E62" s="18">
        <f t="shared" si="12"/>
        <v>-1.73</v>
      </c>
      <c r="F62" s="18">
        <f t="shared" si="12"/>
        <v>-1.05</v>
      </c>
      <c r="G62" s="6"/>
      <c r="H62" s="6">
        <v>-0.75</v>
      </c>
      <c r="I62" s="6"/>
      <c r="J62" s="6"/>
      <c r="K62" s="14">
        <f ca="1"/>
        <v>-0.1</v>
      </c>
      <c r="L62" s="14">
        <f ca="1"/>
        <v>-0.75</v>
      </c>
      <c r="M62" s="14">
        <f ca="1"/>
        <v>-1.73</v>
      </c>
      <c r="N62" s="14">
        <f ca="1"/>
        <v>-1.05</v>
      </c>
      <c r="O62" t="str" cm="1">
        <f t="array" aca="1" ref="O62" ca="1">_xll.QIns_CreateContangoSwap(O$49&amp;"_"&amp;$B62,MetalSpotDate,$S62,O$49,"USD",100,K62/100,$C$20,VLOOKUP(O$49,$B$20:$C$27,2,FALSE))</f>
        <v>XAU_5y¬1</v>
      </c>
      <c r="P62" t="str" cm="1">
        <f t="array" aca="1" ref="P62" ca="1">_xll.QIns_CreateContangoSwap(P$49&amp;"_"&amp;$B62,MetalSpotDate,$S62,P$49,"USD",100,L62/100,$C$20,VLOOKUP(P$49,$B$20:$C$27,2,FALSE))</f>
        <v>XAG_5y¬1</v>
      </c>
      <c r="Q62" t="str" cm="1">
        <f t="array" aca="1" ref="Q62" ca="1">_xll.QIns_CreateContangoSwap(Q$49&amp;"_"&amp;$B62,MetalSpotDate,$S62,Q$49,"USD",100,M62/100,$C$20,VLOOKUP(Q$49,$B$20:$C$27,2,FALSE))</f>
        <v>XPT_5y¬1</v>
      </c>
      <c r="R62" t="str" cm="1">
        <f t="array" aca="1" ref="R62" ca="1">_xll.QIns_CreateContangoSwap(R$49&amp;"_"&amp;$B62,MetalSpotDate,$S62,R$49,"USD",100,N62/100,$C$20,VLOOKUP(R$49,$B$20:$C$27,2,FALSE))</f>
        <v>XPD_5y¬1</v>
      </c>
      <c r="S62" s="1" cm="1">
        <f t="array" aca="1" ref="S62" ca="1">_xll.QDates_AddPeriod(MetalSpotDate,B62,"MF","NYC+LON")</f>
        <v>46070</v>
      </c>
    </row>
    <row r="64" spans="1:19" x14ac:dyDescent="0.25">
      <c r="A64" s="3" t="s">
        <v>42</v>
      </c>
      <c r="B64" s="9" t="s">
        <v>50</v>
      </c>
      <c r="C64" s="1" cm="1">
        <f t="array" aca="1" ref="C64" ca="1">_xll.QDates_AddPeriod(valDate,"2b","F","NYC")</f>
        <v>44243</v>
      </c>
      <c r="G64" s="3" t="s">
        <v>61</v>
      </c>
      <c r="I64" t="s">
        <v>52</v>
      </c>
    </row>
    <row r="65" spans="2:12" x14ac:dyDescent="0.25">
      <c r="B65" s="12" t="s">
        <v>47</v>
      </c>
      <c r="C65" s="5" t="s">
        <v>15</v>
      </c>
      <c r="D65" s="4" t="s">
        <v>49</v>
      </c>
      <c r="E65" s="5" t="s">
        <v>48</v>
      </c>
      <c r="G65" s="5" t="s">
        <v>70</v>
      </c>
      <c r="H65" s="5" t="s">
        <v>62</v>
      </c>
      <c r="I65" s="5" t="s">
        <v>15</v>
      </c>
      <c r="J65" s="5" t="s">
        <v>49</v>
      </c>
      <c r="K65" s="5" t="s">
        <v>48</v>
      </c>
      <c r="L65" s="5"/>
    </row>
    <row r="66" spans="2:12" x14ac:dyDescent="0.25">
      <c r="B66" s="8" t="s">
        <v>24</v>
      </c>
      <c r="C66" s="16">
        <f>_xll.BDP("US00O/N Index","PX_LAST")/100</f>
        <v>7.9880000000000012E-4</v>
      </c>
      <c r="D66" s="19" cm="1">
        <f t="array" aca="1" ref="D66" ca="1">_xll.QDates_AddPeriod(valDate,"1b","F","NYC")</f>
        <v>44239</v>
      </c>
      <c r="E66" t="str" cm="1">
        <f t="array" aca="1" ref="E66" ca="1">_xll.QIns_CreateFixedRateLoanDepo("USD_Depo_"&amp;B66,valDate,D66,C66,"ACT360","USD",1000000,$C$20)</f>
        <v>USD_Depo_ON¬1</v>
      </c>
      <c r="G66" s="8" t="s">
        <v>24</v>
      </c>
      <c r="H66" t="s">
        <v>63</v>
      </c>
      <c r="I66" s="16">
        <f>_xll.BDP(H66&amp;" Curncy","PX_LAST")/100</f>
        <v>3.5230000000000004E-2</v>
      </c>
      <c r="J66" s="19" cm="1">
        <f t="array" aca="1" ref="J66" ca="1">_xll.QDates_AddPeriod(valDate,"1b","F","ZAR")</f>
        <v>44239</v>
      </c>
      <c r="K66" t="str" cm="1">
        <f t="array" aca="1" ref="K66" ca="1">_xll.QIns_CreateFixedRateLoanDepo("ZAR_Depo_"&amp;G66,valDate,J66,I66,"ACT365F","ZAR",1000000,$I$64)</f>
        <v>ZAR_Depo_ON¬1</v>
      </c>
    </row>
    <row r="67" spans="2:12" x14ac:dyDescent="0.25">
      <c r="B67" s="8" t="s">
        <v>43</v>
      </c>
      <c r="C67" s="16">
        <f>_xll.BDP("US000"&amp;B67&amp;" Index","PX_LAST")/100</f>
        <v>9.0499999999999999E-4</v>
      </c>
      <c r="D67" s="19" cm="1">
        <f t="array" aca="1" ref="D67" ca="1">_xll.QDates_AddPeriod(LiborSpot,B67,IF(RIGHT(B67,1)="W","F","MF"),"NYC")</f>
        <v>44250</v>
      </c>
      <c r="E67" t="str" cm="1">
        <f t="array" aca="1" ref="E67" ca="1">_xll.QIns_CreateFixedRateLoanDepo("USD_Depo_"&amp;B67,valDate,D67,C67,"ACT360","USD",1000000,$C$20)</f>
        <v>USD_Depo_1W¬1</v>
      </c>
      <c r="G67" s="8" t="s">
        <v>28</v>
      </c>
      <c r="H67" t="s">
        <v>64</v>
      </c>
      <c r="I67" s="16">
        <f>_xll.BDP(H67&amp;" Curncy","PX_LAST")/100</f>
        <v>3.483E-2</v>
      </c>
      <c r="J67" s="19" cm="1">
        <f t="array" aca="1" ref="J67" ca="1">_xll.QDates_AddPeriod(valDate,G67,IF(RIGHT(G67,1)="W","F","MF"),"ZAR")</f>
        <v>44266</v>
      </c>
      <c r="K67" t="str" cm="1">
        <f t="array" aca="1" ref="K67" ca="1">_xll.QIns_CreateFixedRateLoanDepo("ZAR_Depo_"&amp;G67,valDate,J67,I67,"ACT365F","ZAR",1000000,$I$64)</f>
        <v>ZAR_Depo_1m¬1</v>
      </c>
    </row>
    <row r="68" spans="2:12" x14ac:dyDescent="0.25">
      <c r="B68" s="8" t="s">
        <v>44</v>
      </c>
      <c r="C68" s="16">
        <f>_xll.BDP("US000"&amp;B68&amp;" Index","PX_LAST")/100</f>
        <v>1.0950000000000001E-3</v>
      </c>
      <c r="D68" s="19" cm="1">
        <f t="array" aca="1" ref="D68" ca="1">_xll.QDates_AddPeriod(LiborSpot,B68,IF(RIGHT(B68,1)="W","F","MF"),"NYC")</f>
        <v>44271</v>
      </c>
      <c r="E68" t="str" cm="1">
        <f t="array" aca="1" ref="E68" ca="1">_xll.QIns_CreateFixedRateLoanDepo("USD_Depo_"&amp;B68,valDate,D68,C68,"ACT360","USD",1000000,$C$20)</f>
        <v>USD_Depo_1M¬1</v>
      </c>
      <c r="G68" s="8" t="s">
        <v>30</v>
      </c>
      <c r="H68" t="s">
        <v>65</v>
      </c>
      <c r="I68" s="16">
        <f>_xll.BDP(H68&amp;" Curncy","PX_LAST")/100</f>
        <v>3.6420000000000001E-2</v>
      </c>
      <c r="J68" s="19" cm="1">
        <f t="array" aca="1" ref="J68" ca="1">_xll.QDates_AddPeriod(valDate,G68,IF(RIGHT(G68,1)="W","F","MF"),"ZAR")</f>
        <v>44327</v>
      </c>
      <c r="K68" t="str" cm="1">
        <f t="array" aca="1" ref="K68" ca="1">_xll.QIns_CreateFixedRateLoanDepo("ZAR_Depo_"&amp;G68,valDate,J68,I68,"ACT365F","ZAR",1000000,$I$64)</f>
        <v>ZAR_Depo_3m¬1</v>
      </c>
    </row>
    <row r="69" spans="2:12" x14ac:dyDescent="0.25">
      <c r="B69" s="8" t="s">
        <v>45</v>
      </c>
      <c r="C69" s="16">
        <f>_xll.BDP("US000"&amp;B69&amp;" Index","PX_LAST")/100</f>
        <v>1.5363E-3</v>
      </c>
      <c r="D69" s="19" cm="1">
        <f t="array" aca="1" ref="D69" ca="1">_xll.QDates_AddPeriod(LiborSpot,B69,IF(RIGHT(B69,1)="W","F","MF"),"NYC")</f>
        <v>44302</v>
      </c>
      <c r="E69" t="str" cm="1">
        <f t="array" aca="1" ref="E69" ca="1">_xll.QIns_CreateFixedRateLoanDepo("USD_Depo_"&amp;B69,valDate,D69,C69,"ACT360","USD",1000000,$C$20)</f>
        <v>USD_Depo_2M¬1</v>
      </c>
      <c r="G69" s="8" t="s">
        <v>68</v>
      </c>
      <c r="H69" t="s">
        <v>66</v>
      </c>
      <c r="I69" s="16">
        <f>_xll.BDP(H69&amp;" Curncy","PX_LAST")/100</f>
        <v>3.6674999999999999E-2</v>
      </c>
      <c r="J69" s="19"/>
      <c r="K69" t="str" cm="1">
        <f t="array" aca="1" ref="K69" ca="1">_xll.QIns_CreateFRA("ZAR_FRA_"&amp;G69,valDate,G69,$F$22,"ZAR",I69,1000000,$I$64,$I$64)</f>
        <v>ZAR_FRA_3x6¬1</v>
      </c>
    </row>
    <row r="70" spans="2:12" x14ac:dyDescent="0.25">
      <c r="B70" s="8" t="s">
        <v>46</v>
      </c>
      <c r="C70" s="16">
        <f>_xll.BDP("US000"&amp;B70&amp;" Index","PX_LAST")/100</f>
        <v>2.0087999999999998E-3</v>
      </c>
      <c r="D70" s="19" cm="1">
        <f t="array" aca="1" ref="D70" ca="1">_xll.QDates_AddPeriod(LiborSpot,B70,IF(RIGHT(B70,1)="W","F","MF"),"NYC")</f>
        <v>44333</v>
      </c>
      <c r="E70" t="str" cm="1">
        <f t="array" aca="1" ref="E70" ca="1">_xll.QIns_CreateFixedRateLoanDepo("USD_Depo_"&amp;B70,valDate,D70,C70,"ACT360","USD",1000000,$C$20)</f>
        <v>USD_Depo_3M¬1</v>
      </c>
      <c r="G70" s="8" t="s">
        <v>69</v>
      </c>
      <c r="H70" t="s">
        <v>67</v>
      </c>
      <c r="I70" s="16">
        <f>_xll.BDP(H70&amp;" Curncy","PX_LAST")/100</f>
        <v>3.7499999999999999E-2</v>
      </c>
      <c r="J70" s="19"/>
      <c r="K70" t="str" cm="1">
        <f t="array" aca="1" ref="K70" ca="1">_xll.QIns_CreateFRA("ZAR_FRA_"&amp;G70,valDate,G70,$F$22,"ZAR",I70,1000000,$I$64,$I$64)</f>
        <v>ZAR_FRA_6x9¬1</v>
      </c>
    </row>
    <row r="71" spans="2:12" x14ac:dyDescent="0.25">
      <c r="G71" s="8" t="s">
        <v>71</v>
      </c>
      <c r="H71" t="str">
        <f>"SASW"&amp;LEFT(G71,1)</f>
        <v>SASW1</v>
      </c>
      <c r="I71" s="16">
        <f>_xll.BDP(H71&amp;" Curncy","PX_LAST")/100</f>
        <v>3.7249999999999998E-2</v>
      </c>
      <c r="K71" t="str" cm="1">
        <f t="array" aca="1" ref="K71" ca="1">_xll.QIns_CreateIRS("ZAR_IRS_"&amp;G71,valDate,G71,$F$22,I71,1000000,$I$64,$I$64)</f>
        <v>ZAR_IRS_1y¬1</v>
      </c>
    </row>
    <row r="72" spans="2:12" x14ac:dyDescent="0.25">
      <c r="B72" s="5" t="s">
        <v>51</v>
      </c>
      <c r="C72" s="5" t="s">
        <v>15</v>
      </c>
      <c r="E72" s="5" t="s">
        <v>48</v>
      </c>
      <c r="G72" s="8" t="s">
        <v>35</v>
      </c>
      <c r="H72" t="str">
        <f>"SASW"&amp;LEFT(G72,1)</f>
        <v>SASW2</v>
      </c>
      <c r="I72" s="16">
        <f>_xll.BDP(H72&amp;" Curncy","PX_LAST")/100</f>
        <v>0.04</v>
      </c>
      <c r="K72" t="str" cm="1">
        <f t="array" aca="1" ref="K72" ca="1">_xll.QIns_CreateIRS("ZAR_IRS_"&amp;G72,valDate,G72,$F$22,I72,1000000,$I$64,$I$64)</f>
        <v>ZAR_IRS_2y¬1</v>
      </c>
    </row>
    <row r="73" spans="2:12" x14ac:dyDescent="0.25">
      <c r="B73" s="8" t="str" cm="1">
        <f t="array" aca="1" ref="B73" ca="1">_xll.QDates_FuturesGetFrontMonth(valDate+7,"ED",FALSE)</f>
        <v>EDH1</v>
      </c>
      <c r="C73" s="17">
        <f ca="1">_xll.BDP(B73&amp;" Comdty","PX_LAST")</f>
        <v>99.835000000000008</v>
      </c>
      <c r="E73" s="8" t="str">
        <f ca="1">_xll.QIns_CreateSTIRFromCode(B73,valDate,B73,$F$21,C73,1,0,$C$20,$C$20)</f>
        <v>EDH1¬1</v>
      </c>
      <c r="G73" s="8" t="s">
        <v>36</v>
      </c>
      <c r="H73" t="str">
        <f>"SASW"&amp;LEFT(G73,1)</f>
        <v>SASW3</v>
      </c>
      <c r="I73" s="16">
        <f>_xll.BDP(H73&amp;" Curncy","PX_LAST")/100</f>
        <v>4.3200000000000002E-2</v>
      </c>
      <c r="K73" t="str" cm="1">
        <f t="array" aca="1" ref="K73" ca="1">_xll.QIns_CreateIRS("ZAR_IRS_"&amp;G73,valDate,G73,$F$22,I73,1000000,$I$64,$I$64)</f>
        <v>ZAR_IRS_3y¬1</v>
      </c>
    </row>
    <row r="74" spans="2:12" x14ac:dyDescent="0.25">
      <c r="B74" s="8" t="str" cm="1">
        <f t="array" aca="1" ref="B74" ca="1">_xll.QDates_FuturesNextCode(B73)</f>
        <v>EDM1</v>
      </c>
      <c r="C74" s="17">
        <f ca="1">_xll.BDP(B74&amp;" Comdty","PX_LAST")</f>
        <v>99.84</v>
      </c>
      <c r="E74" s="8" t="str">
        <f ca="1">_xll.QIns_CreateSTIRFromCode(B74,valDate,B74,$F$21,C74,1,0,$C$20,$C$20)</f>
        <v>EDM1¬1</v>
      </c>
      <c r="G74" s="8" t="s">
        <v>58</v>
      </c>
      <c r="H74" t="str">
        <f>"SASW"&amp;LEFT(G74,1)</f>
        <v>SASW4</v>
      </c>
      <c r="I74" s="16">
        <f>_xll.BDP(H74&amp;" Curncy","PX_LAST")/100</f>
        <v>4.675E-2</v>
      </c>
      <c r="K74" t="str" cm="1">
        <f t="array" aca="1" ref="K74" ca="1">_xll.QIns_CreateIRS("ZAR_IRS_"&amp;G74,valDate,G74,$F$22,I74,1000000,$I$64,$I$64)</f>
        <v>ZAR_IRS_4y¬1</v>
      </c>
    </row>
    <row r="75" spans="2:12" x14ac:dyDescent="0.25">
      <c r="B75" s="8" t="str" cm="1">
        <f t="array" aca="1" ref="B75" ca="1">_xll.QDates_FuturesNextCode(B74)</f>
        <v>EDU1</v>
      </c>
      <c r="C75" s="17">
        <f ca="1">_xll.BDP(B75&amp;" Comdty","PX_LAST")</f>
        <v>99.83</v>
      </c>
      <c r="E75" s="8" t="str">
        <f ca="1">_xll.QIns_CreateSTIRFromCode(B75,valDate,B75,$F$21,C75,1,0,$C$20,$C$20)</f>
        <v>EDU1¬1</v>
      </c>
      <c r="G75" s="8" t="s">
        <v>37</v>
      </c>
      <c r="H75" t="str">
        <f>"SASW"&amp;LEFT(G75,1)</f>
        <v>SASW5</v>
      </c>
      <c r="I75" s="16">
        <f>_xll.BDP(H75&amp;" Curncy","PX_LAST")/100</f>
        <v>5.0450000000000002E-2</v>
      </c>
      <c r="K75" t="str" cm="1">
        <f t="array" aca="1" ref="K75" ca="1">_xll.QIns_CreateIRS("ZAR_IRS_"&amp;G75,valDate,G75,$F$22,I75,1000000,$I$64,$I$64)</f>
        <v>ZAR_IRS_5y¬1</v>
      </c>
    </row>
    <row r="76" spans="2:12" x14ac:dyDescent="0.25">
      <c r="B76" s="8" t="str" cm="1">
        <f t="array" aca="1" ref="B76" ca="1">_xll.QDates_FuturesNextCode(B75)</f>
        <v>EDZ1</v>
      </c>
      <c r="C76" s="17">
        <f ca="1">_xll.BDP(B76&amp;" Comdty","PX_LAST")</f>
        <v>99.79</v>
      </c>
      <c r="E76" s="8" t="str">
        <f ca="1">_xll.QIns_CreateSTIRFromCode(B76,valDate,B76,$F$21,C76,1,0,$C$20,$C$20)</f>
        <v>EDZ1¬1</v>
      </c>
    </row>
    <row r="77" spans="2:12" x14ac:dyDescent="0.25">
      <c r="B77" s="8" t="str" cm="1">
        <f t="array" aca="1" ref="B77" ca="1">_xll.QDates_FuturesNextCode(B76)</f>
        <v>EDH2</v>
      </c>
      <c r="C77" s="17">
        <f ca="1">_xll.BDP(B77&amp;" Comdty","PX_LAST")</f>
        <v>99.820000000000007</v>
      </c>
      <c r="E77" s="8" t="str">
        <f ca="1">_xll.QIns_CreateSTIRFromCode(B77,valDate,B77,$F$21,C77,1,0,$C$20,$C$20)</f>
        <v>EDH2¬1</v>
      </c>
      <c r="G77" s="20" t="s">
        <v>72</v>
      </c>
      <c r="H77" t="s">
        <v>74</v>
      </c>
    </row>
    <row r="78" spans="2:12" x14ac:dyDescent="0.25">
      <c r="B78" s="8" t="str" cm="1">
        <f t="array" aca="1" ref="B78" ca="1">_xll.QDates_FuturesNextCode(B77)</f>
        <v>EDM2</v>
      </c>
      <c r="C78" s="17">
        <f ca="1">_xll.BDP(B78&amp;" Comdty","PX_LAST")</f>
        <v>99.8</v>
      </c>
      <c r="E78" s="8" t="str">
        <f ca="1">_xll.QIns_CreateSTIRFromCode(B78,valDate,B78,$F$21,C78,1,0,$C$20,$C$20)</f>
        <v>EDM2¬1</v>
      </c>
      <c r="I78" t="s">
        <v>76</v>
      </c>
    </row>
    <row r="79" spans="2:12" x14ac:dyDescent="0.25">
      <c r="B79" s="8" t="str" cm="1">
        <f t="array" aca="1" ref="B79" ca="1">_xll.QDates_FuturesNextCode(B78)</f>
        <v>EDU2</v>
      </c>
      <c r="C79" s="17">
        <f ca="1">_xll.BDP(B79&amp;" Comdty","PX_LAST")</f>
        <v>99.775000000000006</v>
      </c>
      <c r="E79" s="8" t="str">
        <f ca="1">_xll.QIns_CreateSTIRFromCode(B79,valDate,B79,$F$21,C79,1,0,$C$20,$C$20)</f>
        <v>EDU2¬1</v>
      </c>
      <c r="G79" s="8" t="s">
        <v>70</v>
      </c>
      <c r="H79" t="s">
        <v>378</v>
      </c>
      <c r="I79" t="s">
        <v>75</v>
      </c>
      <c r="J79" t="s">
        <v>16</v>
      </c>
      <c r="K79" t="s">
        <v>17</v>
      </c>
      <c r="L79" t="s">
        <v>48</v>
      </c>
    </row>
    <row r="80" spans="2:12" x14ac:dyDescent="0.25">
      <c r="B80" s="8" t="str" cm="1">
        <f t="array" aca="1" ref="B80" ca="1">_xll.QDates_FuturesNextCode(B79)</f>
        <v>EDZ2</v>
      </c>
      <c r="C80" s="17">
        <f ca="1">_xll.BDP(B80&amp;" Comdty","PX_LAST")</f>
        <v>99.715000000000003</v>
      </c>
      <c r="E80" s="8" t="str">
        <f ca="1">_xll.QIns_CreateSTIRFromCode(B80,valDate,B80,$F$21,C80,1,0,$C$20,$C$20)</f>
        <v>EDZ2¬1</v>
      </c>
      <c r="G80" s="8" t="s">
        <v>28</v>
      </c>
      <c r="H80" t="str">
        <f ca="1">_xll.QUtils_Replace($H$77,"&lt;Tenor&gt;",UPPER(G80))</f>
        <v>Swap.ZAR.1M.FUNDING.3M/JIBAR-SAFEX.3M.BBA</v>
      </c>
      <c r="I80">
        <v>0</v>
      </c>
      <c r="J80">
        <v>0</v>
      </c>
      <c r="K80">
        <f t="array" aca="1" ref="K80:K88" ca="1">_xll.QCurves_BendCurve(I80:I88,J80:J88)</f>
        <v>0</v>
      </c>
      <c r="L80" t="str" cm="1">
        <f t="array" aca="1" ref="L80" ca="1">_xll.QIns_CreateFloatingDepo("ZAR_Fl_"&amp;G80,valDate,G80,$F$22,K80,1000000,$I$64,$I$78,,$I$78)</f>
        <v>ZAR_Fl_1m¬1</v>
      </c>
    </row>
    <row r="81" spans="1:13" x14ac:dyDescent="0.25">
      <c r="B81" s="8" t="str" cm="1">
        <f t="array" aca="1" ref="B81" ca="1">_xll.QDates_FuturesNextCode(B80)</f>
        <v>EDH3</v>
      </c>
      <c r="C81" s="17">
        <f ca="1">_xll.BDP(B81&amp;" Comdty","PX_LAST")</f>
        <v>99.704999999999998</v>
      </c>
      <c r="E81" s="8" t="str">
        <f ca="1">_xll.QIns_CreateSTIRFromCode(B81,valDate,B81,$F$21,C81,1,0,$C$20,$C$20)</f>
        <v>EDH3¬1</v>
      </c>
      <c r="G81" s="8" t="s">
        <v>30</v>
      </c>
      <c r="H81" t="str">
        <f ca="1">_xll.QUtils_Replace($H$77,"&lt;Tenor&gt;",UPPER(G81))</f>
        <v>Swap.ZAR.3M.FUNDING.3M/JIBAR-SAFEX.3M.BBA</v>
      </c>
      <c r="I81">
        <v>0</v>
      </c>
      <c r="K81">
        <f ca="1"/>
        <v>-1.3125000000000001E-3</v>
      </c>
      <c r="L81" t="str" cm="1">
        <f t="array" aca="1" ref="L81" ca="1">_xll.QIns_CreateFloatingDepo("ZAR_Fl_"&amp;G81,valDate,G81,$F$22,K81,1000000,$I$64,$I$78,,$I$78)</f>
        <v>ZAR_Fl_3m¬1</v>
      </c>
    </row>
    <row r="82" spans="1:13" x14ac:dyDescent="0.25">
      <c r="B82" s="8" t="str" cm="1">
        <f t="array" aca="1" ref="B82" ca="1">_xll.QDates_FuturesNextCode(B81)</f>
        <v>EDM3</v>
      </c>
      <c r="C82" s="17">
        <f ca="1">_xll.BDP(B82&amp;" Comdty","PX_LAST")</f>
        <v>99.63</v>
      </c>
      <c r="E82" s="8" t="str">
        <f ca="1">_xll.QIns_CreateSTIRFromCode(B82,valDate,B82,$F$21,C82,1,0,$C$20,$C$20)</f>
        <v>EDM3¬1</v>
      </c>
      <c r="G82" s="8" t="s">
        <v>31</v>
      </c>
      <c r="H82" t="str">
        <f ca="1">_xll.QUtils_Replace($H$77,"&lt;Tenor&gt;",UPPER(G82))</f>
        <v>Swap.ZAR.6M.FUNDING.3M/JIBAR-SAFEX.3M.BBA</v>
      </c>
      <c r="I82">
        <v>3.5000000000000001E-3</v>
      </c>
      <c r="K82">
        <f ca="1"/>
        <v>8.7499999999999991E-4</v>
      </c>
      <c r="L82" t="str" cm="1">
        <f t="array" aca="1" ref="L82" ca="1">_xll.QIns_CreateFloatingDepo("ZAR_Fl_"&amp;G82,valDate,G82,$F$22,K82,1000000,$I$64,$I$78,,$I$78)</f>
        <v>ZAR_Fl_6m¬1</v>
      </c>
    </row>
    <row r="83" spans="1:13" x14ac:dyDescent="0.25">
      <c r="B83" s="8" t="str" cm="1">
        <f t="array" aca="1" ref="B83" ca="1">_xll.QDates_FuturesNextCode(B82)</f>
        <v>EDU3</v>
      </c>
      <c r="C83" s="17">
        <f ca="1">_xll.BDP(B83&amp;" Comdty","PX_LAST")</f>
        <v>99.454999999999998</v>
      </c>
      <c r="E83" s="8" t="str">
        <f ca="1">_xll.QIns_CreateSTIRFromCode(B83,valDate,B83,$F$21,C83,1,0,$C$20,$C$20)</f>
        <v>EDU3¬1</v>
      </c>
      <c r="G83" s="8" t="s">
        <v>32</v>
      </c>
      <c r="H83" t="str">
        <f ca="1">_xll.QUtils_Replace($H$77,"&lt;Tenor&gt;",UPPER(G83))</f>
        <v>Swap.ZAR.9M.FUNDING.3M/JIBAR-SAFEX.3M.BBA</v>
      </c>
      <c r="I83">
        <v>4.0000000000000001E-3</v>
      </c>
      <c r="K83">
        <f ca="1"/>
        <v>6.2500000000000056E-5</v>
      </c>
      <c r="L83" t="str" cm="1">
        <f t="array" aca="1" ref="L83" ca="1">_xll.QIns_CreateFloatingDepo("ZAR_Fl_"&amp;G83,valDate,G83,$F$22,K83,1000000,$I$64,$I$78,,$I$78)</f>
        <v>ZAR_Fl_9m¬1</v>
      </c>
    </row>
    <row r="84" spans="1:13" x14ac:dyDescent="0.25">
      <c r="B84" s="8" t="str" cm="1">
        <f t="array" aca="1" ref="B84" ca="1">_xll.QDates_FuturesNextCode(B83)</f>
        <v>EDZ3</v>
      </c>
      <c r="C84" s="17">
        <f ca="1">_xll.BDP(B84&amp;" Comdty","PX_LAST")</f>
        <v>99.355000000000004</v>
      </c>
      <c r="E84" s="8" t="str">
        <f ca="1">_xll.QIns_CreateSTIRFromCode(B84,valDate,B84,$F$21,C84,1,0,$C$20,$C$20)</f>
        <v>EDZ3¬1</v>
      </c>
      <c r="G84" s="8" t="s">
        <v>71</v>
      </c>
      <c r="H84" t="str">
        <f ca="1">_xll.QUtils_Replace($H$77,"&lt;Tenor&gt;",UPPER(G84))</f>
        <v>Swap.ZAR.1Y.FUNDING.3M/JIBAR-SAFEX.3M.BBA</v>
      </c>
      <c r="I84">
        <v>4.7499999999999999E-3</v>
      </c>
      <c r="K84">
        <f ca="1"/>
        <v>-5.0000000000000044E-4</v>
      </c>
      <c r="L84" t="str" cm="1">
        <f t="array" aca="1" ref="L84" ca="1">_xll.QIns_CreateFloatingDepo("ZAR_Fl_"&amp;G84,valDate,G84,$F$22,K84,1000000,$I$64,$I$78,,$I$78)</f>
        <v>ZAR_Fl_1y¬1</v>
      </c>
    </row>
    <row r="85" spans="1:13" x14ac:dyDescent="0.25">
      <c r="B85" s="8" t="str" cm="1">
        <f t="array" aca="1" ref="B85" ca="1">_xll.QDates_FuturesNextCode(B84)</f>
        <v>EDH4</v>
      </c>
      <c r="C85" s="17">
        <f ca="1">_xll.BDP(B85&amp;" Comdty","PX_LAST")</f>
        <v>99.27</v>
      </c>
      <c r="E85" s="8" t="str">
        <f ca="1">_xll.QIns_CreateSTIRFromCode(B85,valDate,B85,$F$21,C85,1,0,$C$20,$C$20)</f>
        <v>EDH4¬1</v>
      </c>
      <c r="G85" s="8" t="s">
        <v>35</v>
      </c>
      <c r="H85" t="str">
        <f ca="1">_xll.QUtils_Replace($H$77,"&lt;Tenor&gt;",UPPER(G85))</f>
        <v>Swap.ZAR.2Y.FUNDING.3M/JIBAR-SAFEX.3M.BBA</v>
      </c>
      <c r="I85">
        <v>6.7499999999999999E-3</v>
      </c>
      <c r="K85">
        <f ca="1"/>
        <v>1.874999999999993E-4</v>
      </c>
      <c r="L85" t="str" cm="1">
        <f t="array" aca="1" ref="L85" ca="1">_xll.QIns_CreateFloatingDepo("ZAR_Fl_"&amp;G85,valDate,G85,$F$22,K85,1000000,$I$64,$I$78,,$I$78)</f>
        <v>ZAR_Fl_2y¬1</v>
      </c>
    </row>
    <row r="86" spans="1:13" x14ac:dyDescent="0.25">
      <c r="B86" s="8" t="str" cm="1">
        <f t="array" aca="1" ref="B86" ca="1">_xll.QDates_FuturesNextCode(B85)</f>
        <v>EDM4</v>
      </c>
      <c r="C86" s="17">
        <f ca="1">_xll.BDP(B86&amp;" Comdty","PX_LAST")</f>
        <v>99.165000000000006</v>
      </c>
      <c r="E86" s="8" t="str">
        <f ca="1">_xll.QIns_CreateSTIRFromCode(B86,valDate,B86,$F$21,C86,1,0,$C$20,$C$20)</f>
        <v>EDM4¬1</v>
      </c>
      <c r="G86" s="8" t="s">
        <v>36</v>
      </c>
      <c r="H86" t="str">
        <f ca="1">_xll.QUtils_Replace($H$77,"&lt;Tenor&gt;",UPPER(G86))</f>
        <v>Swap.ZAR.3Y.FUNDING.3M/JIBAR-SAFEX.3M.BBA</v>
      </c>
      <c r="I86">
        <v>7.7499999999999999E-3</v>
      </c>
      <c r="K86">
        <f ca="1"/>
        <v>-1.2500000000000011E-4</v>
      </c>
      <c r="L86" t="str" cm="1">
        <f t="array" aca="1" ref="L86" ca="1">_xll.QIns_CreateFloatingDepo("ZAR_Fl_"&amp;G86,valDate,G86,$F$22,K86,1000000,$I$64,$I$78,,$I$78)</f>
        <v>ZAR_Fl_3y¬1</v>
      </c>
    </row>
    <row r="87" spans="1:13" x14ac:dyDescent="0.25">
      <c r="B87" s="8" t="str" cm="1">
        <f t="array" aca="1" ref="B87" ca="1">_xll.QDates_FuturesNextCode(B86)</f>
        <v>EDU4</v>
      </c>
      <c r="C87" s="17">
        <f ca="1">_xll.BDP(B87&amp;" Comdty","PX_LAST")</f>
        <v>99.06</v>
      </c>
      <c r="E87" s="8" t="str">
        <f ca="1">_xll.QIns_CreateSTIRFromCode(B87,valDate,B87,$F$21,C87,1,0,$C$20,$C$20)</f>
        <v>EDU4¬1</v>
      </c>
      <c r="G87" s="8" t="s">
        <v>37</v>
      </c>
      <c r="H87" t="str">
        <f ca="1">_xll.QUtils_Replace($H$77,"&lt;Tenor&gt;",UPPER(G87))</f>
        <v>Swap.ZAR.5Y.FUNDING.3M/JIBAR-SAFEX.3M.BBA</v>
      </c>
      <c r="I87">
        <v>9.75E-3</v>
      </c>
      <c r="K87">
        <f ca="1"/>
        <v>5.6249999999999876E-4</v>
      </c>
      <c r="L87" t="str" cm="1">
        <f t="array" aca="1" ref="L87" ca="1">_xll.QIns_CreateFloatingDepo("ZAR_Fl_"&amp;G87,valDate,G87,$F$22,K87,1000000,$I$64,$I$78,,$I$78)</f>
        <v>ZAR_Fl_5y¬1</v>
      </c>
    </row>
    <row r="88" spans="1:13" x14ac:dyDescent="0.25">
      <c r="B88" s="8" t="str" cm="1">
        <f t="array" aca="1" ref="B88" ca="1">_xll.QDates_FuturesNextCode(B87)</f>
        <v>EDZ4</v>
      </c>
      <c r="C88" s="17">
        <f ca="1">_xll.BDP(B88&amp;" Comdty","PX_LAST")</f>
        <v>98.954999999999998</v>
      </c>
      <c r="E88" s="8" t="str">
        <f ca="1">_xll.QIns_CreateSTIRFromCode(B88,valDate,B88,$F$21,C88,1,0,$C$20,$C$20)</f>
        <v>EDZ4¬1</v>
      </c>
      <c r="G88" s="8" t="s">
        <v>73</v>
      </c>
      <c r="H88" t="str">
        <f ca="1">_xll.QUtils_Replace($H$77,"&lt;Tenor&gt;",UPPER(G88))</f>
        <v>Swap.ZAR.7Y.FUNDING.3M/JIBAR-SAFEX.3M.BBA</v>
      </c>
      <c r="I88">
        <v>1.0500000000000001E-2</v>
      </c>
      <c r="J88">
        <v>0</v>
      </c>
      <c r="K88">
        <f ca="1"/>
        <v>0</v>
      </c>
      <c r="L88" t="str" cm="1">
        <f t="array" aca="1" ref="L88" ca="1">_xll.QIns_CreateFloatingDepo("ZAR_Fl_"&amp;G88,valDate,G88,$F$22,K88,1000000,$I$64,$I$78,,$I$78)</f>
        <v>ZAR_Fl_7y¬1</v>
      </c>
    </row>
    <row r="89" spans="1:13" x14ac:dyDescent="0.25">
      <c r="B89" s="8" t="str" cm="1">
        <f t="array" aca="1" ref="B89" ca="1">_xll.QDates_FuturesNextCode(B88)</f>
        <v>EDH5</v>
      </c>
      <c r="C89" s="17">
        <f ca="1">_xll.BDP(B89&amp;" Comdty","PX_LAST")</f>
        <v>98.875</v>
      </c>
      <c r="E89" s="8" t="str">
        <f ca="1">_xll.QIns_CreateSTIRFromCode(B89,valDate,B89,$F$21,C89,1,0,$C$20,$C$20)</f>
        <v>EDH5¬1</v>
      </c>
    </row>
    <row r="90" spans="1:13" x14ac:dyDescent="0.25">
      <c r="B90" s="8" t="str" cm="1">
        <f t="array" aca="1" ref="B90" ca="1">_xll.QDates_FuturesNextCode(B89)</f>
        <v>EDM5</v>
      </c>
      <c r="C90" s="17">
        <f ca="1">_xll.BDP(B90&amp;" Comdty","PX_LAST")</f>
        <v>98.784999999999997</v>
      </c>
      <c r="E90" s="8" t="str">
        <f ca="1">_xll.QIns_CreateSTIRFromCode(B90,valDate,B90,$F$21,C90,1,0,$C$20,$C$20)</f>
        <v>EDM5¬1</v>
      </c>
    </row>
    <row r="91" spans="1:13" x14ac:dyDescent="0.25">
      <c r="B91" s="8" t="str" cm="1">
        <f t="array" aca="1" ref="B91" ca="1">_xll.QDates_FuturesNextCode(B90)</f>
        <v>EDU5</v>
      </c>
      <c r="C91" s="17">
        <f ca="1">_xll.BDP(B91&amp;" Comdty","PX_LAST")</f>
        <v>98.685000000000002</v>
      </c>
      <c r="E91" s="8" t="str">
        <f ca="1">_xll.QIns_CreateSTIRFromCode(B91,valDate,B91,$F$21,C91,1,0,$C$20,$C$20)</f>
        <v>EDU5¬1</v>
      </c>
    </row>
    <row r="95" spans="1:13" x14ac:dyDescent="0.25">
      <c r="A95" s="3" t="s">
        <v>84</v>
      </c>
      <c r="C95" s="199" t="s">
        <v>15</v>
      </c>
      <c r="D95" s="199"/>
      <c r="E95" s="199"/>
      <c r="F95" s="199"/>
      <c r="G95" s="199"/>
      <c r="H95" s="199"/>
      <c r="I95" s="8" t="s">
        <v>91</v>
      </c>
      <c r="J95" s="31">
        <v>0</v>
      </c>
      <c r="K95" s="30" t="s">
        <v>92</v>
      </c>
      <c r="L95" s="31">
        <v>0</v>
      </c>
      <c r="M95" t="str" cm="1">
        <f t="array" aca="1" ref="M95" ca="1">_xll.QVol_CreateRiskyFlyVolSurface("fxVol_"&amp;C97,LEFT(C97,3)&amp;"/"&amp;RIGHT(C97,3),valDate,J97:K97,B98:B109,I98:I109,J98:K109,L98:M109,,,"Market",,,C98:C109,,"2b")</f>
        <v>fxVol_USDZAR¬1</v>
      </c>
    </row>
    <row r="96" spans="1:13" x14ac:dyDescent="0.25">
      <c r="C96" s="25" t="str">
        <f ca="1">VLOOKUP(C97,$H$21:$I$27,2,FALSE)</f>
        <v>USD/ZAR¬1</v>
      </c>
      <c r="D96" s="25"/>
      <c r="E96" s="29" t="s">
        <v>87</v>
      </c>
      <c r="F96" s="29" t="s">
        <v>87</v>
      </c>
      <c r="G96" s="29" t="s">
        <v>88</v>
      </c>
      <c r="H96" s="29" t="s">
        <v>88</v>
      </c>
      <c r="I96" s="25"/>
      <c r="J96" s="29" t="s">
        <v>87</v>
      </c>
      <c r="K96" s="29" t="s">
        <v>87</v>
      </c>
      <c r="L96" s="29" t="s">
        <v>88</v>
      </c>
      <c r="M96" s="29" t="s">
        <v>88</v>
      </c>
    </row>
    <row r="97" spans="2:13" ht="15.75" thickBot="1" x14ac:dyDescent="0.3">
      <c r="C97" s="26" t="s">
        <v>86</v>
      </c>
      <c r="D97" s="27" t="s">
        <v>85</v>
      </c>
      <c r="E97" s="28">
        <v>0.25</v>
      </c>
      <c r="F97" s="28">
        <v>0.1</v>
      </c>
      <c r="G97" s="28">
        <v>0.25</v>
      </c>
      <c r="H97" s="28">
        <v>0.1</v>
      </c>
      <c r="I97" s="27" t="s">
        <v>85</v>
      </c>
      <c r="J97" s="28">
        <v>0.25</v>
      </c>
      <c r="K97" s="28">
        <v>0.1</v>
      </c>
      <c r="L97" s="28">
        <v>0.25</v>
      </c>
      <c r="M97" s="28">
        <v>0.1</v>
      </c>
    </row>
    <row r="98" spans="2:13" x14ac:dyDescent="0.25">
      <c r="B98" s="1" cm="1">
        <f t="array" aca="1" ref="B98" ca="1">_xll.QDates_FxOptionExpiryFromTenor(valDate,$C$96,C98)</f>
        <v>44246</v>
      </c>
      <c r="C98" s="8" t="s">
        <v>26</v>
      </c>
      <c r="D98" s="16">
        <f ca="1">_xll.BDH($C$97&amp;"V"&amp;$C98&amp;" Curncy","PX_LAST",valDate,valDate)/100</f>
        <v>0.13817500000000002</v>
      </c>
      <c r="E98" s="16">
        <f ca="1">_xll.BDH($C$97&amp;E$97*100&amp;LEFT(E$96,1)&amp;$C98&amp;" Curncy","PX_LAST",valDate,valDate)/100</f>
        <v>1.5724999999999999E-2</v>
      </c>
      <c r="F98" s="16">
        <f ca="1">_xll.BDH($C$97&amp;F$97*100&amp;LEFT(F$96,1)&amp;$C98&amp;" Curncy","PX_LAST",valDate,valDate)/100</f>
        <v>2.7225000000000003E-2</v>
      </c>
      <c r="G98" s="16">
        <f ca="1">_xll.BDH($C$97&amp;G$97*100&amp;LEFT(G$96,1)&amp;$C98&amp;" Curncy","PX_LAST",valDate,valDate)/100</f>
        <v>3.4250000000000001E-3</v>
      </c>
      <c r="H98" s="16">
        <f ca="1">_xll.BDH($C$97&amp;H$97*100&amp;LEFT(H$96,1)&amp;$C98&amp;" Curncy","PX_LAST",valDate,valDate)/100</f>
        <v>1.0449999999999999E-2</v>
      </c>
      <c r="I98" s="32">
        <f t="shared" ref="I98:I109" ca="1" si="13">D98+$J$95</f>
        <v>0.13817500000000002</v>
      </c>
      <c r="J98" s="32">
        <f t="shared" ref="J98:J109" ca="1" si="14">E98*$L$95</f>
        <v>0</v>
      </c>
      <c r="K98" s="32">
        <f t="shared" ref="K98:K109" ca="1" si="15">F98*$L$95</f>
        <v>0</v>
      </c>
      <c r="L98" s="32">
        <f t="shared" ref="L98:L109" ca="1" si="16">G98*$L$95</f>
        <v>0</v>
      </c>
      <c r="M98" s="32">
        <f t="shared" ref="M98:M109" ca="1" si="17">H98*$L$95</f>
        <v>0</v>
      </c>
    </row>
    <row r="99" spans="2:13" x14ac:dyDescent="0.25">
      <c r="B99" s="1" cm="1">
        <f t="array" aca="1" ref="B99" ca="1">_xll.QDates_FxOptionExpiryFromTenor(valDate,$C$96,C99)</f>
        <v>44267</v>
      </c>
      <c r="C99" s="8" t="s">
        <v>28</v>
      </c>
      <c r="D99" s="16">
        <f ca="1">_xll.BDH($C$97&amp;"V"&amp;$C99&amp;" Curncy","PX_LAST",valDate,valDate)/100</f>
        <v>0.15435000000000001</v>
      </c>
      <c r="E99" s="16">
        <f ca="1">_xll.BDH($C$97&amp;E$97*100&amp;LEFT(E$96,1)&amp;$C99&amp;" Curncy","PX_LAST",valDate,valDate)/100</f>
        <v>2.3E-2</v>
      </c>
      <c r="F99" s="16">
        <f ca="1">_xll.BDH($C$97&amp;F$97*100&amp;LEFT(F$96,1)&amp;$C99&amp;" Curncy","PX_LAST",valDate,valDate)/100</f>
        <v>4.1474999999999998E-2</v>
      </c>
      <c r="G99" s="16">
        <f ca="1">_xll.BDH($C$97&amp;G$97*100&amp;LEFT(G$96,1)&amp;$C99&amp;" Curncy","PX_LAST",valDate,valDate)/100</f>
        <v>4.5750000000000001E-3</v>
      </c>
      <c r="H99" s="16">
        <f ca="1">_xll.BDH($C$97&amp;H$97*100&amp;LEFT(H$96,1)&amp;$C99&amp;" Curncy","PX_LAST",valDate,valDate)/100</f>
        <v>1.355E-2</v>
      </c>
      <c r="I99" s="32">
        <f t="shared" ca="1" si="13"/>
        <v>0.15435000000000001</v>
      </c>
      <c r="J99" s="32">
        <f t="shared" ca="1" si="14"/>
        <v>0</v>
      </c>
      <c r="K99" s="32">
        <f t="shared" ca="1" si="15"/>
        <v>0</v>
      </c>
      <c r="L99" s="32">
        <f t="shared" ca="1" si="16"/>
        <v>0</v>
      </c>
      <c r="M99" s="32">
        <f t="shared" ca="1" si="17"/>
        <v>0</v>
      </c>
    </row>
    <row r="100" spans="2:13" x14ac:dyDescent="0.25">
      <c r="B100" s="1" cm="1">
        <f t="array" aca="1" ref="B100" ca="1">_xll.QDates_FxOptionExpiryFromTenor(valDate,$C$96,C100)</f>
        <v>44300</v>
      </c>
      <c r="C100" s="8" t="s">
        <v>29</v>
      </c>
      <c r="D100" s="16">
        <f ca="1">_xll.BDH($C$97&amp;"V"&amp;$C100&amp;" Curncy","PX_LAST",valDate,valDate)/100</f>
        <v>0.15414999999999998</v>
      </c>
      <c r="E100" s="16">
        <f ca="1">_xll.BDH($C$97&amp;E$97*100&amp;LEFT(E$96,1)&amp;$C100&amp;" Curncy","PX_LAST",valDate,valDate)/100</f>
        <v>2.7000000000000003E-2</v>
      </c>
      <c r="F100" s="16">
        <f ca="1">_xll.BDH($C$97&amp;F$97*100&amp;LEFT(F$96,1)&amp;$C100&amp;" Curncy","PX_LAST",valDate,valDate)/100</f>
        <v>4.9599999999999998E-2</v>
      </c>
      <c r="G100" s="16">
        <f ca="1">_xll.BDH($C$97&amp;G$97*100&amp;LEFT(G$96,1)&amp;$C100&amp;" Curncy","PX_LAST",valDate,valDate)/100</f>
        <v>5.1000000000000004E-3</v>
      </c>
      <c r="H100" s="16">
        <f ca="1">_xll.BDH($C$97&amp;H$97*100&amp;LEFT(H$96,1)&amp;$C100&amp;" Curncy","PX_LAST",valDate,valDate)/100</f>
        <v>1.4624999999999999E-2</v>
      </c>
      <c r="I100" s="32">
        <f t="shared" ca="1" si="13"/>
        <v>0.15414999999999998</v>
      </c>
      <c r="J100" s="32">
        <f t="shared" ca="1" si="14"/>
        <v>0</v>
      </c>
      <c r="K100" s="32">
        <f t="shared" ca="1" si="15"/>
        <v>0</v>
      </c>
      <c r="L100" s="32">
        <f t="shared" ca="1" si="16"/>
        <v>0</v>
      </c>
      <c r="M100" s="32">
        <f t="shared" ca="1" si="17"/>
        <v>0</v>
      </c>
    </row>
    <row r="101" spans="2:13" x14ac:dyDescent="0.25">
      <c r="B101" s="1" cm="1">
        <f t="array" aca="1" ref="B101" ca="1">_xll.QDates_FxOptionExpiryFromTenor(valDate,$C$96,C101)</f>
        <v>44329</v>
      </c>
      <c r="C101" s="8" t="s">
        <v>30</v>
      </c>
      <c r="D101" s="16">
        <f ca="1">_xll.BDH($C$97&amp;"V"&amp;$C101&amp;" Curncy","PX_LAST",valDate,valDate)/100</f>
        <v>0.15517500000000001</v>
      </c>
      <c r="E101" s="16">
        <f ca="1">_xll.BDH($C$97&amp;E$97*100&amp;LEFT(E$96,1)&amp;$C101&amp;" Curncy","PX_LAST",valDate,valDate)/100</f>
        <v>2.9649999999999999E-2</v>
      </c>
      <c r="F101" s="16">
        <f ca="1">_xll.BDH($C$97&amp;F$97*100&amp;LEFT(F$96,1)&amp;$C101&amp;" Curncy","PX_LAST",valDate,valDate)/100</f>
        <v>5.5449999999999999E-2</v>
      </c>
      <c r="G101" s="16">
        <f ca="1">_xll.BDH($C$97&amp;G$97*100&amp;LEFT(G$96,1)&amp;$C101&amp;" Curncy","PX_LAST",valDate,valDate)/100</f>
        <v>5.5750000000000001E-3</v>
      </c>
      <c r="H101" s="16">
        <f ca="1">_xll.BDH($C$97&amp;H$97*100&amp;LEFT(H$96,1)&amp;$C101&amp;" Curncy","PX_LAST",valDate,valDate)/100</f>
        <v>1.575E-2</v>
      </c>
      <c r="I101" s="32">
        <f t="shared" ca="1" si="13"/>
        <v>0.15517500000000001</v>
      </c>
      <c r="J101" s="32">
        <f t="shared" ca="1" si="14"/>
        <v>0</v>
      </c>
      <c r="K101" s="32">
        <f t="shared" ca="1" si="15"/>
        <v>0</v>
      </c>
      <c r="L101" s="32">
        <f t="shared" ca="1" si="16"/>
        <v>0</v>
      </c>
      <c r="M101" s="32">
        <f t="shared" ca="1" si="17"/>
        <v>0</v>
      </c>
    </row>
    <row r="102" spans="2:13" x14ac:dyDescent="0.25">
      <c r="B102" s="1" cm="1">
        <f t="array" aca="1" ref="B102" ca="1">_xll.QDates_FxOptionExpiryFromTenor(valDate,$C$96,C102)</f>
        <v>44420</v>
      </c>
      <c r="C102" s="8" t="s">
        <v>31</v>
      </c>
      <c r="D102" s="16">
        <f ca="1">_xll.BDH($C$97&amp;"V"&amp;$C102&amp;" Curncy","PX_LAST",valDate,valDate)/100</f>
        <v>0.156525</v>
      </c>
      <c r="E102" s="16">
        <f ca="1">_xll.BDH($C$97&amp;E$97*100&amp;LEFT(E$96,1)&amp;$C102&amp;" Curncy","PX_LAST",valDate,valDate)/100</f>
        <v>3.3000000000000002E-2</v>
      </c>
      <c r="F102" s="16">
        <f ca="1">_xll.BDH($C$97&amp;F$97*100&amp;LEFT(F$96,1)&amp;$C102&amp;" Curncy","PX_LAST",valDate,valDate)/100</f>
        <v>6.1874999999999999E-2</v>
      </c>
      <c r="G102" s="16">
        <f ca="1">_xll.BDH($C$97&amp;G$97*100&amp;LEFT(G$96,1)&amp;$C102&amp;" Curncy","PX_LAST",valDate,valDate)/100</f>
        <v>6.6E-3</v>
      </c>
      <c r="H102" s="16">
        <f ca="1">_xll.BDH($C$97&amp;H$97*100&amp;LEFT(H$96,1)&amp;$C102&amp;" Curncy","PX_LAST",valDate,valDate)/100</f>
        <v>1.8550000000000001E-2</v>
      </c>
      <c r="I102" s="32">
        <f t="shared" ca="1" si="13"/>
        <v>0.156525</v>
      </c>
      <c r="J102" s="32">
        <f t="shared" ca="1" si="14"/>
        <v>0</v>
      </c>
      <c r="K102" s="32">
        <f t="shared" ca="1" si="15"/>
        <v>0</v>
      </c>
      <c r="L102" s="32">
        <f t="shared" ca="1" si="16"/>
        <v>0</v>
      </c>
      <c r="M102" s="32">
        <f t="shared" ca="1" si="17"/>
        <v>0</v>
      </c>
    </row>
    <row r="103" spans="2:13" x14ac:dyDescent="0.25">
      <c r="B103" s="1" cm="1">
        <f t="array" aca="1" ref="B103" ca="1">_xll.QDates_FxOptionExpiryFromTenor(valDate,$C$96,C103)</f>
        <v>44512</v>
      </c>
      <c r="C103" s="8" t="s">
        <v>32</v>
      </c>
      <c r="D103" s="16">
        <f ca="1">_xll.BDH($C$97&amp;"V"&amp;$C103&amp;" Curncy","PX_LAST",valDate,valDate)/100</f>
        <v>0.15710000000000002</v>
      </c>
      <c r="E103" s="16">
        <f ca="1">_xll.BDH($C$97&amp;E$97*100&amp;LEFT(E$96,1)&amp;$C103&amp;" Curncy","PX_LAST",valDate,valDate)/100</f>
        <v>3.4849999999999999E-2</v>
      </c>
      <c r="F103" s="16">
        <f ca="1">_xll.BDH($C$97&amp;F$97*100&amp;LEFT(F$96,1)&amp;$C103&amp;" Curncy","PX_LAST",valDate,valDate)/100</f>
        <v>6.5350000000000005E-2</v>
      </c>
      <c r="G103" s="16">
        <f ca="1">_xll.BDH($C$97&amp;G$97*100&amp;LEFT(G$96,1)&amp;$C103&amp;" Curncy","PX_LAST",valDate,valDate)/100</f>
        <v>7.45E-3</v>
      </c>
      <c r="H103" s="16">
        <f ca="1">_xll.BDH($C$97&amp;H$97*100&amp;LEFT(H$96,1)&amp;$C103&amp;" Curncy","PX_LAST",valDate,valDate)/100</f>
        <v>2.1075E-2</v>
      </c>
      <c r="I103" s="32">
        <f t="shared" ca="1" si="13"/>
        <v>0.15710000000000002</v>
      </c>
      <c r="J103" s="32">
        <f t="shared" ca="1" si="14"/>
        <v>0</v>
      </c>
      <c r="K103" s="32">
        <f t="shared" ca="1" si="15"/>
        <v>0</v>
      </c>
      <c r="L103" s="32">
        <f t="shared" ca="1" si="16"/>
        <v>0</v>
      </c>
      <c r="M103" s="32">
        <f t="shared" ca="1" si="17"/>
        <v>0</v>
      </c>
    </row>
    <row r="104" spans="2:13" x14ac:dyDescent="0.25">
      <c r="B104" s="1" cm="1">
        <f t="array" aca="1" ref="B104" ca="1">_xll.QDates_FxOptionExpiryFromTenor(valDate,$C$96,C104)</f>
        <v>44606</v>
      </c>
      <c r="C104" s="8" t="s">
        <v>71</v>
      </c>
      <c r="D104" s="16">
        <f ca="1">_xll.BDH($C$97&amp;"V"&amp;$C104&amp;" Curncy","PX_LAST",valDate,valDate)/100</f>
        <v>0.15762499999999999</v>
      </c>
      <c r="E104" s="16">
        <f ca="1">_xll.BDH($C$97&amp;E$97*100&amp;LEFT(E$96,1)&amp;$C104&amp;" Curncy","PX_LAST",valDate,valDate)/100</f>
        <v>3.5150000000000001E-2</v>
      </c>
      <c r="F104" s="16">
        <f ca="1">_xll.BDH($C$97&amp;F$97*100&amp;LEFT(F$96,1)&amp;$C104&amp;" Curncy","PX_LAST",valDate,valDate)/100</f>
        <v>6.5824999999999995E-2</v>
      </c>
      <c r="G104" s="16">
        <f ca="1">_xll.BDH($C$97&amp;G$97*100&amp;LEFT(G$96,1)&amp;$C104&amp;" Curncy","PX_LAST",valDate,valDate)/100</f>
        <v>7.7249999999999992E-3</v>
      </c>
      <c r="H104" s="16">
        <f ca="1">_xll.BDH($C$97&amp;H$97*100&amp;LEFT(H$96,1)&amp;$C104&amp;" Curncy","PX_LAST",valDate,valDate)/100</f>
        <v>2.1825000000000001E-2</v>
      </c>
      <c r="I104" s="32">
        <f t="shared" ca="1" si="13"/>
        <v>0.15762499999999999</v>
      </c>
      <c r="J104" s="32">
        <f t="shared" ca="1" si="14"/>
        <v>0</v>
      </c>
      <c r="K104" s="32">
        <f t="shared" ca="1" si="15"/>
        <v>0</v>
      </c>
      <c r="L104" s="32">
        <f t="shared" ca="1" si="16"/>
        <v>0</v>
      </c>
      <c r="M104" s="32">
        <f t="shared" ca="1" si="17"/>
        <v>0</v>
      </c>
    </row>
    <row r="105" spans="2:13" x14ac:dyDescent="0.25">
      <c r="B105" s="1" cm="1">
        <f t="array" aca="1" ref="B105" ca="1">_xll.QDates_FxOptionExpiryFromTenor(valDate,$C$96,C105)</f>
        <v>44785</v>
      </c>
      <c r="C105" s="8" t="s">
        <v>34</v>
      </c>
      <c r="D105" s="16">
        <f ca="1">_xll.BDH($C$97&amp;"V"&amp;$C105&amp;" Curncy","PX_LAST",valDate,valDate)/100</f>
        <v>0.15909999999999999</v>
      </c>
      <c r="E105" s="16">
        <f ca="1">_xll.BDH($C$97&amp;E$97*100&amp;LEFT(E$96,1)&amp;$C105&amp;" Curncy","PX_LAST",valDate,valDate)/100</f>
        <v>3.5750000000000004E-2</v>
      </c>
      <c r="F105" s="16">
        <f ca="1">_xll.BDH($C$97&amp;F$97*100&amp;LEFT(F$96,1)&amp;$C105&amp;" Curncy","PX_LAST",valDate,valDate)/100</f>
        <v>6.6674999999999998E-2</v>
      </c>
      <c r="G105" s="16">
        <f ca="1">_xll.BDH($C$97&amp;G$97*100&amp;LEFT(G$96,1)&amp;$C105&amp;" Curncy","PX_LAST",valDate,valDate)/100</f>
        <v>8.0249999999999991E-3</v>
      </c>
      <c r="H105" s="16">
        <f ca="1">_xll.BDH($C$97&amp;H$97*100&amp;LEFT(H$96,1)&amp;$C105&amp;" Curncy","PX_LAST",valDate,valDate)/100</f>
        <v>2.2099999999999998E-2</v>
      </c>
      <c r="I105" s="32">
        <f t="shared" ca="1" si="13"/>
        <v>0.15909999999999999</v>
      </c>
      <c r="J105" s="32">
        <f t="shared" ca="1" si="14"/>
        <v>0</v>
      </c>
      <c r="K105" s="32">
        <f t="shared" ca="1" si="15"/>
        <v>0</v>
      </c>
      <c r="L105" s="32">
        <f t="shared" ca="1" si="16"/>
        <v>0</v>
      </c>
      <c r="M105" s="32">
        <f t="shared" ca="1" si="17"/>
        <v>0</v>
      </c>
    </row>
    <row r="106" spans="2:13" x14ac:dyDescent="0.25">
      <c r="B106" s="1" cm="1">
        <f t="array" aca="1" ref="B106" ca="1">_xll.QDates_FxOptionExpiryFromTenor(valDate,$C$96,C106)</f>
        <v>44971</v>
      </c>
      <c r="C106" s="8" t="s">
        <v>35</v>
      </c>
      <c r="D106" s="16">
        <f ca="1">_xll.BDH($C$97&amp;"V"&amp;$C106&amp;" Curncy","PX_LAST",valDate,valDate)/100</f>
        <v>0.15934999999999999</v>
      </c>
      <c r="E106" s="16">
        <f ca="1">_xll.BDH($C$97&amp;E$97*100&amp;LEFT(E$96,1)&amp;$C106&amp;" Curncy","PX_LAST",valDate,valDate)/100</f>
        <v>3.7149999999999996E-2</v>
      </c>
      <c r="F106" s="16">
        <f ca="1">_xll.BDH($C$97&amp;F$97*100&amp;LEFT(F$96,1)&amp;$C106&amp;" Curncy","PX_LAST",valDate,valDate)/100</f>
        <v>6.9625000000000006E-2</v>
      </c>
      <c r="G106" s="16">
        <f ca="1">_xll.BDH($C$97&amp;G$97*100&amp;LEFT(G$96,1)&amp;$C106&amp;" Curncy","PX_LAST",valDate,valDate)/100</f>
        <v>8.4749999999999999E-3</v>
      </c>
      <c r="H106" s="16">
        <f ca="1">_xll.BDH($C$97&amp;H$97*100&amp;LEFT(H$96,1)&amp;$C106&amp;" Curncy","PX_LAST",valDate,valDate)/100</f>
        <v>2.3875E-2</v>
      </c>
      <c r="I106" s="32">
        <f t="shared" ca="1" si="13"/>
        <v>0.15934999999999999</v>
      </c>
      <c r="J106" s="32">
        <f t="shared" ca="1" si="14"/>
        <v>0</v>
      </c>
      <c r="K106" s="32">
        <f t="shared" ca="1" si="15"/>
        <v>0</v>
      </c>
      <c r="L106" s="32">
        <f t="shared" ca="1" si="16"/>
        <v>0</v>
      </c>
      <c r="M106" s="32">
        <f t="shared" ca="1" si="17"/>
        <v>0</v>
      </c>
    </row>
    <row r="107" spans="2:13" x14ac:dyDescent="0.25">
      <c r="B107" s="1" cm="1">
        <f t="array" aca="1" ref="B107" ca="1">_xll.QDates_FxOptionExpiryFromTenor(valDate,$C$96,C107)</f>
        <v>45336</v>
      </c>
      <c r="C107" s="8" t="s">
        <v>36</v>
      </c>
      <c r="D107" s="16">
        <f ca="1">_xll.BDH($C$97&amp;"V"&amp;$C107&amp;" Curncy","PX_LAST",valDate,valDate)/100</f>
        <v>0.162275</v>
      </c>
      <c r="E107" s="16">
        <f ca="1">_xll.BDH($C$97&amp;E$97*100&amp;LEFT(E$96,1)&amp;$C107&amp;" Curncy","PX_LAST",valDate,valDate)/100</f>
        <v>3.8824999999999998E-2</v>
      </c>
      <c r="F107" s="16">
        <f ca="1">_xll.BDH($C$97&amp;F$97*100&amp;LEFT(F$96,1)&amp;$C107&amp;" Curncy","PX_LAST",valDate,valDate)/100</f>
        <v>7.2900000000000006E-2</v>
      </c>
      <c r="G107" s="16">
        <f ca="1">_xll.BDH($C$97&amp;G$97*100&amp;LEFT(G$96,1)&amp;$C107&amp;" Curncy","PX_LAST",valDate,valDate)/100</f>
        <v>9.5999999999999992E-3</v>
      </c>
      <c r="H107" s="16">
        <f ca="1">_xll.BDH($C$97&amp;H$97*100&amp;LEFT(H$96,1)&amp;$C107&amp;" Curncy","PX_LAST",valDate,valDate)/100</f>
        <v>2.7199999999999998E-2</v>
      </c>
      <c r="I107" s="32">
        <f t="shared" ca="1" si="13"/>
        <v>0.162275</v>
      </c>
      <c r="J107" s="32">
        <f t="shared" ca="1" si="14"/>
        <v>0</v>
      </c>
      <c r="K107" s="32">
        <f t="shared" ca="1" si="15"/>
        <v>0</v>
      </c>
      <c r="L107" s="32">
        <f t="shared" ca="1" si="16"/>
        <v>0</v>
      </c>
      <c r="M107" s="32">
        <f t="shared" ca="1" si="17"/>
        <v>0</v>
      </c>
    </row>
    <row r="108" spans="2:13" x14ac:dyDescent="0.25">
      <c r="B108" s="1" cm="1">
        <f t="array" aca="1" ref="B108" ca="1">_xll.QDates_FxOptionExpiryFromTenor(valDate,$C$96,C108)</f>
        <v>45701</v>
      </c>
      <c r="C108" s="8" t="s">
        <v>58</v>
      </c>
      <c r="D108" s="16">
        <f ca="1">_xll.BDH($C$97&amp;"V"&amp;$C108&amp;" Curncy","PX_LAST",valDate,valDate)/100</f>
        <v>0.17152500000000001</v>
      </c>
      <c r="E108" s="16">
        <f ca="1">_xll.BDH($C$97&amp;E$97*100&amp;LEFT(E$96,1)&amp;$C108&amp;" Curncy","PX_LAST",valDate,valDate)/100</f>
        <v>4.0525000000000005E-2</v>
      </c>
      <c r="F108" s="16">
        <f ca="1">_xll.BDH($C$97&amp;F$97*100&amp;LEFT(F$96,1)&amp;$C108&amp;" Curncy","PX_LAST",valDate,valDate)/100</f>
        <v>7.6200000000000004E-2</v>
      </c>
      <c r="G108" s="16">
        <f ca="1">_xll.BDH($C$97&amp;G$97*100&amp;LEFT(G$96,1)&amp;$C108&amp;" Curncy","PX_LAST",valDate,valDate)/100</f>
        <v>1.0175E-2</v>
      </c>
      <c r="H108" s="16">
        <f ca="1">_xll.BDH($C$97&amp;H$97*100&amp;LEFT(H$96,1)&amp;$C108&amp;" Curncy","PX_LAST",valDate,valDate)/100</f>
        <v>2.9024999999999999E-2</v>
      </c>
      <c r="I108" s="32">
        <f t="shared" ca="1" si="13"/>
        <v>0.17152500000000001</v>
      </c>
      <c r="J108" s="32">
        <f t="shared" ca="1" si="14"/>
        <v>0</v>
      </c>
      <c r="K108" s="32">
        <f t="shared" ca="1" si="15"/>
        <v>0</v>
      </c>
      <c r="L108" s="32">
        <f t="shared" ca="1" si="16"/>
        <v>0</v>
      </c>
      <c r="M108" s="32">
        <f t="shared" ca="1" si="17"/>
        <v>0</v>
      </c>
    </row>
    <row r="109" spans="2:13" x14ac:dyDescent="0.25">
      <c r="B109" s="1" cm="1">
        <f t="array" aca="1" ref="B109" ca="1">_xll.QDates_FxOptionExpiryFromTenor(valDate,$C$96,C109)</f>
        <v>46065</v>
      </c>
      <c r="C109" s="8" t="s">
        <v>37</v>
      </c>
      <c r="D109" s="16">
        <f ca="1">_xll.BDH($C$97&amp;"V"&amp;$C109&amp;" Curncy","PX_LAST",valDate,valDate)/100</f>
        <v>0.17829999999999999</v>
      </c>
      <c r="E109" s="16">
        <f ca="1">_xll.BDH($C$97&amp;E$97*100&amp;LEFT(E$96,1)&amp;$C109&amp;" Curncy","PX_LAST",valDate,valDate)/100</f>
        <v>4.2199999999999994E-2</v>
      </c>
      <c r="F109" s="16">
        <f ca="1">_xll.BDH($C$97&amp;F$97*100&amp;LEFT(F$96,1)&amp;$C109&amp;" Curncy","PX_LAST",valDate,valDate)/100</f>
        <v>7.9424999999999996E-2</v>
      </c>
      <c r="G109" s="16">
        <f ca="1">_xll.BDH($C$97&amp;G$97*100&amp;LEFT(G$96,1)&amp;$C109&amp;" Curncy","PX_LAST",valDate,valDate)/100</f>
        <v>1.1075E-2</v>
      </c>
      <c r="H109" s="16">
        <f ca="1">_xll.BDH($C$97&amp;H$97*100&amp;LEFT(H$96,1)&amp;$C109&amp;" Curncy","PX_LAST",valDate,valDate)/100</f>
        <v>3.1699999999999999E-2</v>
      </c>
      <c r="I109" s="32">
        <f t="shared" ca="1" si="13"/>
        <v>0.17829999999999999</v>
      </c>
      <c r="J109" s="32">
        <f t="shared" ca="1" si="14"/>
        <v>0</v>
      </c>
      <c r="K109" s="32">
        <f t="shared" ca="1" si="15"/>
        <v>0</v>
      </c>
      <c r="L109" s="32">
        <f t="shared" ca="1" si="16"/>
        <v>0</v>
      </c>
      <c r="M109" s="32">
        <f t="shared" ca="1" si="17"/>
        <v>0</v>
      </c>
    </row>
    <row r="112" spans="2:13" x14ac:dyDescent="0.25">
      <c r="C112" s="199" t="s">
        <v>15</v>
      </c>
      <c r="D112" s="199"/>
      <c r="E112" s="199"/>
      <c r="F112" s="199"/>
      <c r="G112" s="199"/>
      <c r="H112" s="199"/>
      <c r="I112" s="8" t="s">
        <v>91</v>
      </c>
      <c r="J112" s="31">
        <v>0.01</v>
      </c>
      <c r="K112" s="30" t="s">
        <v>92</v>
      </c>
      <c r="L112" s="31">
        <v>1</v>
      </c>
      <c r="M112" t="str" cm="1">
        <f t="array" aca="1" ref="M112" ca="1">_xll.QVol_CreateRiskyFlyVolSurface("fxVol_"&amp;C114,LEFT(C114,3)&amp;"/"&amp;RIGHT(C114,3),valDate,J114:K114,B115:B126,I115:I126,J115:K126,L115:M126,,,"Market",,,C115:C126,,"2b")</f>
        <v>fxVol_EURUSD¬1</v>
      </c>
    </row>
    <row r="113" spans="2:13" x14ac:dyDescent="0.25">
      <c r="C113" s="25" t="str">
        <f ca="1">VLOOKUP(C114,$H$21:$I$27,2,FALSE)</f>
        <v>EUR/USD¬1</v>
      </c>
      <c r="D113" s="25"/>
      <c r="E113" s="29" t="s">
        <v>87</v>
      </c>
      <c r="F113" s="29" t="s">
        <v>87</v>
      </c>
      <c r="G113" s="29" t="s">
        <v>88</v>
      </c>
      <c r="H113" s="29" t="s">
        <v>88</v>
      </c>
      <c r="I113" s="25"/>
      <c r="J113" s="29" t="s">
        <v>87</v>
      </c>
      <c r="K113" s="29" t="s">
        <v>87</v>
      </c>
      <c r="L113" s="29" t="s">
        <v>88</v>
      </c>
      <c r="M113" s="29" t="s">
        <v>88</v>
      </c>
    </row>
    <row r="114" spans="2:13" ht="15.75" thickBot="1" x14ac:dyDescent="0.3">
      <c r="C114" s="26" t="s">
        <v>89</v>
      </c>
      <c r="D114" s="27" t="s">
        <v>85</v>
      </c>
      <c r="E114" s="28">
        <v>0.25</v>
      </c>
      <c r="F114" s="28">
        <v>0.1</v>
      </c>
      <c r="G114" s="28">
        <v>0.25</v>
      </c>
      <c r="H114" s="28">
        <v>0.1</v>
      </c>
      <c r="I114" s="27" t="s">
        <v>85</v>
      </c>
      <c r="J114" s="28">
        <v>0.25</v>
      </c>
      <c r="K114" s="28">
        <v>0.1</v>
      </c>
      <c r="L114" s="28">
        <v>0.25</v>
      </c>
      <c r="M114" s="28">
        <v>0.1</v>
      </c>
    </row>
    <row r="115" spans="2:13" x14ac:dyDescent="0.25">
      <c r="B115" s="1" cm="1">
        <f t="array" aca="1" ref="B115" ca="1">_xll.QDates_FxOptionExpiryFromTenor(valDate,$C$113,C115)</f>
        <v>44246</v>
      </c>
      <c r="C115" s="8" t="s">
        <v>26</v>
      </c>
      <c r="D115" s="16">
        <f ca="1">_xll.BDH($C$114&amp;"V"&amp;$C115&amp;" Curncy","PX_LAST",valDate,valDate)/100</f>
        <v>5.5449999999999999E-2</v>
      </c>
      <c r="E115" s="16">
        <f ca="1">_xll.BDH($C$114&amp;E$114*100&amp;LEFT(E$113,1)&amp;$C115&amp;" Curncy","PX_LAST",valDate,valDate)/100</f>
        <v>8.5000000000000006E-4</v>
      </c>
      <c r="F115" s="16">
        <f ca="1">_xll.BDH($C$114&amp;F$114*100&amp;LEFT(F$113,1)&amp;$C115&amp;" Curncy","PX_LAST",valDate,valDate)/100</f>
        <v>1.6000000000000001E-3</v>
      </c>
      <c r="G115" s="16">
        <f ca="1">_xll.BDH($C$114&amp;G$114*100&amp;LEFT(G$113,1)&amp;$C115&amp;" Curncy","PX_LAST",valDate,valDate)/100</f>
        <v>1.2999999999999999E-3</v>
      </c>
      <c r="H115" s="16">
        <f ca="1">_xll.BDH($C$114&amp;H$114*100&amp;LEFT(H$113,1)&amp;$C115&amp;" Curncy","PX_LAST",valDate,valDate)/100</f>
        <v>3.875E-3</v>
      </c>
      <c r="I115" s="32">
        <f t="shared" ref="I115:I126" ca="1" si="18">D115+$J$112</f>
        <v>6.5449999999999994E-2</v>
      </c>
      <c r="J115" s="32">
        <f t="shared" ref="J115:J126" ca="1" si="19">E115*$L$112</f>
        <v>8.5000000000000006E-4</v>
      </c>
      <c r="K115" s="32">
        <f t="shared" ref="K115:K126" ca="1" si="20">F115*$L$112</f>
        <v>1.6000000000000001E-3</v>
      </c>
      <c r="L115" s="32">
        <f t="shared" ref="L115:L126" ca="1" si="21">G115*$L$112</f>
        <v>1.2999999999999999E-3</v>
      </c>
      <c r="M115" s="32">
        <f t="shared" ref="M115:M126" ca="1" si="22">H115*$L$112</f>
        <v>3.875E-3</v>
      </c>
    </row>
    <row r="116" spans="2:13" x14ac:dyDescent="0.25">
      <c r="B116" s="1" cm="1">
        <f t="array" aca="1" ref="B116" ca="1">_xll.QDates_FxOptionExpiryFromTenor(valDate,$C$113,C116)</f>
        <v>44267</v>
      </c>
      <c r="C116" s="8" t="s">
        <v>28</v>
      </c>
      <c r="D116" s="16">
        <f ca="1">_xll.BDH($C$114&amp;"V"&amp;$C116&amp;" Curncy","PX_LAST",valDate,valDate)/100</f>
        <v>5.8624999999999997E-2</v>
      </c>
      <c r="E116" s="16">
        <f ca="1">_xll.BDH($C$114&amp;E$114*100&amp;LEFT(E$113,1)&amp;$C116&amp;" Curncy","PX_LAST",valDate,valDate)/100</f>
        <v>8.5000000000000006E-4</v>
      </c>
      <c r="F116" s="16">
        <f ca="1">_xll.BDH($C$114&amp;F$114*100&amp;LEFT(F$113,1)&amp;$C116&amp;" Curncy","PX_LAST",valDate,valDate)/100</f>
        <v>1.4000000000000002E-3</v>
      </c>
      <c r="G116" s="16">
        <f ca="1">_xll.BDH($C$114&amp;G$114*100&amp;LEFT(G$113,1)&amp;$C116&amp;" Curncy","PX_LAST",valDate,valDate)/100</f>
        <v>1.475E-3</v>
      </c>
      <c r="H116" s="16">
        <f ca="1">_xll.BDH($C$114&amp;H$114*100&amp;LEFT(H$113,1)&amp;$C116&amp;" Curncy","PX_LAST",valDate,valDate)/100</f>
        <v>4.4000000000000003E-3</v>
      </c>
      <c r="I116" s="32">
        <f t="shared" ca="1" si="18"/>
        <v>6.8624999999999992E-2</v>
      </c>
      <c r="J116" s="32">
        <f t="shared" ca="1" si="19"/>
        <v>8.5000000000000006E-4</v>
      </c>
      <c r="K116" s="32">
        <f t="shared" ca="1" si="20"/>
        <v>1.4000000000000002E-3</v>
      </c>
      <c r="L116" s="32">
        <f t="shared" ca="1" si="21"/>
        <v>1.475E-3</v>
      </c>
      <c r="M116" s="32">
        <f t="shared" ca="1" si="22"/>
        <v>4.4000000000000003E-3</v>
      </c>
    </row>
    <row r="117" spans="2:13" x14ac:dyDescent="0.25">
      <c r="B117" s="1" cm="1">
        <f t="array" aca="1" ref="B117" ca="1">_xll.QDates_FxOptionExpiryFromTenor(valDate,$C$113,C117)</f>
        <v>44300</v>
      </c>
      <c r="C117" s="8" t="s">
        <v>29</v>
      </c>
      <c r="D117" s="16">
        <f ca="1">_xll.BDH($C$114&amp;"V"&amp;$C117&amp;" Curncy","PX_LAST",valDate,valDate)/100</f>
        <v>5.8425000000000005E-2</v>
      </c>
      <c r="E117" s="16">
        <f ca="1">_xll.BDH($C$114&amp;E$114*100&amp;LEFT(E$113,1)&amp;$C117&amp;" Curncy","PX_LAST",valDate,valDate)/100</f>
        <v>1.25E-3</v>
      </c>
      <c r="F117" s="16">
        <f ca="1">_xll.BDH($C$114&amp;F$114*100&amp;LEFT(F$113,1)&amp;$C117&amp;" Curncy","PX_LAST",valDate,valDate)/100</f>
        <v>2.1749999999999999E-3</v>
      </c>
      <c r="G117" s="16">
        <f ca="1">_xll.BDH($C$114&amp;G$114*100&amp;LEFT(G$113,1)&amp;$C117&amp;" Curncy","PX_LAST",valDate,valDate)/100</f>
        <v>1.7000000000000001E-3</v>
      </c>
      <c r="H117" s="16">
        <f ca="1">_xll.BDH($C$114&amp;H$114*100&amp;LEFT(H$113,1)&amp;$C117&amp;" Curncy","PX_LAST",valDate,valDate)/100</f>
        <v>5.1749999999999999E-3</v>
      </c>
      <c r="I117" s="32">
        <f t="shared" ca="1" si="18"/>
        <v>6.8425E-2</v>
      </c>
      <c r="J117" s="32">
        <f t="shared" ca="1" si="19"/>
        <v>1.25E-3</v>
      </c>
      <c r="K117" s="32">
        <f t="shared" ca="1" si="20"/>
        <v>2.1749999999999999E-3</v>
      </c>
      <c r="L117" s="32">
        <f t="shared" ca="1" si="21"/>
        <v>1.7000000000000001E-3</v>
      </c>
      <c r="M117" s="32">
        <f t="shared" ca="1" si="22"/>
        <v>5.1749999999999999E-3</v>
      </c>
    </row>
    <row r="118" spans="2:13" x14ac:dyDescent="0.25">
      <c r="B118" s="1" cm="1">
        <f t="array" aca="1" ref="B118" ca="1">_xll.QDates_FxOptionExpiryFromTenor(valDate,$C$113,C118)</f>
        <v>44329</v>
      </c>
      <c r="C118" s="8" t="s">
        <v>30</v>
      </c>
      <c r="D118" s="16">
        <f ca="1">_xll.BDH($C$114&amp;"V"&amp;$C118&amp;" Curncy","PX_LAST",valDate,valDate)/100</f>
        <v>5.9325000000000003E-2</v>
      </c>
      <c r="E118" s="16">
        <f ca="1">_xll.BDH($C$114&amp;E$114*100&amp;LEFT(E$113,1)&amp;$C118&amp;" Curncy","PX_LAST",valDate,valDate)/100</f>
        <v>1.7499999999999998E-3</v>
      </c>
      <c r="F118" s="16">
        <f ca="1">_xll.BDH($C$114&amp;F$114*100&amp;LEFT(F$113,1)&amp;$C118&amp;" Curncy","PX_LAST",valDate,valDate)/100</f>
        <v>3.1250000000000002E-3</v>
      </c>
      <c r="G118" s="16">
        <f ca="1">_xll.BDH($C$114&amp;G$114*100&amp;LEFT(G$113,1)&amp;$C118&amp;" Curncy","PX_LAST",valDate,valDate)/100</f>
        <v>2E-3</v>
      </c>
      <c r="H118" s="16">
        <f ca="1">_xll.BDH($C$114&amp;H$114*100&amp;LEFT(H$113,1)&amp;$C118&amp;" Curncy","PX_LAST",valDate,valDate)/100</f>
        <v>6.2250000000000005E-3</v>
      </c>
      <c r="I118" s="32">
        <f t="shared" ca="1" si="18"/>
        <v>6.9324999999999998E-2</v>
      </c>
      <c r="J118" s="32">
        <f t="shared" ca="1" si="19"/>
        <v>1.7499999999999998E-3</v>
      </c>
      <c r="K118" s="32">
        <f t="shared" ca="1" si="20"/>
        <v>3.1250000000000002E-3</v>
      </c>
      <c r="L118" s="32">
        <f t="shared" ca="1" si="21"/>
        <v>2E-3</v>
      </c>
      <c r="M118" s="32">
        <f t="shared" ca="1" si="22"/>
        <v>6.2250000000000005E-3</v>
      </c>
    </row>
    <row r="119" spans="2:13" x14ac:dyDescent="0.25">
      <c r="B119" s="1" cm="1">
        <f t="array" aca="1" ref="B119" ca="1">_xll.QDates_FxOptionExpiryFromTenor(valDate,$C$113,C119)</f>
        <v>44420</v>
      </c>
      <c r="C119" s="8" t="s">
        <v>31</v>
      </c>
      <c r="D119" s="16">
        <f ca="1">_xll.BDH($C$114&amp;"V"&amp;$C119&amp;" Curncy","PX_LAST",valDate,valDate)/100</f>
        <v>6.0174999999999999E-2</v>
      </c>
      <c r="E119" s="16">
        <f ca="1">_xll.BDH($C$114&amp;E$114*100&amp;LEFT(E$113,1)&amp;$C119&amp;" Curncy","PX_LAST",valDate,valDate)/100</f>
        <v>2.5249999999999999E-3</v>
      </c>
      <c r="F119" s="16">
        <f ca="1">_xll.BDH($C$114&amp;F$114*100&amp;LEFT(F$113,1)&amp;$C119&amp;" Curncy","PX_LAST",valDate,valDate)/100</f>
        <v>4.5000000000000005E-3</v>
      </c>
      <c r="G119" s="16">
        <f ca="1">_xll.BDH($C$114&amp;G$114*100&amp;LEFT(G$113,1)&amp;$C119&amp;" Curncy","PX_LAST",valDate,valDate)/100</f>
        <v>2.5999999999999999E-3</v>
      </c>
      <c r="H119" s="16">
        <f ca="1">_xll.BDH($C$114&amp;H$114*100&amp;LEFT(H$113,1)&amp;$C119&amp;" Curncy","PX_LAST",valDate,valDate)/100</f>
        <v>8.3750000000000005E-3</v>
      </c>
      <c r="I119" s="32">
        <f t="shared" ca="1" si="18"/>
        <v>7.0175000000000001E-2</v>
      </c>
      <c r="J119" s="32">
        <f t="shared" ca="1" si="19"/>
        <v>2.5249999999999999E-3</v>
      </c>
      <c r="K119" s="32">
        <f t="shared" ca="1" si="20"/>
        <v>4.5000000000000005E-3</v>
      </c>
      <c r="L119" s="32">
        <f t="shared" ca="1" si="21"/>
        <v>2.5999999999999999E-3</v>
      </c>
      <c r="M119" s="32">
        <f t="shared" ca="1" si="22"/>
        <v>8.3750000000000005E-3</v>
      </c>
    </row>
    <row r="120" spans="2:13" x14ac:dyDescent="0.25">
      <c r="B120" s="1" cm="1">
        <f t="array" aca="1" ref="B120" ca="1">_xll.QDates_FxOptionExpiryFromTenor(valDate,$C$113,C120)</f>
        <v>44512</v>
      </c>
      <c r="C120" s="8" t="s">
        <v>32</v>
      </c>
      <c r="D120" s="16">
        <f ca="1">_xll.BDH($C$114&amp;"V"&amp;$C120&amp;" Curncy","PX_LAST",valDate,valDate)/100</f>
        <v>6.0999999999999999E-2</v>
      </c>
      <c r="E120" s="16">
        <f ca="1">_xll.BDH($C$114&amp;E$114*100&amp;LEFT(E$113,1)&amp;$C120&amp;" Curncy","PX_LAST",valDate,valDate)/100</f>
        <v>2.8999999999999998E-3</v>
      </c>
      <c r="F120" s="16">
        <f ca="1">_xll.BDH($C$114&amp;F$114*100&amp;LEFT(F$113,1)&amp;$C120&amp;" Curncy","PX_LAST",valDate,valDate)/100</f>
        <v>5.3500000000000006E-3</v>
      </c>
      <c r="G120" s="16">
        <f ca="1">_xll.BDH($C$114&amp;G$114*100&amp;LEFT(G$113,1)&amp;$C120&amp;" Curncy","PX_LAST",valDate,valDate)/100</f>
        <v>2.8999999999999998E-3</v>
      </c>
      <c r="H120" s="16">
        <f ca="1">_xll.BDH($C$114&amp;H$114*100&amp;LEFT(H$113,1)&amp;$C120&amp;" Curncy","PX_LAST",valDate,valDate)/100</f>
        <v>9.6249999999999999E-3</v>
      </c>
      <c r="I120" s="32">
        <f t="shared" ca="1" si="18"/>
        <v>7.0999999999999994E-2</v>
      </c>
      <c r="J120" s="32">
        <f t="shared" ca="1" si="19"/>
        <v>2.8999999999999998E-3</v>
      </c>
      <c r="K120" s="32">
        <f t="shared" ca="1" si="20"/>
        <v>5.3500000000000006E-3</v>
      </c>
      <c r="L120" s="32">
        <f t="shared" ca="1" si="21"/>
        <v>2.8999999999999998E-3</v>
      </c>
      <c r="M120" s="32">
        <f t="shared" ca="1" si="22"/>
        <v>9.6249999999999999E-3</v>
      </c>
    </row>
    <row r="121" spans="2:13" x14ac:dyDescent="0.25">
      <c r="B121" s="1" cm="1">
        <f t="array" aca="1" ref="B121" ca="1">_xll.QDates_FxOptionExpiryFromTenor(valDate,$C$113,C121)</f>
        <v>44606</v>
      </c>
      <c r="C121" s="8" t="s">
        <v>71</v>
      </c>
      <c r="D121" s="16">
        <f ca="1">_xll.BDH($C$114&amp;"V"&amp;$C121&amp;" Curncy","PX_LAST",valDate,valDate)/100</f>
        <v>6.1399999999999996E-2</v>
      </c>
      <c r="E121" s="16">
        <f ca="1">_xll.BDH($C$114&amp;E$114*100&amp;LEFT(E$113,1)&amp;$C121&amp;" Curncy","PX_LAST",valDate,valDate)/100</f>
        <v>3.0999999999999999E-3</v>
      </c>
      <c r="F121" s="16">
        <f ca="1">_xll.BDH($C$114&amp;F$114*100&amp;LEFT(F$113,1)&amp;$C121&amp;" Curncy","PX_LAST",valDate,valDate)/100</f>
        <v>5.6999999999999993E-3</v>
      </c>
      <c r="G121" s="16">
        <f ca="1">_xll.BDH($C$114&amp;G$114*100&amp;LEFT(G$113,1)&amp;$C121&amp;" Curncy","PX_LAST",valDate,valDate)/100</f>
        <v>3.0499999999999998E-3</v>
      </c>
      <c r="H121" s="16">
        <f ca="1">_xll.BDH($C$114&amp;H$114*100&amp;LEFT(H$113,1)&amp;$C121&amp;" Curncy","PX_LAST",valDate,valDate)/100</f>
        <v>1.0549999999999999E-2</v>
      </c>
      <c r="I121" s="32">
        <f t="shared" ca="1" si="18"/>
        <v>7.1399999999999991E-2</v>
      </c>
      <c r="J121" s="32">
        <f t="shared" ca="1" si="19"/>
        <v>3.0999999999999999E-3</v>
      </c>
      <c r="K121" s="32">
        <f t="shared" ca="1" si="20"/>
        <v>5.6999999999999993E-3</v>
      </c>
      <c r="L121" s="32">
        <f t="shared" ca="1" si="21"/>
        <v>3.0499999999999998E-3</v>
      </c>
      <c r="M121" s="32">
        <f t="shared" ca="1" si="22"/>
        <v>1.0549999999999999E-2</v>
      </c>
    </row>
    <row r="122" spans="2:13" x14ac:dyDescent="0.25">
      <c r="B122" s="1" cm="1">
        <f t="array" aca="1" ref="B122" ca="1">_xll.QDates_FxOptionExpiryFromTenor(valDate,$C$113,C122)</f>
        <v>44785</v>
      </c>
      <c r="C122" s="8" t="s">
        <v>34</v>
      </c>
      <c r="D122" s="16">
        <f ca="1">_xll.BDH($C$114&amp;"V"&amp;$C122&amp;" Curncy","PX_LAST",valDate,valDate)/100</f>
        <v>6.3475000000000004E-2</v>
      </c>
      <c r="E122" s="16">
        <f ca="1">_xll.BDH($C$114&amp;E$114*100&amp;LEFT(E$113,1)&amp;$C122&amp;" Curncy","PX_LAST",valDate,valDate)/100</f>
        <v>2.4749999999999998E-3</v>
      </c>
      <c r="F122" s="16">
        <f ca="1">_xll.BDH($C$114&amp;F$114*100&amp;LEFT(F$113,1)&amp;$C122&amp;" Curncy","PX_LAST",valDate,valDate)/100</f>
        <v>4.45E-3</v>
      </c>
      <c r="G122" s="16">
        <f ca="1">_xll.BDH($C$114&amp;G$114*100&amp;LEFT(G$113,1)&amp;$C122&amp;" Curncy","PX_LAST",valDate,valDate)/100</f>
        <v>3.15E-3</v>
      </c>
      <c r="H122" s="16">
        <f ca="1">_xll.BDH($C$114&amp;H$114*100&amp;LEFT(H$113,1)&amp;$C122&amp;" Curncy","PX_LAST",valDate,valDate)/100</f>
        <v>1.0575000000000001E-2</v>
      </c>
      <c r="I122" s="32">
        <f t="shared" ca="1" si="18"/>
        <v>7.3474999999999999E-2</v>
      </c>
      <c r="J122" s="32">
        <f t="shared" ca="1" si="19"/>
        <v>2.4749999999999998E-3</v>
      </c>
      <c r="K122" s="32">
        <f t="shared" ca="1" si="20"/>
        <v>4.45E-3</v>
      </c>
      <c r="L122" s="32">
        <f t="shared" ca="1" si="21"/>
        <v>3.15E-3</v>
      </c>
      <c r="M122" s="32">
        <f t="shared" ca="1" si="22"/>
        <v>1.0575000000000001E-2</v>
      </c>
    </row>
    <row r="123" spans="2:13" x14ac:dyDescent="0.25">
      <c r="B123" s="1" cm="1">
        <f t="array" aca="1" ref="B123" ca="1">_xll.QDates_FxOptionExpiryFromTenor(valDate,$C$113,C123)</f>
        <v>44971</v>
      </c>
      <c r="C123" s="8" t="s">
        <v>35</v>
      </c>
      <c r="D123" s="16">
        <f ca="1">_xll.BDH($C$114&amp;"V"&amp;$C123&amp;" Curncy","PX_LAST",valDate,valDate)/100</f>
        <v>6.4424999999999996E-2</v>
      </c>
      <c r="E123" s="16">
        <f ca="1">_xll.BDH($C$114&amp;E$114*100&amp;LEFT(E$113,1)&amp;$C123&amp;" Curncy","PX_LAST",valDate,valDate)/100</f>
        <v>2.1749999999999999E-3</v>
      </c>
      <c r="F123" s="16">
        <f ca="1">_xll.BDH($C$114&amp;F$114*100&amp;LEFT(F$113,1)&amp;$C123&amp;" Curncy","PX_LAST",valDate,valDate)/100</f>
        <v>3.9750000000000002E-3</v>
      </c>
      <c r="G123" s="16">
        <f ca="1">_xll.BDH($C$114&amp;G$114*100&amp;LEFT(G$113,1)&amp;$C123&amp;" Curncy","PX_LAST",valDate,valDate)/100</f>
        <v>3.2500000000000003E-3</v>
      </c>
      <c r="H123" s="16">
        <f ca="1">_xll.BDH($C$114&amp;H$114*100&amp;LEFT(H$113,1)&amp;$C123&amp;" Curncy","PX_LAST",valDate,valDate)/100</f>
        <v>1.1200000000000002E-2</v>
      </c>
      <c r="I123" s="32">
        <f t="shared" ca="1" si="18"/>
        <v>7.4424999999999991E-2</v>
      </c>
      <c r="J123" s="32">
        <f t="shared" ca="1" si="19"/>
        <v>2.1749999999999999E-3</v>
      </c>
      <c r="K123" s="32">
        <f t="shared" ca="1" si="20"/>
        <v>3.9750000000000002E-3</v>
      </c>
      <c r="L123" s="32">
        <f t="shared" ca="1" si="21"/>
        <v>3.2500000000000003E-3</v>
      </c>
      <c r="M123" s="32">
        <f t="shared" ca="1" si="22"/>
        <v>1.1200000000000002E-2</v>
      </c>
    </row>
    <row r="124" spans="2:13" x14ac:dyDescent="0.25">
      <c r="B124" s="1" cm="1">
        <f t="array" aca="1" ref="B124" ca="1">_xll.QDates_FxOptionExpiryFromTenor(valDate,$C$113,C124)</f>
        <v>45336</v>
      </c>
      <c r="C124" s="8" t="s">
        <v>36</v>
      </c>
      <c r="D124" s="16">
        <f ca="1">_xll.BDH($C$114&amp;"V"&amp;$C124&amp;" Curncy","PX_LAST",valDate,valDate)/100</f>
        <v>6.8125000000000005E-2</v>
      </c>
      <c r="E124" s="16">
        <f ca="1">_xll.BDH($C$114&amp;E$114*100&amp;LEFT(E$113,1)&amp;$C124&amp;" Curncy","PX_LAST",valDate,valDate)/100</f>
        <v>1.65E-3</v>
      </c>
      <c r="F124" s="16">
        <f ca="1">_xll.BDH($C$114&amp;F$114*100&amp;LEFT(F$113,1)&amp;$C124&amp;" Curncy","PX_LAST",valDate,valDate)/100</f>
        <v>2.8999999999999998E-3</v>
      </c>
      <c r="G124" s="16">
        <f ca="1">_xll.BDH($C$114&amp;G$114*100&amp;LEFT(G$113,1)&amp;$C124&amp;" Curncy","PX_LAST",valDate,valDate)/100</f>
        <v>3.3750000000000004E-3</v>
      </c>
      <c r="H124" s="16">
        <f ca="1">_xll.BDH($C$114&amp;H$114*100&amp;LEFT(H$113,1)&amp;$C124&amp;" Curncy","PX_LAST",valDate,valDate)/100</f>
        <v>1.1650000000000001E-2</v>
      </c>
      <c r="I124" s="32">
        <f t="shared" ca="1" si="18"/>
        <v>7.8125E-2</v>
      </c>
      <c r="J124" s="32">
        <f t="shared" ca="1" si="19"/>
        <v>1.65E-3</v>
      </c>
      <c r="K124" s="32">
        <f t="shared" ca="1" si="20"/>
        <v>2.8999999999999998E-3</v>
      </c>
      <c r="L124" s="32">
        <f t="shared" ca="1" si="21"/>
        <v>3.3750000000000004E-3</v>
      </c>
      <c r="M124" s="32">
        <f t="shared" ca="1" si="22"/>
        <v>1.1650000000000001E-2</v>
      </c>
    </row>
    <row r="125" spans="2:13" x14ac:dyDescent="0.25">
      <c r="B125" s="1" cm="1">
        <f t="array" aca="1" ref="B125" ca="1">_xll.QDates_FxOptionExpiryFromTenor(valDate,$C$113,C125)</f>
        <v>45701</v>
      </c>
      <c r="C125" s="8" t="s">
        <v>58</v>
      </c>
      <c r="D125" s="16">
        <f ca="1">_xll.BDH($C$114&amp;"V"&amp;$C125&amp;" Curncy","PX_LAST",valDate,valDate)/100</f>
        <v>7.1150000000000005E-2</v>
      </c>
      <c r="E125" s="16">
        <f ca="1">_xll.BDH($C$114&amp;E$114*100&amp;LEFT(E$113,1)&amp;$C125&amp;" Curncy","PX_LAST",valDate,valDate)/100</f>
        <v>1.1749999999999998E-3</v>
      </c>
      <c r="F125" s="16">
        <f ca="1">_xll.BDH($C$114&amp;F$114*100&amp;LEFT(F$113,1)&amp;$C125&amp;" Curncy","PX_LAST",valDate,valDate)/100</f>
        <v>1.9500000000000001E-3</v>
      </c>
      <c r="G125" s="16">
        <f ca="1">_xll.BDH($C$114&amp;G$114*100&amp;LEFT(G$113,1)&amp;$C125&amp;" Curncy","PX_LAST",valDate,valDate)/100</f>
        <v>3.3750000000000004E-3</v>
      </c>
      <c r="H125" s="16">
        <f ca="1">_xll.BDH($C$114&amp;H$114*100&amp;LEFT(H$113,1)&amp;$C125&amp;" Curncy","PX_LAST",valDate,valDate)/100</f>
        <v>1.18E-2</v>
      </c>
      <c r="I125" s="32">
        <f t="shared" ca="1" si="18"/>
        <v>8.115E-2</v>
      </c>
      <c r="J125" s="32">
        <f t="shared" ca="1" si="19"/>
        <v>1.1749999999999998E-3</v>
      </c>
      <c r="K125" s="32">
        <f t="shared" ca="1" si="20"/>
        <v>1.9500000000000001E-3</v>
      </c>
      <c r="L125" s="32">
        <f t="shared" ca="1" si="21"/>
        <v>3.3750000000000004E-3</v>
      </c>
      <c r="M125" s="32">
        <f t="shared" ca="1" si="22"/>
        <v>1.18E-2</v>
      </c>
    </row>
    <row r="126" spans="2:13" x14ac:dyDescent="0.25">
      <c r="B126" s="1" cm="1">
        <f t="array" aca="1" ref="B126" ca="1">_xll.QDates_FxOptionExpiryFromTenor(valDate,$C$113,C126)</f>
        <v>46065</v>
      </c>
      <c r="C126" s="8" t="s">
        <v>37</v>
      </c>
      <c r="D126" s="16">
        <f ca="1">_xll.BDH($C$114&amp;"V"&amp;$C126&amp;" Curncy","PX_LAST",valDate,valDate)/100</f>
        <v>7.337500000000001E-2</v>
      </c>
      <c r="E126" s="16">
        <f ca="1">_xll.BDH($C$114&amp;E$114*100&amp;LEFT(E$113,1)&amp;$C126&amp;" Curncy","PX_LAST",valDate,valDate)/100</f>
        <v>4.75E-4</v>
      </c>
      <c r="F126" s="16">
        <f ca="1">_xll.BDH($C$114&amp;F$114*100&amp;LEFT(F$113,1)&amp;$C126&amp;" Curncy","PX_LAST",valDate,valDate)/100</f>
        <v>8.0000000000000004E-4</v>
      </c>
      <c r="G126" s="16">
        <f ca="1">_xll.BDH($C$114&amp;G$114*100&amp;LEFT(G$113,1)&amp;$C126&amp;" Curncy","PX_LAST",valDate,valDate)/100</f>
        <v>3.4000000000000002E-3</v>
      </c>
      <c r="H126" s="16">
        <f ca="1">_xll.BDH($C$114&amp;H$114*100&amp;LEFT(H$113,1)&amp;$C126&amp;" Curncy","PX_LAST",valDate,valDate)/100</f>
        <v>1.1950000000000001E-2</v>
      </c>
      <c r="I126" s="32">
        <f t="shared" ca="1" si="18"/>
        <v>8.3375000000000005E-2</v>
      </c>
      <c r="J126" s="32">
        <f t="shared" ca="1" si="19"/>
        <v>4.75E-4</v>
      </c>
      <c r="K126" s="32">
        <f t="shared" ca="1" si="20"/>
        <v>8.0000000000000004E-4</v>
      </c>
      <c r="L126" s="32">
        <f t="shared" ca="1" si="21"/>
        <v>3.4000000000000002E-3</v>
      </c>
      <c r="M126" s="32">
        <f t="shared" ca="1" si="22"/>
        <v>1.1950000000000001E-2</v>
      </c>
    </row>
    <row r="128" spans="2:13" x14ac:dyDescent="0.25">
      <c r="C128" s="199" t="s">
        <v>15</v>
      </c>
      <c r="D128" s="199"/>
      <c r="E128" s="199"/>
      <c r="F128" s="199"/>
      <c r="G128" s="199"/>
      <c r="H128" s="199"/>
      <c r="I128" s="8" t="s">
        <v>91</v>
      </c>
      <c r="J128" s="31">
        <v>0.01</v>
      </c>
      <c r="K128" s="30" t="s">
        <v>92</v>
      </c>
      <c r="L128" s="31">
        <v>1</v>
      </c>
      <c r="M128" t="str" cm="1">
        <f t="array" aca="1" ref="M128" ca="1">_xll.QVol_CreateRiskyFlyVolSurface("fxVol_"&amp;C130,LEFT(C130,3)&amp;"/"&amp;RIGHT(C130,3),valDate,J130:K130,B131:B142,I131:I142,J131:K142,L131:M142,,,"Market",,,C131:C142,,"2b")</f>
        <v>fxVol_AUDUSD¬1</v>
      </c>
    </row>
    <row r="129" spans="2:13" x14ac:dyDescent="0.25">
      <c r="C129" s="25" t="str">
        <f ca="1">VLOOKUP(C130,$H$21:$I$27,2,FALSE)</f>
        <v>AUD/USD¬1</v>
      </c>
      <c r="D129" s="25"/>
      <c r="E129" s="29" t="s">
        <v>87</v>
      </c>
      <c r="F129" s="29" t="s">
        <v>87</v>
      </c>
      <c r="G129" s="29" t="s">
        <v>88</v>
      </c>
      <c r="H129" s="29" t="s">
        <v>88</v>
      </c>
      <c r="I129" s="25"/>
      <c r="J129" s="29" t="s">
        <v>87</v>
      </c>
      <c r="K129" s="29" t="s">
        <v>87</v>
      </c>
      <c r="L129" s="29" t="s">
        <v>88</v>
      </c>
      <c r="M129" s="29" t="s">
        <v>88</v>
      </c>
    </row>
    <row r="130" spans="2:13" ht="15.75" thickBot="1" x14ac:dyDescent="0.3">
      <c r="C130" s="26" t="s">
        <v>90</v>
      </c>
      <c r="D130" s="27" t="s">
        <v>85</v>
      </c>
      <c r="E130" s="28">
        <v>0.25</v>
      </c>
      <c r="F130" s="28">
        <v>0.1</v>
      </c>
      <c r="G130" s="28">
        <v>0.25</v>
      </c>
      <c r="H130" s="28">
        <v>0.1</v>
      </c>
      <c r="I130" s="27" t="s">
        <v>85</v>
      </c>
      <c r="J130" s="28">
        <v>0.25</v>
      </c>
      <c r="K130" s="28">
        <v>0.1</v>
      </c>
      <c r="L130" s="28">
        <v>0.25</v>
      </c>
      <c r="M130" s="28">
        <v>0.1</v>
      </c>
    </row>
    <row r="131" spans="2:13" x14ac:dyDescent="0.25">
      <c r="B131" s="1" cm="1">
        <f t="array" aca="1" ref="B131" ca="1">_xll.QDates_FxOptionExpiryFromTenor(valDate,$C$129,C131)</f>
        <v>44246</v>
      </c>
      <c r="C131" s="8" t="s">
        <v>26</v>
      </c>
      <c r="D131" s="16">
        <f ca="1">_xll.BDH($C$130&amp;"V"&amp;$C131&amp;" Curncy","PX_LAST",valDate,valDate)/100</f>
        <v>9.1725000000000001E-2</v>
      </c>
      <c r="E131" s="16">
        <f ca="1">_xll.BDH($C$130&amp;E$130*100&amp;LEFT(E$129,1)&amp;$C131&amp;" Curncy","PX_LAST",valDate,valDate)/100</f>
        <v>-6.1250000000000002E-3</v>
      </c>
      <c r="F131" s="16">
        <f ca="1">_xll.BDH($C$130&amp;F$130*100&amp;LEFT(F$129,1)&amp;$C131&amp;" Curncy","PX_LAST",valDate,valDate)/100</f>
        <v>-1.1650000000000001E-2</v>
      </c>
      <c r="G131" s="16">
        <f ca="1">_xll.BDH($C$130&amp;G$130*100&amp;LEFT(G$129,1)&amp;$C131&amp;" Curncy","PX_LAST",valDate,valDate)/100</f>
        <v>2.225E-3</v>
      </c>
      <c r="H131" s="16">
        <f ca="1">_xll.BDH($C$130&amp;H$130*100&amp;LEFT(H$129,1)&amp;$C131&amp;" Curncy","PX_LAST",valDate,valDate)/100</f>
        <v>6.5000000000000006E-3</v>
      </c>
      <c r="I131" s="32">
        <f t="shared" ref="I131:I142" ca="1" si="23">D131+$J$128</f>
        <v>0.101725</v>
      </c>
      <c r="J131" s="32">
        <f t="shared" ref="J131:J142" ca="1" si="24">E131*$L$128</f>
        <v>-6.1250000000000002E-3</v>
      </c>
      <c r="K131" s="32">
        <f t="shared" ref="K131:K142" ca="1" si="25">F131*$L$128</f>
        <v>-1.1650000000000001E-2</v>
      </c>
      <c r="L131" s="32">
        <f t="shared" ref="L131:L142" ca="1" si="26">G131*$L$128</f>
        <v>2.225E-3</v>
      </c>
      <c r="M131" s="32">
        <f t="shared" ref="M131:M142" ca="1" si="27">H131*$L$128</f>
        <v>6.5000000000000006E-3</v>
      </c>
    </row>
    <row r="132" spans="2:13" x14ac:dyDescent="0.25">
      <c r="B132" s="1" cm="1">
        <f t="array" aca="1" ref="B132" ca="1">_xll.QDates_FxOptionExpiryFromTenor(valDate,$C$129,C132)</f>
        <v>44267</v>
      </c>
      <c r="C132" s="8" t="s">
        <v>28</v>
      </c>
      <c r="D132" s="16">
        <f ca="1">_xll.BDH($C$130&amp;"V"&amp;$C132&amp;" Curncy","PX_LAST",valDate,valDate)/100</f>
        <v>9.35E-2</v>
      </c>
      <c r="E132" s="16">
        <f ca="1">_xll.BDH($C$130&amp;E$130*100&amp;LEFT(E$129,1)&amp;$C132&amp;" Curncy","PX_LAST",valDate,valDate)/100</f>
        <v>-9.2250000000000006E-3</v>
      </c>
      <c r="F132" s="16">
        <f ca="1">_xll.BDH($C$130&amp;F$130*100&amp;LEFT(F$129,1)&amp;$C132&amp;" Curncy","PX_LAST",valDate,valDate)/100</f>
        <v>-1.7425000000000003E-2</v>
      </c>
      <c r="G132" s="16">
        <f ca="1">_xll.BDH($C$130&amp;G$130*100&amp;LEFT(G$129,1)&amp;$C132&amp;" Curncy","PX_LAST",valDate,valDate)/100</f>
        <v>2.7750000000000001E-3</v>
      </c>
      <c r="H132" s="16">
        <f ca="1">_xll.BDH($C$130&amp;H$130*100&amp;LEFT(H$129,1)&amp;$C132&amp;" Curncy","PX_LAST",valDate,valDate)/100</f>
        <v>8.2500000000000004E-3</v>
      </c>
      <c r="I132" s="32">
        <f t="shared" ca="1" si="23"/>
        <v>0.10349999999999999</v>
      </c>
      <c r="J132" s="32">
        <f t="shared" ca="1" si="24"/>
        <v>-9.2250000000000006E-3</v>
      </c>
      <c r="K132" s="32">
        <f t="shared" ca="1" si="25"/>
        <v>-1.7425000000000003E-2</v>
      </c>
      <c r="L132" s="32">
        <f t="shared" ca="1" si="26"/>
        <v>2.7750000000000001E-3</v>
      </c>
      <c r="M132" s="32">
        <f t="shared" ca="1" si="27"/>
        <v>8.2500000000000004E-3</v>
      </c>
    </row>
    <row r="133" spans="2:13" x14ac:dyDescent="0.25">
      <c r="B133" s="1" cm="1">
        <f t="array" aca="1" ref="B133" ca="1">_xll.QDates_FxOptionExpiryFromTenor(valDate,$C$129,C133)</f>
        <v>44300</v>
      </c>
      <c r="C133" s="8" t="s">
        <v>29</v>
      </c>
      <c r="D133" s="16">
        <f ca="1">_xll.BDH($C$130&amp;"V"&amp;$C133&amp;" Curncy","PX_LAST",valDate,valDate)/100</f>
        <v>9.3049999999999994E-2</v>
      </c>
      <c r="E133" s="16">
        <f ca="1">_xll.BDH($C$130&amp;E$130*100&amp;LEFT(E$129,1)&amp;$C133&amp;" Curncy","PX_LAST",valDate,valDate)/100</f>
        <v>-1.0625000000000001E-2</v>
      </c>
      <c r="F133" s="16">
        <f ca="1">_xll.BDH($C$130&amp;F$130*100&amp;LEFT(F$129,1)&amp;$C133&amp;" Curncy","PX_LAST",valDate,valDate)/100</f>
        <v>-2.0099999999999996E-2</v>
      </c>
      <c r="G133" s="16">
        <f ca="1">_xll.BDH($C$130&amp;G$130*100&amp;LEFT(G$129,1)&amp;$C133&amp;" Curncy","PX_LAST",valDate,valDate)/100</f>
        <v>3.1749999999999999E-3</v>
      </c>
      <c r="H133" s="16">
        <f ca="1">_xll.BDH($C$130&amp;H$130*100&amp;LEFT(H$129,1)&amp;$C133&amp;" Curncy","PX_LAST",valDate,valDate)/100</f>
        <v>9.5999999999999992E-3</v>
      </c>
      <c r="I133" s="32">
        <f t="shared" ca="1" si="23"/>
        <v>0.10304999999999999</v>
      </c>
      <c r="J133" s="32">
        <f t="shared" ca="1" si="24"/>
        <v>-1.0625000000000001E-2</v>
      </c>
      <c r="K133" s="32">
        <f t="shared" ca="1" si="25"/>
        <v>-2.0099999999999996E-2</v>
      </c>
      <c r="L133" s="32">
        <f t="shared" ca="1" si="26"/>
        <v>3.1749999999999999E-3</v>
      </c>
      <c r="M133" s="32">
        <f t="shared" ca="1" si="27"/>
        <v>9.5999999999999992E-3</v>
      </c>
    </row>
    <row r="134" spans="2:13" x14ac:dyDescent="0.25">
      <c r="B134" s="1" cm="1">
        <f t="array" aca="1" ref="B134" ca="1">_xll.QDates_FxOptionExpiryFromTenor(valDate,$C$129,C134)</f>
        <v>44329</v>
      </c>
      <c r="C134" s="8" t="s">
        <v>30</v>
      </c>
      <c r="D134" s="16">
        <f ca="1">_xll.BDH($C$130&amp;"V"&amp;$C134&amp;" Curncy","PX_LAST",valDate,valDate)/100</f>
        <v>9.3625000000000014E-2</v>
      </c>
      <c r="E134" s="16">
        <f ca="1">_xll.BDH($C$130&amp;E$130*100&amp;LEFT(E$129,1)&amp;$C134&amp;" Curncy","PX_LAST",valDate,valDate)/100</f>
        <v>-1.1899999999999999E-2</v>
      </c>
      <c r="F134" s="16">
        <f ca="1">_xll.BDH($C$130&amp;F$130*100&amp;LEFT(F$129,1)&amp;$C134&amp;" Curncy","PX_LAST",valDate,valDate)/100</f>
        <v>-2.2349999999999998E-2</v>
      </c>
      <c r="G134" s="16">
        <f ca="1">_xll.BDH($C$130&amp;G$130*100&amp;LEFT(G$129,1)&amp;$C134&amp;" Curncy","PX_LAST",valDate,valDate)/100</f>
        <v>3.4749999999999998E-3</v>
      </c>
      <c r="H134" s="16">
        <f ca="1">_xll.BDH($C$130&amp;H$130*100&amp;LEFT(H$129,1)&amp;$C134&amp;" Curncy","PX_LAST",valDate,valDate)/100</f>
        <v>1.0575000000000001E-2</v>
      </c>
      <c r="I134" s="32">
        <f t="shared" ca="1" si="23"/>
        <v>0.10362500000000001</v>
      </c>
      <c r="J134" s="32">
        <f t="shared" ca="1" si="24"/>
        <v>-1.1899999999999999E-2</v>
      </c>
      <c r="K134" s="32">
        <f t="shared" ca="1" si="25"/>
        <v>-2.2349999999999998E-2</v>
      </c>
      <c r="L134" s="32">
        <f t="shared" ca="1" si="26"/>
        <v>3.4749999999999998E-3</v>
      </c>
      <c r="M134" s="32">
        <f t="shared" ca="1" si="27"/>
        <v>1.0575000000000001E-2</v>
      </c>
    </row>
    <row r="135" spans="2:13" x14ac:dyDescent="0.25">
      <c r="B135" s="1" cm="1">
        <f t="array" aca="1" ref="B135" ca="1">_xll.QDates_FxOptionExpiryFromTenor(valDate,$C$129,C135)</f>
        <v>44420</v>
      </c>
      <c r="C135" s="8" t="s">
        <v>31</v>
      </c>
      <c r="D135" s="16">
        <f ca="1">_xll.BDH($C$130&amp;"V"&amp;$C135&amp;" Curncy","PX_LAST",valDate,valDate)/100</f>
        <v>9.3949999999999992E-2</v>
      </c>
      <c r="E135" s="16">
        <f ca="1">_xll.BDH($C$130&amp;E$130*100&amp;LEFT(E$129,1)&amp;$C135&amp;" Curncy","PX_LAST",valDate,valDate)/100</f>
        <v>-1.3725000000000001E-2</v>
      </c>
      <c r="F135" s="16">
        <f ca="1">_xll.BDH($C$130&amp;F$130*100&amp;LEFT(F$129,1)&amp;$C135&amp;" Curncy","PX_LAST",valDate,valDate)/100</f>
        <v>-2.6124999999999999E-2</v>
      </c>
      <c r="G135" s="16">
        <f ca="1">_xll.BDH($C$130&amp;G$130*100&amp;LEFT(G$129,1)&amp;$C135&amp;" Curncy","PX_LAST",valDate,valDate)/100</f>
        <v>4.0000000000000001E-3</v>
      </c>
      <c r="H135" s="16">
        <f ca="1">_xll.BDH($C$130&amp;H$130*100&amp;LEFT(H$129,1)&amp;$C135&amp;" Curncy","PX_LAST",valDate,valDate)/100</f>
        <v>1.2E-2</v>
      </c>
      <c r="I135" s="32">
        <f t="shared" ca="1" si="23"/>
        <v>0.10394999999999999</v>
      </c>
      <c r="J135" s="32">
        <f t="shared" ca="1" si="24"/>
        <v>-1.3725000000000001E-2</v>
      </c>
      <c r="K135" s="32">
        <f t="shared" ca="1" si="25"/>
        <v>-2.6124999999999999E-2</v>
      </c>
      <c r="L135" s="32">
        <f t="shared" ca="1" si="26"/>
        <v>4.0000000000000001E-3</v>
      </c>
      <c r="M135" s="32">
        <f t="shared" ca="1" si="27"/>
        <v>1.2E-2</v>
      </c>
    </row>
    <row r="136" spans="2:13" x14ac:dyDescent="0.25">
      <c r="B136" s="1" cm="1">
        <f t="array" aca="1" ref="B136" ca="1">_xll.QDates_FxOptionExpiryFromTenor(valDate,$C$129,C136)</f>
        <v>44512</v>
      </c>
      <c r="C136" s="8" t="s">
        <v>32</v>
      </c>
      <c r="D136" s="16">
        <f ca="1">_xll.BDH($C$130&amp;"V"&amp;$C136&amp;" Curncy","PX_LAST",valDate,valDate)/100</f>
        <v>9.4149999999999998E-2</v>
      </c>
      <c r="E136" s="16">
        <f ca="1">_xll.BDH($C$130&amp;E$130*100&amp;LEFT(E$129,1)&amp;$C136&amp;" Curncy","PX_LAST",valDate,valDate)/100</f>
        <v>-1.46E-2</v>
      </c>
      <c r="F136" s="16">
        <f ca="1">_xll.BDH($C$130&amp;F$130*100&amp;LEFT(F$129,1)&amp;$C136&amp;" Curncy","PX_LAST",valDate,valDate)/100</f>
        <v>-2.7800000000000002E-2</v>
      </c>
      <c r="G136" s="16">
        <f ca="1">_xll.BDH($C$130&amp;G$130*100&amp;LEFT(G$129,1)&amp;$C136&amp;" Curncy","PX_LAST",valDate,valDate)/100</f>
        <v>4.1999999999999997E-3</v>
      </c>
      <c r="H136" s="16">
        <f ca="1">_xll.BDH($C$130&amp;H$130*100&amp;LEFT(H$129,1)&amp;$C136&amp;" Curncy","PX_LAST",valDate,valDate)/100</f>
        <v>1.29E-2</v>
      </c>
      <c r="I136" s="32">
        <f t="shared" ca="1" si="23"/>
        <v>0.10414999999999999</v>
      </c>
      <c r="J136" s="32">
        <f t="shared" ca="1" si="24"/>
        <v>-1.46E-2</v>
      </c>
      <c r="K136" s="32">
        <f t="shared" ca="1" si="25"/>
        <v>-2.7800000000000002E-2</v>
      </c>
      <c r="L136" s="32">
        <f t="shared" ca="1" si="26"/>
        <v>4.1999999999999997E-3</v>
      </c>
      <c r="M136" s="32">
        <f ca="1">H136*$L$128</f>
        <v>1.29E-2</v>
      </c>
    </row>
    <row r="137" spans="2:13" x14ac:dyDescent="0.25">
      <c r="B137" s="1" cm="1">
        <f t="array" aca="1" ref="B137" ca="1">_xll.QDates_FxOptionExpiryFromTenor(valDate,$C$129,C137)</f>
        <v>44606</v>
      </c>
      <c r="C137" s="8" t="s">
        <v>71</v>
      </c>
      <c r="D137" s="16">
        <f ca="1">_xll.BDH($C$130&amp;"V"&amp;$C137&amp;" Curncy","PX_LAST",valDate,valDate)/100</f>
        <v>9.3725000000000003E-2</v>
      </c>
      <c r="E137" s="16">
        <f ca="1">_xll.BDH($C$130&amp;E$130*100&amp;LEFT(E$129,1)&amp;$C137&amp;" Curncy","PX_LAST",valDate,valDate)/100</f>
        <v>-1.4999999999999999E-2</v>
      </c>
      <c r="F137" s="16">
        <f ca="1">_xll.BDH($C$130&amp;F$130*100&amp;LEFT(F$129,1)&amp;$C137&amp;" Curncy","PX_LAST",valDate,valDate)/100</f>
        <v>-2.87E-2</v>
      </c>
      <c r="G137" s="16">
        <f ca="1">_xll.BDH($C$130&amp;G$130*100&amp;LEFT(G$129,1)&amp;$C137&amp;" Curncy","PX_LAST",valDate,valDate)/100</f>
        <v>4.4250000000000001E-3</v>
      </c>
      <c r="H137" s="16">
        <f ca="1">_xll.BDH($C$130&amp;H$130*100&amp;LEFT(H$129,1)&amp;$C137&amp;" Curncy","PX_LAST",valDate,valDate)/100</f>
        <v>1.3525000000000001E-2</v>
      </c>
      <c r="I137" s="32">
        <f t="shared" ca="1" si="23"/>
        <v>0.103725</v>
      </c>
      <c r="J137" s="32">
        <f t="shared" ca="1" si="24"/>
        <v>-1.4999999999999999E-2</v>
      </c>
      <c r="K137" s="32">
        <f t="shared" ca="1" si="25"/>
        <v>-2.87E-2</v>
      </c>
      <c r="L137" s="32">
        <f t="shared" ca="1" si="26"/>
        <v>4.4250000000000001E-3</v>
      </c>
      <c r="M137" s="32">
        <f t="shared" ca="1" si="27"/>
        <v>1.3525000000000001E-2</v>
      </c>
    </row>
    <row r="138" spans="2:13" x14ac:dyDescent="0.25">
      <c r="B138" s="1" cm="1">
        <f t="array" aca="1" ref="B138" ca="1">_xll.QDates_FxOptionExpiryFromTenor(valDate,$C$129,C138)</f>
        <v>44785</v>
      </c>
      <c r="C138" s="8" t="s">
        <v>34</v>
      </c>
      <c r="D138" s="16">
        <f ca="1">_xll.BDH($C$130&amp;"V"&amp;$C138&amp;" Curncy","PX_LAST",valDate,valDate)/100</f>
        <v>9.4525000000000012E-2</v>
      </c>
      <c r="E138" s="16">
        <f ca="1">_xll.BDH($C$130&amp;E$130*100&amp;LEFT(E$129,1)&amp;$C138&amp;" Curncy","PX_LAST",valDate,valDate)/100</f>
        <v>-1.5899999999999997E-2</v>
      </c>
      <c r="F138" s="16">
        <f ca="1">_xll.BDH($C$130&amp;F$130*100&amp;LEFT(F$129,1)&amp;$C138&amp;" Curncy","PX_LAST",valDate,valDate)/100</f>
        <v>-3.0025E-2</v>
      </c>
      <c r="G138" s="16">
        <f ca="1">_xll.BDH($C$130&amp;G$130*100&amp;LEFT(G$129,1)&amp;$C138&amp;" Curncy","PX_LAST",valDate,valDate)/100</f>
        <v>4.5250000000000004E-3</v>
      </c>
      <c r="H138" s="16">
        <f ca="1">_xll.BDH($C$130&amp;H$130*100&amp;LEFT(H$129,1)&amp;$C138&amp;" Curncy","PX_LAST",valDate,valDate)/100</f>
        <v>1.3875E-2</v>
      </c>
      <c r="I138" s="32">
        <f t="shared" ca="1" si="23"/>
        <v>0.10452500000000001</v>
      </c>
      <c r="J138" s="32">
        <f t="shared" ca="1" si="24"/>
        <v>-1.5899999999999997E-2</v>
      </c>
      <c r="K138" s="32">
        <f t="shared" ca="1" si="25"/>
        <v>-3.0025E-2</v>
      </c>
      <c r="L138" s="32">
        <f t="shared" ca="1" si="26"/>
        <v>4.5250000000000004E-3</v>
      </c>
      <c r="M138" s="32">
        <f t="shared" ca="1" si="27"/>
        <v>1.3875E-2</v>
      </c>
    </row>
    <row r="139" spans="2:13" x14ac:dyDescent="0.25">
      <c r="B139" s="1" cm="1">
        <f t="array" aca="1" ref="B139" ca="1">_xll.QDates_FxOptionExpiryFromTenor(valDate,$C$129,C139)</f>
        <v>44971</v>
      </c>
      <c r="C139" s="8" t="s">
        <v>35</v>
      </c>
      <c r="D139" s="16">
        <f ca="1">_xll.BDH($C$130&amp;"V"&amp;$C139&amp;" Curncy","PX_LAST",valDate,valDate)/100</f>
        <v>9.4649999999999998E-2</v>
      </c>
      <c r="E139" s="16">
        <f ca="1">_xll.BDH($C$130&amp;E$130*100&amp;LEFT(E$129,1)&amp;$C139&amp;" Curncy","PX_LAST",valDate,valDate)/100</f>
        <v>-1.685E-2</v>
      </c>
      <c r="F139" s="16">
        <f ca="1">_xll.BDH($C$130&amp;F$130*100&amp;LEFT(F$129,1)&amp;$C139&amp;" Curncy","PX_LAST",valDate,valDate)/100</f>
        <v>-3.15E-2</v>
      </c>
      <c r="G139" s="16">
        <f ca="1">_xll.BDH($C$130&amp;G$130*100&amp;LEFT(G$129,1)&amp;$C139&amp;" Curncy","PX_LAST",valDate,valDate)/100</f>
        <v>4.6999999999999993E-3</v>
      </c>
      <c r="H139" s="16">
        <f ca="1">_xll.BDH($C$130&amp;H$130*100&amp;LEFT(H$129,1)&amp;$C139&amp;" Curncy","PX_LAST",valDate,valDate)/100</f>
        <v>1.49E-2</v>
      </c>
      <c r="I139" s="32">
        <f t="shared" ca="1" si="23"/>
        <v>0.10464999999999999</v>
      </c>
      <c r="J139" s="32">
        <f t="shared" ca="1" si="24"/>
        <v>-1.685E-2</v>
      </c>
      <c r="K139" s="32">
        <f t="shared" ca="1" si="25"/>
        <v>-3.15E-2</v>
      </c>
      <c r="L139" s="32">
        <f t="shared" ca="1" si="26"/>
        <v>4.6999999999999993E-3</v>
      </c>
      <c r="M139" s="32">
        <f t="shared" ca="1" si="27"/>
        <v>1.49E-2</v>
      </c>
    </row>
    <row r="140" spans="2:13" x14ac:dyDescent="0.25">
      <c r="B140" s="1" cm="1">
        <f t="array" aca="1" ref="B140" ca="1">_xll.QDates_FxOptionExpiryFromTenor(valDate,$C$129,C140)</f>
        <v>45336</v>
      </c>
      <c r="C140" s="8" t="s">
        <v>36</v>
      </c>
      <c r="D140" s="16">
        <f ca="1">_xll.BDH($C$130&amp;"V"&amp;$C140&amp;" Curncy","PX_LAST",valDate,valDate)/100</f>
        <v>9.5600000000000004E-2</v>
      </c>
      <c r="E140" s="16">
        <f ca="1">_xll.BDH($C$130&amp;E$130*100&amp;LEFT(E$129,1)&amp;$C140&amp;" Curncy","PX_LAST",valDate,valDate)/100</f>
        <v>-1.8000000000000002E-2</v>
      </c>
      <c r="F140" s="16">
        <f ca="1">_xll.BDH($C$130&amp;F$130*100&amp;LEFT(F$129,1)&amp;$C140&amp;" Curncy","PX_LAST",valDate,valDate)/100</f>
        <v>-3.3500000000000002E-2</v>
      </c>
      <c r="G140" s="16">
        <f ca="1">_xll.BDH($C$130&amp;G$130*100&amp;LEFT(G$129,1)&amp;$C140&amp;" Curncy","PX_LAST",valDate,valDate)/100</f>
        <v>4.7999999999999996E-3</v>
      </c>
      <c r="H140" s="16">
        <f ca="1">_xll.BDH($C$130&amp;H$130*100&amp;LEFT(H$129,1)&amp;$C140&amp;" Curncy","PX_LAST",valDate,valDate)/100</f>
        <v>1.6299999999999999E-2</v>
      </c>
      <c r="I140" s="32">
        <f t="shared" ca="1" si="23"/>
        <v>0.1056</v>
      </c>
      <c r="J140" s="32">
        <f t="shared" ca="1" si="24"/>
        <v>-1.8000000000000002E-2</v>
      </c>
      <c r="K140" s="32">
        <f t="shared" ca="1" si="25"/>
        <v>-3.3500000000000002E-2</v>
      </c>
      <c r="L140" s="32">
        <f t="shared" ca="1" si="26"/>
        <v>4.7999999999999996E-3</v>
      </c>
      <c r="M140" s="32">
        <f t="shared" ca="1" si="27"/>
        <v>1.6299999999999999E-2</v>
      </c>
    </row>
    <row r="141" spans="2:13" x14ac:dyDescent="0.25">
      <c r="B141" s="1" cm="1">
        <f t="array" aca="1" ref="B141" ca="1">_xll.QDates_FxOptionExpiryFromTenor(valDate,$C$129,C141)</f>
        <v>45701</v>
      </c>
      <c r="C141" s="8" t="s">
        <v>58</v>
      </c>
      <c r="D141" s="16">
        <f ca="1">_xll.BDH($C$130&amp;"V"&amp;$C141&amp;" Curncy","PX_LAST",valDate,valDate)/100</f>
        <v>9.64E-2</v>
      </c>
      <c r="E141" s="16">
        <f ca="1">_xll.BDH($C$130&amp;E$130*100&amp;LEFT(E$129,1)&amp;$C141&amp;" Curncy","PX_LAST",valDate,valDate)/100</f>
        <v>-1.9975E-2</v>
      </c>
      <c r="F141" s="16">
        <f ca="1">_xll.BDH($C$130&amp;F$130*100&amp;LEFT(F$129,1)&amp;$C141&amp;" Curncy","PX_LAST",valDate,valDate)/100</f>
        <v>-3.7400000000000003E-2</v>
      </c>
      <c r="G141" s="16">
        <f ca="1">_xll.BDH($C$130&amp;G$130*100&amp;LEFT(G$129,1)&amp;$C141&amp;" Curncy","PX_LAST",valDate,valDate)/100</f>
        <v>4.9249999999999997E-3</v>
      </c>
      <c r="H141" s="16">
        <f ca="1">_xll.BDH($C$130&amp;H$130*100&amp;LEFT(H$129,1)&amp;$C141&amp;" Curncy","PX_LAST",valDate,valDate)/100</f>
        <v>1.6549999999999999E-2</v>
      </c>
      <c r="I141" s="32">
        <f t="shared" ca="1" si="23"/>
        <v>0.10639999999999999</v>
      </c>
      <c r="J141" s="32">
        <f t="shared" ca="1" si="24"/>
        <v>-1.9975E-2</v>
      </c>
      <c r="K141" s="32">
        <f t="shared" ca="1" si="25"/>
        <v>-3.7400000000000003E-2</v>
      </c>
      <c r="L141" s="32">
        <f t="shared" ca="1" si="26"/>
        <v>4.9249999999999997E-3</v>
      </c>
      <c r="M141" s="32">
        <f t="shared" ca="1" si="27"/>
        <v>1.6549999999999999E-2</v>
      </c>
    </row>
    <row r="142" spans="2:13" x14ac:dyDescent="0.25">
      <c r="B142" s="1" cm="1">
        <f t="array" aca="1" ref="B142" ca="1">_xll.QDates_FxOptionExpiryFromTenor(valDate,$C$129,C142)</f>
        <v>46065</v>
      </c>
      <c r="C142" s="8" t="s">
        <v>37</v>
      </c>
      <c r="D142" s="16">
        <f ca="1">_xll.BDH($C$130&amp;"V"&amp;$C142&amp;" Curncy","PX_LAST",valDate,valDate)/100</f>
        <v>9.7349999999999992E-2</v>
      </c>
      <c r="E142" s="16">
        <f ca="1">_xll.BDH($C$130&amp;E$130*100&amp;LEFT(E$129,1)&amp;$C142&amp;" Curncy","PX_LAST",valDate,valDate)/100</f>
        <v>-2.1675E-2</v>
      </c>
      <c r="F142" s="16">
        <f ca="1">_xll.BDH($C$130&amp;F$130*100&amp;LEFT(F$129,1)&amp;$C142&amp;" Curncy","PX_LAST",valDate,valDate)/100</f>
        <v>-4.0300000000000002E-2</v>
      </c>
      <c r="G142" s="16">
        <f ca="1">_xll.BDH($C$130&amp;G$130*100&amp;LEFT(G$129,1)&amp;$C142&amp;" Curncy","PX_LAST",valDate,valDate)/100</f>
        <v>5.0249999999999991E-3</v>
      </c>
      <c r="H142" s="16">
        <f ca="1">_xll.BDH($C$130&amp;H$130*100&amp;LEFT(H$129,1)&amp;$C142&amp;" Curncy","PX_LAST",valDate,valDate)/100</f>
        <v>1.695E-2</v>
      </c>
      <c r="I142" s="32">
        <f t="shared" ca="1" si="23"/>
        <v>0.10734999999999999</v>
      </c>
      <c r="J142" s="32">
        <f t="shared" ca="1" si="24"/>
        <v>-2.1675E-2</v>
      </c>
      <c r="K142" s="32">
        <f t="shared" ca="1" si="25"/>
        <v>-4.0300000000000002E-2</v>
      </c>
      <c r="L142" s="32">
        <f t="shared" ca="1" si="26"/>
        <v>5.0249999999999991E-3</v>
      </c>
      <c r="M142" s="32">
        <f t="shared" ca="1" si="27"/>
        <v>1.695E-2</v>
      </c>
    </row>
    <row r="143" spans="2:13" x14ac:dyDescent="0.25">
      <c r="B143" s="1"/>
      <c r="C143" s="8"/>
      <c r="D143" s="16"/>
      <c r="E143" s="16"/>
      <c r="F143" s="16"/>
      <c r="G143" s="16"/>
      <c r="H143" s="16"/>
      <c r="I143" s="32"/>
      <c r="J143" s="32"/>
      <c r="K143" s="32"/>
      <c r="L143" s="32"/>
      <c r="M143" s="32"/>
    </row>
    <row r="145" spans="1:13" x14ac:dyDescent="0.25">
      <c r="A145" s="3" t="s">
        <v>93</v>
      </c>
      <c r="C145" s="199" t="s">
        <v>15</v>
      </c>
      <c r="D145" s="199"/>
      <c r="E145" s="199"/>
      <c r="F145" s="199"/>
      <c r="G145" s="199"/>
      <c r="H145" s="199"/>
      <c r="I145" s="8" t="s">
        <v>91</v>
      </c>
      <c r="J145" s="31">
        <v>0</v>
      </c>
      <c r="K145" s="30" t="s">
        <v>92</v>
      </c>
      <c r="L145" s="31">
        <v>0</v>
      </c>
      <c r="M145" t="str">
        <f ca="1">_xll.QVol_CreateRiskyFlyVolSurface("fxVol_"&amp;C147,LEFT(C147,3)&amp;"/"&amp;RIGHT(C147,3),valDate,J147:K147,B148:B159,I148:I159,J148:K159,L148:M159,,,"Market",,,C148:C159,,"2b")</f>
        <v>fxVol_XAUUSD¬1</v>
      </c>
    </row>
    <row r="146" spans="1:13" x14ac:dyDescent="0.25">
      <c r="C146" s="25" t="str">
        <f ca="1">VLOOKUP(C147,$H$21:$I$27,2,FALSE)</f>
        <v>XAU/USD¬1</v>
      </c>
      <c r="D146" s="25"/>
      <c r="E146" s="29" t="s">
        <v>87</v>
      </c>
      <c r="F146" s="29" t="s">
        <v>87</v>
      </c>
      <c r="G146" s="29" t="s">
        <v>88</v>
      </c>
      <c r="H146" s="29" t="s">
        <v>88</v>
      </c>
      <c r="I146" s="25"/>
      <c r="J146" s="29" t="s">
        <v>87</v>
      </c>
      <c r="K146" s="29" t="s">
        <v>87</v>
      </c>
      <c r="L146" s="29" t="s">
        <v>88</v>
      </c>
      <c r="M146" s="29" t="s">
        <v>88</v>
      </c>
    </row>
    <row r="147" spans="1:13" ht="15.75" thickBot="1" x14ac:dyDescent="0.3">
      <c r="C147" s="26" t="s">
        <v>94</v>
      </c>
      <c r="D147" s="27" t="s">
        <v>85</v>
      </c>
      <c r="E147" s="28">
        <v>0.25</v>
      </c>
      <c r="F147" s="28">
        <v>0.1</v>
      </c>
      <c r="G147" s="28">
        <v>0.25</v>
      </c>
      <c r="H147" s="28">
        <v>0.1</v>
      </c>
      <c r="I147" s="27" t="s">
        <v>85</v>
      </c>
      <c r="J147" s="28">
        <v>0.25</v>
      </c>
      <c r="K147" s="28">
        <v>0.1</v>
      </c>
      <c r="L147" s="28">
        <v>0.25</v>
      </c>
      <c r="M147" s="28">
        <v>0.1</v>
      </c>
    </row>
    <row r="148" spans="1:13" x14ac:dyDescent="0.25">
      <c r="B148" s="1" cm="1">
        <f t="array" aca="1" ref="B148" ca="1">_xll.QDates_FxOptionExpiryFromTenor(valDate,$C$146,C148)</f>
        <v>44246</v>
      </c>
      <c r="C148" s="8" t="s">
        <v>26</v>
      </c>
      <c r="D148" s="16">
        <f ca="1">_xll.BDH($C$147&amp;"V"&amp;$C148&amp;" Curncy","PX_LAST",valDate,valDate)/100</f>
        <v>0.150675</v>
      </c>
      <c r="E148" s="16">
        <f ca="1">_xll.BDH($C$147&amp;E$147*100&amp;LEFT(E$146,1)&amp;$C148&amp;" Curncy","PX_LAST",valDate,valDate)/100</f>
        <v>1.7000000000000001E-3</v>
      </c>
      <c r="F148" s="16">
        <f ca="1">_xll.BDH($C$147&amp;F$147*100&amp;LEFT(F$146,1)&amp;$C148&amp;" Curncy","PX_LAST",valDate,valDate)/100</f>
        <v>2.2000000000000001E-3</v>
      </c>
      <c r="G148" s="16">
        <f ca="1">_xll.BDH($C$147&amp;G$147*100&amp;LEFT(G$146,1)&amp;$C148&amp;" Curncy","PX_LAST",valDate,valDate)/100</f>
        <v>5.9750000000000003E-3</v>
      </c>
      <c r="H148" s="16">
        <f ca="1">_xll.BDH($C$147&amp;H$147*100&amp;LEFT(H$146,1)&amp;$C148&amp;" Curncy","PX_LAST",valDate,valDate)/100</f>
        <v>1.7650000000000002E-2</v>
      </c>
      <c r="I148" s="32">
        <f ca="1">D148+$J$145</f>
        <v>0.150675</v>
      </c>
      <c r="J148" s="32">
        <f ca="1">E148*$L$145</f>
        <v>0</v>
      </c>
      <c r="K148" s="32">
        <f ca="1">F148*$L$145</f>
        <v>0</v>
      </c>
      <c r="L148" s="32">
        <f ca="1">G148*$L$145</f>
        <v>0</v>
      </c>
      <c r="M148" s="32">
        <f ca="1">H148*$L$145</f>
        <v>0</v>
      </c>
    </row>
    <row r="149" spans="1:13" x14ac:dyDescent="0.25">
      <c r="B149" s="1" cm="1">
        <f t="array" aca="1" ref="B149" ca="1">_xll.QDates_FxOptionExpiryFromTenor(valDate,$C$146,C149)</f>
        <v>44267</v>
      </c>
      <c r="C149" s="8" t="s">
        <v>28</v>
      </c>
      <c r="D149" s="16">
        <f ca="1">_xll.BDH($C$147&amp;"V"&amp;$C149&amp;" Curncy","PX_LAST",valDate,valDate)/100</f>
        <v>0.15972500000000001</v>
      </c>
      <c r="E149" s="16">
        <f ca="1">_xll.BDH($C$147&amp;E$147*100&amp;LEFT(E$146,1)&amp;$C149&amp;" Curncy","PX_LAST",valDate,valDate)/100</f>
        <v>5.3249999999999999E-3</v>
      </c>
      <c r="F149" s="16">
        <f ca="1">_xll.BDH($C$147&amp;F$147*100&amp;LEFT(F$146,1)&amp;$C149&amp;" Curncy","PX_LAST",valDate,valDate)/100</f>
        <v>9.5499999999999995E-3</v>
      </c>
      <c r="G149" s="16">
        <f ca="1">_xll.BDH($C$147&amp;G$147*100&amp;LEFT(G$146,1)&amp;$C149&amp;" Curncy","PX_LAST",valDate,valDate)/100</f>
        <v>6.7000000000000002E-3</v>
      </c>
      <c r="H149" s="16">
        <f ca="1">_xll.BDH($C$147&amp;H$147*100&amp;LEFT(H$146,1)&amp;$C149&amp;" Curncy","PX_LAST",valDate,valDate)/100</f>
        <v>2.06E-2</v>
      </c>
      <c r="I149" s="32">
        <f t="shared" ref="I149:I159" ca="1" si="28">D149+$J$145</f>
        <v>0.15972500000000001</v>
      </c>
      <c r="J149" s="32">
        <f t="shared" ref="J149:J159" ca="1" si="29">E149*$L$145</f>
        <v>0</v>
      </c>
      <c r="K149" s="32">
        <f t="shared" ref="K149:K159" ca="1" si="30">F149*$L$145</f>
        <v>0</v>
      </c>
      <c r="L149" s="32">
        <f t="shared" ref="L149:L159" ca="1" si="31">G149*$L$145</f>
        <v>0</v>
      </c>
      <c r="M149" s="32">
        <f t="shared" ref="M149:M159" ca="1" si="32">H149*$L$145</f>
        <v>0</v>
      </c>
    </row>
    <row r="150" spans="1:13" x14ac:dyDescent="0.25">
      <c r="B150" s="1" cm="1">
        <f t="array" aca="1" ref="B150" ca="1">_xll.QDates_FxOptionExpiryFromTenor(valDate,$C$146,C150)</f>
        <v>44300</v>
      </c>
      <c r="C150" s="8" t="s">
        <v>29</v>
      </c>
      <c r="D150" s="16">
        <f ca="1">_xll.BDH($C$147&amp;"V"&amp;$C150&amp;" Curncy","PX_LAST",valDate,valDate)/100</f>
        <v>0.16362500000000002</v>
      </c>
      <c r="E150" s="16">
        <f ca="1">_xll.BDH($C$147&amp;E$147*100&amp;LEFT(E$146,1)&amp;$C150&amp;" Curncy","PX_LAST",valDate,valDate)/100</f>
        <v>1.1924999999999998E-2</v>
      </c>
      <c r="F150" s="16">
        <f ca="1">_xll.BDH($C$147&amp;F$147*100&amp;LEFT(F$146,1)&amp;$C150&amp;" Curncy","PX_LAST",valDate,valDate)/100</f>
        <v>2.1049999999999999E-2</v>
      </c>
      <c r="G150" s="16">
        <f ca="1">_xll.BDH($C$147&amp;G$147*100&amp;LEFT(G$146,1)&amp;$C150&amp;" Curncy","PX_LAST",valDate,valDate)/100</f>
        <v>7.5500000000000003E-3</v>
      </c>
      <c r="H150" s="16">
        <f ca="1">_xll.BDH($C$147&amp;H$147*100&amp;LEFT(H$146,1)&amp;$C150&amp;" Curncy","PX_LAST",valDate,valDate)/100</f>
        <v>2.3550000000000001E-2</v>
      </c>
      <c r="I150" s="32">
        <f t="shared" ca="1" si="28"/>
        <v>0.16362500000000002</v>
      </c>
      <c r="J150" s="32">
        <f t="shared" ca="1" si="29"/>
        <v>0</v>
      </c>
      <c r="K150" s="32">
        <f t="shared" ca="1" si="30"/>
        <v>0</v>
      </c>
      <c r="L150" s="32">
        <f t="shared" ca="1" si="31"/>
        <v>0</v>
      </c>
      <c r="M150" s="32">
        <f t="shared" ca="1" si="32"/>
        <v>0</v>
      </c>
    </row>
    <row r="151" spans="1:13" x14ac:dyDescent="0.25">
      <c r="B151" s="1" cm="1">
        <f t="array" aca="1" ref="B151" ca="1">_xll.QDates_FxOptionExpiryFromTenor(valDate,$C$146,C151)</f>
        <v>44329</v>
      </c>
      <c r="C151" s="8" t="s">
        <v>30</v>
      </c>
      <c r="D151" s="16">
        <f ca="1">_xll.BDH($C$147&amp;"V"&amp;$C151&amp;" Curncy","PX_LAST",valDate,valDate)/100</f>
        <v>0.16857500000000003</v>
      </c>
      <c r="E151" s="16">
        <f ca="1">_xll.BDH($C$147&amp;E$147*100&amp;LEFT(E$146,1)&amp;$C151&amp;" Curncy","PX_LAST",valDate,valDate)/100</f>
        <v>1.6924999999999999E-2</v>
      </c>
      <c r="F151" s="16">
        <f ca="1">_xll.BDH($C$147&amp;F$147*100&amp;LEFT(F$146,1)&amp;$C151&amp;" Curncy","PX_LAST",valDate,valDate)/100</f>
        <v>2.9900000000000003E-2</v>
      </c>
      <c r="G151" s="16">
        <f ca="1">_xll.BDH($C$147&amp;G$147*100&amp;LEFT(G$146,1)&amp;$C151&amp;" Curncy","PX_LAST",valDate,valDate)/100</f>
        <v>8.199999999999999E-3</v>
      </c>
      <c r="H151" s="16">
        <f ca="1">_xll.BDH($C$147&amp;H$147*100&amp;LEFT(H$146,1)&amp;$C151&amp;" Curncy","PX_LAST",valDate,valDate)/100</f>
        <v>2.5350000000000001E-2</v>
      </c>
      <c r="I151" s="32">
        <f t="shared" ca="1" si="28"/>
        <v>0.16857500000000003</v>
      </c>
      <c r="J151" s="32">
        <f t="shared" ca="1" si="29"/>
        <v>0</v>
      </c>
      <c r="K151" s="32">
        <f t="shared" ca="1" si="30"/>
        <v>0</v>
      </c>
      <c r="L151" s="32">
        <f t="shared" ca="1" si="31"/>
        <v>0</v>
      </c>
      <c r="M151" s="32">
        <f t="shared" ca="1" si="32"/>
        <v>0</v>
      </c>
    </row>
    <row r="152" spans="1:13" x14ac:dyDescent="0.25">
      <c r="B152" s="1" cm="1">
        <f t="array" aca="1" ref="B152" ca="1">_xll.QDates_FxOptionExpiryFromTenor(valDate,$C$146,C152)</f>
        <v>44420</v>
      </c>
      <c r="C152" s="8" t="s">
        <v>31</v>
      </c>
      <c r="D152" s="16">
        <f ca="1">_xll.BDH($C$147&amp;"V"&amp;$C152&amp;" Curncy","PX_LAST",valDate,valDate)/100</f>
        <v>0.17757500000000001</v>
      </c>
      <c r="E152" s="16">
        <f ca="1">_xll.BDH($C$147&amp;E$147*100&amp;LEFT(E$146,1)&amp;$C152&amp;" Curncy","PX_LAST",valDate,valDate)/100</f>
        <v>2.3050000000000001E-2</v>
      </c>
      <c r="F152" s="16">
        <f ca="1">_xll.BDH($C$147&amp;F$147*100&amp;LEFT(F$146,1)&amp;$C152&amp;" Curncy","PX_LAST",valDate,valDate)/100</f>
        <v>4.095E-2</v>
      </c>
      <c r="G152" s="16">
        <f ca="1">_xll.BDH($C$147&amp;G$147*100&amp;LEFT(G$146,1)&amp;$C152&amp;" Curncy","PX_LAST",valDate,valDate)/100</f>
        <v>9.325E-3</v>
      </c>
      <c r="H152" s="16">
        <f ca="1">_xll.BDH($C$147&amp;H$147*100&amp;LEFT(H$146,1)&amp;$C152&amp;" Curncy","PX_LAST",valDate,valDate)/100</f>
        <v>2.895E-2</v>
      </c>
      <c r="I152" s="32">
        <f t="shared" ca="1" si="28"/>
        <v>0.17757500000000001</v>
      </c>
      <c r="J152" s="32">
        <f t="shared" ca="1" si="29"/>
        <v>0</v>
      </c>
      <c r="K152" s="32">
        <f t="shared" ca="1" si="30"/>
        <v>0</v>
      </c>
      <c r="L152" s="32">
        <f t="shared" ca="1" si="31"/>
        <v>0</v>
      </c>
      <c r="M152" s="32">
        <f t="shared" ca="1" si="32"/>
        <v>0</v>
      </c>
    </row>
    <row r="153" spans="1:13" x14ac:dyDescent="0.25">
      <c r="B153" s="1" cm="1">
        <f t="array" aca="1" ref="B153" ca="1">_xll.QDates_FxOptionExpiryFromTenor(valDate,$C$146,C153)</f>
        <v>44512</v>
      </c>
      <c r="C153" s="8" t="s">
        <v>32</v>
      </c>
      <c r="D153" s="16">
        <f ca="1">_xll.BDH($C$147&amp;"V"&amp;$C153&amp;" Curncy","PX_LAST",valDate,valDate)/100</f>
        <v>0.183425</v>
      </c>
      <c r="E153" s="16">
        <f ca="1">_xll.BDH($C$147&amp;E$147*100&amp;LEFT(E$146,1)&amp;$C153&amp;" Curncy","PX_LAST",valDate,valDate)/100</f>
        <v>2.6225000000000002E-2</v>
      </c>
      <c r="F153" s="16">
        <f ca="1">_xll.BDH($C$147&amp;F$147*100&amp;LEFT(F$146,1)&amp;$C153&amp;" Curncy","PX_LAST",valDate,valDate)/100</f>
        <v>4.7199999999999999E-2</v>
      </c>
      <c r="G153" s="16">
        <f ca="1">_xll.BDH($C$147&amp;G$147*100&amp;LEFT(G$146,1)&amp;$C153&amp;" Curncy","PX_LAST",valDate,valDate)/100</f>
        <v>9.7999999999999997E-3</v>
      </c>
      <c r="H153" s="16">
        <f ca="1">_xll.BDH($C$147&amp;H$147*100&amp;LEFT(H$146,1)&amp;$C153&amp;" Curncy","PX_LAST",valDate,valDate)/100</f>
        <v>3.0499999999999999E-2</v>
      </c>
      <c r="I153" s="32">
        <f t="shared" ca="1" si="28"/>
        <v>0.183425</v>
      </c>
      <c r="J153" s="32">
        <f t="shared" ca="1" si="29"/>
        <v>0</v>
      </c>
      <c r="K153" s="32">
        <f t="shared" ca="1" si="30"/>
        <v>0</v>
      </c>
      <c r="L153" s="32">
        <f t="shared" ca="1" si="31"/>
        <v>0</v>
      </c>
      <c r="M153" s="32">
        <f t="shared" ca="1" si="32"/>
        <v>0</v>
      </c>
    </row>
    <row r="154" spans="1:13" x14ac:dyDescent="0.25">
      <c r="B154" s="1" cm="1">
        <f t="array" aca="1" ref="B154" ca="1">_xll.QDates_FxOptionExpiryFromTenor(valDate,$C$146,C154)</f>
        <v>44606</v>
      </c>
      <c r="C154" s="8" t="s">
        <v>71</v>
      </c>
      <c r="D154" s="16">
        <f ca="1">_xll.BDH($C$147&amp;"V"&amp;$C154&amp;" Curncy","PX_LAST",valDate,valDate)/100</f>
        <v>0.18704999999999999</v>
      </c>
      <c r="E154" s="16">
        <f ca="1">_xll.BDH($C$147&amp;E$147*100&amp;LEFT(E$146,1)&amp;$C154&amp;" Curncy","PX_LAST",valDate,valDate)/100</f>
        <v>2.87E-2</v>
      </c>
      <c r="F154" s="16">
        <f ca="1">_xll.BDH($C$147&amp;F$147*100&amp;LEFT(F$146,1)&amp;$C154&amp;" Curncy","PX_LAST",valDate,valDate)/100</f>
        <v>5.3150000000000003E-2</v>
      </c>
      <c r="G154" s="16">
        <f ca="1">_xll.BDH($C$147&amp;G$147*100&amp;LEFT(G$146,1)&amp;$C154&amp;" Curncy","PX_LAST",valDate,valDate)/100</f>
        <v>1.06E-2</v>
      </c>
      <c r="H154" s="16">
        <f ca="1">_xll.BDH($C$147&amp;H$147*100&amp;LEFT(H$146,1)&amp;$C154&amp;" Curncy","PX_LAST",valDate,valDate)/100</f>
        <v>3.32E-2</v>
      </c>
      <c r="I154" s="32">
        <f t="shared" ca="1" si="28"/>
        <v>0.18704999999999999</v>
      </c>
      <c r="J154" s="32">
        <f t="shared" ca="1" si="29"/>
        <v>0</v>
      </c>
      <c r="K154" s="32">
        <f t="shared" ca="1" si="30"/>
        <v>0</v>
      </c>
      <c r="L154" s="32">
        <f t="shared" ca="1" si="31"/>
        <v>0</v>
      </c>
      <c r="M154" s="32">
        <f t="shared" ca="1" si="32"/>
        <v>0</v>
      </c>
    </row>
    <row r="155" spans="1:13" x14ac:dyDescent="0.25">
      <c r="B155" s="1" cm="1">
        <f t="array" aca="1" ref="B155" ca="1">_xll.QDates_FxOptionExpiryFromTenor(valDate,$C$146,C155)</f>
        <v>44785</v>
      </c>
      <c r="C155" s="8" t="s">
        <v>34</v>
      </c>
      <c r="D155" s="16">
        <f ca="1">_xll.BDH($C$147&amp;"V"&amp;$C155&amp;" Curncy","PX_LAST",valDate,valDate)/100</f>
        <v>0.19322500000000001</v>
      </c>
      <c r="E155" s="16">
        <f ca="1">_xll.BDH($C$147&amp;E$147*100&amp;LEFT(E$146,1)&amp;$C155&amp;" Curncy","PX_LAST",valDate,valDate)/100</f>
        <v>2.9224999999999998E-2</v>
      </c>
      <c r="F155" s="16">
        <f ca="1">_xll.BDH($C$147&amp;F$147*100&amp;LEFT(F$146,1)&amp;$C155&amp;" Curncy","PX_LAST",valDate,valDate)/100</f>
        <v>5.4074999999999998E-2</v>
      </c>
      <c r="G155" s="16">
        <f ca="1">_xll.BDH($C$147&amp;G$147*100&amp;LEFT(G$146,1)&amp;$C155&amp;" Curncy","PX_LAST",valDate,valDate)/100</f>
        <v>1.1325E-2</v>
      </c>
      <c r="H155" s="16">
        <f ca="1">_xll.BDH($C$147&amp;H$147*100&amp;LEFT(H$146,1)&amp;$C155&amp;" Curncy","PX_LAST",valDate,valDate)/100</f>
        <v>3.5025000000000001E-2</v>
      </c>
      <c r="I155" s="32">
        <f t="shared" ca="1" si="28"/>
        <v>0.19322500000000001</v>
      </c>
      <c r="J155" s="32">
        <f t="shared" ca="1" si="29"/>
        <v>0</v>
      </c>
      <c r="K155" s="32">
        <f t="shared" ca="1" si="30"/>
        <v>0</v>
      </c>
      <c r="L155" s="32">
        <f t="shared" ca="1" si="31"/>
        <v>0</v>
      </c>
      <c r="M155" s="32">
        <f t="shared" ca="1" si="32"/>
        <v>0</v>
      </c>
    </row>
    <row r="156" spans="1:13" x14ac:dyDescent="0.25">
      <c r="B156" s="1" cm="1">
        <f t="array" aca="1" ref="B156" ca="1">_xll.QDates_FxOptionExpiryFromTenor(valDate,$C$146,C156)</f>
        <v>44971</v>
      </c>
      <c r="C156" s="8" t="s">
        <v>35</v>
      </c>
      <c r="D156" s="16">
        <f ca="1">_xll.BDH($C$147&amp;"V"&amp;$C156&amp;" Curncy","PX_LAST",valDate,valDate)/100</f>
        <v>0.19620000000000001</v>
      </c>
      <c r="E156" s="16">
        <f ca="1">_xll.BDH($C$147&amp;E$147*100&amp;LEFT(E$146,1)&amp;$C156&amp;" Curncy","PX_LAST",valDate,valDate)/100</f>
        <v>3.1300000000000001E-2</v>
      </c>
      <c r="F156" s="16">
        <f ca="1">_xll.BDH($C$147&amp;F$147*100&amp;LEFT(F$146,1)&amp;$C156&amp;" Curncy","PX_LAST",valDate,valDate)/100</f>
        <v>5.9150000000000001E-2</v>
      </c>
      <c r="G156" s="16">
        <f ca="1">_xll.BDH($C$147&amp;G$147*100&amp;LEFT(G$146,1)&amp;$C156&amp;" Curncy","PX_LAST",valDate,valDate)/100</f>
        <v>1.2349999999999998E-2</v>
      </c>
      <c r="H156" s="16">
        <f ca="1">_xll.BDH($C$147&amp;H$147*100&amp;LEFT(H$146,1)&amp;$C156&amp;" Curncy","PX_LAST",valDate,valDate)/100</f>
        <v>3.8849999999999996E-2</v>
      </c>
      <c r="I156" s="32">
        <f t="shared" ca="1" si="28"/>
        <v>0.19620000000000001</v>
      </c>
      <c r="J156" s="32">
        <f t="shared" ca="1" si="29"/>
        <v>0</v>
      </c>
      <c r="K156" s="32">
        <f t="shared" ca="1" si="30"/>
        <v>0</v>
      </c>
      <c r="L156" s="32">
        <f t="shared" ca="1" si="31"/>
        <v>0</v>
      </c>
      <c r="M156" s="32">
        <f t="shared" ca="1" si="32"/>
        <v>0</v>
      </c>
    </row>
    <row r="157" spans="1:13" x14ac:dyDescent="0.25">
      <c r="B157" s="1" cm="1">
        <f t="array" aca="1" ref="B157" ca="1">_xll.QDates_FxOptionExpiryFromTenor(valDate,$C$146,C157)</f>
        <v>45336</v>
      </c>
      <c r="C157" s="8" t="s">
        <v>36</v>
      </c>
      <c r="D157" s="16">
        <f ca="1">_xll.BDH($C$147&amp;"V"&amp;$C157&amp;" Curncy","PX_LAST",valDate,valDate)/100</f>
        <v>0.20280000000000001</v>
      </c>
      <c r="E157" s="16">
        <f ca="1">_xll.BDH($C$147&amp;E$147*100&amp;LEFT(E$146,1)&amp;$C157&amp;" Curncy","PX_LAST",valDate,valDate)/100</f>
        <v>3.3349999999999998E-2</v>
      </c>
      <c r="F157" s="16">
        <f ca="1">_xll.BDH($C$147&amp;F$147*100&amp;LEFT(F$146,1)&amp;$C157&amp;" Curncy","PX_LAST",valDate,valDate)/100</f>
        <v>6.3600000000000004E-2</v>
      </c>
      <c r="G157" s="16">
        <f ca="1">_xll.BDH($C$147&amp;G$147*100&amp;LEFT(G$146,1)&amp;$C157&amp;" Curncy","PX_LAST",valDate,valDate)/100</f>
        <v>1.3900000000000001E-2</v>
      </c>
      <c r="H157" s="16">
        <f ca="1">_xll.BDH($C$147&amp;H$147*100&amp;LEFT(H$146,1)&amp;$C157&amp;" Curncy","PX_LAST",valDate,valDate)/100</f>
        <v>4.53E-2</v>
      </c>
      <c r="I157" s="32">
        <f t="shared" ca="1" si="28"/>
        <v>0.20280000000000001</v>
      </c>
      <c r="J157" s="32">
        <f t="shared" ca="1" si="29"/>
        <v>0</v>
      </c>
      <c r="K157" s="32">
        <f t="shared" ca="1" si="30"/>
        <v>0</v>
      </c>
      <c r="L157" s="32">
        <f t="shared" ca="1" si="31"/>
        <v>0</v>
      </c>
      <c r="M157" s="32">
        <f t="shared" ca="1" si="32"/>
        <v>0</v>
      </c>
    </row>
    <row r="158" spans="1:13" x14ac:dyDescent="0.25">
      <c r="B158" s="1" cm="1">
        <f t="array" aca="1" ref="B158" ca="1">_xll.QDates_FxOptionExpiryFromTenor(valDate,$C$146,C158)</f>
        <v>45701</v>
      </c>
      <c r="C158" s="8" t="s">
        <v>58</v>
      </c>
      <c r="D158" s="16">
        <f ca="1">_xll.BDH($C$147&amp;"V"&amp;$C158&amp;" Curncy","PX_LAST",valDate,valDate)/100</f>
        <v>0.20780000000000001</v>
      </c>
      <c r="E158" s="16">
        <f ca="1">_xll.BDH($C$147&amp;E$147*100&amp;LEFT(E$146,1)&amp;$C158&amp;" Curncy","PX_LAST",valDate,valDate)/100</f>
        <v>3.5650000000000001E-2</v>
      </c>
      <c r="F158" s="16">
        <f ca="1">_xll.BDH($C$147&amp;F$147*100&amp;LEFT(F$146,1)&amp;$C158&amp;" Curncy","PX_LAST",valDate,valDate)/100</f>
        <v>6.8750000000000006E-2</v>
      </c>
      <c r="G158" s="16">
        <f ca="1">_xll.BDH($C$147&amp;G$147*100&amp;LEFT(G$146,1)&amp;$C158&amp;" Curncy","PX_LAST",valDate,valDate)/100</f>
        <v>1.5350000000000001E-2</v>
      </c>
      <c r="H158" s="16">
        <f ca="1">_xll.BDH($C$147&amp;H$147*100&amp;LEFT(H$146,1)&amp;$C158&amp;" Curncy","PX_LAST",valDate,valDate)/100</f>
        <v>5.0599999999999999E-2</v>
      </c>
      <c r="I158" s="32">
        <f t="shared" ca="1" si="28"/>
        <v>0.20780000000000001</v>
      </c>
      <c r="J158" s="32">
        <f t="shared" ca="1" si="29"/>
        <v>0</v>
      </c>
      <c r="K158" s="32">
        <f t="shared" ca="1" si="30"/>
        <v>0</v>
      </c>
      <c r="L158" s="32">
        <f t="shared" ca="1" si="31"/>
        <v>0</v>
      </c>
      <c r="M158" s="32">
        <f t="shared" ca="1" si="32"/>
        <v>0</v>
      </c>
    </row>
    <row r="159" spans="1:13" x14ac:dyDescent="0.25">
      <c r="B159" s="1" cm="1">
        <f t="array" aca="1" ref="B159" ca="1">_xll.QDates_FxOptionExpiryFromTenor(valDate,$C$146,C159)</f>
        <v>46065</v>
      </c>
      <c r="C159" s="8" t="s">
        <v>37</v>
      </c>
      <c r="D159" s="16">
        <f ca="1">_xll.BDH($C$147&amp;"V"&amp;$C159&amp;" Curncy","PX_LAST",valDate,valDate)/100</f>
        <v>0.21350000000000002</v>
      </c>
      <c r="E159" s="16">
        <f ca="1">_xll.BDH($C$147&amp;E$147*100&amp;LEFT(E$146,1)&amp;$C159&amp;" Curncy","PX_LAST",valDate,valDate)/100</f>
        <v>3.9E-2</v>
      </c>
      <c r="F159" s="16">
        <f ca="1">_xll.BDH($C$147&amp;F$147*100&amp;LEFT(F$146,1)&amp;$C159&amp;" Curncy","PX_LAST",valDate,valDate)/100</f>
        <v>7.6100000000000001E-2</v>
      </c>
      <c r="G159" s="16">
        <f ca="1">_xll.BDH($C$147&amp;G$147*100&amp;LEFT(G$146,1)&amp;$C159&amp;" Curncy","PX_LAST",valDate,valDate)/100</f>
        <v>1.695E-2</v>
      </c>
      <c r="H159" s="16">
        <f ca="1">_xll.BDH($C$147&amp;H$147*100&amp;LEFT(H$146,1)&amp;$C159&amp;" Curncy","PX_LAST",valDate,valDate)/100</f>
        <v>5.5800000000000002E-2</v>
      </c>
      <c r="I159" s="32">
        <f t="shared" ca="1" si="28"/>
        <v>0.21350000000000002</v>
      </c>
      <c r="J159" s="32">
        <f t="shared" ca="1" si="29"/>
        <v>0</v>
      </c>
      <c r="K159" s="32">
        <f t="shared" ca="1" si="30"/>
        <v>0</v>
      </c>
      <c r="L159" s="32">
        <f t="shared" ca="1" si="31"/>
        <v>0</v>
      </c>
      <c r="M159" s="32">
        <f t="shared" ca="1" si="32"/>
        <v>0</v>
      </c>
    </row>
    <row r="162" spans="2:13" x14ac:dyDescent="0.25">
      <c r="C162" s="199" t="s">
        <v>15</v>
      </c>
      <c r="D162" s="199"/>
      <c r="E162" s="199"/>
      <c r="F162" s="199"/>
      <c r="G162" s="199"/>
      <c r="H162" s="199"/>
      <c r="I162" s="8" t="s">
        <v>91</v>
      </c>
      <c r="J162" s="31">
        <v>0</v>
      </c>
      <c r="K162" s="30" t="s">
        <v>92</v>
      </c>
      <c r="L162" s="31">
        <v>0</v>
      </c>
      <c r="M162" t="str" cm="1">
        <f t="array" aca="1" ref="M162" ca="1">_xll.QVol_CreateRiskyFlyVolSurface("fxVol_"&amp;C164,LEFT(C164,3)&amp;"/"&amp;RIGHT(C164,3),valDate,J164:K164,B165:B176,I165:I176,J165:K176,L165:M176,,,"Market",,,C165:C176,,"2b")</f>
        <v>fxVol_XAGUSD¬1</v>
      </c>
    </row>
    <row r="163" spans="2:13" x14ac:dyDescent="0.25">
      <c r="C163" s="25" t="str">
        <f ca="1">VLOOKUP(C164,$H$21:$I$27,2,FALSE)</f>
        <v>XAG/USD¬1</v>
      </c>
      <c r="D163" s="25"/>
      <c r="E163" s="29" t="s">
        <v>87</v>
      </c>
      <c r="F163" s="29" t="s">
        <v>87</v>
      </c>
      <c r="G163" s="29" t="s">
        <v>88</v>
      </c>
      <c r="H163" s="29" t="s">
        <v>88</v>
      </c>
      <c r="I163" s="25"/>
      <c r="J163" s="29" t="s">
        <v>87</v>
      </c>
      <c r="K163" s="29" t="s">
        <v>87</v>
      </c>
      <c r="L163" s="29" t="s">
        <v>88</v>
      </c>
      <c r="M163" s="29" t="s">
        <v>88</v>
      </c>
    </row>
    <row r="164" spans="2:13" ht="15.75" thickBot="1" x14ac:dyDescent="0.3">
      <c r="C164" s="26" t="s">
        <v>95</v>
      </c>
      <c r="D164" s="27" t="s">
        <v>85</v>
      </c>
      <c r="E164" s="28">
        <v>0.25</v>
      </c>
      <c r="F164" s="28">
        <v>0.1</v>
      </c>
      <c r="G164" s="28">
        <v>0.25</v>
      </c>
      <c r="H164" s="28">
        <v>0.1</v>
      </c>
      <c r="I164" s="27" t="s">
        <v>85</v>
      </c>
      <c r="J164" s="28">
        <v>0.25</v>
      </c>
      <c r="K164" s="28">
        <v>0.1</v>
      </c>
      <c r="L164" s="28">
        <v>0.25</v>
      </c>
      <c r="M164" s="28">
        <v>0.1</v>
      </c>
    </row>
    <row r="165" spans="2:13" x14ac:dyDescent="0.25">
      <c r="B165" s="1" cm="1">
        <f t="array" aca="1" ref="B165" ca="1">_xll.QDates_FxOptionExpiryFromTenor(valDate,$C$163,C165)</f>
        <v>44246</v>
      </c>
      <c r="C165" s="8" t="s">
        <v>26</v>
      </c>
      <c r="D165" s="16">
        <f ca="1">_xll.BDH($C$164&amp;"V"&amp;$C165&amp;" Curncy","PX_LAST",valDate,valDate)/100</f>
        <v>0.38935000000000003</v>
      </c>
      <c r="E165" s="16">
        <f ca="1">_xll.BDH($C$164&amp;E$164*100&amp;LEFT(E$163,1)&amp;$C165&amp;" Curncy","PX_LAST",valDate,valDate)/100</f>
        <v>9.2600000000000002E-2</v>
      </c>
      <c r="F165" s="16">
        <f ca="1">_xll.BDH($C$164&amp;F$164*100&amp;LEFT(F$163,1)&amp;$C165&amp;" Curncy","PX_LAST",valDate,valDate)/100</f>
        <v>0.18440000000000001</v>
      </c>
      <c r="G165" s="16">
        <f ca="1">_xll.BDH($C$164&amp;G$164*100&amp;LEFT(G$163,1)&amp;$C165&amp;" Curncy","PX_LAST",valDate,valDate)/100</f>
        <v>2.18E-2</v>
      </c>
      <c r="H165" s="16">
        <f ca="1">_xll.BDH($C$164&amp;H$164*100&amp;LEFT(H$163,1)&amp;$C165&amp;" Curncy","PX_LAST",valDate,valDate)/100</f>
        <v>6.8949999999999997E-2</v>
      </c>
      <c r="I165" s="32">
        <f ca="1">D165+$J$162</f>
        <v>0.38935000000000003</v>
      </c>
      <c r="J165" s="32">
        <f ca="1">E165*$L$162</f>
        <v>0</v>
      </c>
      <c r="K165" s="32">
        <f ca="1">F165*$L$162</f>
        <v>0</v>
      </c>
      <c r="L165" s="32">
        <f ca="1">G165*$L$162</f>
        <v>0</v>
      </c>
      <c r="M165" s="32">
        <f ca="1">H165*$L$162</f>
        <v>0</v>
      </c>
    </row>
    <row r="166" spans="2:13" x14ac:dyDescent="0.25">
      <c r="B166" s="1" cm="1">
        <f t="array" aca="1" ref="B166" ca="1">_xll.QDates_FxOptionExpiryFromTenor(valDate,$C$163,C166)</f>
        <v>44267</v>
      </c>
      <c r="C166" s="8" t="s">
        <v>28</v>
      </c>
      <c r="D166" s="16">
        <f ca="1">_xll.BDH($C$164&amp;"V"&amp;$C166&amp;" Curncy","PX_LAST",valDate,valDate)/100</f>
        <v>0.40509999999999996</v>
      </c>
      <c r="E166" s="16">
        <f ca="1">_xll.BDH($C$164&amp;E$164*100&amp;LEFT(E$163,1)&amp;$C166&amp;" Curncy","PX_LAST",valDate,valDate)/100</f>
        <v>9.824999999999999E-2</v>
      </c>
      <c r="F166" s="16">
        <f ca="1">_xll.BDH($C$164&amp;F$164*100&amp;LEFT(F$163,1)&amp;$C166&amp;" Curncy","PX_LAST",valDate,valDate)/100</f>
        <v>0.19440000000000002</v>
      </c>
      <c r="G166" s="16">
        <f ca="1">_xll.BDH($C$164&amp;G$164*100&amp;LEFT(G$163,1)&amp;$C166&amp;" Curncy","PX_LAST",valDate,valDate)/100</f>
        <v>2.2450000000000001E-2</v>
      </c>
      <c r="H166" s="16">
        <f ca="1">_xll.BDH($C$164&amp;H$164*100&amp;LEFT(H$163,1)&amp;$C166&amp;" Curncy","PX_LAST",valDate,valDate)/100</f>
        <v>7.0550000000000002E-2</v>
      </c>
      <c r="I166" s="32">
        <f t="shared" ref="I166:I176" ca="1" si="33">D166+$J$162</f>
        <v>0.40509999999999996</v>
      </c>
      <c r="J166" s="32">
        <f t="shared" ref="J166:J176" ca="1" si="34">E166*$L$162</f>
        <v>0</v>
      </c>
      <c r="K166" s="32">
        <f t="shared" ref="K166:K176" ca="1" si="35">F166*$L$162</f>
        <v>0</v>
      </c>
      <c r="L166" s="32">
        <f t="shared" ref="L166:L176" ca="1" si="36">G166*$L$162</f>
        <v>0</v>
      </c>
      <c r="M166" s="32">
        <f t="shared" ref="M166:M176" ca="1" si="37">H166*$L$162</f>
        <v>0</v>
      </c>
    </row>
    <row r="167" spans="2:13" x14ac:dyDescent="0.25">
      <c r="B167" s="1" cm="1">
        <f t="array" aca="1" ref="B167" ca="1">_xll.QDates_FxOptionExpiryFromTenor(valDate,$C$163,C167)</f>
        <v>44300</v>
      </c>
      <c r="C167" s="8" t="s">
        <v>29</v>
      </c>
      <c r="D167" s="16">
        <f ca="1">_xll.BDH($C$164&amp;"V"&amp;$C167&amp;" Curncy","PX_LAST",valDate,valDate)/100</f>
        <v>0.40367500000000001</v>
      </c>
      <c r="E167" s="16">
        <f ca="1">_xll.BDH($C$164&amp;E$164*100&amp;LEFT(E$163,1)&amp;$C167&amp;" Curncy","PX_LAST",valDate,valDate)/100</f>
        <v>0.10005000000000001</v>
      </c>
      <c r="F167" s="16">
        <f ca="1">_xll.BDH($C$164&amp;F$164*100&amp;LEFT(F$163,1)&amp;$C167&amp;" Curncy","PX_LAST",valDate,valDate)/100</f>
        <v>0.19850000000000001</v>
      </c>
      <c r="G167" s="16">
        <f ca="1">_xll.BDH($C$164&amp;G$164*100&amp;LEFT(G$163,1)&amp;$C167&amp;" Curncy","PX_LAST",valDate,valDate)/100</f>
        <v>2.4900000000000002E-2</v>
      </c>
      <c r="H167" s="16">
        <f ca="1">_xll.BDH($C$164&amp;H$164*100&amp;LEFT(H$163,1)&amp;$C167&amp;" Curncy","PX_LAST",valDate,valDate)/100</f>
        <v>7.6200000000000004E-2</v>
      </c>
      <c r="I167" s="32">
        <f t="shared" ca="1" si="33"/>
        <v>0.40367500000000001</v>
      </c>
      <c r="J167" s="32">
        <f t="shared" ca="1" si="34"/>
        <v>0</v>
      </c>
      <c r="K167" s="32">
        <f t="shared" ca="1" si="35"/>
        <v>0</v>
      </c>
      <c r="L167" s="32">
        <f t="shared" ca="1" si="36"/>
        <v>0</v>
      </c>
      <c r="M167" s="32">
        <f t="shared" ca="1" si="37"/>
        <v>0</v>
      </c>
    </row>
    <row r="168" spans="2:13" x14ac:dyDescent="0.25">
      <c r="B168" s="1" cm="1">
        <f t="array" aca="1" ref="B168" ca="1">_xll.QDates_FxOptionExpiryFromTenor(valDate,$C$163,C168)</f>
        <v>44329</v>
      </c>
      <c r="C168" s="8" t="s">
        <v>30</v>
      </c>
      <c r="D168" s="16">
        <f ca="1">_xll.BDH($C$164&amp;"V"&amp;$C168&amp;" Curncy","PX_LAST",valDate,valDate)/100</f>
        <v>0.406725</v>
      </c>
      <c r="E168" s="16">
        <f ca="1">_xll.BDH($C$164&amp;E$164*100&amp;LEFT(E$163,1)&amp;$C168&amp;" Curncy","PX_LAST",valDate,valDate)/100</f>
        <v>0.101725</v>
      </c>
      <c r="F168" s="16">
        <f ca="1">_xll.BDH($C$164&amp;F$164*100&amp;LEFT(F$163,1)&amp;$C168&amp;" Curncy","PX_LAST",valDate,valDate)/100</f>
        <v>0.2026</v>
      </c>
      <c r="G168" s="16">
        <f ca="1">_xll.BDH($C$164&amp;G$164*100&amp;LEFT(G$163,1)&amp;$C168&amp;" Curncy","PX_LAST",valDate,valDate)/100</f>
        <v>2.7300000000000001E-2</v>
      </c>
      <c r="H168" s="16">
        <f ca="1">_xll.BDH($C$164&amp;H$164*100&amp;LEFT(H$163,1)&amp;$C168&amp;" Curncy","PX_LAST",valDate,valDate)/100</f>
        <v>8.0250000000000002E-2</v>
      </c>
      <c r="I168" s="32">
        <f t="shared" ca="1" si="33"/>
        <v>0.406725</v>
      </c>
      <c r="J168" s="32">
        <f t="shared" ca="1" si="34"/>
        <v>0</v>
      </c>
      <c r="K168" s="32">
        <f t="shared" ca="1" si="35"/>
        <v>0</v>
      </c>
      <c r="L168" s="32">
        <f t="shared" ca="1" si="36"/>
        <v>0</v>
      </c>
      <c r="M168" s="32">
        <f t="shared" ca="1" si="37"/>
        <v>0</v>
      </c>
    </row>
    <row r="169" spans="2:13" x14ac:dyDescent="0.25">
      <c r="B169" s="1" cm="1">
        <f t="array" aca="1" ref="B169" ca="1">_xll.QDates_FxOptionExpiryFromTenor(valDate,$C$163,C169)</f>
        <v>44420</v>
      </c>
      <c r="C169" s="8" t="s">
        <v>31</v>
      </c>
      <c r="D169" s="16">
        <f ca="1">_xll.BDH($C$164&amp;"V"&amp;$C169&amp;" Curncy","PX_LAST",valDate,valDate)/100</f>
        <v>0.408775</v>
      </c>
      <c r="E169" s="16">
        <f ca="1">_xll.BDH($C$164&amp;E$164*100&amp;LEFT(E$163,1)&amp;$C169&amp;" Curncy","PX_LAST",valDate,valDate)/100</f>
        <v>0.103575</v>
      </c>
      <c r="F169" s="16">
        <f ca="1">_xll.BDH($C$164&amp;F$164*100&amp;LEFT(F$163,1)&amp;$C169&amp;" Curncy","PX_LAST",valDate,valDate)/100</f>
        <v>0.20845</v>
      </c>
      <c r="G169" s="16">
        <f ca="1">_xll.BDH($C$164&amp;G$164*100&amp;LEFT(G$163,1)&amp;$C169&amp;" Curncy","PX_LAST",valDate,valDate)/100</f>
        <v>3.0849999999999999E-2</v>
      </c>
      <c r="H169" s="16">
        <f ca="1">_xll.BDH($C$164&amp;H$164*100&amp;LEFT(H$163,1)&amp;$C169&amp;" Curncy","PX_LAST",valDate,valDate)/100</f>
        <v>8.6699999999999999E-2</v>
      </c>
      <c r="I169" s="32">
        <f t="shared" ca="1" si="33"/>
        <v>0.408775</v>
      </c>
      <c r="J169" s="32">
        <f t="shared" ca="1" si="34"/>
        <v>0</v>
      </c>
      <c r="K169" s="32">
        <f t="shared" ca="1" si="35"/>
        <v>0</v>
      </c>
      <c r="L169" s="32">
        <f t="shared" ca="1" si="36"/>
        <v>0</v>
      </c>
      <c r="M169" s="32">
        <f t="shared" ca="1" si="37"/>
        <v>0</v>
      </c>
    </row>
    <row r="170" spans="2:13" x14ac:dyDescent="0.25">
      <c r="B170" s="1" cm="1">
        <f t="array" aca="1" ref="B170" ca="1">_xll.QDates_FxOptionExpiryFromTenor(valDate,$C$163,C170)</f>
        <v>44512</v>
      </c>
      <c r="C170" s="8" t="s">
        <v>32</v>
      </c>
      <c r="D170" s="16">
        <f ca="1">_xll.BDH($C$164&amp;"V"&amp;$C170&amp;" Curncy","PX_LAST",valDate,valDate)/100</f>
        <v>0.40952500000000003</v>
      </c>
      <c r="E170" s="16">
        <f ca="1">_xll.BDH($C$164&amp;E$164*100&amp;LEFT(E$163,1)&amp;$C170&amp;" Curncy","PX_LAST",valDate,valDate)/100</f>
        <v>0.1075</v>
      </c>
      <c r="F170" s="16">
        <f ca="1">_xll.BDH($C$164&amp;F$164*100&amp;LEFT(F$163,1)&amp;$C170&amp;" Curncy","PX_LAST",valDate,valDate)/100</f>
        <v>0.21715000000000001</v>
      </c>
      <c r="G170" s="16">
        <f ca="1">_xll.BDH($C$164&amp;G$164*100&amp;LEFT(G$163,1)&amp;$C170&amp;" Curncy","PX_LAST",valDate,valDate)/100</f>
        <v>3.3524999999999999E-2</v>
      </c>
      <c r="H170" s="16">
        <f ca="1">_xll.BDH($C$164&amp;H$164*100&amp;LEFT(H$163,1)&amp;$C170&amp;" Curncy","PX_LAST",valDate,valDate)/100</f>
        <v>8.904999999999999E-2</v>
      </c>
      <c r="I170" s="32">
        <f t="shared" ca="1" si="33"/>
        <v>0.40952500000000003</v>
      </c>
      <c r="J170" s="32">
        <f t="shared" ca="1" si="34"/>
        <v>0</v>
      </c>
      <c r="K170" s="32">
        <f t="shared" ca="1" si="35"/>
        <v>0</v>
      </c>
      <c r="L170" s="32">
        <f t="shared" ca="1" si="36"/>
        <v>0</v>
      </c>
      <c r="M170" s="32">
        <f t="shared" ca="1" si="37"/>
        <v>0</v>
      </c>
    </row>
    <row r="171" spans="2:13" x14ac:dyDescent="0.25">
      <c r="B171" s="1" cm="1">
        <f t="array" aca="1" ref="B171" ca="1">_xll.QDates_FxOptionExpiryFromTenor(valDate,$C$163,C171)</f>
        <v>44606</v>
      </c>
      <c r="C171" s="8" t="s">
        <v>71</v>
      </c>
      <c r="D171" s="16">
        <f ca="1">_xll.BDH($C$164&amp;"V"&amp;$C171&amp;" Curncy","PX_LAST",valDate,valDate)/100</f>
        <v>0.40867500000000001</v>
      </c>
      <c r="E171" s="16">
        <f ca="1">_xll.BDH($C$164&amp;E$164*100&amp;LEFT(E$163,1)&amp;$C171&amp;" Curncy","PX_LAST",valDate,valDate)/100</f>
        <v>0.10880000000000001</v>
      </c>
      <c r="F171" s="16">
        <f ca="1">_xll.BDH($C$164&amp;F$164*100&amp;LEFT(F$163,1)&amp;$C171&amp;" Curncy","PX_LAST",valDate,valDate)/100</f>
        <v>0.22034999999999999</v>
      </c>
      <c r="G171" s="16">
        <f ca="1">_xll.BDH($C$164&amp;G$164*100&amp;LEFT(G$163,1)&amp;$C171&amp;" Curncy","PX_LAST",valDate,valDate)/100</f>
        <v>3.6200000000000003E-2</v>
      </c>
      <c r="H171" s="16">
        <f ca="1">_xll.BDH($C$164&amp;H$164*100&amp;LEFT(H$163,1)&amp;$C171&amp;" Curncy","PX_LAST",valDate,valDate)/100</f>
        <v>9.3800000000000008E-2</v>
      </c>
      <c r="I171" s="32">
        <f t="shared" ca="1" si="33"/>
        <v>0.40867500000000001</v>
      </c>
      <c r="J171" s="32">
        <f t="shared" ca="1" si="34"/>
        <v>0</v>
      </c>
      <c r="K171" s="32">
        <f t="shared" ca="1" si="35"/>
        <v>0</v>
      </c>
      <c r="L171" s="32">
        <f t="shared" ca="1" si="36"/>
        <v>0</v>
      </c>
      <c r="M171" s="32">
        <f t="shared" ca="1" si="37"/>
        <v>0</v>
      </c>
    </row>
    <row r="172" spans="2:13" x14ac:dyDescent="0.25">
      <c r="B172" s="1" cm="1">
        <f t="array" aca="1" ref="B172" ca="1">_xll.QDates_FxOptionExpiryFromTenor(valDate,$C$163,C172)</f>
        <v>44785</v>
      </c>
      <c r="C172" s="8" t="s">
        <v>34</v>
      </c>
      <c r="D172" s="16">
        <f ca="1">_xll.BDH($C$164&amp;"V"&amp;$C172&amp;" Curncy","PX_LAST",valDate,valDate)/100</f>
        <v>0.41560000000000002</v>
      </c>
      <c r="E172" s="16">
        <f ca="1">_xll.BDH($C$164&amp;E$164*100&amp;LEFT(E$163,1)&amp;$C172&amp;" Curncy","PX_LAST",valDate,valDate)/100</f>
        <v>0.10275000000000001</v>
      </c>
      <c r="F172" s="16">
        <f ca="1">_xll.BDH($C$164&amp;F$164*100&amp;LEFT(F$163,1)&amp;$C172&amp;" Curncy","PX_LAST",valDate,valDate)/100</f>
        <v>0.21332499999999999</v>
      </c>
      <c r="G172" s="16">
        <f ca="1">_xll.BDH($C$164&amp;G$164*100&amp;LEFT(G$163,1)&amp;$C172&amp;" Curncy","PX_LAST",valDate,valDate)/100</f>
        <v>3.5949999999999996E-2</v>
      </c>
      <c r="H172" s="16">
        <f ca="1">_xll.BDH($C$164&amp;H$164*100&amp;LEFT(H$163,1)&amp;$C172&amp;" Curncy","PX_LAST",valDate,valDate)/100</f>
        <v>9.4600000000000004E-2</v>
      </c>
      <c r="I172" s="32">
        <f t="shared" ca="1" si="33"/>
        <v>0.41560000000000002</v>
      </c>
      <c r="J172" s="32">
        <f t="shared" ca="1" si="34"/>
        <v>0</v>
      </c>
      <c r="K172" s="32">
        <f t="shared" ca="1" si="35"/>
        <v>0</v>
      </c>
      <c r="L172" s="32">
        <f t="shared" ca="1" si="36"/>
        <v>0</v>
      </c>
      <c r="M172" s="32">
        <f t="shared" ca="1" si="37"/>
        <v>0</v>
      </c>
    </row>
    <row r="173" spans="2:13" x14ac:dyDescent="0.25">
      <c r="B173" s="1" cm="1">
        <f t="array" aca="1" ref="B173" ca="1">_xll.QDates_FxOptionExpiryFromTenor(valDate,$C$163,C173)</f>
        <v>44971</v>
      </c>
      <c r="C173" s="8" t="s">
        <v>35</v>
      </c>
      <c r="D173" s="16">
        <f ca="1">_xll.BDH($C$164&amp;"V"&amp;$C173&amp;" Curncy","PX_LAST",valDate,valDate)/100</f>
        <v>0.41842499999999999</v>
      </c>
      <c r="E173" s="16">
        <f ca="1">_xll.BDH($C$164&amp;E$164*100&amp;LEFT(E$163,1)&amp;$C173&amp;" Curncy","PX_LAST",valDate,valDate)/100</f>
        <v>0.1074</v>
      </c>
      <c r="F173" s="16">
        <f ca="1">_xll.BDH($C$164&amp;F$164*100&amp;LEFT(F$163,1)&amp;$C173&amp;" Curncy","PX_LAST",valDate,valDate)/100</f>
        <v>0.23105000000000001</v>
      </c>
      <c r="G173" s="16">
        <f ca="1">_xll.BDH($C$164&amp;G$164*100&amp;LEFT(G$163,1)&amp;$C173&amp;" Curncy","PX_LAST",valDate,valDate)/100</f>
        <v>3.9625E-2</v>
      </c>
      <c r="H173" s="16">
        <f ca="1">_xll.BDH($C$164&amp;H$164*100&amp;LEFT(H$163,1)&amp;$C173&amp;" Curncy","PX_LAST",valDate,valDate)/100</f>
        <v>0.1052</v>
      </c>
      <c r="I173" s="32">
        <f ca="1">D173+$J$162</f>
        <v>0.41842499999999999</v>
      </c>
      <c r="J173" s="32">
        <f t="shared" ca="1" si="34"/>
        <v>0</v>
      </c>
      <c r="K173" s="32">
        <f t="shared" ca="1" si="35"/>
        <v>0</v>
      </c>
      <c r="L173" s="32">
        <f t="shared" ca="1" si="36"/>
        <v>0</v>
      </c>
      <c r="M173" s="32">
        <f t="shared" ca="1" si="37"/>
        <v>0</v>
      </c>
    </row>
    <row r="174" spans="2:13" x14ac:dyDescent="0.25">
      <c r="B174" s="1" cm="1">
        <f t="array" aca="1" ref="B174" ca="1">_xll.QDates_FxOptionExpiryFromTenor(valDate,$C$163,C174)</f>
        <v>45336</v>
      </c>
      <c r="C174" s="8" t="s">
        <v>36</v>
      </c>
      <c r="D174" s="16">
        <f ca="1">_xll.BDH($C$164&amp;"V"&amp;$C174&amp;" Curncy","PX_LAST",valDate,valDate)/100</f>
        <v>0.42515000000000003</v>
      </c>
      <c r="E174" s="16">
        <f ca="1">_xll.BDH($C$164&amp;E$164*100&amp;LEFT(E$163,1)&amp;$C174&amp;" Curncy","PX_LAST",valDate,valDate)/100</f>
        <v>0.10554999999999999</v>
      </c>
      <c r="F174" s="16">
        <f ca="1">_xll.BDH($C$164&amp;F$164*100&amp;LEFT(F$163,1)&amp;$C174&amp;" Curncy","PX_LAST",valDate,valDate)/100</f>
        <v>0.22719999999999999</v>
      </c>
      <c r="G174" s="16">
        <f ca="1">_xll.BDH($C$164&amp;G$164*100&amp;LEFT(G$163,1)&amp;$C174&amp;" Curncy","PX_LAST",valDate,valDate)/100</f>
        <v>4.2249999999999996E-2</v>
      </c>
      <c r="H174" s="16">
        <f ca="1">_xll.BDH($C$164&amp;H$164*100&amp;LEFT(H$163,1)&amp;$C174&amp;" Curncy","PX_LAST",valDate,valDate)/100</f>
        <v>0.10445</v>
      </c>
      <c r="I174" s="32">
        <f t="shared" ca="1" si="33"/>
        <v>0.42515000000000003</v>
      </c>
      <c r="J174" s="32">
        <f t="shared" ca="1" si="34"/>
        <v>0</v>
      </c>
      <c r="K174" s="32">
        <f t="shared" ca="1" si="35"/>
        <v>0</v>
      </c>
      <c r="L174" s="32">
        <f t="shared" ca="1" si="36"/>
        <v>0</v>
      </c>
      <c r="M174" s="32">
        <f t="shared" ca="1" si="37"/>
        <v>0</v>
      </c>
    </row>
    <row r="175" spans="2:13" x14ac:dyDescent="0.25">
      <c r="B175" s="1" cm="1">
        <f t="array" aca="1" ref="B175" ca="1">_xll.QDates_FxOptionExpiryFromTenor(valDate,$C$163,C175)</f>
        <v>45701</v>
      </c>
      <c r="C175" s="8" t="s">
        <v>58</v>
      </c>
      <c r="D175" s="16">
        <f ca="1">_xll.BDH($C$164&amp;"V"&amp;$C175&amp;" Curncy","PX_LAST",valDate,valDate)/100</f>
        <v>0.43</v>
      </c>
      <c r="E175" s="16">
        <f ca="1">_xll.BDH($C$164&amp;E$164*100&amp;LEFT(E$163,1)&amp;$C175&amp;" Curncy","PX_LAST",valDate,valDate)/100</f>
        <v>0.1075</v>
      </c>
      <c r="F175" s="16">
        <f ca="1">_xll.BDH($C$164&amp;F$164*100&amp;LEFT(F$163,1)&amp;$C175&amp;" Curncy","PX_LAST",valDate,valDate)/100</f>
        <v>0.23105000000000001</v>
      </c>
      <c r="G175" s="16">
        <f ca="1">_xll.BDH($C$164&amp;G$164*100&amp;LEFT(G$163,1)&amp;$C175&amp;" Curncy","PX_LAST",valDate,valDate)/100</f>
        <v>4.3550000000000005E-2</v>
      </c>
      <c r="H175" s="16">
        <f ca="1">_xll.BDH($C$164&amp;H$164*100&amp;LEFT(H$163,1)&amp;$C175&amp;" Curncy","PX_LAST",valDate,valDate)/100</f>
        <v>0.10804999999999999</v>
      </c>
      <c r="I175" s="32">
        <f t="shared" ca="1" si="33"/>
        <v>0.43</v>
      </c>
      <c r="J175" s="32">
        <f t="shared" ca="1" si="34"/>
        <v>0</v>
      </c>
      <c r="K175" s="32">
        <f t="shared" ca="1" si="35"/>
        <v>0</v>
      </c>
      <c r="L175" s="32">
        <f t="shared" ca="1" si="36"/>
        <v>0</v>
      </c>
      <c r="M175" s="32">
        <f t="shared" ca="1" si="37"/>
        <v>0</v>
      </c>
    </row>
    <row r="176" spans="2:13" x14ac:dyDescent="0.25">
      <c r="B176" s="1" cm="1">
        <f t="array" aca="1" ref="B176" ca="1">_xll.QDates_FxOptionExpiryFromTenor(valDate,$C$163,C176)</f>
        <v>46065</v>
      </c>
      <c r="C176" s="8" t="s">
        <v>37</v>
      </c>
      <c r="D176" s="16">
        <f ca="1">_xll.BDH($C$164&amp;"V"&amp;$C176&amp;" Curncy","PX_LAST",valDate,valDate)/100</f>
        <v>0.42249999999999999</v>
      </c>
      <c r="E176" s="16">
        <f ca="1">_xll.BDH($C$164&amp;E$164*100&amp;LEFT(E$163,1)&amp;$C176&amp;" Curncy","PX_LAST",valDate,valDate)/100</f>
        <v>0.1</v>
      </c>
      <c r="F176" s="16">
        <f ca="1">_xll.BDH($C$164&amp;F$164*100&amp;LEFT(F$163,1)&amp;$C176&amp;" Curncy","PX_LAST",valDate,valDate)/100</f>
        <v>0.22500000000000001</v>
      </c>
      <c r="G176" s="16">
        <f ca="1">_xll.BDH($C$164&amp;G$164*100&amp;LEFT(G$163,1)&amp;$C176&amp;" Curncy","PX_LAST",valDate,valDate)/100</f>
        <v>3.2349999999999997E-2</v>
      </c>
      <c r="H176" s="16">
        <f ca="1">_xll.BDH($C$164&amp;H$164*100&amp;LEFT(H$163,1)&amp;$C176&amp;" Curncy","PX_LAST",valDate,valDate)/100</f>
        <v>0.11320000000000001</v>
      </c>
      <c r="I176" s="32">
        <f t="shared" ca="1" si="33"/>
        <v>0.42249999999999999</v>
      </c>
      <c r="J176" s="32">
        <f t="shared" ca="1" si="34"/>
        <v>0</v>
      </c>
      <c r="K176" s="32">
        <f t="shared" ca="1" si="35"/>
        <v>0</v>
      </c>
      <c r="L176" s="32">
        <f t="shared" ca="1" si="36"/>
        <v>0</v>
      </c>
      <c r="M176" s="32">
        <f t="shared" ca="1" si="37"/>
        <v>0</v>
      </c>
    </row>
    <row r="178" spans="2:13" x14ac:dyDescent="0.25">
      <c r="C178" s="199" t="s">
        <v>15</v>
      </c>
      <c r="D178" s="199"/>
      <c r="E178" s="199"/>
      <c r="F178" s="199"/>
      <c r="G178" s="199"/>
      <c r="H178" s="199"/>
      <c r="I178" s="8" t="s">
        <v>91</v>
      </c>
      <c r="J178" s="31">
        <v>0</v>
      </c>
      <c r="K178" s="30" t="s">
        <v>92</v>
      </c>
      <c r="L178" s="31">
        <v>0</v>
      </c>
      <c r="M178" t="str" cm="1">
        <f t="array" aca="1" ref="M178" ca="1">_xll.QVol_CreateRiskyFlyVolSurface("fxVol_"&amp;C180,LEFT(C180,3)&amp;"/"&amp;RIGHT(C180,3),valDate,J180:K180,B181:B192,I181:I192,J181:K192,L181:M192,,,"Market",,,C181:C192,,"2b")</f>
        <v>fxVol_XPTUSD¬1</v>
      </c>
    </row>
    <row r="179" spans="2:13" x14ac:dyDescent="0.25">
      <c r="C179" s="25" t="str">
        <f ca="1">VLOOKUP(C180,$H$21:$I$27,2,FALSE)</f>
        <v>XPT/USD¬1</v>
      </c>
      <c r="D179" s="25"/>
      <c r="E179" s="29" t="s">
        <v>87</v>
      </c>
      <c r="F179" s="29" t="s">
        <v>87</v>
      </c>
      <c r="G179" s="29" t="s">
        <v>88</v>
      </c>
      <c r="H179" s="29" t="s">
        <v>88</v>
      </c>
      <c r="I179" s="25"/>
      <c r="J179" s="29" t="s">
        <v>87</v>
      </c>
      <c r="K179" s="29" t="s">
        <v>87</v>
      </c>
      <c r="L179" s="29" t="s">
        <v>88</v>
      </c>
      <c r="M179" s="29" t="s">
        <v>88</v>
      </c>
    </row>
    <row r="180" spans="2:13" ht="15.75" thickBot="1" x14ac:dyDescent="0.3">
      <c r="C180" s="26" t="s">
        <v>96</v>
      </c>
      <c r="D180" s="27" t="s">
        <v>85</v>
      </c>
      <c r="E180" s="28">
        <v>0.25</v>
      </c>
      <c r="F180" s="28">
        <v>0.1</v>
      </c>
      <c r="G180" s="28">
        <v>0.25</v>
      </c>
      <c r="H180" s="28">
        <v>0.1</v>
      </c>
      <c r="I180" s="27" t="s">
        <v>85</v>
      </c>
      <c r="J180" s="28">
        <v>0.25</v>
      </c>
      <c r="K180" s="28">
        <v>0.1</v>
      </c>
      <c r="L180" s="28">
        <v>0.25</v>
      </c>
      <c r="M180" s="28">
        <v>0.1</v>
      </c>
    </row>
    <row r="181" spans="2:13" x14ac:dyDescent="0.25">
      <c r="B181" s="1" cm="1">
        <f t="array" aca="1" ref="B181" ca="1">_xll.QDates_FxOptionExpiryFromTenor(valDate,$C$179,C181)</f>
        <v>44246</v>
      </c>
      <c r="C181" s="8" t="s">
        <v>26</v>
      </c>
      <c r="D181" s="16">
        <f ca="1">_xll.BDH($C$180&amp;"V"&amp;$C181&amp;" Curncy","PX_LAST",valDate,valDate)/100</f>
        <v>0.35899999999999999</v>
      </c>
      <c r="E181" s="16">
        <f ca="1">_xll.BDH($C$180&amp;E$180*100&amp;LEFT(E$179,1)&amp;$C181&amp;" Curncy","PX_LAST",valDate,valDate)/100</f>
        <v>3.5000000000000003E-2</v>
      </c>
      <c r="F181" s="16">
        <f ca="1">_xll.BDH($C$180&amp;F$180*100&amp;LEFT(F$179,1)&amp;$C181&amp;" Curncy","PX_LAST",valDate,valDate)/100</f>
        <v>7.6999999999999999E-2</v>
      </c>
      <c r="G181" s="16">
        <f ca="1">_xll.BDH($C$180&amp;G$180*100&amp;LEFT(G$179,1)&amp;$C181&amp;" Curncy","PX_LAST",valDate,valDate)/100</f>
        <v>1.24E-2</v>
      </c>
      <c r="H181" s="16">
        <f ca="1">_xll.BDH($C$180&amp;H$180*100&amp;LEFT(H$179,1)&amp;$C181&amp;" Curncy","PX_LAST",valDate,valDate)/100</f>
        <v>4.24E-2</v>
      </c>
      <c r="I181" s="32">
        <f ca="1">D181+$J$178</f>
        <v>0.35899999999999999</v>
      </c>
      <c r="J181" s="32">
        <f ca="1">E181*$L$178</f>
        <v>0</v>
      </c>
      <c r="K181" s="32">
        <f ca="1">F181*$L$178</f>
        <v>0</v>
      </c>
      <c r="L181" s="32">
        <f ca="1">G181*$L$178</f>
        <v>0</v>
      </c>
      <c r="M181" s="32">
        <f ca="1">H181*$L$178</f>
        <v>0</v>
      </c>
    </row>
    <row r="182" spans="2:13" x14ac:dyDescent="0.25">
      <c r="B182" s="1" cm="1">
        <f t="array" aca="1" ref="B182" ca="1">_xll.QDates_FxOptionExpiryFromTenor(valDate,$C$179,C182)</f>
        <v>44267</v>
      </c>
      <c r="C182" s="8" t="s">
        <v>28</v>
      </c>
      <c r="D182" s="16">
        <f ca="1">_xll.BDH($C$180&amp;"V"&amp;$C182&amp;" Curncy","PX_LAST",valDate,valDate)/100</f>
        <v>0.36849999999999999</v>
      </c>
      <c r="E182" s="16">
        <f ca="1">_xll.BDH($C$180&amp;E$180*100&amp;LEFT(E$179,1)&amp;$C182&amp;" Curncy","PX_LAST",valDate,valDate)/100</f>
        <v>3.5000000000000003E-2</v>
      </c>
      <c r="F182" s="16">
        <f ca="1">_xll.BDH($C$180&amp;F$180*100&amp;LEFT(F$179,1)&amp;$C182&amp;" Curncy","PX_LAST",valDate,valDate)/100</f>
        <v>7.6999999999999999E-2</v>
      </c>
      <c r="G182" s="16">
        <f ca="1">_xll.BDH($C$180&amp;G$180*100&amp;LEFT(G$179,1)&amp;$C182&amp;" Curncy","PX_LAST",valDate,valDate)/100</f>
        <v>1.345E-2</v>
      </c>
      <c r="H182" s="16">
        <f ca="1">_xll.BDH($C$180&amp;H$180*100&amp;LEFT(H$179,1)&amp;$C182&amp;" Curncy","PX_LAST",valDate,valDate)/100</f>
        <v>4.7350000000000003E-2</v>
      </c>
      <c r="I182" s="32">
        <f t="shared" ref="I182:I192" ca="1" si="38">D182+$J$178</f>
        <v>0.36849999999999999</v>
      </c>
      <c r="J182" s="32">
        <f t="shared" ref="J182:J192" ca="1" si="39">E182*$L$178</f>
        <v>0</v>
      </c>
      <c r="K182" s="32">
        <f t="shared" ref="K182:K192" ca="1" si="40">F182*$L$178</f>
        <v>0</v>
      </c>
      <c r="L182" s="32">
        <f t="shared" ref="L182:L192" ca="1" si="41">G182*$L$178</f>
        <v>0</v>
      </c>
      <c r="M182" s="32">
        <f t="shared" ref="M182:M192" ca="1" si="42">H182*$L$178</f>
        <v>0</v>
      </c>
    </row>
    <row r="183" spans="2:13" x14ac:dyDescent="0.25">
      <c r="B183" s="1" cm="1">
        <f t="array" aca="1" ref="B183" ca="1">_xll.QDates_FxOptionExpiryFromTenor(valDate,$C$179,C183)</f>
        <v>44300</v>
      </c>
      <c r="C183" s="8" t="s">
        <v>29</v>
      </c>
      <c r="D183" s="16">
        <f ca="1">_xll.BDH($C$180&amp;"V"&amp;$C183&amp;" Curncy","PX_LAST",valDate,valDate)/100</f>
        <v>0.35399999999999998</v>
      </c>
      <c r="E183" s="16">
        <f ca="1">_xll.BDH($C$180&amp;E$180*100&amp;LEFT(E$179,1)&amp;$C183&amp;" Curncy","PX_LAST",valDate,valDate)/100</f>
        <v>3.5499999999999997E-2</v>
      </c>
      <c r="F183" s="16">
        <f ca="1">_xll.BDH($C$180&amp;F$180*100&amp;LEFT(F$179,1)&amp;$C183&amp;" Curncy","PX_LAST",valDate,valDate)/100</f>
        <v>8.1649999999999986E-2</v>
      </c>
      <c r="G183" s="16">
        <f ca="1">_xll.BDH($C$180&amp;G$180*100&amp;LEFT(G$179,1)&amp;$C183&amp;" Curncy","PX_LAST",valDate,valDate)/100</f>
        <v>1.455E-2</v>
      </c>
      <c r="H183" s="16">
        <f ca="1">_xll.BDH($C$180&amp;H$180*100&amp;LEFT(H$179,1)&amp;$C183&amp;" Curncy","PX_LAST",valDate,valDate)/100</f>
        <v>5.2649999999999995E-2</v>
      </c>
      <c r="I183" s="32">
        <f t="shared" ca="1" si="38"/>
        <v>0.35399999999999998</v>
      </c>
      <c r="J183" s="32">
        <f t="shared" ca="1" si="39"/>
        <v>0</v>
      </c>
      <c r="K183" s="32">
        <f t="shared" ca="1" si="40"/>
        <v>0</v>
      </c>
      <c r="L183" s="32">
        <f t="shared" ca="1" si="41"/>
        <v>0</v>
      </c>
      <c r="M183" s="32">
        <f t="shared" ca="1" si="42"/>
        <v>0</v>
      </c>
    </row>
    <row r="184" spans="2:13" x14ac:dyDescent="0.25">
      <c r="B184" s="1" cm="1">
        <f t="array" aca="1" ref="B184" ca="1">_xll.QDates_FxOptionExpiryFromTenor(valDate,$C$179,C184)</f>
        <v>44329</v>
      </c>
      <c r="C184" s="8" t="s">
        <v>30</v>
      </c>
      <c r="D184" s="16">
        <f ca="1">_xll.BDH($C$180&amp;"V"&amp;$C184&amp;" Curncy","PX_LAST",valDate,valDate)/100</f>
        <v>0.34799999999999998</v>
      </c>
      <c r="E184" s="16">
        <f ca="1">_xll.BDH($C$180&amp;E$180*100&amp;LEFT(E$179,1)&amp;$C184&amp;" Curncy","PX_LAST",valDate,valDate)/100</f>
        <v>3.6000000000000004E-2</v>
      </c>
      <c r="F184" s="16">
        <f ca="1">_xll.BDH($C$180&amp;F$180*100&amp;LEFT(F$179,1)&amp;$C184&amp;" Curncy","PX_LAST",valDate,valDate)/100</f>
        <v>8.2799999999999999E-2</v>
      </c>
      <c r="G184" s="16">
        <f ca="1">_xll.BDH($C$180&amp;G$180*100&amp;LEFT(G$179,1)&amp;$C184&amp;" Curncy","PX_LAST",valDate,valDate)/100</f>
        <v>1.5600000000000001E-2</v>
      </c>
      <c r="H184" s="16">
        <f ca="1">_xll.BDH($C$180&amp;H$180*100&amp;LEFT(H$179,1)&amp;$C184&amp;" Curncy","PX_LAST",valDate,valDate)/100</f>
        <v>5.6500000000000002E-2</v>
      </c>
      <c r="I184" s="32">
        <f t="shared" ca="1" si="38"/>
        <v>0.34799999999999998</v>
      </c>
      <c r="J184" s="32">
        <f t="shared" ca="1" si="39"/>
        <v>0</v>
      </c>
      <c r="K184" s="32">
        <f t="shared" ca="1" si="40"/>
        <v>0</v>
      </c>
      <c r="L184" s="32">
        <f t="shared" ca="1" si="41"/>
        <v>0</v>
      </c>
      <c r="M184" s="32">
        <f t="shared" ca="1" si="42"/>
        <v>0</v>
      </c>
    </row>
    <row r="185" spans="2:13" x14ac:dyDescent="0.25">
      <c r="B185" s="1" cm="1">
        <f t="array" aca="1" ref="B185" ca="1">_xll.QDates_FxOptionExpiryFromTenor(valDate,$C$179,C185)</f>
        <v>44420</v>
      </c>
      <c r="C185" s="8" t="s">
        <v>31</v>
      </c>
      <c r="D185" s="16">
        <f ca="1">_xll.BDH($C$180&amp;"V"&amp;$C185&amp;" Curncy","PX_LAST",valDate,valDate)/100</f>
        <v>0.33399999999999996</v>
      </c>
      <c r="E185" s="16">
        <f ca="1">_xll.BDH($C$180&amp;E$180*100&amp;LEFT(E$179,1)&amp;$C185&amp;" Curncy","PX_LAST",valDate,valDate)/100</f>
        <v>3.85E-2</v>
      </c>
      <c r="F185" s="16">
        <f ca="1">_xll.BDH($C$180&amp;F$180*100&amp;LEFT(F$179,1)&amp;$C185&amp;" Curncy","PX_LAST",valDate,valDate)/100</f>
        <v>8.6599999999999996E-2</v>
      </c>
      <c r="G185" s="16">
        <f ca="1">_xll.BDH($C$180&amp;G$180*100&amp;LEFT(G$179,1)&amp;$C185&amp;" Curncy","PX_LAST",valDate,valDate)/100</f>
        <v>1.6800000000000002E-2</v>
      </c>
      <c r="H185" s="16">
        <f ca="1">_xll.BDH($C$180&amp;H$180*100&amp;LEFT(H$179,1)&amp;$C185&amp;" Curncy","PX_LAST",valDate,valDate)/100</f>
        <v>6.0449999999999997E-2</v>
      </c>
      <c r="I185" s="32">
        <f t="shared" ca="1" si="38"/>
        <v>0.33399999999999996</v>
      </c>
      <c r="J185" s="32">
        <f t="shared" ca="1" si="39"/>
        <v>0</v>
      </c>
      <c r="K185" s="32">
        <f t="shared" ca="1" si="40"/>
        <v>0</v>
      </c>
      <c r="L185" s="32">
        <f t="shared" ca="1" si="41"/>
        <v>0</v>
      </c>
      <c r="M185" s="32">
        <f t="shared" ca="1" si="42"/>
        <v>0</v>
      </c>
    </row>
    <row r="186" spans="2:13" x14ac:dyDescent="0.25">
      <c r="B186" s="1" cm="1">
        <f t="array" aca="1" ref="B186" ca="1">_xll.QDates_FxOptionExpiryFromTenor(valDate,$C$179,C186)</f>
        <v>44512</v>
      </c>
      <c r="C186" s="8" t="s">
        <v>32</v>
      </c>
      <c r="D186" s="16">
        <f ca="1">_xll.BDH($C$180&amp;"V"&amp;$C186&amp;" Curncy","PX_LAST",valDate,valDate)/100</f>
        <v>0.32549999999999996</v>
      </c>
      <c r="E186" s="16">
        <f ca="1">_xll.BDH($C$180&amp;E$180*100&amp;LEFT(E$179,1)&amp;$C186&amp;" Curncy","PX_LAST",valDate,valDate)/100</f>
        <v>4.0999999999999995E-2</v>
      </c>
      <c r="F186" s="16">
        <f ca="1">_xll.BDH($C$180&amp;F$180*100&amp;LEFT(F$179,1)&amp;$C186&amp;" Curncy","PX_LAST",valDate,valDate)/100</f>
        <v>8.8149999999999992E-2</v>
      </c>
      <c r="G186" s="16">
        <f ca="1">_xll.BDH($C$180&amp;G$180*100&amp;LEFT(G$179,1)&amp;$C186&amp;" Curncy","PX_LAST",valDate,valDate)/100</f>
        <v>1.8450000000000001E-2</v>
      </c>
      <c r="H186" s="16">
        <f ca="1">_xll.BDH($C$180&amp;H$180*100&amp;LEFT(H$179,1)&amp;$C186&amp;" Curncy","PX_LAST",valDate,valDate)/100</f>
        <v>6.6100000000000006E-2</v>
      </c>
      <c r="I186" s="32">
        <f t="shared" ca="1" si="38"/>
        <v>0.32549999999999996</v>
      </c>
      <c r="J186" s="32">
        <f t="shared" ca="1" si="39"/>
        <v>0</v>
      </c>
      <c r="K186" s="32">
        <f t="shared" ca="1" si="40"/>
        <v>0</v>
      </c>
      <c r="L186" s="32">
        <f t="shared" ca="1" si="41"/>
        <v>0</v>
      </c>
      <c r="M186" s="32">
        <f t="shared" ca="1" si="42"/>
        <v>0</v>
      </c>
    </row>
    <row r="187" spans="2:13" x14ac:dyDescent="0.25">
      <c r="B187" s="1" cm="1">
        <f t="array" aca="1" ref="B187" ca="1">_xll.QDates_FxOptionExpiryFromTenor(valDate,$C$179,C187)</f>
        <v>44606</v>
      </c>
      <c r="C187" s="8" t="s">
        <v>71</v>
      </c>
      <c r="D187" s="16">
        <f ca="1">_xll.BDH($C$180&amp;"V"&amp;$C187&amp;" Curncy","PX_LAST",valDate,valDate)/100</f>
        <v>0.32</v>
      </c>
      <c r="E187" s="16">
        <f ca="1">_xll.BDH($C$180&amp;E$180*100&amp;LEFT(E$179,1)&amp;$C187&amp;" Curncy","PX_LAST",valDate,valDate)/100</f>
        <v>4.2999999999999997E-2</v>
      </c>
      <c r="F187" s="16">
        <f ca="1">_xll.BDH($C$180&amp;F$180*100&amp;LEFT(F$179,1)&amp;$C187&amp;" Curncy","PX_LAST",valDate,valDate)/100</f>
        <v>8.8149999999999992E-2</v>
      </c>
      <c r="G187" s="16">
        <f ca="1">_xll.BDH($C$180&amp;G$180*100&amp;LEFT(G$179,1)&amp;$C187&amp;" Curncy","PX_LAST",valDate,valDate)/100</f>
        <v>1.9599999999999999E-2</v>
      </c>
      <c r="H187" s="16">
        <f ca="1">_xll.BDH($C$180&amp;H$180*100&amp;LEFT(H$179,1)&amp;$C187&amp;" Curncy","PX_LAST",valDate,valDate)/100</f>
        <v>6.9900000000000004E-2</v>
      </c>
      <c r="I187" s="32">
        <f t="shared" ca="1" si="38"/>
        <v>0.32</v>
      </c>
      <c r="J187" s="32">
        <f t="shared" ca="1" si="39"/>
        <v>0</v>
      </c>
      <c r="K187" s="32">
        <f t="shared" ca="1" si="40"/>
        <v>0</v>
      </c>
      <c r="L187" s="32">
        <f t="shared" ca="1" si="41"/>
        <v>0</v>
      </c>
      <c r="M187" s="32">
        <f t="shared" ca="1" si="42"/>
        <v>0</v>
      </c>
    </row>
    <row r="188" spans="2:13" x14ac:dyDescent="0.25">
      <c r="B188" s="1" cm="1">
        <f t="array" aca="1" ref="B188" ca="1">_xll.QDates_FxOptionExpiryFromTenor(valDate,$C$179,C188)</f>
        <v>44785</v>
      </c>
      <c r="C188" s="8" t="s">
        <v>34</v>
      </c>
      <c r="D188" s="16">
        <f ca="1">_xll.BDH($C$180&amp;"V"&amp;$C188&amp;" Curncy","PX_LAST",valDate,valDate)/100</f>
        <v>0.32014999999999999</v>
      </c>
      <c r="E188" s="16">
        <f ca="1">_xll.BDH($C$180&amp;E$180*100&amp;LEFT(E$179,1)&amp;$C188&amp;" Curncy","PX_LAST",valDate,valDate)/100</f>
        <v>4.3025000000000001E-2</v>
      </c>
      <c r="F188" s="16">
        <f ca="1">_xll.BDH($C$180&amp;F$180*100&amp;LEFT(F$179,1)&amp;$C188&amp;" Curncy","PX_LAST",valDate,valDate)/100</f>
        <v>8.1674999999999998E-2</v>
      </c>
      <c r="G188" s="16">
        <f ca="1">_xll.BDH($C$180&amp;G$180*100&amp;LEFT(G$179,1)&amp;$C188&amp;" Curncy","PX_LAST",valDate,valDate)/100</f>
        <v>1.8349999999999998E-2</v>
      </c>
      <c r="H188" s="16">
        <f ca="1">_xll.BDH($C$180&amp;H$180*100&amp;LEFT(H$179,1)&amp;$C188&amp;" Curncy","PX_LAST",valDate,valDate)/100</f>
        <v>6.2774999999999997E-2</v>
      </c>
      <c r="I188" s="32">
        <f t="shared" ca="1" si="38"/>
        <v>0.32014999999999999</v>
      </c>
      <c r="J188" s="32">
        <f t="shared" ca="1" si="39"/>
        <v>0</v>
      </c>
      <c r="K188" s="32">
        <f t="shared" ca="1" si="40"/>
        <v>0</v>
      </c>
      <c r="L188" s="32">
        <f t="shared" ca="1" si="41"/>
        <v>0</v>
      </c>
      <c r="M188" s="32">
        <f t="shared" ca="1" si="42"/>
        <v>0</v>
      </c>
    </row>
    <row r="189" spans="2:13" x14ac:dyDescent="0.25">
      <c r="B189" s="1" cm="1">
        <f t="array" aca="1" ref="B189" ca="1">_xll.QDates_FxOptionExpiryFromTenor(valDate,$C$179,C189)</f>
        <v>44971</v>
      </c>
      <c r="C189" s="8" t="s">
        <v>35</v>
      </c>
      <c r="D189" s="16">
        <f ca="1">_xll.BDH($C$180&amp;"V"&amp;$C189&amp;" Curncy","PX_LAST",valDate,valDate)/100</f>
        <v>0.32</v>
      </c>
      <c r="E189" s="16">
        <f ca="1">_xll.BDH($C$180&amp;E$180*100&amp;LEFT(E$179,1)&amp;$C189&amp;" Curncy","PX_LAST",valDate,valDate)/100</f>
        <v>4.3499999999999997E-2</v>
      </c>
      <c r="F189" s="16">
        <f ca="1">_xll.BDH($C$180&amp;F$180*100&amp;LEFT(F$179,1)&amp;$C189&amp;" Curncy","PX_LAST",valDate,valDate)/100</f>
        <v>8.2650000000000001E-2</v>
      </c>
      <c r="G189" s="16">
        <f ca="1">_xll.BDH($C$180&amp;G$180*100&amp;LEFT(G$179,1)&amp;$C189&amp;" Curncy","PX_LAST",valDate,valDate)/100</f>
        <v>1.7250000000000001E-2</v>
      </c>
      <c r="H189" s="16">
        <f ca="1">_xll.BDH($C$180&amp;H$180*100&amp;LEFT(H$179,1)&amp;$C189&amp;" Curncy","PX_LAST",valDate,valDate)/100</f>
        <v>6.08E-2</v>
      </c>
      <c r="I189" s="32">
        <f t="shared" ca="1" si="38"/>
        <v>0.32</v>
      </c>
      <c r="J189" s="32">
        <f t="shared" ca="1" si="39"/>
        <v>0</v>
      </c>
      <c r="K189" s="32">
        <f t="shared" ca="1" si="40"/>
        <v>0</v>
      </c>
      <c r="L189" s="32">
        <f t="shared" ca="1" si="41"/>
        <v>0</v>
      </c>
      <c r="M189" s="32">
        <f t="shared" ca="1" si="42"/>
        <v>0</v>
      </c>
    </row>
    <row r="190" spans="2:13" x14ac:dyDescent="0.25">
      <c r="B190" s="1" cm="1">
        <f t="array" aca="1" ref="B190" ca="1">_xll.QDates_FxOptionExpiryFromTenor(valDate,$C$179,C190)</f>
        <v>45336</v>
      </c>
      <c r="C190" s="8" t="s">
        <v>36</v>
      </c>
      <c r="D190" s="16">
        <f ca="1">_xll.BDH($C$180&amp;"V"&amp;$C190&amp;" Curncy","PX_LAST",valDate,valDate)/100</f>
        <v>0.32250000000000001</v>
      </c>
      <c r="E190" s="16">
        <f ca="1">_xll.BDH($C$180&amp;E$180*100&amp;LEFT(E$179,1)&amp;$C190&amp;" Curncy","PX_LAST",valDate,valDate)/100</f>
        <v>4.4000000000000004E-2</v>
      </c>
      <c r="F190" s="16">
        <f ca="1">_xll.BDH($C$180&amp;F$180*100&amp;LEFT(F$179,1)&amp;$C190&amp;" Curncy","PX_LAST",valDate,valDate)/100</f>
        <v>7.9199999999999993E-2</v>
      </c>
      <c r="G190" s="16">
        <f ca="1">_xll.BDH($C$180&amp;G$180*100&amp;LEFT(G$179,1)&amp;$C190&amp;" Curncy","PX_LAST",valDate,valDate)/100</f>
        <v>1.8550000000000001E-2</v>
      </c>
      <c r="H190" s="16">
        <f ca="1">_xll.BDH($C$180&amp;H$180*100&amp;LEFT(H$179,1)&amp;$C190&amp;" Curncy","PX_LAST",valDate,valDate)/100</f>
        <v>6.1399999999999996E-2</v>
      </c>
      <c r="I190" s="32">
        <f t="shared" ca="1" si="38"/>
        <v>0.32250000000000001</v>
      </c>
      <c r="J190" s="32">
        <f t="shared" ca="1" si="39"/>
        <v>0</v>
      </c>
      <c r="K190" s="32">
        <f t="shared" ca="1" si="40"/>
        <v>0</v>
      </c>
      <c r="L190" s="32">
        <f t="shared" ca="1" si="41"/>
        <v>0</v>
      </c>
      <c r="M190" s="32">
        <f t="shared" ca="1" si="42"/>
        <v>0</v>
      </c>
    </row>
    <row r="191" spans="2:13" x14ac:dyDescent="0.25">
      <c r="B191" s="1" cm="1">
        <f t="array" aca="1" ref="B191" ca="1">_xll.QDates_FxOptionExpiryFromTenor(valDate,$C$179,C191)</f>
        <v>45701</v>
      </c>
      <c r="C191" s="8" t="s">
        <v>58</v>
      </c>
      <c r="D191" s="16">
        <f ca="1">_xll.BDH($C$180&amp;"V"&amp;$C191&amp;" Curncy","PX_LAST",valDate,valDate)/100</f>
        <v>0.32500000000000001</v>
      </c>
      <c r="E191" s="16">
        <f ca="1">_xll.BDH($C$180&amp;E$180*100&amp;LEFT(E$179,1)&amp;$C191&amp;" Curncy","PX_LAST",valDate,valDate)/100</f>
        <v>4.4000000000000004E-2</v>
      </c>
      <c r="F191" s="16">
        <f ca="1">_xll.BDH($C$180&amp;F$180*100&amp;LEFT(F$179,1)&amp;$C191&amp;" Curncy","PX_LAST",valDate,valDate)/100</f>
        <v>7.4800000000000005E-2</v>
      </c>
      <c r="G191" s="16">
        <f ca="1">_xll.BDH($C$180&amp;G$180*100&amp;LEFT(G$179,1)&amp;$C191&amp;" Curncy","PX_LAST",valDate,valDate)/100</f>
        <v>1.8749999999999999E-2</v>
      </c>
      <c r="H191" s="16">
        <f ca="1">_xll.BDH($C$180&amp;H$180*100&amp;LEFT(H$179,1)&amp;$C191&amp;" Curncy","PX_LAST",valDate,valDate)/100</f>
        <v>5.8749999999999997E-2</v>
      </c>
      <c r="I191" s="32">
        <f t="shared" ca="1" si="38"/>
        <v>0.32500000000000001</v>
      </c>
      <c r="J191" s="32">
        <f t="shared" ca="1" si="39"/>
        <v>0</v>
      </c>
      <c r="K191" s="32">
        <f t="shared" ca="1" si="40"/>
        <v>0</v>
      </c>
      <c r="L191" s="32">
        <f t="shared" ca="1" si="41"/>
        <v>0</v>
      </c>
      <c r="M191" s="32">
        <f t="shared" ca="1" si="42"/>
        <v>0</v>
      </c>
    </row>
    <row r="192" spans="2:13" x14ac:dyDescent="0.25">
      <c r="B192" s="1" cm="1">
        <f t="array" aca="1" ref="B192" ca="1">_xll.QDates_FxOptionExpiryFromTenor(valDate,$C$179,C192)</f>
        <v>46065</v>
      </c>
      <c r="C192" s="8" t="s">
        <v>37</v>
      </c>
      <c r="D192" s="16">
        <f ca="1">_xll.BDH($C$180&amp;"V"&amp;$C192&amp;" Curncy","PX_LAST",valDate,valDate)/100</f>
        <v>0.32750000000000001</v>
      </c>
      <c r="E192" s="16">
        <f ca="1">_xll.BDH($C$180&amp;E$180*100&amp;LEFT(E$179,1)&amp;$C192&amp;" Curncy","PX_LAST",valDate,valDate)/100</f>
        <v>4.4000000000000004E-2</v>
      </c>
      <c r="F192" s="16">
        <f ca="1">_xll.BDH($C$180&amp;F$180*100&amp;LEFT(F$179,1)&amp;$C192&amp;" Curncy","PX_LAST",valDate,valDate)/100</f>
        <v>7.2599999999999998E-2</v>
      </c>
      <c r="G192" s="16">
        <f ca="1">_xll.BDH($C$180&amp;G$180*100&amp;LEFT(G$179,1)&amp;$C192&amp;" Curncy","PX_LAST",valDate,valDate)/100</f>
        <v>1.89E-2</v>
      </c>
      <c r="H192" s="16">
        <f ca="1">_xll.BDH($C$180&amp;H$180*100&amp;LEFT(H$179,1)&amp;$C192&amp;" Curncy","PX_LAST",valDate,valDate)/100</f>
        <v>5.3949999999999998E-2</v>
      </c>
      <c r="I192" s="32">
        <f t="shared" ca="1" si="38"/>
        <v>0.32750000000000001</v>
      </c>
      <c r="J192" s="32">
        <f t="shared" ca="1" si="39"/>
        <v>0</v>
      </c>
      <c r="K192" s="32">
        <f t="shared" ca="1" si="40"/>
        <v>0</v>
      </c>
      <c r="L192" s="32">
        <f t="shared" ca="1" si="41"/>
        <v>0</v>
      </c>
      <c r="M192" s="32">
        <f t="shared" ca="1" si="42"/>
        <v>0</v>
      </c>
    </row>
    <row r="194" spans="2:13" x14ac:dyDescent="0.25">
      <c r="C194" s="199" t="s">
        <v>15</v>
      </c>
      <c r="D194" s="199"/>
      <c r="E194" s="199"/>
      <c r="F194" s="199"/>
      <c r="G194" s="199"/>
      <c r="H194" s="199"/>
      <c r="I194" s="8" t="s">
        <v>91</v>
      </c>
      <c r="J194" s="31">
        <v>0.01</v>
      </c>
      <c r="K194" s="30" t="s">
        <v>92</v>
      </c>
      <c r="L194" s="31">
        <v>1</v>
      </c>
      <c r="M194" t="str" cm="1">
        <f t="array" aca="1" ref="M194" ca="1">_xll.QVol_CreateRiskyFlyVolSurface("fxVol_"&amp;C196,LEFT(C196,3)&amp;"/"&amp;RIGHT(C196,3),valDate,J196:K196,B197:B208,I197:I208,J197:K208,L197:M208,,,"Market",,,C197:C208,,"2b")</f>
        <v>fxVol_XPDUSD¬1</v>
      </c>
    </row>
    <row r="195" spans="2:13" x14ac:dyDescent="0.25">
      <c r="C195" s="25" t="str">
        <f ca="1">VLOOKUP(C196,$H$21:$I$27,2,FALSE)</f>
        <v>XPD/USD¬1</v>
      </c>
      <c r="D195" s="25"/>
      <c r="E195" s="29" t="s">
        <v>87</v>
      </c>
      <c r="F195" s="29" t="s">
        <v>87</v>
      </c>
      <c r="G195" s="29" t="s">
        <v>88</v>
      </c>
      <c r="H195" s="29" t="s">
        <v>88</v>
      </c>
      <c r="I195" s="25"/>
      <c r="J195" s="29" t="s">
        <v>87</v>
      </c>
      <c r="K195" s="29" t="s">
        <v>87</v>
      </c>
      <c r="L195" s="29" t="s">
        <v>88</v>
      </c>
      <c r="M195" s="29" t="s">
        <v>88</v>
      </c>
    </row>
    <row r="196" spans="2:13" ht="15.75" thickBot="1" x14ac:dyDescent="0.3">
      <c r="C196" s="26" t="s">
        <v>97</v>
      </c>
      <c r="D196" s="27" t="s">
        <v>85</v>
      </c>
      <c r="E196" s="28">
        <v>0.25</v>
      </c>
      <c r="F196" s="28">
        <v>0.1</v>
      </c>
      <c r="G196" s="28">
        <v>0.25</v>
      </c>
      <c r="H196" s="28">
        <v>0.1</v>
      </c>
      <c r="I196" s="27" t="s">
        <v>85</v>
      </c>
      <c r="J196" s="28">
        <v>0.25</v>
      </c>
      <c r="K196" s="28">
        <v>0.1</v>
      </c>
      <c r="L196" s="28">
        <v>0.25</v>
      </c>
      <c r="M196" s="28">
        <v>0.1</v>
      </c>
    </row>
    <row r="197" spans="2:13" x14ac:dyDescent="0.25">
      <c r="B197" s="1" cm="1">
        <f t="array" aca="1" ref="B197" ca="1">_xll.QDates_FxOptionExpiryFromTenor(valDate,$C$195,C197)</f>
        <v>44246</v>
      </c>
      <c r="C197" s="8" t="s">
        <v>26</v>
      </c>
      <c r="D197" s="16">
        <f ca="1">_xll.BDH($C$196&amp;"V"&amp;$C197&amp;" Curncy","PX_LAST",valDate,valDate)/100</f>
        <v>0.32500000000000001</v>
      </c>
      <c r="E197" s="33">
        <f ca="1">E198</f>
        <v>0.01</v>
      </c>
      <c r="F197" s="33">
        <f ca="1">F198</f>
        <v>1.3000000000000001E-2</v>
      </c>
      <c r="G197" s="16">
        <f ca="1">_xll.BDH($C$196&amp;G$196*100&amp;LEFT(G$195,1)&amp;$C197&amp;" Curncy","PX_LAST",valDate,valDate)/100</f>
        <v>1.9975E-2</v>
      </c>
      <c r="H197" s="16">
        <f ca="1">_xll.BDH($C$196&amp;H$196*100&amp;LEFT(H$195,1)&amp;$C197&amp;" Curncy","PX_LAST",valDate,valDate)/100</f>
        <v>0.10957499999999999</v>
      </c>
      <c r="I197" s="32">
        <f ca="1">D197+$J$194</f>
        <v>0.33500000000000002</v>
      </c>
      <c r="J197" s="32">
        <f ca="1">E197*$L$194</f>
        <v>0.01</v>
      </c>
      <c r="K197" s="32">
        <f ca="1">F197*$L$194</f>
        <v>1.3000000000000001E-2</v>
      </c>
      <c r="L197" s="32">
        <f ca="1">G197*$L$194</f>
        <v>1.9975E-2</v>
      </c>
      <c r="M197" s="32">
        <f ca="1">H197*$L$194</f>
        <v>0.10957499999999999</v>
      </c>
    </row>
    <row r="198" spans="2:13" x14ac:dyDescent="0.25">
      <c r="B198" s="1" cm="1">
        <f t="array" aca="1" ref="B198" ca="1">_xll.QDates_FxOptionExpiryFromTenor(valDate,$C$195,C198)</f>
        <v>44267</v>
      </c>
      <c r="C198" s="8" t="s">
        <v>28</v>
      </c>
      <c r="D198" s="16">
        <f ca="1">_xll.BDH($C$196&amp;"V"&amp;$C198&amp;" Curncy","PX_LAST",valDate,valDate)/100</f>
        <v>0.315</v>
      </c>
      <c r="E198" s="16">
        <f ca="1">_xll.BDH($C$196&amp;E$196*100&amp;LEFT(E$195,1)&amp;$C198&amp;" Curncy","PX_LAST",valDate,valDate)/100</f>
        <v>0.01</v>
      </c>
      <c r="F198" s="16">
        <f ca="1">_xll.BDH($C$196&amp;F$196*100&amp;LEFT(F$195,1)&amp;$C198&amp;" Curncy","PX_LAST",valDate,valDate)/100</f>
        <v>1.3000000000000001E-2</v>
      </c>
      <c r="G198" s="16">
        <f ca="1">_xll.BDH($C$196&amp;G$196*100&amp;LEFT(G$195,1)&amp;$C198&amp;" Curncy","PX_LAST",valDate,valDate)/100</f>
        <v>1.8874999999999999E-2</v>
      </c>
      <c r="H198" s="16">
        <f ca="1">_xll.BDH($C$196&amp;H$196*100&amp;LEFT(H$195,1)&amp;$C198&amp;" Curncy","PX_LAST",valDate,valDate)/100</f>
        <v>0.10339999999999999</v>
      </c>
      <c r="I198" s="32">
        <f t="shared" ref="I198:I208" ca="1" si="43">D198+$J$194</f>
        <v>0.32500000000000001</v>
      </c>
      <c r="J198" s="32">
        <f t="shared" ref="J198:J208" ca="1" si="44">E198*$L$194</f>
        <v>0.01</v>
      </c>
      <c r="K198" s="32">
        <f t="shared" ref="K198:K208" ca="1" si="45">F198*$L$194</f>
        <v>1.3000000000000001E-2</v>
      </c>
      <c r="L198" s="32">
        <f t="shared" ref="L198:L208" ca="1" si="46">G198*$L$194</f>
        <v>1.8874999999999999E-2</v>
      </c>
      <c r="M198" s="32">
        <f t="shared" ref="M198:M208" ca="1" si="47">H198*$L$194</f>
        <v>0.10339999999999999</v>
      </c>
    </row>
    <row r="199" spans="2:13" x14ac:dyDescent="0.25">
      <c r="B199" s="1" cm="1">
        <f t="array" aca="1" ref="B199" ca="1">_xll.QDates_FxOptionExpiryFromTenor(valDate,$C$195,C199)</f>
        <v>44300</v>
      </c>
      <c r="C199" s="8" t="s">
        <v>29</v>
      </c>
      <c r="D199" s="16">
        <f ca="1">_xll.BDH($C$196&amp;"V"&amp;$C199&amp;" Curncy","PX_LAST",valDate,valDate)/100</f>
        <v>0.313</v>
      </c>
      <c r="E199" s="16">
        <f ca="1">_xll.BDH($C$196&amp;E$196*100&amp;LEFT(E$195,1)&amp;$C199&amp;" Curncy","PX_LAST",valDate,valDate)/100</f>
        <v>1.2500000000000001E-2</v>
      </c>
      <c r="F199" s="16">
        <f ca="1">_xll.BDH($C$196&amp;F$196*100&amp;LEFT(F$195,1)&amp;$C199&amp;" Curncy","PX_LAST",valDate,valDate)/100</f>
        <v>1.7000000000000001E-2</v>
      </c>
      <c r="G199" s="16">
        <f ca="1">_xll.BDH($C$196&amp;G$196*100&amp;LEFT(G$195,1)&amp;$C199&amp;" Curncy","PX_LAST",valDate,valDate)/100</f>
        <v>1.89E-2</v>
      </c>
      <c r="H199" s="16">
        <f ca="1">_xll.BDH($C$196&amp;H$196*100&amp;LEFT(H$195,1)&amp;$C199&amp;" Curncy","PX_LAST",valDate,valDate)/100</f>
        <v>0.10312499999999999</v>
      </c>
      <c r="I199" s="32">
        <f t="shared" ca="1" si="43"/>
        <v>0.32300000000000001</v>
      </c>
      <c r="J199" s="32">
        <f t="shared" ca="1" si="44"/>
        <v>1.2500000000000001E-2</v>
      </c>
      <c r="K199" s="32">
        <f t="shared" ca="1" si="45"/>
        <v>1.7000000000000001E-2</v>
      </c>
      <c r="L199" s="32">
        <f t="shared" ca="1" si="46"/>
        <v>1.89E-2</v>
      </c>
      <c r="M199" s="32">
        <f t="shared" ca="1" si="47"/>
        <v>0.10312499999999999</v>
      </c>
    </row>
    <row r="200" spans="2:13" x14ac:dyDescent="0.25">
      <c r="B200" s="1" cm="1">
        <f t="array" aca="1" ref="B200" ca="1">_xll.QDates_FxOptionExpiryFromTenor(valDate,$C$195,C200)</f>
        <v>44329</v>
      </c>
      <c r="C200" s="8" t="s">
        <v>30</v>
      </c>
      <c r="D200" s="16">
        <f ca="1">_xll.BDH($C$196&amp;"V"&amp;$C200&amp;" Curncy","PX_LAST",valDate,valDate)/100</f>
        <v>0.32047500000000001</v>
      </c>
      <c r="E200" s="16">
        <f ca="1">_xll.BDH($C$196&amp;E$196*100&amp;LEFT(E$195,1)&amp;$C200&amp;" Curncy","PX_LAST",valDate,valDate)/100</f>
        <v>1.4999999999999999E-2</v>
      </c>
      <c r="F200" s="16">
        <f ca="1">_xll.BDH($C$196&amp;F$196*100&amp;LEFT(F$195,1)&amp;$C200&amp;" Curncy","PX_LAST",valDate,valDate)/100</f>
        <v>2.5849999999999998E-2</v>
      </c>
      <c r="G200" s="16">
        <f ca="1">_xll.BDH($C$196&amp;G$196*100&amp;LEFT(G$195,1)&amp;$C200&amp;" Curncy","PX_LAST",valDate,valDate)/100</f>
        <v>1.8824999999999998E-2</v>
      </c>
      <c r="H200" s="16">
        <f ca="1">_xll.BDH($C$196&amp;H$196*100&amp;LEFT(H$195,1)&amp;$C200&amp;" Curncy","PX_LAST",valDate,valDate)/100</f>
        <v>0.1024</v>
      </c>
      <c r="I200" s="32">
        <f t="shared" ca="1" si="43"/>
        <v>0.33047500000000002</v>
      </c>
      <c r="J200" s="32">
        <f t="shared" ca="1" si="44"/>
        <v>1.4999999999999999E-2</v>
      </c>
      <c r="K200" s="32">
        <f t="shared" ca="1" si="45"/>
        <v>2.5849999999999998E-2</v>
      </c>
      <c r="L200" s="32">
        <f t="shared" ca="1" si="46"/>
        <v>1.8824999999999998E-2</v>
      </c>
      <c r="M200" s="32">
        <f t="shared" ca="1" si="47"/>
        <v>0.1024</v>
      </c>
    </row>
    <row r="201" spans="2:13" x14ac:dyDescent="0.25">
      <c r="B201" s="1" cm="1">
        <f t="array" aca="1" ref="B201" ca="1">_xll.QDates_FxOptionExpiryFromTenor(valDate,$C$195,C201)</f>
        <v>44420</v>
      </c>
      <c r="C201" s="8" t="s">
        <v>31</v>
      </c>
      <c r="D201" s="16">
        <f ca="1">_xll.BDH($C$196&amp;"V"&amp;$C201&amp;" Curncy","PX_LAST",valDate,valDate)/100</f>
        <v>0.33100000000000002</v>
      </c>
      <c r="E201" s="16">
        <f ca="1">_xll.BDH($C$196&amp;E$196*100&amp;LEFT(E$195,1)&amp;$C201&amp;" Curncy","PX_LAST",valDate,valDate)/100</f>
        <v>1.8000000000000002E-2</v>
      </c>
      <c r="F201" s="16">
        <f ca="1">_xll.BDH($C$196&amp;F$196*100&amp;LEFT(F$195,1)&amp;$C201&amp;" Curncy","PX_LAST",valDate,valDate)/100</f>
        <v>3.2400000000000005E-2</v>
      </c>
      <c r="G201" s="16">
        <f ca="1">_xll.BDH($C$196&amp;G$196*100&amp;LEFT(G$195,1)&amp;$C201&amp;" Curncy","PX_LAST",valDate,valDate)/100</f>
        <v>1.8374999999999999E-2</v>
      </c>
      <c r="H201" s="16">
        <f ca="1">_xll.BDH($C$196&amp;H$196*100&amp;LEFT(H$195,1)&amp;$C201&amp;" Curncy","PX_LAST",valDate,valDate)/100</f>
        <v>9.9474999999999994E-2</v>
      </c>
      <c r="I201" s="32">
        <f t="shared" ca="1" si="43"/>
        <v>0.34100000000000003</v>
      </c>
      <c r="J201" s="32">
        <f t="shared" ca="1" si="44"/>
        <v>1.8000000000000002E-2</v>
      </c>
      <c r="K201" s="32">
        <f t="shared" ca="1" si="45"/>
        <v>3.2400000000000005E-2</v>
      </c>
      <c r="L201" s="32">
        <f t="shared" ca="1" si="46"/>
        <v>1.8374999999999999E-2</v>
      </c>
      <c r="M201" s="32">
        <f t="shared" ca="1" si="47"/>
        <v>9.9474999999999994E-2</v>
      </c>
    </row>
    <row r="202" spans="2:13" x14ac:dyDescent="0.25">
      <c r="B202" s="1" cm="1">
        <f t="array" aca="1" ref="B202" ca="1">_xll.QDates_FxOptionExpiryFromTenor(valDate,$C$195,C202)</f>
        <v>44512</v>
      </c>
      <c r="C202" s="8" t="s">
        <v>32</v>
      </c>
      <c r="D202" s="16">
        <f ca="1">_xll.BDH($C$196&amp;"V"&amp;$C202&amp;" Curncy","PX_LAST",valDate,valDate)/100</f>
        <v>0.33649999999999997</v>
      </c>
      <c r="E202" s="16">
        <f ca="1">_xll.BDH($C$196&amp;E$196*100&amp;LEFT(E$195,1)&amp;$C202&amp;" Curncy","PX_LAST",valDate,valDate)/100</f>
        <v>2.1499999999999998E-2</v>
      </c>
      <c r="F202" s="16">
        <f ca="1">_xll.BDH($C$196&amp;F$196*100&amp;LEFT(F$195,1)&amp;$C202&amp;" Curncy","PX_LAST",valDate,valDate)/100</f>
        <v>3.8699999999999998E-2</v>
      </c>
      <c r="G202" s="16">
        <f ca="1">_xll.BDH($C$196&amp;G$196*100&amp;LEFT(G$195,1)&amp;$C202&amp;" Curncy","PX_LAST",valDate,valDate)/100</f>
        <v>1.84E-2</v>
      </c>
      <c r="H202" s="16">
        <f ca="1">_xll.BDH($C$196&amp;H$196*100&amp;LEFT(H$195,1)&amp;$C202&amp;" Curncy","PX_LAST",valDate,valDate)/100</f>
        <v>9.8849999999999993E-2</v>
      </c>
      <c r="I202" s="32">
        <f t="shared" ca="1" si="43"/>
        <v>0.34649999999999997</v>
      </c>
      <c r="J202" s="32">
        <f t="shared" ca="1" si="44"/>
        <v>2.1499999999999998E-2</v>
      </c>
      <c r="K202" s="32">
        <f t="shared" ca="1" si="45"/>
        <v>3.8699999999999998E-2</v>
      </c>
      <c r="L202" s="32">
        <f t="shared" ca="1" si="46"/>
        <v>1.84E-2</v>
      </c>
      <c r="M202" s="32">
        <f t="shared" ca="1" si="47"/>
        <v>9.8849999999999993E-2</v>
      </c>
    </row>
    <row r="203" spans="2:13" x14ac:dyDescent="0.25">
      <c r="B203" s="1" cm="1">
        <f t="array" aca="1" ref="B203" ca="1">_xll.QDates_FxOptionExpiryFromTenor(valDate,$C$195,C203)</f>
        <v>44606</v>
      </c>
      <c r="C203" s="8" t="s">
        <v>71</v>
      </c>
      <c r="D203" s="16">
        <f ca="1">_xll.BDH($C$196&amp;"V"&amp;$C203&amp;" Curncy","PX_LAST",valDate,valDate)/100</f>
        <v>0.34</v>
      </c>
      <c r="E203" s="16">
        <f ca="1">_xll.BDH($C$196&amp;E$196*100&amp;LEFT(E$195,1)&amp;$C203&amp;" Curncy","PX_LAST",valDate,valDate)/100</f>
        <v>2.4E-2</v>
      </c>
      <c r="F203" s="16">
        <f ca="1">_xll.BDH($C$196&amp;F$196*100&amp;LEFT(F$195,1)&amp;$C203&amp;" Curncy","PX_LAST",valDate,valDate)/100</f>
        <v>4.3200000000000002E-2</v>
      </c>
      <c r="G203" s="16">
        <f ca="1">_xll.BDH($C$196&amp;G$196*100&amp;LEFT(G$195,1)&amp;$C203&amp;" Curncy","PX_LAST",valDate,valDate)/100</f>
        <v>1.8599999999999998E-2</v>
      </c>
      <c r="H203" s="16">
        <f ca="1">_xll.BDH($C$196&amp;H$196*100&amp;LEFT(H$195,1)&amp;$C203&amp;" Curncy","PX_LAST",valDate,valDate)/100</f>
        <v>9.9350000000000008E-2</v>
      </c>
      <c r="I203" s="32">
        <f t="shared" ca="1" si="43"/>
        <v>0.35000000000000003</v>
      </c>
      <c r="J203" s="32">
        <f t="shared" ca="1" si="44"/>
        <v>2.4E-2</v>
      </c>
      <c r="K203" s="32">
        <f t="shared" ca="1" si="45"/>
        <v>4.3200000000000002E-2</v>
      </c>
      <c r="L203" s="32">
        <f t="shared" ca="1" si="46"/>
        <v>1.8599999999999998E-2</v>
      </c>
      <c r="M203" s="32">
        <f t="shared" ca="1" si="47"/>
        <v>9.9350000000000008E-2</v>
      </c>
    </row>
    <row r="204" spans="2:13" x14ac:dyDescent="0.25">
      <c r="B204" s="1" cm="1">
        <f t="array" aca="1" ref="B204" ca="1">_xll.QDates_FxOptionExpiryFromTenor(valDate,$C$195,C204)</f>
        <v>44785</v>
      </c>
      <c r="C204" s="8" t="s">
        <v>34</v>
      </c>
      <c r="D204" s="16">
        <f ca="1">_xll.BDH($C$196&amp;"V"&amp;$C204&amp;" Curncy","PX_LAST",valDate,valDate)/100</f>
        <v>0.34804999999999997</v>
      </c>
      <c r="E204" s="16">
        <f ca="1">_xll.BDH($C$196&amp;E$196*100&amp;LEFT(E$195,1)&amp;$C204&amp;" Curncy","PX_LAST",valDate,valDate)/100</f>
        <v>2.8075000000000003E-2</v>
      </c>
      <c r="F204" s="16">
        <f ca="1">_xll.BDH($C$196&amp;F$196*100&amp;LEFT(F$195,1)&amp;$C204&amp;" Curncy","PX_LAST",valDate,valDate)/100</f>
        <v>4.4549999999999999E-2</v>
      </c>
      <c r="G204" s="16">
        <f ca="1">_xll.BDH($C$196&amp;G$196*100&amp;LEFT(G$195,1)&amp;$C204&amp;" Curncy","PX_LAST",valDate,valDate)/100</f>
        <v>1.9349999999999999E-2</v>
      </c>
      <c r="H204" s="16">
        <f ca="1">_xll.BDH($C$196&amp;H$196*100&amp;LEFT(H$195,1)&amp;$C204&amp;" Curncy","PX_LAST",valDate,valDate)/100</f>
        <v>9.4024999999999997E-2</v>
      </c>
      <c r="I204" s="32">
        <f t="shared" ca="1" si="43"/>
        <v>0.35804999999999998</v>
      </c>
      <c r="J204" s="32">
        <f t="shared" ca="1" si="44"/>
        <v>2.8075000000000003E-2</v>
      </c>
      <c r="K204" s="32">
        <f t="shared" ca="1" si="45"/>
        <v>4.4549999999999999E-2</v>
      </c>
      <c r="L204" s="32">
        <f t="shared" ca="1" si="46"/>
        <v>1.9349999999999999E-2</v>
      </c>
      <c r="M204" s="32">
        <f t="shared" ca="1" si="47"/>
        <v>9.4024999999999997E-2</v>
      </c>
    </row>
    <row r="205" spans="2:13" x14ac:dyDescent="0.25">
      <c r="B205" s="1" cm="1">
        <f t="array" aca="1" ref="B205" ca="1">_xll.QDates_FxOptionExpiryFromTenor(valDate,$C$195,C205)</f>
        <v>44971</v>
      </c>
      <c r="C205" s="8" t="s">
        <v>35</v>
      </c>
      <c r="D205" s="16">
        <f ca="1">_xll.BDH($C$196&amp;"V"&amp;$C205&amp;" Curncy","PX_LAST",valDate,valDate)/100</f>
        <v>0.35200000000000004</v>
      </c>
      <c r="E205" s="16">
        <f ca="1">_xll.BDH($C$196&amp;E$196*100&amp;LEFT(E$195,1)&amp;$C205&amp;" Curncy","PX_LAST",valDate,valDate)/100</f>
        <v>0.03</v>
      </c>
      <c r="F205" s="16">
        <f ca="1">_xll.BDH($C$196&amp;F$196*100&amp;LEFT(F$195,1)&amp;$C205&amp;" Curncy","PX_LAST",valDate,valDate)/100</f>
        <v>5.7000000000000002E-2</v>
      </c>
      <c r="G205" s="16">
        <f ca="1">_xll.BDH($C$196&amp;G$196*100&amp;LEFT(G$195,1)&amp;$C205&amp;" Curncy","PX_LAST",valDate,valDate)/100</f>
        <v>1.8475000000000002E-2</v>
      </c>
      <c r="H205" s="16">
        <f ca="1">_xll.BDH($C$196&amp;H$196*100&amp;LEFT(H$195,1)&amp;$C205&amp;" Curncy","PX_LAST",valDate,valDate)/100</f>
        <v>9.7250000000000003E-2</v>
      </c>
      <c r="I205" s="32">
        <f t="shared" ca="1" si="43"/>
        <v>0.36200000000000004</v>
      </c>
      <c r="J205" s="32">
        <f t="shared" ca="1" si="44"/>
        <v>0.03</v>
      </c>
      <c r="K205" s="32">
        <f t="shared" ca="1" si="45"/>
        <v>5.7000000000000002E-2</v>
      </c>
      <c r="L205" s="32">
        <f t="shared" ca="1" si="46"/>
        <v>1.8475000000000002E-2</v>
      </c>
      <c r="M205" s="32">
        <f t="shared" ca="1" si="47"/>
        <v>9.7250000000000003E-2</v>
      </c>
    </row>
    <row r="206" spans="2:13" x14ac:dyDescent="0.25">
      <c r="B206" s="1" cm="1">
        <f t="array" aca="1" ref="B206" ca="1">_xll.QDates_FxOptionExpiryFromTenor(valDate,$C$195,C206)</f>
        <v>45336</v>
      </c>
      <c r="C206" s="8" t="s">
        <v>36</v>
      </c>
      <c r="D206" s="16">
        <f ca="1">_xll.BDH($C$196&amp;"V"&amp;$C206&amp;" Curncy","PX_LAST",valDate,valDate)/100</f>
        <v>0.36</v>
      </c>
      <c r="E206" s="16">
        <f ca="1">_xll.BDH($C$196&amp;E$196*100&amp;LEFT(E$195,1)&amp;$C206&amp;" Curncy","PX_LAST",valDate,valDate)/100</f>
        <v>0.03</v>
      </c>
      <c r="F206" s="16">
        <f ca="1">_xll.BDH($C$196&amp;F$196*100&amp;LEFT(F$195,1)&amp;$C206&amp;" Curncy","PX_LAST",valDate,valDate)/100</f>
        <v>6.3E-2</v>
      </c>
      <c r="G206" s="16">
        <f ca="1">_xll.BDH($C$196&amp;G$196*100&amp;LEFT(G$195,1)&amp;$C206&amp;" Curncy","PX_LAST",valDate,valDate)/100</f>
        <v>1.8199999999999997E-2</v>
      </c>
      <c r="H206" s="16">
        <f ca="1">_xll.BDH($C$196&amp;H$196*100&amp;LEFT(H$195,1)&amp;$C206&amp;" Curncy","PX_LAST",valDate,valDate)/100</f>
        <v>9.6099999999999991E-2</v>
      </c>
      <c r="I206" s="32">
        <f t="shared" ca="1" si="43"/>
        <v>0.37</v>
      </c>
      <c r="J206" s="32">
        <f t="shared" ca="1" si="44"/>
        <v>0.03</v>
      </c>
      <c r="K206" s="32">
        <f t="shared" ca="1" si="45"/>
        <v>6.3E-2</v>
      </c>
      <c r="L206" s="32">
        <f t="shared" ca="1" si="46"/>
        <v>1.8199999999999997E-2</v>
      </c>
      <c r="M206" s="32">
        <f t="shared" ca="1" si="47"/>
        <v>9.6099999999999991E-2</v>
      </c>
    </row>
    <row r="207" spans="2:13" x14ac:dyDescent="0.25">
      <c r="B207" s="1" cm="1">
        <f t="array" aca="1" ref="B207" ca="1">_xll.QDates_FxOptionExpiryFromTenor(valDate,$C$195,C207)</f>
        <v>45701</v>
      </c>
      <c r="C207" s="8" t="s">
        <v>58</v>
      </c>
      <c r="D207" s="16">
        <f ca="1">_xll.BDH($C$196&amp;"V"&amp;$C207&amp;" Curncy","PX_LAST",valDate,valDate)/100</f>
        <v>0.37</v>
      </c>
      <c r="E207" s="16">
        <f ca="1">_xll.BDH($C$196&amp;E$196*100&amp;LEFT(E$195,1)&amp;$C207&amp;" Curncy","PX_LAST",valDate,valDate)/100</f>
        <v>0.03</v>
      </c>
      <c r="F207" s="16">
        <f ca="1">_xll.BDH($C$196&amp;F$196*100&amp;LEFT(F$195,1)&amp;$C207&amp;" Curncy","PX_LAST",valDate,valDate)/100</f>
        <v>6.3E-2</v>
      </c>
      <c r="G207" s="16">
        <f ca="1">_xll.BDH($C$196&amp;G$196*100&amp;LEFT(G$195,1)&amp;$C207&amp;" Curncy","PX_LAST",valDate,valDate)/100</f>
        <v>1.8100000000000002E-2</v>
      </c>
      <c r="H207" s="16">
        <f ca="1">_xll.BDH($C$196&amp;H$196*100&amp;LEFT(H$195,1)&amp;$C207&amp;" Curncy","PX_LAST",valDate,valDate)/100</f>
        <v>9.5500000000000002E-2</v>
      </c>
      <c r="I207" s="32">
        <f t="shared" ca="1" si="43"/>
        <v>0.38</v>
      </c>
      <c r="J207" s="32">
        <f t="shared" ca="1" si="44"/>
        <v>0.03</v>
      </c>
      <c r="K207" s="32">
        <f t="shared" ca="1" si="45"/>
        <v>6.3E-2</v>
      </c>
      <c r="L207" s="32">
        <f t="shared" ca="1" si="46"/>
        <v>1.8100000000000002E-2</v>
      </c>
      <c r="M207" s="32">
        <f t="shared" ca="1" si="47"/>
        <v>9.5500000000000002E-2</v>
      </c>
    </row>
    <row r="208" spans="2:13" x14ac:dyDescent="0.25">
      <c r="B208" s="1" cm="1">
        <f t="array" aca="1" ref="B208" ca="1">_xll.QDates_FxOptionExpiryFromTenor(valDate,$C$195,C208)</f>
        <v>46065</v>
      </c>
      <c r="C208" s="8" t="s">
        <v>37</v>
      </c>
      <c r="D208" s="16">
        <f ca="1">_xll.BDH($C$196&amp;"V"&amp;$C208&amp;" Curncy","PX_LAST",valDate,valDate)/100</f>
        <v>0.375</v>
      </c>
      <c r="E208" s="16">
        <f ca="1">_xll.BDH($C$196&amp;E$196*100&amp;LEFT(E$195,1)&amp;$C208&amp;" Curncy","PX_LAST",valDate,valDate)/100</f>
        <v>0.03</v>
      </c>
      <c r="F208" s="16">
        <f ca="1">_xll.BDH($C$196&amp;F$196*100&amp;LEFT(F$195,1)&amp;$C208&amp;" Curncy","PX_LAST",valDate,valDate)/100</f>
        <v>6.4500000000000002E-2</v>
      </c>
      <c r="G208" s="16">
        <f ca="1">_xll.BDH($C$196&amp;G$196*100&amp;LEFT(G$195,1)&amp;$C208&amp;" Curncy","PX_LAST",valDate,valDate)/100</f>
        <v>1.8024999999999999E-2</v>
      </c>
      <c r="H208" s="16">
        <f ca="1">_xll.BDH($C$196&amp;H$196*100&amp;LEFT(H$195,1)&amp;$C208&amp;" Curncy","PX_LAST",valDate,valDate)/100</f>
        <v>9.5199999999999993E-2</v>
      </c>
      <c r="I208" s="32">
        <f t="shared" ca="1" si="43"/>
        <v>0.38500000000000001</v>
      </c>
      <c r="J208" s="32">
        <f t="shared" ca="1" si="44"/>
        <v>0.03</v>
      </c>
      <c r="K208" s="32">
        <f t="shared" ca="1" si="45"/>
        <v>6.4500000000000002E-2</v>
      </c>
      <c r="L208" s="32">
        <f t="shared" ca="1" si="46"/>
        <v>1.8024999999999999E-2</v>
      </c>
      <c r="M208" s="32">
        <f t="shared" ca="1" si="47"/>
        <v>9.5199999999999993E-2</v>
      </c>
    </row>
  </sheetData>
  <mergeCells count="15">
    <mergeCell ref="C178:H178"/>
    <mergeCell ref="C194:H194"/>
    <mergeCell ref="C95:H95"/>
    <mergeCell ref="C112:H112"/>
    <mergeCell ref="C128:H128"/>
    <mergeCell ref="C145:H145"/>
    <mergeCell ref="C162:H162"/>
    <mergeCell ref="O48:R48"/>
    <mergeCell ref="C48:F48"/>
    <mergeCell ref="G48:J48"/>
    <mergeCell ref="K48:N48"/>
    <mergeCell ref="F30:H30"/>
    <mergeCell ref="C30:E30"/>
    <mergeCell ref="I30:K30"/>
    <mergeCell ref="L30:N3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9F5EF-25BE-47BD-8FA6-334FBD872581}">
  <sheetPr codeName="Sheet2">
    <tabColor theme="4"/>
  </sheetPr>
  <dimension ref="A1:AT154"/>
  <sheetViews>
    <sheetView topLeftCell="A50" workbookViewId="0">
      <selection activeCell="I11" sqref="I11"/>
    </sheetView>
  </sheetViews>
  <sheetFormatPr defaultRowHeight="15" x14ac:dyDescent="0.25"/>
  <cols>
    <col min="1" max="1" width="11" style="3" customWidth="1"/>
    <col min="2" max="2" width="10.140625" bestFit="1" customWidth="1"/>
    <col min="3" max="3" width="12.7109375" customWidth="1"/>
    <col min="4" max="4" width="10.140625" style="8" customWidth="1"/>
    <col min="7" max="7" width="11.140625" customWidth="1"/>
    <col min="8" max="8" width="10" bestFit="1" customWidth="1"/>
  </cols>
  <sheetData>
    <row r="1" spans="1:28" x14ac:dyDescent="0.25">
      <c r="A1" s="3" t="s">
        <v>98</v>
      </c>
      <c r="B1" s="1" cm="1">
        <f t="array" aca="1" ref="B1" ca="1">_xll.QDates_GetLME3mDate(valDate)</f>
        <v>44327</v>
      </c>
    </row>
    <row r="2" spans="1:28" x14ac:dyDescent="0.25">
      <c r="A2" s="3" t="s">
        <v>99</v>
      </c>
      <c r="B2" s="1" cm="1">
        <f t="array" aca="1" ref="B2" ca="1">_xll.QDates_SpotDate(valDate,"2b","LON","USD")</f>
        <v>44243</v>
      </c>
    </row>
    <row r="4" spans="1:28" x14ac:dyDescent="0.25">
      <c r="A4" s="3" t="s">
        <v>30</v>
      </c>
    </row>
    <row r="5" spans="1:28" x14ac:dyDescent="0.25">
      <c r="B5" s="24"/>
      <c r="C5" s="24" t="s">
        <v>15</v>
      </c>
      <c r="D5" s="24" t="s">
        <v>113</v>
      </c>
      <c r="E5" s="24" t="s">
        <v>17</v>
      </c>
    </row>
    <row r="6" spans="1:28" x14ac:dyDescent="0.25">
      <c r="B6" t="s">
        <v>104</v>
      </c>
      <c r="C6" s="8" cm="1">
        <f t="array" aca="1" ref="C6" ca="1">_xll.BDP("LM"&amp;B6&amp;"DS03 Comdty","PX_LAST")</f>
        <v>2080</v>
      </c>
      <c r="D6" s="34">
        <v>5</v>
      </c>
      <c r="E6" s="8">
        <f t="shared" ref="E6:E11" ca="1" si="0">C6+D6</f>
        <v>2085</v>
      </c>
    </row>
    <row r="7" spans="1:28" x14ac:dyDescent="0.25">
      <c r="B7" t="s">
        <v>108</v>
      </c>
      <c r="C7" s="8" cm="1">
        <f t="array" aca="1" ref="C7" ca="1">_xll.BDP("LM"&amp;B7&amp;"DS03 Comdty","PX_LAST")</f>
        <v>8278.5</v>
      </c>
      <c r="D7" s="34"/>
      <c r="E7" s="8">
        <f t="shared" ca="1" si="0"/>
        <v>8278.5</v>
      </c>
    </row>
    <row r="8" spans="1:28" x14ac:dyDescent="0.25">
      <c r="B8" t="s">
        <v>109</v>
      </c>
      <c r="C8" s="8" cm="1">
        <f t="array" aca="1" ref="C8" ca="1">_xll.BDP("LM"&amp;B8&amp;"DS03 Comdty","PX_LAST")</f>
        <v>2759</v>
      </c>
      <c r="D8" s="34"/>
      <c r="E8" s="8">
        <f t="shared" ca="1" si="0"/>
        <v>2759</v>
      </c>
    </row>
    <row r="9" spans="1:28" x14ac:dyDescent="0.25">
      <c r="B9" t="s">
        <v>110</v>
      </c>
      <c r="C9" s="8" cm="1">
        <f t="array" aca="1" ref="C9" ca="1">_xll.BDP("LM"&amp;B9&amp;"DS03 Comdty","PX_LAST")</f>
        <v>18675</v>
      </c>
      <c r="D9" s="34"/>
      <c r="E9" s="8">
        <f t="shared" ca="1" si="0"/>
        <v>18675</v>
      </c>
    </row>
    <row r="10" spans="1:28" x14ac:dyDescent="0.25">
      <c r="B10" t="s">
        <v>111</v>
      </c>
      <c r="C10" s="8" cm="1">
        <f t="array" aca="1" ref="C10" ca="1">_xll.BDP("LM"&amp;B10&amp;"DS03 Comdty","PX_LAST")</f>
        <v>2090.5</v>
      </c>
      <c r="D10" s="34"/>
      <c r="E10" s="8">
        <f t="shared" ca="1" si="0"/>
        <v>2090.5</v>
      </c>
    </row>
    <row r="11" spans="1:28" x14ac:dyDescent="0.25">
      <c r="B11" t="s">
        <v>112</v>
      </c>
      <c r="C11" s="8" cm="1">
        <f t="array" aca="1" ref="C11" ca="1">_xll.BDP("LM"&amp;B11&amp;"DS03 Comdty","PX_LAST")</f>
        <v>23325</v>
      </c>
      <c r="D11" s="34"/>
      <c r="E11" s="8">
        <f t="shared" ca="1" si="0"/>
        <v>23325</v>
      </c>
    </row>
    <row r="13" spans="1:28" x14ac:dyDescent="0.25">
      <c r="A13" s="3" t="s">
        <v>107</v>
      </c>
    </row>
    <row r="14" spans="1:28" x14ac:dyDescent="0.25">
      <c r="E14" s="204" t="s">
        <v>104</v>
      </c>
      <c r="F14" s="205"/>
      <c r="G14" s="205"/>
      <c r="H14" s="43" t="str" cm="1">
        <f t="array" aca="1" ref="H14" ca="1">_xll.QCurves_CreatePriceCurve("fwd_"&amp;E14,E14,valDate,$B$16:$B$77,H16:H77,"LME",$C$16:$C$77,"USD",,"2b","LME")</f>
        <v>fwd_AH¬1</v>
      </c>
      <c r="I14" s="204" t="s">
        <v>108</v>
      </c>
      <c r="J14" s="205"/>
      <c r="K14" s="205"/>
      <c r="L14" s="43" t="str" cm="1">
        <f t="array" aca="1" ref="L14" ca="1">_xll.QCurves_CreatePriceCurve("fwd_"&amp;I14,I14,valDate,$B$16:$B$77,L16:L77,"LME",$C$16:$C$77,"USD",,"2b","LME")</f>
        <v>fwd_CA¬1</v>
      </c>
      <c r="M14" s="204" t="s">
        <v>109</v>
      </c>
      <c r="N14" s="205"/>
      <c r="O14" s="205"/>
      <c r="P14" s="43" t="str" cm="1">
        <f t="array" aca="1" ref="P14" ca="1">_xll.QCurves_CreatePriceCurve("fwd_"&amp;M14,M14,valDate,$B$16:$B$64,P16:P64,"LME",$C$16:$C$64,"USD",,"2b","LME")</f>
        <v>fwd_ZS¬1</v>
      </c>
      <c r="Q14" s="204" t="s">
        <v>110</v>
      </c>
      <c r="R14" s="205"/>
      <c r="S14" s="205"/>
      <c r="T14" s="43" t="str" cm="1">
        <f t="array" aca="1" ref="T14" ca="1">_xll.QCurves_CreatePriceCurve("fwd_"&amp;Q14,Q14,valDate,$B$16:$B$64,T16:T64,"LME",$C$16:$C$64,"USD",,"2b","LME")</f>
        <v>fwd_NI¬1</v>
      </c>
      <c r="U14" s="204" t="s">
        <v>111</v>
      </c>
      <c r="V14" s="205"/>
      <c r="W14" s="205"/>
      <c r="X14" s="43" t="str" cm="1">
        <f t="array" aca="1" ref="X14" ca="1">_xll.QCurves_CreatePriceCurve("fwd_"&amp;U14,U14,valDate,$B$16:$B$64,X16:X64,"LME",$C$16:$C$64,"USD",,"2b","LME")</f>
        <v>fwd_PB¬1</v>
      </c>
      <c r="Y14" s="204" t="s">
        <v>112</v>
      </c>
      <c r="Z14" s="205"/>
      <c r="AA14" s="205"/>
      <c r="AB14" s="43" t="str" cm="1">
        <f t="array" aca="1" ref="AB14" ca="1">_xll.QCurves_CreatePriceCurve("fwd_"&amp;Y14,Y14,valDate,$B$16:$B$64,AB16:AB64,"LME",$C$16:$C$64,"USD",,"2b","LME")</f>
        <v>fwd_SN¬1</v>
      </c>
    </row>
    <row r="15" spans="1:28" x14ac:dyDescent="0.25">
      <c r="B15" s="10" t="s">
        <v>83</v>
      </c>
      <c r="C15" s="10" t="s">
        <v>100</v>
      </c>
      <c r="D15" s="24" t="s">
        <v>102</v>
      </c>
      <c r="E15" s="40" t="s">
        <v>105</v>
      </c>
      <c r="F15" s="41" t="s">
        <v>106</v>
      </c>
      <c r="G15" s="41" t="s">
        <v>17</v>
      </c>
      <c r="H15" s="42" t="s">
        <v>82</v>
      </c>
      <c r="I15" s="40" t="s">
        <v>105</v>
      </c>
      <c r="J15" s="41" t="s">
        <v>106</v>
      </c>
      <c r="K15" s="41" t="s">
        <v>17</v>
      </c>
      <c r="L15" s="42" t="s">
        <v>82</v>
      </c>
      <c r="M15" s="40" t="s">
        <v>105</v>
      </c>
      <c r="N15" s="41" t="s">
        <v>106</v>
      </c>
      <c r="O15" s="41" t="s">
        <v>17</v>
      </c>
      <c r="P15" s="42" t="s">
        <v>82</v>
      </c>
      <c r="Q15" s="40" t="s">
        <v>105</v>
      </c>
      <c r="R15" s="41" t="s">
        <v>106</v>
      </c>
      <c r="S15" s="41" t="s">
        <v>17</v>
      </c>
      <c r="T15" s="42" t="s">
        <v>82</v>
      </c>
      <c r="U15" s="40" t="s">
        <v>105</v>
      </c>
      <c r="V15" s="41" t="s">
        <v>106</v>
      </c>
      <c r="W15" s="41" t="s">
        <v>17</v>
      </c>
      <c r="X15" s="42" t="s">
        <v>82</v>
      </c>
      <c r="Y15" s="40" t="s">
        <v>105</v>
      </c>
      <c r="Z15" s="41" t="s">
        <v>106</v>
      </c>
      <c r="AA15" s="41" t="s">
        <v>17</v>
      </c>
      <c r="AB15" s="42" t="s">
        <v>82</v>
      </c>
    </row>
    <row r="16" spans="1:28" x14ac:dyDescent="0.25">
      <c r="B16" s="1">
        <f ca="1">B2</f>
        <v>44243</v>
      </c>
      <c r="C16" s="8" t="str">
        <f ca="1">"00"</f>
        <v>00</v>
      </c>
      <c r="D16" s="8" t="s">
        <v>101</v>
      </c>
      <c r="E16" s="35" cm="1">
        <f t="array" aca="1" ref="E16" ca="1">IF($D16="S 0303",0,_xll.BDP("LM"&amp;E$14&amp;"D"&amp;$D16&amp;" Comdty","PX_SETTLE"))</f>
        <v>-4.16</v>
      </c>
      <c r="F16" s="36">
        <f ca="1">E16+6</f>
        <v>1.8399999999999999</v>
      </c>
      <c r="G16" s="37">
        <f t="array" aca="1" ref="G16:G77" ca="1">_xll.QCurves_BendCurve($E$16:$E$77,$F$16:$F$77)</f>
        <v>1.8399999999999999</v>
      </c>
      <c r="H16" s="38">
        <f ca="1">VLOOKUP(E$14,$B$6:$E$11,4,FALSE)+IF(MID(D16,3,2)="03",-G16,G16)</f>
        <v>2086.84</v>
      </c>
      <c r="I16" s="35" cm="1">
        <f t="array" aca="1" ref="I16" ca="1">IF($D16="S 0303",0,_xll.BDP("LM"&amp;I$14&amp;"D"&amp;$D16&amp;" Comdty","PX_SETTLE"))</f>
        <v>3.5</v>
      </c>
      <c r="J16" s="36">
        <f ca="1">I16</f>
        <v>3.5</v>
      </c>
      <c r="K16" s="37">
        <f t="array" aca="1" ref="K16:K77" ca="1">_xll.QCurves_BendCurve(I16:I77,J16:J77)</f>
        <v>3.5</v>
      </c>
      <c r="L16" s="38">
        <f ca="1">VLOOKUP(I$14,$B$6:$E$11,4,FALSE)-K16</f>
        <v>8275</v>
      </c>
      <c r="M16" s="35" cm="1">
        <f t="array" aca="1" ref="M16" ca="1">IF($D16="S 0303",0,_xll.BDP("LM"&amp;M$14&amp;"D"&amp;$D16&amp;" Comdty","PX_SETTLE"))</f>
        <v>-19</v>
      </c>
      <c r="N16" s="36">
        <f ca="1">M16</f>
        <v>-19</v>
      </c>
      <c r="O16" s="37">
        <f t="array" aca="1" ref="O16:O64" ca="1">_xll.QCurves_BendCurve(M16:M64,N16:N64)</f>
        <v>-19</v>
      </c>
      <c r="P16" s="38">
        <f ca="1">VLOOKUP(M$14,$B$6:$E$11,4,FALSE)-O16</f>
        <v>2778</v>
      </c>
      <c r="Q16" s="35" cm="1">
        <f t="array" aca="1" ref="Q16" ca="1">IF($D16="S 0303",0,_xll.BDP("LM"&amp;Q$14&amp;"D"&amp;$D16&amp;" Comdty","PX_SETTLE"))</f>
        <v>-45.4</v>
      </c>
      <c r="R16" s="36">
        <f ca="1">Q16</f>
        <v>-45.4</v>
      </c>
      <c r="S16" s="37">
        <f t="array" aca="1" ref="S16:S64" ca="1">_xll.QCurves_BendCurve(Q16:Q64,R16:R64)</f>
        <v>-45.4</v>
      </c>
      <c r="T16" s="38">
        <f ca="1">VLOOKUP(Q$14,$B$6:$E$11,4,FALSE)-S16</f>
        <v>18720.400000000001</v>
      </c>
      <c r="U16" s="35" cm="1">
        <f t="array" aca="1" ref="U16" ca="1">IF($D16="S 0303",0,_xll.BDP("LM"&amp;U$14&amp;"D"&amp;$D16&amp;" Comdty","PX_SETTLE"))</f>
        <v>-13.1</v>
      </c>
      <c r="V16" s="36">
        <f ca="1">U16</f>
        <v>-13.1</v>
      </c>
      <c r="W16" s="37">
        <f t="array" aca="1" ref="W16:W64" ca="1">_xll.QCurves_BendCurve(U16:U64,V16:V64)</f>
        <v>-13.1</v>
      </c>
      <c r="X16" s="38">
        <f ca="1">VLOOKUP(U$14,$B$6:$E$11,4,FALSE)-W16</f>
        <v>2103.6</v>
      </c>
      <c r="Y16" s="35" cm="1">
        <f t="array" aca="1" ref="Y16" ca="1">IF($D16="S 0303",0,_xll.BDP("LM"&amp;Y$14&amp;"D"&amp;$D16&amp;" Comdty","PX_SETTLE"))</f>
        <v>1489</v>
      </c>
      <c r="Z16" s="36">
        <f ca="1">Y16</f>
        <v>1489</v>
      </c>
      <c r="AA16" s="37">
        <f t="array" aca="1" ref="AA16:AA64" ca="1">_xll.QCurves_BendCurve(Y16:Y64,Z16:Z64)</f>
        <v>1489</v>
      </c>
      <c r="AB16" s="38">
        <f ca="1">VLOOKUP(Y$14,$B$6:$E$11,4,FALSE)-AA16</f>
        <v>21836</v>
      </c>
    </row>
    <row r="17" spans="2:28" x14ac:dyDescent="0.25">
      <c r="B17" s="1" cm="1">
        <f t="array" aca="1" ref="B17" ca="1">_xll.QDates_NextLMECurveDate(B16,$B$1,FALSE)</f>
        <v>44244</v>
      </c>
      <c r="C17" s="8" t="str" cm="1">
        <f t="array" aca="1" ref="C17" ca="1">IF(B17=$B$1,"03",_xll.QDates_GetMonthCodeAndYear(B17,2))</f>
        <v>G21</v>
      </c>
      <c r="D17" s="8" t="str">
        <f t="shared" ref="D17:D64" ca="1" si="1">IF(B17&lt;m3Date,"S "&amp;C17&amp;"03","S 03"&amp;C17)</f>
        <v>S G2103</v>
      </c>
      <c r="E17" s="35" cm="1">
        <f t="array" aca="1" ref="E17" ca="1">IF($D17="S 0303",0,_xll.BDP("LM"&amp;E$14&amp;"D"&amp;$D17&amp;" Comdty","PX_SETTLE"))</f>
        <v>-3.91</v>
      </c>
      <c r="F17" s="39"/>
      <c r="G17" s="37">
        <f ca="1"/>
        <v>0.58999999999999986</v>
      </c>
      <c r="H17" s="38">
        <f t="shared" ref="H17:H77" ca="1" si="2">VLOOKUP(E$14,$B$6:$E$11,4,FALSE)+IF(MID(D17,3,2)="03",-G17,G17)</f>
        <v>2085.59</v>
      </c>
      <c r="I17" s="35" cm="1">
        <f t="array" aca="1" ref="I17" ca="1">IF($D17="S 0303",0,_xll.BDP("LM"&amp;I$14&amp;"D"&amp;$D17&amp;" Comdty","PX_SETTLE"))</f>
        <v>4.5</v>
      </c>
      <c r="J17" s="39"/>
      <c r="K17" s="37">
        <f ca="1"/>
        <v>4.5</v>
      </c>
      <c r="L17" s="38">
        <f t="shared" ref="L17:L77" ca="1" si="3">VLOOKUP(I$14,$B$6:$E$11,4,FALSE)-K17</f>
        <v>8274</v>
      </c>
      <c r="M17" s="35" cm="1">
        <f t="array" aca="1" ref="M17" ca="1">IF($D17="S 0303",0,_xll.BDP("LM"&amp;M$14&amp;"D"&amp;$D17&amp;" Comdty","PX_SETTLE"))</f>
        <v>-18</v>
      </c>
      <c r="N17" s="39"/>
      <c r="O17" s="37">
        <f ca="1"/>
        <v>-18</v>
      </c>
      <c r="P17" s="38">
        <f t="shared" ref="P17:P64" ca="1" si="4">VLOOKUP(M$14,$B$6:$E$11,4,FALSE)-O17</f>
        <v>2777</v>
      </c>
      <c r="Q17" s="35" cm="1">
        <f t="array" aca="1" ref="Q17" ca="1">IF($D17="S 0303",0,_xll.BDP("LM"&amp;Q$14&amp;"D"&amp;$D17&amp;" Comdty","PX_SETTLE"))</f>
        <v>-41.4</v>
      </c>
      <c r="R17" s="39"/>
      <c r="S17" s="37">
        <f ca="1"/>
        <v>-41.4</v>
      </c>
      <c r="T17" s="38">
        <f t="shared" ref="T17:T64" ca="1" si="5">VLOOKUP(Q$14,$B$6:$E$11,4,FALSE)-S17</f>
        <v>18716.400000000001</v>
      </c>
      <c r="U17" s="35" cm="1">
        <f t="array" aca="1" ref="U17" ca="1">IF($D17="S 0303",0,_xll.BDP("LM"&amp;U$14&amp;"D"&amp;$D17&amp;" Comdty","PX_SETTLE"))</f>
        <v>-12.1</v>
      </c>
      <c r="V17" s="39"/>
      <c r="W17" s="37">
        <f ca="1"/>
        <v>-12.1</v>
      </c>
      <c r="X17" s="38">
        <f t="shared" ref="X17:X64" ca="1" si="6">VLOOKUP(U$14,$B$6:$E$11,4,FALSE)-W17</f>
        <v>2102.6</v>
      </c>
      <c r="Y17" s="35" cm="1">
        <f t="array" aca="1" ref="Y17" ca="1">IF($D17="S 0303",0,_xll.BDP("LM"&amp;Y$14&amp;"D"&amp;$D17&amp;" Comdty","PX_SETTLE"))</f>
        <v>1484</v>
      </c>
      <c r="Z17" s="39"/>
      <c r="AA17" s="37">
        <f ca="1"/>
        <v>1484</v>
      </c>
      <c r="AB17" s="38">
        <f t="shared" ref="AB17:AB64" ca="1" si="7">VLOOKUP(Y$14,$B$6:$E$11,4,FALSE)-AA17</f>
        <v>21841</v>
      </c>
    </row>
    <row r="18" spans="2:28" x14ac:dyDescent="0.25">
      <c r="B18" s="1" cm="1">
        <f t="array" aca="1" ref="B18" ca="1">_xll.QDates_NextLMECurveDate(B17,$B$1,FALSE)</f>
        <v>44272</v>
      </c>
      <c r="C18" s="8" t="str" cm="1">
        <f t="array" aca="1" ref="C18" ca="1">IF(B18=$B$1,"03",_xll.QDates_GetMonthCodeAndYear(B18,2))</f>
        <v>H21</v>
      </c>
      <c r="D18" s="8" t="str">
        <f t="shared" ca="1" si="1"/>
        <v>S H2103</v>
      </c>
      <c r="E18" s="35" cm="1">
        <f t="array" aca="1" ref="E18" ca="1">IF($D18="S 0303",0,_xll.BDP("LM"&amp;E$14&amp;"D"&amp;$D18&amp;" Comdty","PX_SETTLE"))</f>
        <v>-9.91</v>
      </c>
      <c r="F18" s="39"/>
      <c r="G18" s="37">
        <f ca="1"/>
        <v>-6.91</v>
      </c>
      <c r="H18" s="38">
        <f t="shared" ca="1" si="2"/>
        <v>2078.09</v>
      </c>
      <c r="I18" s="35" cm="1">
        <f t="array" aca="1" ref="I18" ca="1">IF($D18="S 0303",0,_xll.BDP("LM"&amp;I$14&amp;"D"&amp;$D18&amp;" Comdty","PX_SETTLE"))</f>
        <v>4</v>
      </c>
      <c r="J18" s="39"/>
      <c r="K18" s="37">
        <f ca="1"/>
        <v>4</v>
      </c>
      <c r="L18" s="38">
        <f t="shared" ca="1" si="3"/>
        <v>8274.5</v>
      </c>
      <c r="M18" s="35" cm="1">
        <f t="array" aca="1" ref="M18" ca="1">IF($D18="S 0303",0,_xll.BDP("LM"&amp;M$14&amp;"D"&amp;$D18&amp;" Comdty","PX_SETTLE"))</f>
        <v>-11</v>
      </c>
      <c r="N18" s="39"/>
      <c r="O18" s="37">
        <f ca="1"/>
        <v>-11</v>
      </c>
      <c r="P18" s="38">
        <f t="shared" ca="1" si="4"/>
        <v>2770</v>
      </c>
      <c r="Q18" s="35" cm="1">
        <f t="array" aca="1" ref="Q18" ca="1">IF($D18="S 0303",0,_xll.BDP("LM"&amp;Q$14&amp;"D"&amp;$D18&amp;" Comdty","PX_SETTLE"))</f>
        <v>-28.4</v>
      </c>
      <c r="R18" s="39"/>
      <c r="S18" s="37">
        <f ca="1"/>
        <v>-28.4</v>
      </c>
      <c r="T18" s="38">
        <f t="shared" ca="1" si="5"/>
        <v>18703.400000000001</v>
      </c>
      <c r="U18" s="35" cm="1">
        <f t="array" aca="1" ref="U18" ca="1">IF($D18="S 0303",0,_xll.BDP("LM"&amp;U$14&amp;"D"&amp;$D18&amp;" Comdty","PX_SETTLE"))</f>
        <v>-3.6</v>
      </c>
      <c r="V18" s="39"/>
      <c r="W18" s="37">
        <f ca="1"/>
        <v>-3.6</v>
      </c>
      <c r="X18" s="38">
        <f t="shared" ca="1" si="6"/>
        <v>2094.1</v>
      </c>
      <c r="Y18" s="35" cm="1">
        <f t="array" aca="1" ref="Y18" ca="1">IF($D18="S 0303",0,_xll.BDP("LM"&amp;Y$14&amp;"D"&amp;$D18&amp;" Comdty","PX_SETTLE"))</f>
        <v>784</v>
      </c>
      <c r="Z18" s="39"/>
      <c r="AA18" s="37">
        <f ca="1"/>
        <v>784</v>
      </c>
      <c r="AB18" s="38">
        <f t="shared" ca="1" si="7"/>
        <v>22541</v>
      </c>
    </row>
    <row r="19" spans="2:28" x14ac:dyDescent="0.25">
      <c r="B19" s="1" cm="1">
        <f t="array" aca="1" ref="B19" ca="1">_xll.QDates_NextLMECurveDate(B18,$B$1,FALSE)</f>
        <v>44307</v>
      </c>
      <c r="C19" s="8" t="str" cm="1">
        <f t="array" aca="1" ref="C19" ca="1">IF(B19=$B$1,"03",_xll.QDates_GetMonthCodeAndYear(B19,2))</f>
        <v>J21</v>
      </c>
      <c r="D19" s="8" t="str">
        <f t="shared" ca="1" si="1"/>
        <v>S J2103</v>
      </c>
      <c r="E19" s="35">
        <f t="array" aca="1" ref="E19" ca="1">_xll.QUtils_ErrorReplace(IF($D19="S 0303",0,_xll.BDP("LM"&amp;E$14&amp;"D"&amp;$D19&amp;" Comdty","PX_SETTLE")))</f>
        <v>-3.16</v>
      </c>
      <c r="F19" s="39" t="str">
        <f ca="1">IF($C19="03",0,"")</f>
        <v/>
      </c>
      <c r="G19" s="37">
        <f ca="1"/>
        <v>-1.6600000000000001</v>
      </c>
      <c r="H19" s="38">
        <f t="shared" ca="1" si="2"/>
        <v>2083.34</v>
      </c>
      <c r="I19" s="35">
        <f t="array" aca="1" ref="I19" ca="1">_xll.QUtils_ErrorReplace(IF($D19="S 0303",0,_xll.BDP("LM"&amp;I$14&amp;"D"&amp;$D19&amp;" Comdty","PX_SETTLE")))</f>
        <v>1.25</v>
      </c>
      <c r="J19" s="39" t="str">
        <f ca="1">IF($C19="03",0,"")</f>
        <v/>
      </c>
      <c r="K19" s="37">
        <f ca="1"/>
        <v>1.25</v>
      </c>
      <c r="L19" s="38">
        <f t="shared" ca="1" si="3"/>
        <v>8277.25</v>
      </c>
      <c r="M19" s="35">
        <f t="array" aca="1" ref="M19" ca="1">_xll.QUtils_ErrorReplace(IF($D19="S 0303",0,_xll.BDP("LM"&amp;M$14&amp;"D"&amp;$D19&amp;" Comdty","PX_SETTLE")))</f>
        <v>-4.5</v>
      </c>
      <c r="N19" s="39" t="str">
        <f ca="1">IF($C19="03",0,"")</f>
        <v/>
      </c>
      <c r="O19" s="37">
        <f ca="1"/>
        <v>-4.5</v>
      </c>
      <c r="P19" s="38">
        <f t="shared" ca="1" si="4"/>
        <v>2763.5</v>
      </c>
      <c r="Q19" s="35">
        <f t="array" aca="1" ref="Q19" ca="1">_xll.QUtils_ErrorReplace(IF($D19="S 0303",0,_xll.BDP("LM"&amp;Q$14&amp;"D"&amp;$D19&amp;" Comdty","PX_SETTLE")))</f>
        <v>-14.5</v>
      </c>
      <c r="R19" s="39" t="str">
        <f ca="1">IF($C19="03",0,"")</f>
        <v/>
      </c>
      <c r="S19" s="37">
        <f ca="1"/>
        <v>-14.5</v>
      </c>
      <c r="T19" s="38">
        <f t="shared" ca="1" si="5"/>
        <v>18689.5</v>
      </c>
      <c r="U19" s="35">
        <f t="array" aca="1" ref="U19" ca="1">_xll.QUtils_ErrorReplace(IF($D19="S 0303",0,_xll.BDP("LM"&amp;U$14&amp;"D"&amp;$D19&amp;" Comdty","PX_SETTLE")))</f>
        <v>-1.75</v>
      </c>
      <c r="V19" s="39" t="str">
        <f ca="1">IF($C19="03",0,"")</f>
        <v/>
      </c>
      <c r="W19" s="37">
        <f ca="1"/>
        <v>-1.75</v>
      </c>
      <c r="X19" s="38">
        <f t="shared" ca="1" si="6"/>
        <v>2092.25</v>
      </c>
      <c r="Y19" s="35">
        <f t="array" aca="1" ref="Y19" ca="1">_xll.QUtils_ErrorReplace(IF($D19="S 0303",0,_xll.BDP("LM"&amp;Y$14&amp;"D"&amp;$D19&amp;" Comdty","PX_SETTLE")))</f>
        <v>334</v>
      </c>
      <c r="Z19" s="39" t="str">
        <f ca="1">IF($C19="03",0,"")</f>
        <v/>
      </c>
      <c r="AA19" s="37">
        <f ca="1"/>
        <v>334</v>
      </c>
      <c r="AB19" s="38">
        <f t="shared" ca="1" si="7"/>
        <v>22991</v>
      </c>
    </row>
    <row r="20" spans="2:28" x14ac:dyDescent="0.25">
      <c r="B20" s="1" cm="1">
        <f t="array" aca="1" ref="B20" ca="1">_xll.QDates_NextLMECurveDate(B19,$B$1,FALSE)</f>
        <v>44327</v>
      </c>
      <c r="C20" s="8" t="str" cm="1">
        <f t="array" aca="1" ref="C20" ca="1">IF(B20=$B$1,"03",_xll.QDates_GetMonthCodeAndYear(B20,2))</f>
        <v>03</v>
      </c>
      <c r="D20" s="8" t="str">
        <f t="shared" ca="1" si="1"/>
        <v>S 0303</v>
      </c>
      <c r="E20" s="35" cm="1">
        <f t="array" aca="1" ref="E20" ca="1">IF($D20="S 0303",0,_xll.BDP("LM"&amp;E$14&amp;"D"&amp;$D20&amp;" Comdty","PX_SETTLE"))</f>
        <v>0</v>
      </c>
      <c r="F20" s="39">
        <f ca="1">IF($C20="03",0,"")</f>
        <v>0</v>
      </c>
      <c r="G20" s="37">
        <f ca="1"/>
        <v>0</v>
      </c>
      <c r="H20" s="184">
        <f ca="1">VLOOKUP(E$14,$B$6:$E$11,4,FALSE)+IF(MID(D20,3,2)="03",-G20,G20)</f>
        <v>2085</v>
      </c>
      <c r="I20" s="35" cm="1">
        <f t="array" aca="1" ref="I20" ca="1">IF($D20="S 0303",0,_xll.BDP("LM"&amp;I$14&amp;"D"&amp;$D20&amp;" Comdty","PX_SETTLE"))</f>
        <v>0</v>
      </c>
      <c r="J20" s="39">
        <f ca="1">IF($C20="03",0,"")</f>
        <v>0</v>
      </c>
      <c r="K20" s="37">
        <f ca="1"/>
        <v>0</v>
      </c>
      <c r="L20" s="38">
        <f ca="1">VLOOKUP(I$14,$B$6:$E$11,4,FALSE)-K20</f>
        <v>8278.5</v>
      </c>
      <c r="M20" s="35" cm="1">
        <f t="array" aca="1" ref="M20" ca="1">IF($D20="S 0303",0,_xll.BDP("LM"&amp;M$14&amp;"D"&amp;$D20&amp;" Comdty","PX_SETTLE"))</f>
        <v>0</v>
      </c>
      <c r="N20" s="39">
        <f ca="1">IF($C20="03",0,"")</f>
        <v>0</v>
      </c>
      <c r="O20" s="37">
        <f ca="1"/>
        <v>0</v>
      </c>
      <c r="P20" s="38">
        <f t="shared" ca="1" si="4"/>
        <v>2759</v>
      </c>
      <c r="Q20" s="35" cm="1">
        <f t="array" aca="1" ref="Q20" ca="1">IF($D20="S 0303",0,_xll.BDP("LM"&amp;Q$14&amp;"D"&amp;$D20&amp;" Comdty","PX_SETTLE"))</f>
        <v>0</v>
      </c>
      <c r="R20" s="39">
        <f ca="1">IF($C20="03",0,"")</f>
        <v>0</v>
      </c>
      <c r="S20" s="37">
        <f ca="1"/>
        <v>0</v>
      </c>
      <c r="T20" s="38">
        <f t="shared" ca="1" si="5"/>
        <v>18675</v>
      </c>
      <c r="U20" s="35" cm="1">
        <f t="array" aca="1" ref="U20" ca="1">IF($D20="S 0303",0,_xll.BDP("LM"&amp;U$14&amp;"D"&amp;$D20&amp;" Comdty","PX_SETTLE"))</f>
        <v>0</v>
      </c>
      <c r="V20" s="39">
        <f ca="1">IF($C20="03",0,"")</f>
        <v>0</v>
      </c>
      <c r="W20" s="37">
        <f ca="1"/>
        <v>0</v>
      </c>
      <c r="X20" s="38">
        <f t="shared" ca="1" si="6"/>
        <v>2090.5</v>
      </c>
      <c r="Y20" s="35" cm="1">
        <f t="array" aca="1" ref="Y20" ca="1">IF($D20="S 0303",0,_xll.BDP("LM"&amp;Y$14&amp;"D"&amp;$D20&amp;" Comdty","PX_SETTLE"))</f>
        <v>0</v>
      </c>
      <c r="Z20" s="39">
        <f ca="1">IF($C20="03",0,"")</f>
        <v>0</v>
      </c>
      <c r="AA20" s="37">
        <f ca="1"/>
        <v>0</v>
      </c>
      <c r="AB20" s="38">
        <f t="shared" ca="1" si="7"/>
        <v>23325</v>
      </c>
    </row>
    <row r="21" spans="2:28" x14ac:dyDescent="0.25">
      <c r="B21" s="1" cm="1">
        <f t="array" aca="1" ref="B21" ca="1">_xll.QDates_NextLMECurveDate(B20,$B$1,FALSE)</f>
        <v>44335</v>
      </c>
      <c r="C21" s="8" t="str" cm="1">
        <f t="array" aca="1" ref="C21" ca="1">IF(B21=$B$1,"03",_xll.QDates_GetMonthCodeAndYear(B21,2))</f>
        <v>K21</v>
      </c>
      <c r="D21" s="8" t="str">
        <f t="shared" ca="1" si="1"/>
        <v>S 03K21</v>
      </c>
      <c r="E21" s="35" cm="1">
        <f t="array" aca="1" ref="E21" ca="1">IF($D21="S 0303",0,_xll.BDP("LM"&amp;E$14&amp;"D"&amp;$D21&amp;" Comdty","PX_SETTLE"))</f>
        <v>-1.84</v>
      </c>
      <c r="F21" s="39" t="str">
        <f ca="1">IF($C21="03",0,"")</f>
        <v/>
      </c>
      <c r="G21" s="37">
        <f ca="1"/>
        <v>-3.1733333333333333</v>
      </c>
      <c r="H21" s="38">
        <f ca="1">VLOOKUP(E$14,$B$6:$E$11,4,FALSE)+IF(MID(D21,3,2)="03",-G21,G21)</f>
        <v>2088.1733333333332</v>
      </c>
      <c r="I21" s="35" cm="1">
        <f t="array" aca="1" ref="I21" ca="1">IF($D21="S 0303",0,_xll.BDP("LM"&amp;I$14&amp;"D"&amp;$D21&amp;" Comdty","PX_SETTLE"))</f>
        <v>1.75</v>
      </c>
      <c r="J21" s="39" t="str">
        <f ca="1">IF($C21="03",0,"")</f>
        <v/>
      </c>
      <c r="K21" s="37">
        <f ca="1"/>
        <v>1.75</v>
      </c>
      <c r="L21" s="38">
        <f t="shared" ca="1" si="3"/>
        <v>8276.75</v>
      </c>
      <c r="M21" s="35" cm="1">
        <f t="array" aca="1" ref="M21" ca="1">IF($D21="S 0303",0,_xll.BDP("LM"&amp;M$14&amp;"D"&amp;$D21&amp;" Comdty","PX_SETTLE"))</f>
        <v>-1.25</v>
      </c>
      <c r="N21" s="39" t="str">
        <f ca="1">IF($C21="03",0,"")</f>
        <v/>
      </c>
      <c r="O21" s="37">
        <f ca="1"/>
        <v>-1.65</v>
      </c>
      <c r="P21" s="38">
        <f t="shared" ca="1" si="4"/>
        <v>2760.65</v>
      </c>
      <c r="Q21" s="35" cm="1">
        <f t="array" aca="1" ref="Q21" ca="1">IF($D21="S 0303",0,_xll.BDP("LM"&amp;Q$14&amp;"D"&amp;$D21&amp;" Comdty","PX_SETTLE"))</f>
        <v>1</v>
      </c>
      <c r="R21" s="39" t="str">
        <f ca="1">IF($C21="03",0,"")</f>
        <v/>
      </c>
      <c r="S21" s="37">
        <f ca="1"/>
        <v>0.6</v>
      </c>
      <c r="T21" s="38">
        <f t="shared" ca="1" si="5"/>
        <v>18674.400000000001</v>
      </c>
      <c r="U21" s="35" cm="1">
        <f t="array" aca="1" ref="U21" ca="1">IF($D21="S 0303",0,_xll.BDP("LM"&amp;U$14&amp;"D"&amp;$D21&amp;" Comdty","PX_SETTLE"))</f>
        <v>-2.15</v>
      </c>
      <c r="V21" s="39" t="str">
        <f ca="1">IF($C21="03",0,"")</f>
        <v/>
      </c>
      <c r="W21" s="37">
        <f ca="1"/>
        <v>-2.5499999999999998</v>
      </c>
      <c r="X21" s="38">
        <f t="shared" ca="1" si="6"/>
        <v>2093.0500000000002</v>
      </c>
      <c r="Y21" s="35" cm="1">
        <f t="array" aca="1" ref="Y21" ca="1">IF($D21="S 0303",0,_xll.BDP("LM"&amp;Y$14&amp;"D"&amp;$D21&amp;" Comdty","PX_SETTLE"))</f>
        <v>35</v>
      </c>
      <c r="Z21" s="39" t="str">
        <f ca="1">IF($C21="03",0,"")</f>
        <v/>
      </c>
      <c r="AA21" s="37">
        <f ca="1"/>
        <v>34.6</v>
      </c>
      <c r="AB21" s="38">
        <f t="shared" ca="1" si="7"/>
        <v>23290.400000000001</v>
      </c>
    </row>
    <row r="22" spans="2:28" x14ac:dyDescent="0.25">
      <c r="B22" s="1" cm="1">
        <f t="array" aca="1" ref="B22" ca="1">_xll.QDates_NextLMECurveDate(B21,$B$1,FALSE)</f>
        <v>44363</v>
      </c>
      <c r="C22" s="8" t="str" cm="1">
        <f t="array" aca="1" ref="C22" ca="1">IF(B22=$B$1,"03",_xll.QDates_GetMonthCodeAndYear(B22,2))</f>
        <v>M21</v>
      </c>
      <c r="D22" s="8" t="str">
        <f t="shared" ca="1" si="1"/>
        <v>S 03M21</v>
      </c>
      <c r="E22" s="35" cm="1">
        <f t="array" aca="1" ref="E22" ca="1">IF($D22="S 0303",0,_xll.BDP("LM"&amp;E$14&amp;"D"&amp;$D22&amp;" Comdty","PX_SETTLE"))</f>
        <v>-5.84</v>
      </c>
      <c r="F22" s="39"/>
      <c r="G22" s="37">
        <f ca="1"/>
        <v>-8.5066666666666659</v>
      </c>
      <c r="H22" s="38">
        <f ca="1">VLOOKUP(E$14,$B$6:$E$11,4,FALSE)+IF(MID(D22,3,2)="03",-G22,G22)</f>
        <v>2093.5066666666667</v>
      </c>
      <c r="I22" s="35" cm="1">
        <f t="array" aca="1" ref="I22" ca="1">IF($D22="S 0303",0,_xll.BDP("LM"&amp;I$14&amp;"D"&amp;$D22&amp;" Comdty","PX_SETTLE"))</f>
        <v>7.25</v>
      </c>
      <c r="J22" s="39"/>
      <c r="K22" s="37">
        <f ca="1"/>
        <v>7.25</v>
      </c>
      <c r="L22" s="38">
        <f t="shared" ca="1" si="3"/>
        <v>8271.25</v>
      </c>
      <c r="M22" s="35" cm="1">
        <f t="array" aca="1" ref="M22" ca="1">IF($D22="S 0303",0,_xll.BDP("LM"&amp;M$14&amp;"D"&amp;$D22&amp;" Comdty","PX_SETTLE"))</f>
        <v>-5.75</v>
      </c>
      <c r="N22" s="39"/>
      <c r="O22" s="37">
        <f ca="1"/>
        <v>-6.55</v>
      </c>
      <c r="P22" s="38">
        <f t="shared" ca="1" si="4"/>
        <v>2765.55</v>
      </c>
      <c r="Q22" s="35" cm="1">
        <f t="array" aca="1" ref="Q22" ca="1">IF($D22="S 0303",0,_xll.BDP("LM"&amp;Q$14&amp;"D"&amp;$D22&amp;" Comdty","PX_SETTLE"))</f>
        <v>-7</v>
      </c>
      <c r="R22" s="39"/>
      <c r="S22" s="37">
        <f ca="1"/>
        <v>-7.8</v>
      </c>
      <c r="T22" s="38">
        <f t="shared" ca="1" si="5"/>
        <v>18682.8</v>
      </c>
      <c r="U22" s="35" cm="1">
        <f t="array" aca="1" ref="U22" ca="1">IF($D22="S 0303",0,_xll.BDP("LM"&amp;U$14&amp;"D"&amp;$D22&amp;" Comdty","PX_SETTLE"))</f>
        <v>-4.6500000000000004</v>
      </c>
      <c r="V22" s="39"/>
      <c r="W22" s="37">
        <f ca="1"/>
        <v>-5.45</v>
      </c>
      <c r="X22" s="38">
        <f t="shared" ca="1" si="6"/>
        <v>2095.9499999999998</v>
      </c>
      <c r="Y22" s="35" cm="1">
        <f t="array" aca="1" ref="Y22" ca="1">IF($D22="S 0303",0,_xll.BDP("LM"&amp;Y$14&amp;"D"&amp;$D22&amp;" Comdty","PX_SETTLE"))</f>
        <v>255</v>
      </c>
      <c r="Z22" s="39"/>
      <c r="AA22" s="37">
        <f ca="1"/>
        <v>254.2</v>
      </c>
      <c r="AB22" s="38">
        <f t="shared" ca="1" si="7"/>
        <v>23070.799999999999</v>
      </c>
    </row>
    <row r="23" spans="2:28" x14ac:dyDescent="0.25">
      <c r="B23" s="1" cm="1">
        <f t="array" aca="1" ref="B23" ca="1">_xll.QDates_NextLMECurveDate(B22,$B$1,FALSE)</f>
        <v>44398</v>
      </c>
      <c r="C23" s="8" t="str" cm="1">
        <f t="array" aca="1" ref="C23" ca="1">IF(B23=$B$1,"03",_xll.QDates_GetMonthCodeAndYear(B23,2))</f>
        <v>N21</v>
      </c>
      <c r="D23" s="8" t="str">
        <f t="shared" ca="1" si="1"/>
        <v>S 03N21</v>
      </c>
      <c r="E23" s="35" cm="1">
        <f t="array" aca="1" ref="E23" ca="1">IF($D23="S 0303",0,_xll.BDP("LM"&amp;E$14&amp;"D"&amp;$D23&amp;" Comdty","PX_SETTLE"))</f>
        <v>-9.59</v>
      </c>
      <c r="F23" s="36">
        <f ca="1">E23-4</f>
        <v>-13.59</v>
      </c>
      <c r="G23" s="37">
        <f ca="1"/>
        <v>-13.59</v>
      </c>
      <c r="H23" s="184">
        <f ca="1">VLOOKUP(E$14,$B$6:$E$11,4,FALSE)+IF(MID(D23,3,2)="03",-G23,G23)</f>
        <v>2098.59</v>
      </c>
      <c r="I23" s="35" cm="1">
        <f t="array" aca="1" ref="I23" ca="1">IF($D23="S 0303",0,_xll.BDP("LM"&amp;I$14&amp;"D"&amp;$D23&amp;" Comdty","PX_SETTLE"))</f>
        <v>15</v>
      </c>
      <c r="J23" s="39"/>
      <c r="K23" s="37">
        <f ca="1"/>
        <v>15</v>
      </c>
      <c r="L23" s="38">
        <f t="shared" ca="1" si="3"/>
        <v>8263.5</v>
      </c>
      <c r="M23" s="35" cm="1">
        <f t="array" aca="1" ref="M23" ca="1">IF($D23="S 0303",0,_xll.BDP("LM"&amp;M$14&amp;"D"&amp;$D23&amp;" Comdty","PX_SETTLE"))</f>
        <v>-9.25</v>
      </c>
      <c r="N23" s="39"/>
      <c r="O23" s="37">
        <f ca="1"/>
        <v>-10.45</v>
      </c>
      <c r="P23" s="38">
        <f t="shared" ca="1" si="4"/>
        <v>2769.45</v>
      </c>
      <c r="Q23" s="35" cm="1">
        <f t="array" aca="1" ref="Q23" ca="1">IF($D23="S 0303",0,_xll.BDP("LM"&amp;Q$14&amp;"D"&amp;$D23&amp;" Comdty","PX_SETTLE"))</f>
        <v>-15</v>
      </c>
      <c r="R23" s="39"/>
      <c r="S23" s="37">
        <f ca="1"/>
        <v>-16.2</v>
      </c>
      <c r="T23" s="38">
        <f t="shared" ca="1" si="5"/>
        <v>18691.2</v>
      </c>
      <c r="U23" s="35" cm="1">
        <f t="array" aca="1" ref="U23" ca="1">IF($D23="S 0303",0,_xll.BDP("LM"&amp;U$14&amp;"D"&amp;$D23&amp;" Comdty","PX_SETTLE"))</f>
        <v>-7.15</v>
      </c>
      <c r="V23" s="39"/>
      <c r="W23" s="37">
        <f ca="1"/>
        <v>-8.3500000000000014</v>
      </c>
      <c r="X23" s="38">
        <f t="shared" ca="1" si="6"/>
        <v>2098.85</v>
      </c>
      <c r="Y23" s="35" cm="1">
        <f t="array" aca="1" ref="Y23" ca="1">IF($D23="S 0303",0,_xll.BDP("LM"&amp;Y$14&amp;"D"&amp;$D23&amp;" Comdty","PX_SETTLE"))</f>
        <v>485</v>
      </c>
      <c r="Z23" s="39"/>
      <c r="AA23" s="37">
        <f ca="1"/>
        <v>483.8</v>
      </c>
      <c r="AB23" s="38">
        <f t="shared" ca="1" si="7"/>
        <v>22841.200000000001</v>
      </c>
    </row>
    <row r="24" spans="2:28" x14ac:dyDescent="0.25">
      <c r="B24" s="1" cm="1">
        <f t="array" aca="1" ref="B24" ca="1">_xll.QDates_NextLMECurveDate(B23,$B$1,FALSE)</f>
        <v>44426</v>
      </c>
      <c r="C24" s="8" t="str" cm="1">
        <f t="array" aca="1" ref="C24" ca="1">IF(B24=$B$1,"03",_xll.QDates_GetMonthCodeAndYear(B24,2))</f>
        <v>Q21</v>
      </c>
      <c r="D24" s="8" t="str">
        <f t="shared" ca="1" si="1"/>
        <v>S 03Q21</v>
      </c>
      <c r="E24" s="35" cm="1">
        <f t="array" aca="1" ref="E24" ca="1">IF($D24="S 0303",0,_xll.BDP("LM"&amp;E$14&amp;"D"&amp;$D24&amp;" Comdty","PX_SETTLE"))</f>
        <v>-13.34</v>
      </c>
      <c r="F24" s="39"/>
      <c r="G24" s="37">
        <f ca="1"/>
        <v>-18.34</v>
      </c>
      <c r="H24" s="38">
        <f t="shared" ca="1" si="2"/>
        <v>2103.34</v>
      </c>
      <c r="I24" s="35" cm="1">
        <f t="array" aca="1" ref="I24" ca="1">IF($D24="S 0303",0,_xll.BDP("LM"&amp;I$14&amp;"D"&amp;$D24&amp;" Comdty","PX_SETTLE"))</f>
        <v>25</v>
      </c>
      <c r="J24" s="39"/>
      <c r="K24" s="37">
        <f ca="1"/>
        <v>25</v>
      </c>
      <c r="L24" s="38">
        <f t="shared" ca="1" si="3"/>
        <v>8253.5</v>
      </c>
      <c r="M24" s="35" cm="1">
        <f t="array" aca="1" ref="M24" ca="1">IF($D24="S 0303",0,_xll.BDP("LM"&amp;M$14&amp;"D"&amp;$D24&amp;" Comdty","PX_SETTLE"))</f>
        <v>-12</v>
      </c>
      <c r="N24" s="39"/>
      <c r="O24" s="37">
        <f ca="1"/>
        <v>-13.6</v>
      </c>
      <c r="P24" s="38">
        <f t="shared" ca="1" si="4"/>
        <v>2772.6</v>
      </c>
      <c r="Q24" s="35" cm="1">
        <f t="array" aca="1" ref="Q24" ca="1">IF($D24="S 0303",0,_xll.BDP("LM"&amp;Q$14&amp;"D"&amp;$D24&amp;" Comdty","PX_SETTLE"))</f>
        <v>-20</v>
      </c>
      <c r="R24" s="39"/>
      <c r="S24" s="37">
        <f ca="1"/>
        <v>-21.6</v>
      </c>
      <c r="T24" s="38">
        <f t="shared" ca="1" si="5"/>
        <v>18696.599999999999</v>
      </c>
      <c r="U24" s="35" cm="1">
        <f t="array" aca="1" ref="U24" ca="1">IF($D24="S 0303",0,_xll.BDP("LM"&amp;U$14&amp;"D"&amp;$D24&amp;" Comdty","PX_SETTLE"))</f>
        <v>-9.75</v>
      </c>
      <c r="V24" s="39"/>
      <c r="W24" s="37">
        <f ca="1"/>
        <v>-11.35</v>
      </c>
      <c r="X24" s="38">
        <f t="shared" ca="1" si="6"/>
        <v>2101.85</v>
      </c>
      <c r="Y24" s="35" cm="1">
        <f t="array" aca="1" ref="Y24" ca="1">IF($D24="S 0303",0,_xll.BDP("LM"&amp;Y$14&amp;"D"&amp;$D24&amp;" Comdty","PX_SETTLE"))</f>
        <v>685</v>
      </c>
      <c r="Z24" s="39"/>
      <c r="AA24" s="37">
        <f ca="1"/>
        <v>683.4</v>
      </c>
      <c r="AB24" s="38">
        <f t="shared" ca="1" si="7"/>
        <v>22641.599999999999</v>
      </c>
    </row>
    <row r="25" spans="2:28" x14ac:dyDescent="0.25">
      <c r="B25" s="1" cm="1">
        <f t="array" aca="1" ref="B25" ca="1">_xll.QDates_NextLMECurveDate(B24,$B$1,FALSE)</f>
        <v>44454</v>
      </c>
      <c r="C25" s="8" t="str" cm="1">
        <f t="array" aca="1" ref="C25" ca="1">IF(B25=$B$1,"03",_xll.QDates_GetMonthCodeAndYear(B25,2))</f>
        <v>U21</v>
      </c>
      <c r="D25" s="8" t="str">
        <f t="shared" ca="1" si="1"/>
        <v>S 03U21</v>
      </c>
      <c r="E25" s="35" cm="1">
        <f t="array" aca="1" ref="E25" ca="1">IF($D25="S 0303",0,_xll.BDP("LM"&amp;E$14&amp;"D"&amp;$D25&amp;" Comdty","PX_SETTLE"))</f>
        <v>-16.34</v>
      </c>
      <c r="F25" s="36">
        <f ca="1">E25-6</f>
        <v>-22.34</v>
      </c>
      <c r="G25" s="37">
        <f ca="1"/>
        <v>-22.34</v>
      </c>
      <c r="H25" s="38">
        <f t="shared" ca="1" si="2"/>
        <v>2107.34</v>
      </c>
      <c r="I25" s="35" cm="1">
        <f t="array" aca="1" ref="I25" ca="1">IF($D25="S 0303",0,_xll.BDP("LM"&amp;I$14&amp;"D"&amp;$D25&amp;" Comdty","PX_SETTLE"))</f>
        <v>34.5</v>
      </c>
      <c r="J25" s="36"/>
      <c r="K25" s="37">
        <f ca="1"/>
        <v>34.5</v>
      </c>
      <c r="L25" s="38">
        <f t="shared" ca="1" si="3"/>
        <v>8244</v>
      </c>
      <c r="M25" s="35" cm="1">
        <f t="array" aca="1" ref="M25" ca="1">IF($D25="S 0303",0,_xll.BDP("LM"&amp;M$14&amp;"D"&amp;$D25&amp;" Comdty","PX_SETTLE"))</f>
        <v>-14.5</v>
      </c>
      <c r="N25" s="36">
        <f ca="1">M25-2</f>
        <v>-16.5</v>
      </c>
      <c r="O25" s="37">
        <f ca="1"/>
        <v>-16.5</v>
      </c>
      <c r="P25" s="38">
        <f t="shared" ca="1" si="4"/>
        <v>2775.5</v>
      </c>
      <c r="Q25" s="35" cm="1">
        <f t="array" aca="1" ref="Q25" ca="1">IF($D25="S 0303",0,_xll.BDP("LM"&amp;Q$14&amp;"D"&amp;$D25&amp;" Comdty","PX_SETTLE"))</f>
        <v>-25</v>
      </c>
      <c r="R25" s="36">
        <f ca="1">Q25-2</f>
        <v>-27</v>
      </c>
      <c r="S25" s="37">
        <f ca="1"/>
        <v>-27</v>
      </c>
      <c r="T25" s="38">
        <f t="shared" ca="1" si="5"/>
        <v>18702</v>
      </c>
      <c r="U25" s="35" cm="1">
        <f t="array" aca="1" ref="U25" ca="1">IF($D25="S 0303",0,_xll.BDP("LM"&amp;U$14&amp;"D"&amp;$D25&amp;" Comdty","PX_SETTLE"))</f>
        <v>-12.5</v>
      </c>
      <c r="V25" s="36">
        <f ca="1">U25-2</f>
        <v>-14.5</v>
      </c>
      <c r="W25" s="37">
        <f ca="1"/>
        <v>-14.5</v>
      </c>
      <c r="X25" s="38">
        <f t="shared" ca="1" si="6"/>
        <v>2105</v>
      </c>
      <c r="Y25" s="35" cm="1">
        <f t="array" aca="1" ref="Y25" ca="1">IF($D25="S 0303",0,_xll.BDP("LM"&amp;Y$14&amp;"D"&amp;$D25&amp;" Comdty","PX_SETTLE"))</f>
        <v>835</v>
      </c>
      <c r="Z25" s="36">
        <f ca="1">Y25-2</f>
        <v>833</v>
      </c>
      <c r="AA25" s="37">
        <f ca="1"/>
        <v>833</v>
      </c>
      <c r="AB25" s="38">
        <f t="shared" ca="1" si="7"/>
        <v>22492</v>
      </c>
    </row>
    <row r="26" spans="2:28" x14ac:dyDescent="0.25">
      <c r="B26" s="1" cm="1">
        <f t="array" aca="1" ref="B26" ca="1">_xll.QDates_NextLMECurveDate(B25,$B$1,FALSE)</f>
        <v>44489</v>
      </c>
      <c r="C26" s="8" t="str" cm="1">
        <f t="array" aca="1" ref="C26" ca="1">IF(B26=$B$1,"03",_xll.QDates_GetMonthCodeAndYear(B26,2))</f>
        <v>V21</v>
      </c>
      <c r="D26" s="8" t="str">
        <f t="shared" ca="1" si="1"/>
        <v>S 03V21</v>
      </c>
      <c r="E26" s="35" cm="1">
        <f t="array" aca="1" ref="E26" ca="1">IF($D26="S 0303",0,_xll.BDP("LM"&amp;E$14&amp;"D"&amp;$D26&amp;" Comdty","PX_SETTLE"))</f>
        <v>-19.34</v>
      </c>
      <c r="F26" s="39"/>
      <c r="G26" s="37">
        <f ca="1"/>
        <v>-25.84</v>
      </c>
      <c r="H26" s="38">
        <f t="shared" ca="1" si="2"/>
        <v>2110.84</v>
      </c>
      <c r="I26" s="35" cm="1">
        <f t="array" aca="1" ref="I26" ca="1">IF($D26="S 0303",0,_xll.BDP("LM"&amp;I$14&amp;"D"&amp;$D26&amp;" Comdty","PX_SETTLE"))</f>
        <v>44</v>
      </c>
      <c r="J26" s="39"/>
      <c r="K26" s="37">
        <f ca="1"/>
        <v>44</v>
      </c>
      <c r="L26" s="38">
        <f t="shared" ca="1" si="3"/>
        <v>8234.5</v>
      </c>
      <c r="M26" s="35" cm="1">
        <f t="array" aca="1" ref="M26" ca="1">IF($D26="S 0303",0,_xll.BDP("LM"&amp;M$14&amp;"D"&amp;$D26&amp;" Comdty","PX_SETTLE"))</f>
        <v>-17</v>
      </c>
      <c r="N26" s="39"/>
      <c r="O26" s="37">
        <f ca="1"/>
        <v>-19.166666666666668</v>
      </c>
      <c r="P26" s="38">
        <f t="shared" ca="1" si="4"/>
        <v>2778.1666666666665</v>
      </c>
      <c r="Q26" s="35" cm="1">
        <f t="array" aca="1" ref="Q26" ca="1">IF($D26="S 0303",0,_xll.BDP("LM"&amp;Q$14&amp;"D"&amp;$D26&amp;" Comdty","PX_SETTLE"))</f>
        <v>-30</v>
      </c>
      <c r="R26" s="39"/>
      <c r="S26" s="37">
        <f ca="1"/>
        <v>-32.166666666666664</v>
      </c>
      <c r="T26" s="38">
        <f t="shared" ca="1" si="5"/>
        <v>18707.166666666668</v>
      </c>
      <c r="U26" s="35" cm="1">
        <f t="array" aca="1" ref="U26" ca="1">IF($D26="S 0303",0,_xll.BDP("LM"&amp;U$14&amp;"D"&amp;$D26&amp;" Comdty","PX_SETTLE"))</f>
        <v>-15.5</v>
      </c>
      <c r="V26" s="39"/>
      <c r="W26" s="37">
        <f ca="1"/>
        <v>-17.666666666666668</v>
      </c>
      <c r="X26" s="38">
        <f t="shared" ca="1" si="6"/>
        <v>2108.1666666666665</v>
      </c>
      <c r="Y26" s="35" cm="1">
        <f t="array" aca="1" ref="Y26" ca="1">IF($D26="S 0303",0,_xll.BDP("LM"&amp;Y$14&amp;"D"&amp;$D26&amp;" Comdty","PX_SETTLE"))</f>
        <v>930</v>
      </c>
      <c r="Z26" s="39"/>
      <c r="AA26" s="37">
        <f ca="1"/>
        <v>928</v>
      </c>
      <c r="AB26" s="38">
        <f t="shared" ca="1" si="7"/>
        <v>22397</v>
      </c>
    </row>
    <row r="27" spans="2:28" x14ac:dyDescent="0.25">
      <c r="B27" s="1" cm="1">
        <f t="array" aca="1" ref="B27" ca="1">_xll.QDates_NextLMECurveDate(B26,$B$1,FALSE)</f>
        <v>44517</v>
      </c>
      <c r="C27" s="8" t="str" cm="1">
        <f t="array" aca="1" ref="C27" ca="1">IF(B27=$B$1,"03",_xll.QDates_GetMonthCodeAndYear(B27,2))</f>
        <v>X21</v>
      </c>
      <c r="D27" s="8" t="str">
        <f t="shared" ca="1" si="1"/>
        <v>S 03X21</v>
      </c>
      <c r="E27" s="35" cm="1">
        <f t="array" aca="1" ref="E27" ca="1">IF($D27="S 0303",0,_xll.BDP("LM"&amp;E$14&amp;"D"&amp;$D27&amp;" Comdty","PX_SETTLE"))</f>
        <v>-21.09</v>
      </c>
      <c r="F27" s="39"/>
      <c r="G27" s="37">
        <f ca="1"/>
        <v>-28.09</v>
      </c>
      <c r="H27" s="38">
        <f t="shared" ca="1" si="2"/>
        <v>2113.09</v>
      </c>
      <c r="I27" s="35" cm="1">
        <f t="array" aca="1" ref="I27" ca="1">IF($D27="S 0303",0,_xll.BDP("LM"&amp;I$14&amp;"D"&amp;$D27&amp;" Comdty","PX_SETTLE"))</f>
        <v>58</v>
      </c>
      <c r="J27" s="39"/>
      <c r="K27" s="37">
        <f ca="1"/>
        <v>58</v>
      </c>
      <c r="L27" s="38">
        <f t="shared" ca="1" si="3"/>
        <v>8220.5</v>
      </c>
      <c r="M27" s="35" cm="1">
        <f t="array" aca="1" ref="M27" ca="1">IF($D27="S 0303",0,_xll.BDP("LM"&amp;M$14&amp;"D"&amp;$D27&amp;" Comdty","PX_SETTLE"))</f>
        <v>-18.75</v>
      </c>
      <c r="N27" s="39"/>
      <c r="O27" s="37">
        <f ca="1"/>
        <v>-21.083333333333332</v>
      </c>
      <c r="P27" s="38">
        <f t="shared" ca="1" si="4"/>
        <v>2780.0833333333335</v>
      </c>
      <c r="Q27" s="35" cm="1">
        <f t="array" aca="1" ref="Q27" ca="1">IF($D27="S 0303",0,_xll.BDP("LM"&amp;Q$14&amp;"D"&amp;$D27&amp;" Comdty","PX_SETTLE"))</f>
        <v>-35</v>
      </c>
      <c r="R27" s="39"/>
      <c r="S27" s="37">
        <f ca="1"/>
        <v>-37.333333333333336</v>
      </c>
      <c r="T27" s="38">
        <f t="shared" ca="1" si="5"/>
        <v>18712.333333333332</v>
      </c>
      <c r="U27" s="35" cm="1">
        <f t="array" aca="1" ref="U27" ca="1">IF($D27="S 0303",0,_xll.BDP("LM"&amp;U$14&amp;"D"&amp;$D27&amp;" Comdty","PX_SETTLE"))</f>
        <v>-18</v>
      </c>
      <c r="V27" s="39"/>
      <c r="W27" s="37">
        <f ca="1"/>
        <v>-20.333333333333332</v>
      </c>
      <c r="X27" s="38">
        <f t="shared" ca="1" si="6"/>
        <v>2110.8333333333335</v>
      </c>
      <c r="Y27" s="35" cm="1">
        <f t="array" aca="1" ref="Y27" ca="1">IF($D27="S 0303",0,_xll.BDP("LM"&amp;Y$14&amp;"D"&amp;$D27&amp;" Comdty","PX_SETTLE"))</f>
        <v>955</v>
      </c>
      <c r="Z27" s="39"/>
      <c r="AA27" s="37">
        <f ca="1"/>
        <v>953</v>
      </c>
      <c r="AB27" s="38">
        <f t="shared" ca="1" si="7"/>
        <v>22372</v>
      </c>
    </row>
    <row r="28" spans="2:28" x14ac:dyDescent="0.25">
      <c r="B28" s="1" cm="1">
        <f t="array" aca="1" ref="B28" ca="1">_xll.QDates_NextLMECurveDate(B27,$B$1,FALSE)</f>
        <v>44545</v>
      </c>
      <c r="C28" s="8" t="str" cm="1">
        <f t="array" aca="1" ref="C28" ca="1">IF(B28=$B$1,"03",_xll.QDates_GetMonthCodeAndYear(B28,2))</f>
        <v>Z21</v>
      </c>
      <c r="D28" s="8" t="str">
        <f t="shared" ca="1" si="1"/>
        <v>S 03Z21</v>
      </c>
      <c r="E28" s="35" cm="1">
        <f t="array" aca="1" ref="E28" ca="1">IF($D28="S 0303",0,_xll.BDP("LM"&amp;E$14&amp;"D"&amp;$D28&amp;" Comdty","PX_SETTLE"))</f>
        <v>-23.09</v>
      </c>
      <c r="F28" s="39"/>
      <c r="G28" s="37">
        <f ca="1"/>
        <v>-30.59</v>
      </c>
      <c r="H28" s="38">
        <f t="shared" ca="1" si="2"/>
        <v>2115.59</v>
      </c>
      <c r="I28" s="35" cm="1">
        <f t="array" aca="1" ref="I28" ca="1">IF($D28="S 0303",0,_xll.BDP("LM"&amp;I$14&amp;"D"&amp;$D28&amp;" Comdty","PX_SETTLE"))</f>
        <v>73</v>
      </c>
      <c r="J28" s="39"/>
      <c r="K28" s="37">
        <f ca="1"/>
        <v>73</v>
      </c>
      <c r="L28" s="38">
        <f t="shared" ca="1" si="3"/>
        <v>8205.5</v>
      </c>
      <c r="M28" s="35" cm="1">
        <f t="array" aca="1" ref="M28" ca="1">IF($D28="S 0303",0,_xll.BDP("LM"&amp;M$14&amp;"D"&amp;$D28&amp;" Comdty","PX_SETTLE"))</f>
        <v>-20.5</v>
      </c>
      <c r="N28" s="39"/>
      <c r="O28" s="37">
        <f ca="1"/>
        <v>-23</v>
      </c>
      <c r="P28" s="38">
        <f t="shared" ca="1" si="4"/>
        <v>2782</v>
      </c>
      <c r="Q28" s="35" cm="1">
        <f t="array" aca="1" ref="Q28" ca="1">IF($D28="S 0303",0,_xll.BDP("LM"&amp;Q$14&amp;"D"&amp;$D28&amp;" Comdty","PX_SETTLE"))</f>
        <v>-40</v>
      </c>
      <c r="R28" s="39"/>
      <c r="S28" s="37">
        <f ca="1"/>
        <v>-42.5</v>
      </c>
      <c r="T28" s="38">
        <f t="shared" ca="1" si="5"/>
        <v>18717.5</v>
      </c>
      <c r="U28" s="35" cm="1">
        <f t="array" aca="1" ref="U28" ca="1">IF($D28="S 0303",0,_xll.BDP("LM"&amp;U$14&amp;"D"&amp;$D28&amp;" Comdty","PX_SETTLE"))</f>
        <v>-20.5</v>
      </c>
      <c r="V28" s="39"/>
      <c r="W28" s="37">
        <f ca="1"/>
        <v>-23</v>
      </c>
      <c r="X28" s="38">
        <f t="shared" ca="1" si="6"/>
        <v>2113.5</v>
      </c>
      <c r="Y28" s="35" cm="1">
        <f t="array" aca="1" ref="Y28" ca="1">IF($D28="S 0303",0,_xll.BDP("LM"&amp;Y$14&amp;"D"&amp;$D28&amp;" Comdty","PX_SETTLE"))</f>
        <v>985</v>
      </c>
      <c r="Z28" s="39"/>
      <c r="AA28" s="37">
        <f ca="1"/>
        <v>983</v>
      </c>
      <c r="AB28" s="38">
        <f t="shared" ca="1" si="7"/>
        <v>22342</v>
      </c>
    </row>
    <row r="29" spans="2:28" x14ac:dyDescent="0.25">
      <c r="B29" s="1" cm="1">
        <f t="array" aca="1" ref="B29" ca="1">_xll.QDates_NextLMECurveDate(B28,$B$1,FALSE)</f>
        <v>44580</v>
      </c>
      <c r="C29" s="8" t="str" cm="1">
        <f t="array" aca="1" ref="C29" ca="1">IF(B29=$B$1,"03",_xll.QDates_GetMonthCodeAndYear(B29,2))</f>
        <v>F22</v>
      </c>
      <c r="D29" s="8" t="str">
        <f t="shared" ca="1" si="1"/>
        <v>S 03F22</v>
      </c>
      <c r="E29" s="35" cm="1">
        <f t="array" aca="1" ref="E29" ca="1">IF($D29="S 0303",0,_xll.BDP("LM"&amp;E$14&amp;"D"&amp;$D29&amp;" Comdty","PX_SETTLE"))</f>
        <v>-26.34</v>
      </c>
      <c r="F29" s="39"/>
      <c r="G29" s="37">
        <f ca="1"/>
        <v>-34.340000000000003</v>
      </c>
      <c r="H29" s="38">
        <f t="shared" ca="1" si="2"/>
        <v>2119.34</v>
      </c>
      <c r="I29" s="35" cm="1">
        <f t="array" aca="1" ref="I29" ca="1">IF($D29="S 0303",0,_xll.BDP("LM"&amp;I$14&amp;"D"&amp;$D29&amp;" Comdty","PX_SETTLE"))</f>
        <v>86</v>
      </c>
      <c r="J29" s="39"/>
      <c r="K29" s="37">
        <f ca="1"/>
        <v>86</v>
      </c>
      <c r="L29" s="38">
        <f t="shared" ca="1" si="3"/>
        <v>8192.5</v>
      </c>
      <c r="M29" s="35" cm="1">
        <f t="array" aca="1" ref="M29" ca="1">IF($D29="S 0303",0,_xll.BDP("LM"&amp;M$14&amp;"D"&amp;$D29&amp;" Comdty","PX_SETTLE"))</f>
        <v>-22</v>
      </c>
      <c r="N29" s="39"/>
      <c r="O29" s="37">
        <f ca="1"/>
        <v>-24.666666666666668</v>
      </c>
      <c r="P29" s="38">
        <f t="shared" ca="1" si="4"/>
        <v>2783.6666666666665</v>
      </c>
      <c r="Q29" s="35" cm="1">
        <f t="array" aca="1" ref="Q29" ca="1">IF($D29="S 0303",0,_xll.BDP("LM"&amp;Q$14&amp;"D"&amp;$D29&amp;" Comdty","PX_SETTLE"))</f>
        <v>-44</v>
      </c>
      <c r="R29" s="39"/>
      <c r="S29" s="37">
        <f ca="1"/>
        <v>-46.666666666666664</v>
      </c>
      <c r="T29" s="38">
        <f t="shared" ca="1" si="5"/>
        <v>18721.666666666668</v>
      </c>
      <c r="U29" s="35" cm="1">
        <f t="array" aca="1" ref="U29" ca="1">IF($D29="S 0303",0,_xll.BDP("LM"&amp;U$14&amp;"D"&amp;$D29&amp;" Comdty","PX_SETTLE"))</f>
        <v>-22.5</v>
      </c>
      <c r="V29" s="39"/>
      <c r="W29" s="37">
        <f ca="1"/>
        <v>-25.166666666666668</v>
      </c>
      <c r="X29" s="38">
        <f t="shared" ca="1" si="6"/>
        <v>2115.6666666666665</v>
      </c>
      <c r="Y29" s="35" cm="1">
        <f t="array" aca="1" ref="Y29" ca="1">IF($D29="S 0303",0,_xll.BDP("LM"&amp;Y$14&amp;"D"&amp;$D29&amp;" Comdty","PX_SETTLE"))</f>
        <v>1010</v>
      </c>
      <c r="Z29" s="39"/>
      <c r="AA29" s="37">
        <f ca="1"/>
        <v>1008</v>
      </c>
      <c r="AB29" s="38">
        <f t="shared" ca="1" si="7"/>
        <v>22317</v>
      </c>
    </row>
    <row r="30" spans="2:28" x14ac:dyDescent="0.25">
      <c r="B30" s="1" cm="1">
        <f t="array" aca="1" ref="B30" ca="1">_xll.QDates_NextLMECurveDate(B29,$B$1,FALSE)</f>
        <v>44608</v>
      </c>
      <c r="C30" s="8" t="str" cm="1">
        <f t="array" aca="1" ref="C30" ca="1">IF(B30=$B$1,"03",_xll.QDates_GetMonthCodeAndYear(B30,2))</f>
        <v>G22</v>
      </c>
      <c r="D30" s="8" t="str">
        <f t="shared" ca="1" si="1"/>
        <v>S 03G22</v>
      </c>
      <c r="E30" s="35" cm="1">
        <f t="array" aca="1" ref="E30" ca="1">IF($D30="S 0303",0,_xll.BDP("LM"&amp;E$14&amp;"D"&amp;$D30&amp;" Comdty","PX_SETTLE"))</f>
        <v>-28.59</v>
      </c>
      <c r="F30" s="39"/>
      <c r="G30" s="37">
        <f ca="1"/>
        <v>-37.090000000000003</v>
      </c>
      <c r="H30" s="38">
        <f t="shared" ca="1" si="2"/>
        <v>2122.09</v>
      </c>
      <c r="I30" s="35" cm="1">
        <f t="array" aca="1" ref="I30" ca="1">IF($D30="S 0303",0,_xll.BDP("LM"&amp;I$14&amp;"D"&amp;$D30&amp;" Comdty","PX_SETTLE"))</f>
        <v>101</v>
      </c>
      <c r="J30" s="39"/>
      <c r="K30" s="37">
        <f ca="1"/>
        <v>101</v>
      </c>
      <c r="L30" s="38">
        <f t="shared" ca="1" si="3"/>
        <v>8177.5</v>
      </c>
      <c r="M30" s="35" cm="1">
        <f t="array" aca="1" ref="M30" ca="1">IF($D30="S 0303",0,_xll.BDP("LM"&amp;M$14&amp;"D"&amp;$D30&amp;" Comdty","PX_SETTLE"))</f>
        <v>-23.25</v>
      </c>
      <c r="N30" s="39"/>
      <c r="O30" s="37">
        <f ca="1"/>
        <v>-26.083333333333332</v>
      </c>
      <c r="P30" s="38">
        <f t="shared" ca="1" si="4"/>
        <v>2785.0833333333335</v>
      </c>
      <c r="Q30" s="35" cm="1">
        <f t="array" aca="1" ref="Q30" ca="1">IF($D30="S 0303",0,_xll.BDP("LM"&amp;Q$14&amp;"D"&amp;$D30&amp;" Comdty","PX_SETTLE"))</f>
        <v>-48</v>
      </c>
      <c r="R30" s="39"/>
      <c r="S30" s="37">
        <f ca="1"/>
        <v>-50.833333333333336</v>
      </c>
      <c r="T30" s="38">
        <f t="shared" ca="1" si="5"/>
        <v>18725.833333333332</v>
      </c>
      <c r="U30" s="35" cm="1">
        <f t="array" aca="1" ref="U30" ca="1">IF($D30="S 0303",0,_xll.BDP("LM"&amp;U$14&amp;"D"&amp;$D30&amp;" Comdty","PX_SETTLE"))</f>
        <v>-24</v>
      </c>
      <c r="V30" s="39"/>
      <c r="W30" s="37">
        <f ca="1"/>
        <v>-26.833333333333332</v>
      </c>
      <c r="X30" s="38">
        <f t="shared" ca="1" si="6"/>
        <v>2117.3333333333335</v>
      </c>
      <c r="Y30" s="35" cm="1">
        <f t="array" aca="1" ref="Y30" ca="1">IF($D30="S 0303",0,_xll.BDP("LM"&amp;Y$14&amp;"D"&amp;$D30&amp;" Comdty","PX_SETTLE"))</f>
        <v>1035</v>
      </c>
      <c r="Z30" s="39"/>
      <c r="AA30" s="37">
        <f ca="1"/>
        <v>1033</v>
      </c>
      <c r="AB30" s="38">
        <f t="shared" ca="1" si="7"/>
        <v>22292</v>
      </c>
    </row>
    <row r="31" spans="2:28" x14ac:dyDescent="0.25">
      <c r="B31" s="1" cm="1">
        <f t="array" aca="1" ref="B31" ca="1">_xll.QDates_NextLMECurveDate(B30,$B$1,FALSE)</f>
        <v>44636</v>
      </c>
      <c r="C31" s="8" t="str" cm="1">
        <f t="array" aca="1" ref="C31" ca="1">IF(B31=$B$1,"03",_xll.QDates_GetMonthCodeAndYear(B31,2))</f>
        <v>H22</v>
      </c>
      <c r="D31" s="8" t="str">
        <f t="shared" ca="1" si="1"/>
        <v>S 03H22</v>
      </c>
      <c r="E31" s="35" cm="1">
        <f t="array" aca="1" ref="E31" ca="1">IF($D31="S 0303",0,_xll.BDP("LM"&amp;E$14&amp;"D"&amp;$D31&amp;" Comdty","PX_SETTLE"))</f>
        <v>-31.09</v>
      </c>
      <c r="F31" s="39"/>
      <c r="G31" s="37">
        <f ca="1"/>
        <v>-40.090000000000003</v>
      </c>
      <c r="H31" s="38">
        <f t="shared" ca="1" si="2"/>
        <v>2125.09</v>
      </c>
      <c r="I31" s="35" cm="1">
        <f t="array" aca="1" ref="I31" ca="1">IF($D31="S 0303",0,_xll.BDP("LM"&amp;I$14&amp;"D"&amp;$D31&amp;" Comdty","PX_SETTLE"))</f>
        <v>116</v>
      </c>
      <c r="J31" s="39"/>
      <c r="K31" s="37">
        <f ca="1"/>
        <v>116</v>
      </c>
      <c r="L31" s="38">
        <f t="shared" ca="1" si="3"/>
        <v>8162.5</v>
      </c>
      <c r="M31" s="35" cm="1">
        <f t="array" aca="1" ref="M31" ca="1">IF($D31="S 0303",0,_xll.BDP("LM"&amp;M$14&amp;"D"&amp;$D31&amp;" Comdty","PX_SETTLE"))</f>
        <v>-24.5</v>
      </c>
      <c r="N31" s="39"/>
      <c r="O31" s="37">
        <f ca="1"/>
        <v>-27.5</v>
      </c>
      <c r="P31" s="38">
        <f t="shared" ca="1" si="4"/>
        <v>2786.5</v>
      </c>
      <c r="Q31" s="35" cm="1">
        <f t="array" aca="1" ref="Q31" ca="1">IF($D31="S 0303",0,_xll.BDP("LM"&amp;Q$14&amp;"D"&amp;$D31&amp;" Comdty","PX_SETTLE"))</f>
        <v>-48</v>
      </c>
      <c r="R31" s="39"/>
      <c r="S31" s="37">
        <f ca="1"/>
        <v>-51</v>
      </c>
      <c r="T31" s="38">
        <f t="shared" ca="1" si="5"/>
        <v>18726</v>
      </c>
      <c r="U31" s="35" cm="1">
        <f t="array" aca="1" ref="U31" ca="1">IF($D31="S 0303",0,_xll.BDP("LM"&amp;U$14&amp;"D"&amp;$D31&amp;" Comdty","PX_SETTLE"))</f>
        <v>-25.5</v>
      </c>
      <c r="V31" s="39"/>
      <c r="W31" s="37">
        <f ca="1"/>
        <v>-28.5</v>
      </c>
      <c r="X31" s="38">
        <f t="shared" ca="1" si="6"/>
        <v>2119</v>
      </c>
      <c r="Y31" s="35" cm="1">
        <f t="array" aca="1" ref="Y31" ca="1">IF($D31="S 0303",0,_xll.BDP("LM"&amp;Y$14&amp;"D"&amp;$D31&amp;" Comdty","PX_SETTLE"))</f>
        <v>1060</v>
      </c>
      <c r="Z31" s="39"/>
      <c r="AA31" s="37">
        <f ca="1"/>
        <v>1058</v>
      </c>
      <c r="AB31" s="38">
        <f t="shared" ca="1" si="7"/>
        <v>22267</v>
      </c>
    </row>
    <row r="32" spans="2:28" x14ac:dyDescent="0.25">
      <c r="B32" s="1" cm="1">
        <f t="array" aca="1" ref="B32" ca="1">_xll.QDates_NextLMECurveDate(B31,$B$1,FALSE)</f>
        <v>44671</v>
      </c>
      <c r="C32" s="8" t="str" cm="1">
        <f t="array" aca="1" ref="C32" ca="1">IF(B32=$B$1,"03",_xll.QDates_GetMonthCodeAndYear(B32,2))</f>
        <v>J22</v>
      </c>
      <c r="D32" s="8" t="str">
        <f t="shared" ca="1" si="1"/>
        <v>S 03J22</v>
      </c>
      <c r="E32" s="35" cm="1">
        <f t="array" aca="1" ref="E32" ca="1">IF($D32="S 0303",0,_xll.BDP("LM"&amp;E$14&amp;"D"&amp;$D32&amp;" Comdty","PX_SETTLE"))</f>
        <v>-33.590000000000003</v>
      </c>
      <c r="F32" s="39"/>
      <c r="G32" s="37">
        <f ca="1"/>
        <v>-43.09</v>
      </c>
      <c r="H32" s="38">
        <f t="shared" ca="1" si="2"/>
        <v>2128.09</v>
      </c>
      <c r="I32" s="35" cm="1">
        <f t="array" aca="1" ref="I32" ca="1">IF($D32="S 0303",0,_xll.BDP("LM"&amp;I$14&amp;"D"&amp;$D32&amp;" Comdty","PX_SETTLE"))</f>
        <v>129.25</v>
      </c>
      <c r="J32" s="39"/>
      <c r="K32" s="37">
        <f ca="1"/>
        <v>129.25</v>
      </c>
      <c r="L32" s="38">
        <f t="shared" ca="1" si="3"/>
        <v>8149.25</v>
      </c>
      <c r="M32" s="35" cm="1">
        <f t="array" aca="1" ref="M32" ca="1">IF($D32="S 0303",0,_xll.BDP("LM"&amp;M$14&amp;"D"&amp;$D32&amp;" Comdty","PX_SETTLE"))</f>
        <v>-26</v>
      </c>
      <c r="N32" s="39"/>
      <c r="O32" s="37">
        <f ca="1"/>
        <v>-29.166666666666668</v>
      </c>
      <c r="P32" s="38">
        <f t="shared" ca="1" si="4"/>
        <v>2788.1666666666665</v>
      </c>
      <c r="Q32" s="35" cm="1">
        <f t="array" aca="1" ref="Q32" ca="1">IF($D32="S 0303",0,_xll.BDP("LM"&amp;Q$14&amp;"D"&amp;$D32&amp;" Comdty","PX_SETTLE"))</f>
        <v>-55.5</v>
      </c>
      <c r="R32" s="39"/>
      <c r="S32" s="37">
        <f ca="1"/>
        <v>-58.666666666666664</v>
      </c>
      <c r="T32" s="38">
        <f t="shared" ca="1" si="5"/>
        <v>18733.666666666668</v>
      </c>
      <c r="U32" s="35" cm="1">
        <f t="array" aca="1" ref="U32" ca="1">IF($D32="S 0303",0,_xll.BDP("LM"&amp;U$14&amp;"D"&amp;$D32&amp;" Comdty","PX_SETTLE"))</f>
        <v>-27</v>
      </c>
      <c r="V32" s="39"/>
      <c r="W32" s="37">
        <f ca="1"/>
        <v>-30.166666666666668</v>
      </c>
      <c r="X32" s="38">
        <f t="shared" ca="1" si="6"/>
        <v>2120.6666666666665</v>
      </c>
      <c r="Y32" s="35" cm="1">
        <f t="array" aca="1" ref="Y32" ca="1">IF($D32="S 0303",0,_xll.BDP("LM"&amp;Y$14&amp;"D"&amp;$D32&amp;" Comdty","PX_SETTLE"))</f>
        <v>1075</v>
      </c>
      <c r="Z32" s="39"/>
      <c r="AA32" s="37">
        <f ca="1"/>
        <v>1073</v>
      </c>
      <c r="AB32" s="38">
        <f t="shared" ca="1" si="7"/>
        <v>22252</v>
      </c>
    </row>
    <row r="33" spans="2:28" x14ac:dyDescent="0.25">
      <c r="B33" s="1" cm="1">
        <f t="array" aca="1" ref="B33" ca="1">_xll.QDates_NextLMECurveDate(B32,$B$1,FALSE)</f>
        <v>44699</v>
      </c>
      <c r="C33" s="8" t="str" cm="1">
        <f t="array" aca="1" ref="C33" ca="1">IF(B33=$B$1,"03",_xll.QDates_GetMonthCodeAndYear(B33,2))</f>
        <v>K22</v>
      </c>
      <c r="D33" s="8" t="str">
        <f t="shared" ca="1" si="1"/>
        <v>S 03K22</v>
      </c>
      <c r="E33" s="35" cm="1">
        <f t="array" aca="1" ref="E33" ca="1">IF($D33="S 0303",0,_xll.BDP("LM"&amp;E$14&amp;"D"&amp;$D33&amp;" Comdty","PX_SETTLE"))</f>
        <v>-35.840000000000003</v>
      </c>
      <c r="F33" s="39"/>
      <c r="G33" s="37">
        <f ca="1"/>
        <v>-45.84</v>
      </c>
      <c r="H33" s="38">
        <f t="shared" ca="1" si="2"/>
        <v>2130.84</v>
      </c>
      <c r="I33" s="35" cm="1">
        <f t="array" aca="1" ref="I33" ca="1">IF($D33="S 0303",0,_xll.BDP("LM"&amp;I$14&amp;"D"&amp;$D33&amp;" Comdty","PX_SETTLE"))</f>
        <v>142.75</v>
      </c>
      <c r="J33" s="39"/>
      <c r="K33" s="37">
        <f ca="1"/>
        <v>142.75</v>
      </c>
      <c r="L33" s="38">
        <f t="shared" ca="1" si="3"/>
        <v>8135.75</v>
      </c>
      <c r="M33" s="35" cm="1">
        <f t="array" aca="1" ref="M33" ca="1">IF($D33="S 0303",0,_xll.BDP("LM"&amp;M$14&amp;"D"&amp;$D33&amp;" Comdty","PX_SETTLE"))</f>
        <v>-27.25</v>
      </c>
      <c r="N33" s="39"/>
      <c r="O33" s="37">
        <f ca="1"/>
        <v>-30.583333333333332</v>
      </c>
      <c r="P33" s="38">
        <f t="shared" ca="1" si="4"/>
        <v>2789.5833333333335</v>
      </c>
      <c r="Q33" s="35" cm="1">
        <f t="array" aca="1" ref="Q33" ca="1">IF($D33="S 0303",0,_xll.BDP("LM"&amp;Q$14&amp;"D"&amp;$D33&amp;" Comdty","PX_SETTLE"))</f>
        <v>-63</v>
      </c>
      <c r="R33" s="39"/>
      <c r="S33" s="37">
        <f ca="1"/>
        <v>-66.333333333333329</v>
      </c>
      <c r="T33" s="38">
        <f t="shared" ca="1" si="5"/>
        <v>18741.333333333332</v>
      </c>
      <c r="U33" s="35" cm="1">
        <f t="array" aca="1" ref="U33" ca="1">IF($D33="S 0303",0,_xll.BDP("LM"&amp;U$14&amp;"D"&amp;$D33&amp;" Comdty","PX_SETTLE"))</f>
        <v>-28</v>
      </c>
      <c r="V33" s="39"/>
      <c r="W33" s="37">
        <f ca="1"/>
        <v>-31.333333333333332</v>
      </c>
      <c r="X33" s="38">
        <f t="shared" ca="1" si="6"/>
        <v>2121.8333333333335</v>
      </c>
      <c r="Y33" s="44">
        <f ca="1">Y32+(Y32-Y31)</f>
        <v>1090</v>
      </c>
      <c r="Z33" s="39"/>
      <c r="AA33" s="37">
        <f ca="1"/>
        <v>1088</v>
      </c>
      <c r="AB33" s="38">
        <f t="shared" ca="1" si="7"/>
        <v>22237</v>
      </c>
    </row>
    <row r="34" spans="2:28" x14ac:dyDescent="0.25">
      <c r="B34" s="1" cm="1">
        <f t="array" aca="1" ref="B34" ca="1">_xll.QDates_NextLMECurveDate(B33,$B$1,FALSE)</f>
        <v>44727</v>
      </c>
      <c r="C34" s="8" t="str" cm="1">
        <f t="array" aca="1" ref="C34" ca="1">IF(B34=$B$1,"03",_xll.QDates_GetMonthCodeAndYear(B34,2))</f>
        <v>M22</v>
      </c>
      <c r="D34" s="8" t="str">
        <f t="shared" ca="1" si="1"/>
        <v>S 03M22</v>
      </c>
      <c r="E34" s="35" cm="1">
        <f t="array" aca="1" ref="E34" ca="1">IF($D34="S 0303",0,_xll.BDP("LM"&amp;E$14&amp;"D"&amp;$D34&amp;" Comdty","PX_SETTLE"))</f>
        <v>-38.090000000000003</v>
      </c>
      <c r="F34" s="39"/>
      <c r="G34" s="37">
        <f ca="1"/>
        <v>-48.59</v>
      </c>
      <c r="H34" s="38">
        <f t="shared" ca="1" si="2"/>
        <v>2133.59</v>
      </c>
      <c r="I34" s="35" cm="1">
        <f t="array" aca="1" ref="I34" ca="1">IF($D34="S 0303",0,_xll.BDP("LM"&amp;I$14&amp;"D"&amp;$D34&amp;" Comdty","PX_SETTLE"))</f>
        <v>156.25</v>
      </c>
      <c r="J34" s="39"/>
      <c r="K34" s="37">
        <f ca="1"/>
        <v>156.25</v>
      </c>
      <c r="L34" s="38">
        <f t="shared" ca="1" si="3"/>
        <v>8122.25</v>
      </c>
      <c r="M34" s="35" cm="1">
        <f t="array" aca="1" ref="M34" ca="1">IF($D34="S 0303",0,_xll.BDP("LM"&amp;M$14&amp;"D"&amp;$D34&amp;" Comdty","PX_SETTLE"))</f>
        <v>-28.5</v>
      </c>
      <c r="N34" s="39"/>
      <c r="O34" s="37">
        <f ca="1"/>
        <v>-32</v>
      </c>
      <c r="P34" s="38">
        <f t="shared" ca="1" si="4"/>
        <v>2791</v>
      </c>
      <c r="Q34" s="35" cm="1">
        <f t="array" aca="1" ref="Q34" ca="1">IF($D34="S 0303",0,_xll.BDP("LM"&amp;Q$14&amp;"D"&amp;$D34&amp;" Comdty","PX_SETTLE"))</f>
        <v>-66</v>
      </c>
      <c r="R34" s="39"/>
      <c r="S34" s="37">
        <f ca="1"/>
        <v>-69.5</v>
      </c>
      <c r="T34" s="38">
        <f t="shared" ca="1" si="5"/>
        <v>18744.5</v>
      </c>
      <c r="U34" s="35" cm="1">
        <f t="array" aca="1" ref="U34" ca="1">IF($D34="S 0303",0,_xll.BDP("LM"&amp;U$14&amp;"D"&amp;$D34&amp;" Comdty","PX_SETTLE"))</f>
        <v>-29</v>
      </c>
      <c r="V34" s="39"/>
      <c r="W34" s="37">
        <f ca="1"/>
        <v>-32.5</v>
      </c>
      <c r="X34" s="38">
        <f t="shared" ca="1" si="6"/>
        <v>2123</v>
      </c>
      <c r="Y34" s="44">
        <f ca="1">Y33+(Y33-Y32)</f>
        <v>1105</v>
      </c>
      <c r="Z34" s="39"/>
      <c r="AA34" s="37">
        <f ca="1"/>
        <v>1103</v>
      </c>
      <c r="AB34" s="38">
        <f t="shared" ca="1" si="7"/>
        <v>22222</v>
      </c>
    </row>
    <row r="35" spans="2:28" x14ac:dyDescent="0.25">
      <c r="B35" s="1" cm="1">
        <f t="array" aca="1" ref="B35" ca="1">_xll.QDates_NextLMECurveDate(B34,$B$1,FALSE)</f>
        <v>44762</v>
      </c>
      <c r="C35" s="8" t="str" cm="1">
        <f t="array" aca="1" ref="C35" ca="1">IF(B35=$B$1,"03",_xll.QDates_GetMonthCodeAndYear(B35,2))</f>
        <v>N22</v>
      </c>
      <c r="D35" s="8" t="str">
        <f t="shared" ca="1" si="1"/>
        <v>S 03N22</v>
      </c>
      <c r="E35" s="35" cm="1">
        <f t="array" aca="1" ref="E35" ca="1">IF($D35="S 0303",0,_xll.BDP("LM"&amp;E$14&amp;"D"&amp;$D35&amp;" Comdty","PX_SETTLE"))</f>
        <v>-40.840000000000003</v>
      </c>
      <c r="F35" s="39"/>
      <c r="G35" s="37">
        <f ca="1"/>
        <v>-51.84</v>
      </c>
      <c r="H35" s="38">
        <f t="shared" ca="1" si="2"/>
        <v>2136.84</v>
      </c>
      <c r="I35" s="35" cm="1">
        <f t="array" aca="1" ref="I35" ca="1">IF($D35="S 0303",0,_xll.BDP("LM"&amp;I$14&amp;"D"&amp;$D35&amp;" Comdty","PX_SETTLE"))</f>
        <v>169.75</v>
      </c>
      <c r="J35" s="39"/>
      <c r="K35" s="37">
        <f ca="1"/>
        <v>169.75</v>
      </c>
      <c r="L35" s="38">
        <f t="shared" ca="1" si="3"/>
        <v>8108.75</v>
      </c>
      <c r="M35" s="35" cm="1">
        <f t="array" aca="1" ref="M35" ca="1">IF($D35="S 0303",0,_xll.BDP("LM"&amp;M$14&amp;"D"&amp;$D35&amp;" Comdty","PX_SETTLE"))</f>
        <v>-27.75</v>
      </c>
      <c r="N35" s="39"/>
      <c r="O35" s="37">
        <f ca="1"/>
        <v>-31.416666666666668</v>
      </c>
      <c r="P35" s="38">
        <f t="shared" ca="1" si="4"/>
        <v>2790.4166666666665</v>
      </c>
      <c r="Q35" s="35" cm="1">
        <f t="array" aca="1" ref="Q35" ca="1">IF($D35="S 0303",0,_xll.BDP("LM"&amp;Q$14&amp;"D"&amp;$D35&amp;" Comdty","PX_SETTLE"))</f>
        <v>-74.5</v>
      </c>
      <c r="R35" s="39"/>
      <c r="S35" s="37">
        <f ca="1"/>
        <v>-78.166666666666671</v>
      </c>
      <c r="T35" s="38">
        <f t="shared" ca="1" si="5"/>
        <v>18753.166666666668</v>
      </c>
      <c r="U35" s="35" cm="1">
        <f t="array" aca="1" ref="U35" ca="1">IF($D35="S 0303",0,_xll.BDP("LM"&amp;U$14&amp;"D"&amp;$D35&amp;" Comdty","PX_SETTLE"))</f>
        <v>-30.75</v>
      </c>
      <c r="V35" s="39"/>
      <c r="W35" s="37">
        <f ca="1"/>
        <v>-34.416666666666664</v>
      </c>
      <c r="X35" s="38">
        <f t="shared" ca="1" si="6"/>
        <v>2124.9166666666665</v>
      </c>
      <c r="Y35" s="44">
        <f t="shared" ref="Y35:Y64" ca="1" si="8">Y34+(Y34-Y33)</f>
        <v>1120</v>
      </c>
      <c r="Z35" s="39"/>
      <c r="AA35" s="37">
        <f ca="1"/>
        <v>1118</v>
      </c>
      <c r="AB35" s="38">
        <f t="shared" ca="1" si="7"/>
        <v>22207</v>
      </c>
    </row>
    <row r="36" spans="2:28" x14ac:dyDescent="0.25">
      <c r="B36" s="1" cm="1">
        <f t="array" aca="1" ref="B36" ca="1">_xll.QDates_NextLMECurveDate(B35,$B$1,FALSE)</f>
        <v>44790</v>
      </c>
      <c r="C36" s="8" t="str" cm="1">
        <f t="array" aca="1" ref="C36" ca="1">IF(B36=$B$1,"03",_xll.QDates_GetMonthCodeAndYear(B36,2))</f>
        <v>Q22</v>
      </c>
      <c r="D36" s="8" t="str">
        <f t="shared" ca="1" si="1"/>
        <v>S 03Q22</v>
      </c>
      <c r="E36" s="35" cm="1">
        <f t="array" aca="1" ref="E36" ca="1">IF($D36="S 0303",0,_xll.BDP("LM"&amp;E$14&amp;"D"&amp;$D36&amp;" Comdty","PX_SETTLE"))</f>
        <v>-43.09</v>
      </c>
      <c r="F36" s="39"/>
      <c r="G36" s="37">
        <f ca="1"/>
        <v>-54.59</v>
      </c>
      <c r="H36" s="38">
        <f t="shared" ca="1" si="2"/>
        <v>2139.59</v>
      </c>
      <c r="I36" s="35" cm="1">
        <f t="array" aca="1" ref="I36" ca="1">IF($D36="S 0303",0,_xll.BDP("LM"&amp;I$14&amp;"D"&amp;$D36&amp;" Comdty","PX_SETTLE"))</f>
        <v>183.25</v>
      </c>
      <c r="J36" s="39"/>
      <c r="K36" s="37">
        <f ca="1"/>
        <v>183.25</v>
      </c>
      <c r="L36" s="38">
        <f t="shared" ca="1" si="3"/>
        <v>8095.25</v>
      </c>
      <c r="M36" s="35" cm="1">
        <f t="array" aca="1" ref="M36" ca="1">IF($D36="S 0303",0,_xll.BDP("LM"&amp;M$14&amp;"D"&amp;$D36&amp;" Comdty","PX_SETTLE"))</f>
        <v>-27</v>
      </c>
      <c r="N36" s="39"/>
      <c r="O36" s="37">
        <f ca="1"/>
        <v>-30.833333333333332</v>
      </c>
      <c r="P36" s="38">
        <f t="shared" ca="1" si="4"/>
        <v>2789.8333333333335</v>
      </c>
      <c r="Q36" s="35" cm="1">
        <f t="array" aca="1" ref="Q36" ca="1">IF($D36="S 0303",0,_xll.BDP("LM"&amp;Q$14&amp;"D"&amp;$D36&amp;" Comdty","PX_SETTLE"))</f>
        <v>-83</v>
      </c>
      <c r="R36" s="39"/>
      <c r="S36" s="37">
        <f ca="1"/>
        <v>-86.833333333333329</v>
      </c>
      <c r="T36" s="38">
        <f t="shared" ca="1" si="5"/>
        <v>18761.833333333332</v>
      </c>
      <c r="U36" s="35" cm="1">
        <f t="array" aca="1" ref="U36" ca="1">IF($D36="S 0303",0,_xll.BDP("LM"&amp;U$14&amp;"D"&amp;$D36&amp;" Comdty","PX_SETTLE"))</f>
        <v>-32.5</v>
      </c>
      <c r="V36" s="39"/>
      <c r="W36" s="37">
        <f ca="1"/>
        <v>-36.333333333333336</v>
      </c>
      <c r="X36" s="38">
        <f t="shared" ca="1" si="6"/>
        <v>2126.8333333333335</v>
      </c>
      <c r="Y36" s="44">
        <f t="shared" ca="1" si="8"/>
        <v>1135</v>
      </c>
      <c r="Z36" s="39"/>
      <c r="AA36" s="37">
        <f ca="1"/>
        <v>1133</v>
      </c>
      <c r="AB36" s="38">
        <f t="shared" ca="1" si="7"/>
        <v>22192</v>
      </c>
    </row>
    <row r="37" spans="2:28" x14ac:dyDescent="0.25">
      <c r="B37" s="1" cm="1">
        <f t="array" aca="1" ref="B37" ca="1">_xll.QDates_NextLMECurveDate(B36,$B$1,FALSE)</f>
        <v>44825</v>
      </c>
      <c r="C37" s="8" t="str" cm="1">
        <f t="array" aca="1" ref="C37" ca="1">IF(B37=$B$1,"03",_xll.QDates_GetMonthCodeAndYear(B37,2))</f>
        <v>U22</v>
      </c>
      <c r="D37" s="8" t="str">
        <f t="shared" ca="1" si="1"/>
        <v>S 03U22</v>
      </c>
      <c r="E37" s="35" cm="1">
        <f t="array" aca="1" ref="E37" ca="1">IF($D37="S 0303",0,_xll.BDP("LM"&amp;E$14&amp;"D"&amp;$D37&amp;" Comdty","PX_SETTLE"))</f>
        <v>-47.59</v>
      </c>
      <c r="F37" s="36">
        <f ca="1">E37-12</f>
        <v>-59.59</v>
      </c>
      <c r="G37" s="37">
        <f ca="1"/>
        <v>-59.59</v>
      </c>
      <c r="H37" s="38">
        <f t="shared" ca="1" si="2"/>
        <v>2144.59</v>
      </c>
      <c r="I37" s="35" cm="1">
        <f t="array" aca="1" ref="I37" ca="1">IF($D37="S 0303",0,_xll.BDP("LM"&amp;I$14&amp;"D"&amp;$D37&amp;" Comdty","PX_SETTLE"))</f>
        <v>196.75</v>
      </c>
      <c r="J37" s="36"/>
      <c r="K37" s="37">
        <f ca="1"/>
        <v>196.75</v>
      </c>
      <c r="L37" s="38">
        <f t="shared" ca="1" si="3"/>
        <v>8081.75</v>
      </c>
      <c r="M37" s="35" cm="1">
        <f t="array" aca="1" ref="M37" ca="1">IF($D37="S 0303",0,_xll.BDP("LM"&amp;M$14&amp;"D"&amp;$D37&amp;" Comdty","PX_SETTLE"))</f>
        <v>-26.25</v>
      </c>
      <c r="N37" s="36">
        <f ca="1">M37-4</f>
        <v>-30.25</v>
      </c>
      <c r="O37" s="37">
        <f ca="1"/>
        <v>-30.25</v>
      </c>
      <c r="P37" s="38">
        <f t="shared" ca="1" si="4"/>
        <v>2789.25</v>
      </c>
      <c r="Q37" s="35" cm="1">
        <f t="array" aca="1" ref="Q37" ca="1">IF($D37="S 0303",0,_xll.BDP("LM"&amp;Q$14&amp;"D"&amp;$D37&amp;" Comdty","PX_SETTLE"))</f>
        <v>-91.5</v>
      </c>
      <c r="R37" s="36">
        <f ca="1">Q37-4</f>
        <v>-95.5</v>
      </c>
      <c r="S37" s="37">
        <f ca="1"/>
        <v>-95.5</v>
      </c>
      <c r="T37" s="38">
        <f t="shared" ca="1" si="5"/>
        <v>18770.5</v>
      </c>
      <c r="U37" s="35" cm="1">
        <f t="array" aca="1" ref="U37" ca="1">IF($D37="S 0303",0,_xll.BDP("LM"&amp;U$14&amp;"D"&amp;$D37&amp;" Comdty","PX_SETTLE"))</f>
        <v>-34</v>
      </c>
      <c r="V37" s="36">
        <f ca="1">U37-4</f>
        <v>-38</v>
      </c>
      <c r="W37" s="37">
        <f ca="1"/>
        <v>-38</v>
      </c>
      <c r="X37" s="38">
        <f t="shared" ca="1" si="6"/>
        <v>2128.5</v>
      </c>
      <c r="Y37" s="44">
        <f t="shared" ca="1" si="8"/>
        <v>1150</v>
      </c>
      <c r="Z37" s="36"/>
      <c r="AA37" s="37">
        <f ca="1"/>
        <v>1148</v>
      </c>
      <c r="AB37" s="38">
        <f t="shared" ca="1" si="7"/>
        <v>22177</v>
      </c>
    </row>
    <row r="38" spans="2:28" x14ac:dyDescent="0.25">
      <c r="B38" s="1" cm="1">
        <f t="array" aca="1" ref="B38" ca="1">_xll.QDates_NextLMECurveDate(B37,$B$1,FALSE)</f>
        <v>44853</v>
      </c>
      <c r="C38" s="8" t="str" cm="1">
        <f t="array" aca="1" ref="C38" ca="1">IF(B38=$B$1,"03",_xll.QDates_GetMonthCodeAndYear(B38,2))</f>
        <v>V22</v>
      </c>
      <c r="D38" s="8" t="str">
        <f t="shared" ca="1" si="1"/>
        <v>S 03V22</v>
      </c>
      <c r="E38" s="35" cm="1">
        <f t="array" aca="1" ref="E38" ca="1">IF($D38="S 0303",0,_xll.BDP("LM"&amp;E$14&amp;"D"&amp;$D38&amp;" Comdty","PX_SETTLE"))</f>
        <v>-50.34</v>
      </c>
      <c r="F38" s="39"/>
      <c r="G38" s="37">
        <f ca="1"/>
        <v>-62.34</v>
      </c>
      <c r="H38" s="38">
        <f t="shared" ca="1" si="2"/>
        <v>2147.34</v>
      </c>
      <c r="I38" s="35" cm="1">
        <f t="array" aca="1" ref="I38" ca="1">IF($D38="S 0303",0,_xll.BDP("LM"&amp;I$14&amp;"D"&amp;$D38&amp;" Comdty","PX_SETTLE"))</f>
        <v>210.25</v>
      </c>
      <c r="J38" s="39"/>
      <c r="K38" s="37">
        <f ca="1"/>
        <v>210.25</v>
      </c>
      <c r="L38" s="38">
        <f t="shared" ca="1" si="3"/>
        <v>8068.25</v>
      </c>
      <c r="M38" s="35" cm="1">
        <f t="array" aca="1" ref="M38" ca="1">IF($D38="S 0303",0,_xll.BDP("LM"&amp;M$14&amp;"D"&amp;$D38&amp;" Comdty","PX_SETTLE"))</f>
        <v>-25.5</v>
      </c>
      <c r="N38" s="39"/>
      <c r="O38" s="37">
        <f ca="1"/>
        <v>-29.5</v>
      </c>
      <c r="P38" s="38">
        <f t="shared" ca="1" si="4"/>
        <v>2788.5</v>
      </c>
      <c r="Q38" s="35" cm="1">
        <f t="array" aca="1" ref="Q38" ca="1">IF($D38="S 0303",0,_xll.BDP("LM"&amp;Q$14&amp;"D"&amp;$D38&amp;" Comdty","PX_SETTLE"))</f>
        <v>-100</v>
      </c>
      <c r="R38" s="39"/>
      <c r="S38" s="37">
        <f ca="1"/>
        <v>-104</v>
      </c>
      <c r="T38" s="38">
        <f t="shared" ca="1" si="5"/>
        <v>18779</v>
      </c>
      <c r="U38" s="35" cm="1">
        <f t="array" aca="1" ref="U38" ca="1">IF($D38="S 0303",0,_xll.BDP("LM"&amp;U$14&amp;"D"&amp;$D38&amp;" Comdty","PX_SETTLE"))</f>
        <v>-35.5</v>
      </c>
      <c r="V38" s="39"/>
      <c r="W38" s="37">
        <f ca="1"/>
        <v>-39.5</v>
      </c>
      <c r="X38" s="38">
        <f t="shared" ca="1" si="6"/>
        <v>2130</v>
      </c>
      <c r="Y38" s="44">
        <f t="shared" ca="1" si="8"/>
        <v>1165</v>
      </c>
      <c r="Z38" s="39"/>
      <c r="AA38" s="37">
        <f ca="1"/>
        <v>1163</v>
      </c>
      <c r="AB38" s="38">
        <f t="shared" ca="1" si="7"/>
        <v>22162</v>
      </c>
    </row>
    <row r="39" spans="2:28" x14ac:dyDescent="0.25">
      <c r="B39" s="1" cm="1">
        <f t="array" aca="1" ref="B39" ca="1">_xll.QDates_NextLMECurveDate(B38,$B$1,FALSE)</f>
        <v>44881</v>
      </c>
      <c r="C39" s="8" t="str" cm="1">
        <f t="array" aca="1" ref="C39" ca="1">IF(B39=$B$1,"03",_xll.QDates_GetMonthCodeAndYear(B39,2))</f>
        <v>X22</v>
      </c>
      <c r="D39" s="8" t="str">
        <f t="shared" ca="1" si="1"/>
        <v>S 03X22</v>
      </c>
      <c r="E39" s="35" cm="1">
        <f t="array" aca="1" ref="E39" ca="1">IF($D39="S 0303",0,_xll.BDP("LM"&amp;E$14&amp;"D"&amp;$D39&amp;" Comdty","PX_SETTLE"))</f>
        <v>-53.09</v>
      </c>
      <c r="F39" s="39"/>
      <c r="G39" s="37">
        <f ca="1"/>
        <v>-65.09</v>
      </c>
      <c r="H39" s="38">
        <f t="shared" ca="1" si="2"/>
        <v>2150.09</v>
      </c>
      <c r="I39" s="35" cm="1">
        <f t="array" aca="1" ref="I39" ca="1">IF($D39="S 0303",0,_xll.BDP("LM"&amp;I$14&amp;"D"&amp;$D39&amp;" Comdty","PX_SETTLE"))</f>
        <v>224</v>
      </c>
      <c r="J39" s="39"/>
      <c r="K39" s="37">
        <f ca="1"/>
        <v>224</v>
      </c>
      <c r="L39" s="38">
        <f t="shared" ca="1" si="3"/>
        <v>8054.5</v>
      </c>
      <c r="M39" s="35" cm="1">
        <f t="array" aca="1" ref="M39" ca="1">IF($D39="S 0303",0,_xll.BDP("LM"&amp;M$14&amp;"D"&amp;$D39&amp;" Comdty","PX_SETTLE"))</f>
        <v>-24.75</v>
      </c>
      <c r="N39" s="39"/>
      <c r="O39" s="37">
        <f ca="1"/>
        <v>-28.75</v>
      </c>
      <c r="P39" s="38">
        <f t="shared" ca="1" si="4"/>
        <v>2787.75</v>
      </c>
      <c r="Q39" s="35" cm="1">
        <f t="array" aca="1" ref="Q39" ca="1">IF($D39="S 0303",0,_xll.BDP("LM"&amp;Q$14&amp;"D"&amp;$D39&amp;" Comdty","PX_SETTLE"))</f>
        <v>-108</v>
      </c>
      <c r="R39" s="39"/>
      <c r="S39" s="37">
        <f ca="1"/>
        <v>-112</v>
      </c>
      <c r="T39" s="38">
        <f t="shared" ca="1" si="5"/>
        <v>18787</v>
      </c>
      <c r="U39" s="35" cm="1">
        <f t="array" aca="1" ref="U39" ca="1">IF($D39="S 0303",0,_xll.BDP("LM"&amp;U$14&amp;"D"&amp;$D39&amp;" Comdty","PX_SETTLE"))</f>
        <v>-37</v>
      </c>
      <c r="V39" s="39"/>
      <c r="W39" s="37">
        <f ca="1"/>
        <v>-41</v>
      </c>
      <c r="X39" s="38">
        <f t="shared" ca="1" si="6"/>
        <v>2131.5</v>
      </c>
      <c r="Y39" s="44">
        <f t="shared" ca="1" si="8"/>
        <v>1180</v>
      </c>
      <c r="Z39" s="39"/>
      <c r="AA39" s="37">
        <f ca="1"/>
        <v>1178</v>
      </c>
      <c r="AB39" s="38">
        <f t="shared" ca="1" si="7"/>
        <v>22147</v>
      </c>
    </row>
    <row r="40" spans="2:28" x14ac:dyDescent="0.25">
      <c r="B40" s="1" cm="1">
        <f t="array" aca="1" ref="B40" ca="1">_xll.QDates_NextLMECurveDate(B39,$B$1,FALSE)</f>
        <v>44916</v>
      </c>
      <c r="C40" s="8" t="str" cm="1">
        <f t="array" aca="1" ref="C40" ca="1">IF(B40=$B$1,"03",_xll.QDates_GetMonthCodeAndYear(B40,2))</f>
        <v>Z22</v>
      </c>
      <c r="D40" s="8" t="str">
        <f t="shared" ca="1" si="1"/>
        <v>S 03Z22</v>
      </c>
      <c r="E40" s="35" cm="1">
        <f t="array" aca="1" ref="E40" ca="1">IF($D40="S 0303",0,_xll.BDP("LM"&amp;E$14&amp;"D"&amp;$D40&amp;" Comdty","PX_SETTLE"))</f>
        <v>-56.09</v>
      </c>
      <c r="F40" s="39"/>
      <c r="G40" s="37">
        <f ca="1"/>
        <v>-68.09</v>
      </c>
      <c r="H40" s="38">
        <f t="shared" ca="1" si="2"/>
        <v>2153.09</v>
      </c>
      <c r="I40" s="35" cm="1">
        <f t="array" aca="1" ref="I40" ca="1">IF($D40="S 0303",0,_xll.BDP("LM"&amp;I$14&amp;"D"&amp;$D40&amp;" Comdty","PX_SETTLE"))</f>
        <v>238</v>
      </c>
      <c r="J40" s="39"/>
      <c r="K40" s="37">
        <f ca="1"/>
        <v>238</v>
      </c>
      <c r="L40" s="38">
        <f t="shared" ca="1" si="3"/>
        <v>8040.5</v>
      </c>
      <c r="M40" s="35" cm="1">
        <f t="array" aca="1" ref="M40" ca="1">IF($D40="S 0303",0,_xll.BDP("LM"&amp;M$14&amp;"D"&amp;$D40&amp;" Comdty","PX_SETTLE"))</f>
        <v>-23.5</v>
      </c>
      <c r="N40" s="39"/>
      <c r="O40" s="37">
        <f ca="1"/>
        <v>-27.5</v>
      </c>
      <c r="P40" s="38">
        <f t="shared" ca="1" si="4"/>
        <v>2786.5</v>
      </c>
      <c r="Q40" s="35" cm="1">
        <f t="array" aca="1" ref="Q40" ca="1">IF($D40="S 0303",0,_xll.BDP("LM"&amp;Q$14&amp;"D"&amp;$D40&amp;" Comdty","PX_SETTLE"))</f>
        <v>-116</v>
      </c>
      <c r="R40" s="39"/>
      <c r="S40" s="37">
        <f ca="1"/>
        <v>-120</v>
      </c>
      <c r="T40" s="38">
        <f t="shared" ca="1" si="5"/>
        <v>18795</v>
      </c>
      <c r="U40" s="35" cm="1">
        <f t="array" aca="1" ref="U40" ca="1">IF($D40="S 0303",0,_xll.BDP("LM"&amp;U$14&amp;"D"&amp;$D40&amp;" Comdty","PX_SETTLE"))</f>
        <v>-38.5</v>
      </c>
      <c r="V40" s="39"/>
      <c r="W40" s="37">
        <f ca="1"/>
        <v>-42.5</v>
      </c>
      <c r="X40" s="38">
        <f t="shared" ca="1" si="6"/>
        <v>2133</v>
      </c>
      <c r="Y40" s="44">
        <f t="shared" ca="1" si="8"/>
        <v>1195</v>
      </c>
      <c r="Z40" s="39"/>
      <c r="AA40" s="37">
        <f ca="1"/>
        <v>1193</v>
      </c>
      <c r="AB40" s="38">
        <f t="shared" ca="1" si="7"/>
        <v>22132</v>
      </c>
    </row>
    <row r="41" spans="2:28" x14ac:dyDescent="0.25">
      <c r="B41" s="1" cm="1">
        <f t="array" aca="1" ref="B41" ca="1">_xll.QDates_NextLMECurveDate(B40,$B$1,FALSE)</f>
        <v>44944</v>
      </c>
      <c r="C41" s="8" t="str" cm="1">
        <f t="array" aca="1" ref="C41" ca="1">IF(B41=$B$1,"03",_xll.QDates_GetMonthCodeAndYear(B41,2))</f>
        <v>F23</v>
      </c>
      <c r="D41" s="8" t="str">
        <f t="shared" ca="1" si="1"/>
        <v>S 03F23</v>
      </c>
      <c r="E41" s="35" cm="1">
        <f t="array" aca="1" ref="E41" ca="1">IF($D41="S 0303",0,_xll.BDP("LM"&amp;E$14&amp;"D"&amp;$D41&amp;" Comdty","PX_SETTLE"))</f>
        <v>-58.84</v>
      </c>
      <c r="F41" s="39"/>
      <c r="G41" s="37">
        <f ca="1"/>
        <v>-70.84</v>
      </c>
      <c r="H41" s="38">
        <f t="shared" ca="1" si="2"/>
        <v>2155.84</v>
      </c>
      <c r="I41" s="35" cm="1">
        <f t="array" aca="1" ref="I41" ca="1">IF($D41="S 0303",0,_xll.BDP("LM"&amp;I$14&amp;"D"&amp;$D41&amp;" Comdty","PX_SETTLE"))</f>
        <v>250</v>
      </c>
      <c r="J41" s="39"/>
      <c r="K41" s="37">
        <f ca="1"/>
        <v>250</v>
      </c>
      <c r="L41" s="38">
        <f t="shared" ca="1" si="3"/>
        <v>8028.5</v>
      </c>
      <c r="M41" s="35" cm="1">
        <f t="array" aca="1" ref="M41" ca="1">IF($D41="S 0303",0,_xll.BDP("LM"&amp;M$14&amp;"D"&amp;$D41&amp;" Comdty","PX_SETTLE"))</f>
        <v>-22.5</v>
      </c>
      <c r="N41" s="39"/>
      <c r="O41" s="37">
        <f ca="1"/>
        <v>-26.5</v>
      </c>
      <c r="P41" s="38">
        <f t="shared" ca="1" si="4"/>
        <v>2785.5</v>
      </c>
      <c r="Q41" s="35" cm="1">
        <f t="array" aca="1" ref="Q41" ca="1">IF($D41="S 0303",0,_xll.BDP("LM"&amp;Q$14&amp;"D"&amp;$D41&amp;" Comdty","PX_SETTLE"))</f>
        <v>-123</v>
      </c>
      <c r="R41" s="39"/>
      <c r="S41" s="37">
        <f ca="1"/>
        <v>-127</v>
      </c>
      <c r="T41" s="38">
        <f t="shared" ca="1" si="5"/>
        <v>18802</v>
      </c>
      <c r="U41" s="35" cm="1">
        <f t="array" aca="1" ref="U41" ca="1">IF($D41="S 0303",0,_xll.BDP("LM"&amp;U$14&amp;"D"&amp;$D41&amp;" Comdty","PX_SETTLE"))</f>
        <v>-41</v>
      </c>
      <c r="V41" s="39"/>
      <c r="W41" s="37">
        <f ca="1"/>
        <v>-45</v>
      </c>
      <c r="X41" s="38">
        <f t="shared" ca="1" si="6"/>
        <v>2135.5</v>
      </c>
      <c r="Y41" s="44">
        <f t="shared" ca="1" si="8"/>
        <v>1210</v>
      </c>
      <c r="Z41" s="39"/>
      <c r="AA41" s="37">
        <f ca="1"/>
        <v>1208</v>
      </c>
      <c r="AB41" s="38">
        <f t="shared" ca="1" si="7"/>
        <v>22117</v>
      </c>
    </row>
    <row r="42" spans="2:28" x14ac:dyDescent="0.25">
      <c r="B42" s="1" cm="1">
        <f t="array" aca="1" ref="B42" ca="1">_xll.QDates_NextLMECurveDate(B41,$B$1,FALSE)</f>
        <v>44972</v>
      </c>
      <c r="C42" s="8" t="str" cm="1">
        <f t="array" aca="1" ref="C42" ca="1">IF(B42=$B$1,"03",_xll.QDates_GetMonthCodeAndYear(B42,2))</f>
        <v>G23</v>
      </c>
      <c r="D42" s="8" t="str">
        <f t="shared" ca="1" si="1"/>
        <v>S 03G23</v>
      </c>
      <c r="E42" s="35" cm="1">
        <f t="array" aca="1" ref="E42" ca="1">IF($D42="S 0303",0,_xll.BDP("LM"&amp;E$14&amp;"D"&amp;$D42&amp;" Comdty","PX_SETTLE"))</f>
        <v>-61.59</v>
      </c>
      <c r="F42" s="39"/>
      <c r="G42" s="37">
        <f ca="1"/>
        <v>-73.59</v>
      </c>
      <c r="H42" s="38">
        <f t="shared" ca="1" si="2"/>
        <v>2158.59</v>
      </c>
      <c r="I42" s="35" cm="1">
        <f t="array" aca="1" ref="I42" ca="1">IF($D42="S 0303",0,_xll.BDP("LM"&amp;I$14&amp;"D"&amp;$D42&amp;" Comdty","PX_SETTLE"))</f>
        <v>262</v>
      </c>
      <c r="J42" s="39"/>
      <c r="K42" s="37">
        <f ca="1"/>
        <v>262</v>
      </c>
      <c r="L42" s="38">
        <f t="shared" ca="1" si="3"/>
        <v>8016.5</v>
      </c>
      <c r="M42" s="35" cm="1">
        <f t="array" aca="1" ref="M42" ca="1">IF($D42="S 0303",0,_xll.BDP("LM"&amp;M$14&amp;"D"&amp;$D42&amp;" Comdty","PX_SETTLE"))</f>
        <v>-21.5</v>
      </c>
      <c r="N42" s="39"/>
      <c r="O42" s="37">
        <f ca="1"/>
        <v>-25.5</v>
      </c>
      <c r="P42" s="38">
        <f t="shared" ca="1" si="4"/>
        <v>2784.5</v>
      </c>
      <c r="Q42" s="35" cm="1">
        <f t="array" aca="1" ref="Q42" ca="1">IF($D42="S 0303",0,_xll.BDP("LM"&amp;Q$14&amp;"D"&amp;$D42&amp;" Comdty","PX_SETTLE"))</f>
        <v>-130</v>
      </c>
      <c r="R42" s="39"/>
      <c r="S42" s="37">
        <f ca="1"/>
        <v>-134</v>
      </c>
      <c r="T42" s="38">
        <f t="shared" ca="1" si="5"/>
        <v>18809</v>
      </c>
      <c r="U42" s="35" cm="1">
        <f t="array" aca="1" ref="U42" ca="1">IF($D42="S 0303",0,_xll.BDP("LM"&amp;U$14&amp;"D"&amp;$D42&amp;" Comdty","PX_SETTLE"))</f>
        <v>-43.5</v>
      </c>
      <c r="V42" s="39"/>
      <c r="W42" s="37">
        <f ca="1"/>
        <v>-47.5</v>
      </c>
      <c r="X42" s="38">
        <f t="shared" ca="1" si="6"/>
        <v>2138</v>
      </c>
      <c r="Y42" s="44">
        <f t="shared" ca="1" si="8"/>
        <v>1225</v>
      </c>
      <c r="Z42" s="39"/>
      <c r="AA42" s="37">
        <f ca="1"/>
        <v>1223</v>
      </c>
      <c r="AB42" s="38">
        <f t="shared" ca="1" si="7"/>
        <v>22102</v>
      </c>
    </row>
    <row r="43" spans="2:28" x14ac:dyDescent="0.25">
      <c r="B43" s="1" cm="1">
        <f t="array" aca="1" ref="B43" ca="1">_xll.QDates_NextLMECurveDate(B42,$B$1,FALSE)</f>
        <v>45000</v>
      </c>
      <c r="C43" s="8" t="str" cm="1">
        <f t="array" aca="1" ref="C43" ca="1">IF(B43=$B$1,"03",_xll.QDates_GetMonthCodeAndYear(B43,2))</f>
        <v>H23</v>
      </c>
      <c r="D43" s="8" t="str">
        <f t="shared" ca="1" si="1"/>
        <v>S 03H23</v>
      </c>
      <c r="E43" s="35" cm="1">
        <f t="array" aca="1" ref="E43" ca="1">IF($D43="S 0303",0,_xll.BDP("LM"&amp;E$14&amp;"D"&amp;$D43&amp;" Comdty","PX_SETTLE"))</f>
        <v>-64.34</v>
      </c>
      <c r="F43" s="39"/>
      <c r="G43" s="37">
        <f ca="1"/>
        <v>-76.34</v>
      </c>
      <c r="H43" s="38">
        <f t="shared" ca="1" si="2"/>
        <v>2161.34</v>
      </c>
      <c r="I43" s="35" cm="1">
        <f t="array" aca="1" ref="I43" ca="1">IF($D43="S 0303",0,_xll.BDP("LM"&amp;I$14&amp;"D"&amp;$D43&amp;" Comdty","PX_SETTLE"))</f>
        <v>274</v>
      </c>
      <c r="J43" s="39"/>
      <c r="K43" s="37">
        <f ca="1"/>
        <v>274</v>
      </c>
      <c r="L43" s="38">
        <f t="shared" ca="1" si="3"/>
        <v>8004.5</v>
      </c>
      <c r="M43" s="35" cm="1">
        <f t="array" aca="1" ref="M43" ca="1">IF($D43="S 0303",0,_xll.BDP("LM"&amp;M$14&amp;"D"&amp;$D43&amp;" Comdty","PX_SETTLE"))</f>
        <v>-20.5</v>
      </c>
      <c r="N43" s="39"/>
      <c r="O43" s="37">
        <f ca="1"/>
        <v>-24.5</v>
      </c>
      <c r="P43" s="38">
        <f t="shared" ca="1" si="4"/>
        <v>2783.5</v>
      </c>
      <c r="Q43" s="35" cm="1">
        <f t="array" aca="1" ref="Q43" ca="1">IF($D43="S 0303",0,_xll.BDP("LM"&amp;Q$14&amp;"D"&amp;$D43&amp;" Comdty","PX_SETTLE"))</f>
        <v>-137</v>
      </c>
      <c r="R43" s="39"/>
      <c r="S43" s="37">
        <f ca="1"/>
        <v>-141</v>
      </c>
      <c r="T43" s="38">
        <f t="shared" ca="1" si="5"/>
        <v>18816</v>
      </c>
      <c r="U43" s="35" cm="1">
        <f t="array" aca="1" ref="U43" ca="1">IF($D43="S 0303",0,_xll.BDP("LM"&amp;U$14&amp;"D"&amp;$D43&amp;" Comdty","PX_SETTLE"))</f>
        <v>-46</v>
      </c>
      <c r="V43" s="39"/>
      <c r="W43" s="37">
        <f ca="1"/>
        <v>-50</v>
      </c>
      <c r="X43" s="38">
        <f t="shared" ca="1" si="6"/>
        <v>2140.5</v>
      </c>
      <c r="Y43" s="44">
        <f t="shared" ca="1" si="8"/>
        <v>1240</v>
      </c>
      <c r="Z43" s="39"/>
      <c r="AA43" s="37">
        <f ca="1"/>
        <v>1238</v>
      </c>
      <c r="AB43" s="38">
        <f t="shared" ca="1" si="7"/>
        <v>22087</v>
      </c>
    </row>
    <row r="44" spans="2:28" x14ac:dyDescent="0.25">
      <c r="B44" s="1" cm="1">
        <f t="array" aca="1" ref="B44" ca="1">_xll.QDates_NextLMECurveDate(B43,$B$1,FALSE)</f>
        <v>45035</v>
      </c>
      <c r="C44" s="8" t="str" cm="1">
        <f t="array" aca="1" ref="C44" ca="1">IF(B44=$B$1,"03",_xll.QDates_GetMonthCodeAndYear(B44,2))</f>
        <v>J23</v>
      </c>
      <c r="D44" s="8" t="str">
        <f t="shared" ca="1" si="1"/>
        <v>S 03J23</v>
      </c>
      <c r="E44" s="35" cm="1">
        <f t="array" aca="1" ref="E44" ca="1">IF($D44="S 0303",0,_xll.BDP("LM"&amp;E$14&amp;"D"&amp;$D44&amp;" Comdty","PX_SETTLE"))</f>
        <v>-67.59</v>
      </c>
      <c r="F44" s="39"/>
      <c r="G44" s="37">
        <f ca="1"/>
        <v>-79.59</v>
      </c>
      <c r="H44" s="38">
        <f t="shared" ca="1" si="2"/>
        <v>2164.59</v>
      </c>
      <c r="I44" s="35" cm="1">
        <f t="array" aca="1" ref="I44" ca="1">IF($D44="S 0303",0,_xll.BDP("LM"&amp;I$14&amp;"D"&amp;$D44&amp;" Comdty","PX_SETTLE"))</f>
        <v>286</v>
      </c>
      <c r="J44" s="39"/>
      <c r="K44" s="37">
        <f ca="1"/>
        <v>286</v>
      </c>
      <c r="L44" s="38">
        <f t="shared" ca="1" si="3"/>
        <v>7992.5</v>
      </c>
      <c r="M44" s="35" cm="1">
        <f t="array" aca="1" ref="M44" ca="1">IF($D44="S 0303",0,_xll.BDP("LM"&amp;M$14&amp;"D"&amp;$D44&amp;" Comdty","PX_SETTLE"))</f>
        <v>-19.5</v>
      </c>
      <c r="N44" s="39"/>
      <c r="O44" s="37">
        <f ca="1"/>
        <v>-23.5</v>
      </c>
      <c r="P44" s="38">
        <f t="shared" ca="1" si="4"/>
        <v>2782.5</v>
      </c>
      <c r="Q44" s="35" cm="1">
        <f t="array" aca="1" ref="Q44" ca="1">IF($D44="S 0303",0,_xll.BDP("LM"&amp;Q$14&amp;"D"&amp;$D44&amp;" Comdty","PX_SETTLE"))</f>
        <v>-144</v>
      </c>
      <c r="R44" s="39"/>
      <c r="S44" s="37">
        <f ca="1"/>
        <v>-148</v>
      </c>
      <c r="T44" s="38">
        <f t="shared" ca="1" si="5"/>
        <v>18823</v>
      </c>
      <c r="U44" s="35" cm="1">
        <f t="array" aca="1" ref="U44" ca="1">IF($D44="S 0303",0,_xll.BDP("LM"&amp;U$14&amp;"D"&amp;$D44&amp;" Comdty","PX_SETTLE"))</f>
        <v>-48.5</v>
      </c>
      <c r="V44" s="39"/>
      <c r="W44" s="37">
        <f ca="1"/>
        <v>-52.5</v>
      </c>
      <c r="X44" s="38">
        <f t="shared" ca="1" si="6"/>
        <v>2143</v>
      </c>
      <c r="Y44" s="44">
        <f t="shared" ca="1" si="8"/>
        <v>1255</v>
      </c>
      <c r="Z44" s="39"/>
      <c r="AA44" s="37">
        <f ca="1"/>
        <v>1253</v>
      </c>
      <c r="AB44" s="38">
        <f t="shared" ca="1" si="7"/>
        <v>22072</v>
      </c>
    </row>
    <row r="45" spans="2:28" x14ac:dyDescent="0.25">
      <c r="B45" s="1" cm="1">
        <f t="array" aca="1" ref="B45" ca="1">_xll.QDates_NextLMECurveDate(B44,$B$1,FALSE)</f>
        <v>45063</v>
      </c>
      <c r="C45" s="8" t="str" cm="1">
        <f t="array" aca="1" ref="C45" ca="1">IF(B45=$B$1,"03",_xll.QDates_GetMonthCodeAndYear(B45,2))</f>
        <v>K23</v>
      </c>
      <c r="D45" s="8" t="str">
        <f t="shared" ca="1" si="1"/>
        <v>S 03K23</v>
      </c>
      <c r="E45" s="35" cm="1">
        <f t="array" aca="1" ref="E45" ca="1">IF($D45="S 0303",0,_xll.BDP("LM"&amp;E$14&amp;"D"&amp;$D45&amp;" Comdty","PX_SETTLE"))</f>
        <v>-69.84</v>
      </c>
      <c r="F45" s="39"/>
      <c r="G45" s="37">
        <f ca="1"/>
        <v>-81.84</v>
      </c>
      <c r="H45" s="38">
        <f t="shared" ca="1" si="2"/>
        <v>2166.84</v>
      </c>
      <c r="I45" s="35" cm="1">
        <f t="array" aca="1" ref="I45" ca="1">IF($D45="S 0303",0,_xll.BDP("LM"&amp;I$14&amp;"D"&amp;$D45&amp;" Comdty","PX_SETTLE"))</f>
        <v>298</v>
      </c>
      <c r="J45" s="39"/>
      <c r="K45" s="37">
        <f ca="1"/>
        <v>298</v>
      </c>
      <c r="L45" s="38">
        <f t="shared" ca="1" si="3"/>
        <v>7980.5</v>
      </c>
      <c r="M45" s="35" cm="1">
        <f t="array" aca="1" ref="M45" ca="1">IF($D45="S 0303",0,_xll.BDP("LM"&amp;M$14&amp;"D"&amp;$D45&amp;" Comdty","PX_SETTLE"))</f>
        <v>-18.5</v>
      </c>
      <c r="N45" s="39"/>
      <c r="O45" s="37">
        <f ca="1"/>
        <v>-22.5</v>
      </c>
      <c r="P45" s="38">
        <f t="shared" ca="1" si="4"/>
        <v>2781.5</v>
      </c>
      <c r="Q45" s="35" cm="1">
        <f t="array" aca="1" ref="Q45" ca="1">IF($D45="S 0303",0,_xll.BDP("LM"&amp;Q$14&amp;"D"&amp;$D45&amp;" Comdty","PX_SETTLE"))</f>
        <v>-150.5</v>
      </c>
      <c r="R45" s="39"/>
      <c r="S45" s="37">
        <f ca="1"/>
        <v>-154.5</v>
      </c>
      <c r="T45" s="38">
        <f t="shared" ca="1" si="5"/>
        <v>18829.5</v>
      </c>
      <c r="U45" s="35" cm="1">
        <f t="array" aca="1" ref="U45" ca="1">IF($D45="S 0303",0,_xll.BDP("LM"&amp;U$14&amp;"D"&amp;$D45&amp;" Comdty","PX_SETTLE"))</f>
        <v>-51</v>
      </c>
      <c r="V45" s="39"/>
      <c r="W45" s="37">
        <f ca="1"/>
        <v>-55</v>
      </c>
      <c r="X45" s="38">
        <f t="shared" ca="1" si="6"/>
        <v>2145.5</v>
      </c>
      <c r="Y45" s="44">
        <f t="shared" ca="1" si="8"/>
        <v>1270</v>
      </c>
      <c r="Z45" s="39"/>
      <c r="AA45" s="37">
        <f ca="1"/>
        <v>1268</v>
      </c>
      <c r="AB45" s="38">
        <f t="shared" ca="1" si="7"/>
        <v>22057</v>
      </c>
    </row>
    <row r="46" spans="2:28" x14ac:dyDescent="0.25">
      <c r="B46" s="1" cm="1">
        <f t="array" aca="1" ref="B46" ca="1">_xll.QDates_NextLMECurveDate(B45,$B$1,FALSE)</f>
        <v>45098</v>
      </c>
      <c r="C46" s="8" t="str" cm="1">
        <f t="array" aca="1" ref="C46" ca="1">IF(B46=$B$1,"03",_xll.QDates_GetMonthCodeAndYear(B46,2))</f>
        <v>M23</v>
      </c>
      <c r="D46" s="8" t="str">
        <f t="shared" ca="1" si="1"/>
        <v>S 03M23</v>
      </c>
      <c r="E46" s="35" cm="1">
        <f t="array" aca="1" ref="E46" ca="1">IF($D46="S 0303",0,_xll.BDP("LM"&amp;E$14&amp;"D"&amp;$D46&amp;" Comdty","PX_SETTLE"))</f>
        <v>-72.59</v>
      </c>
      <c r="F46" s="39"/>
      <c r="G46" s="37">
        <f ca="1"/>
        <v>-84.59</v>
      </c>
      <c r="H46" s="38">
        <f t="shared" ca="1" si="2"/>
        <v>2169.59</v>
      </c>
      <c r="I46" s="35" cm="1">
        <f t="array" aca="1" ref="I46" ca="1">IF($D46="S 0303",0,_xll.BDP("LM"&amp;I$14&amp;"D"&amp;$D46&amp;" Comdty","PX_SETTLE"))</f>
        <v>310</v>
      </c>
      <c r="J46" s="39"/>
      <c r="K46" s="37">
        <f ca="1"/>
        <v>310</v>
      </c>
      <c r="L46" s="38">
        <f t="shared" ca="1" si="3"/>
        <v>7968.5</v>
      </c>
      <c r="M46" s="35" cm="1">
        <f t="array" aca="1" ref="M46" ca="1">IF($D46="S 0303",0,_xll.BDP("LM"&amp;M$14&amp;"D"&amp;$D46&amp;" Comdty","PX_SETTLE"))</f>
        <v>-17.5</v>
      </c>
      <c r="N46" s="39"/>
      <c r="O46" s="37">
        <f ca="1"/>
        <v>-21.5</v>
      </c>
      <c r="P46" s="38">
        <f t="shared" ca="1" si="4"/>
        <v>2780.5</v>
      </c>
      <c r="Q46" s="35" cm="1">
        <f t="array" aca="1" ref="Q46" ca="1">IF($D46="S 0303",0,_xll.BDP("LM"&amp;Q$14&amp;"D"&amp;$D46&amp;" Comdty","PX_SETTLE"))</f>
        <v>-157</v>
      </c>
      <c r="R46" s="39"/>
      <c r="S46" s="37">
        <f ca="1"/>
        <v>-161</v>
      </c>
      <c r="T46" s="38">
        <f t="shared" ca="1" si="5"/>
        <v>18836</v>
      </c>
      <c r="U46" s="35" cm="1">
        <f t="array" aca="1" ref="U46" ca="1">IF($D46="S 0303",0,_xll.BDP("LM"&amp;U$14&amp;"D"&amp;$D46&amp;" Comdty","PX_SETTLE"))</f>
        <v>-53.5</v>
      </c>
      <c r="V46" s="39"/>
      <c r="W46" s="37">
        <f ca="1"/>
        <v>-57.5</v>
      </c>
      <c r="X46" s="38">
        <f t="shared" ca="1" si="6"/>
        <v>2148</v>
      </c>
      <c r="Y46" s="44">
        <f t="shared" ca="1" si="8"/>
        <v>1285</v>
      </c>
      <c r="Z46" s="39"/>
      <c r="AA46" s="37">
        <f ca="1"/>
        <v>1283</v>
      </c>
      <c r="AB46" s="38">
        <f t="shared" ca="1" si="7"/>
        <v>22042</v>
      </c>
    </row>
    <row r="47" spans="2:28" x14ac:dyDescent="0.25">
      <c r="B47" s="1" cm="1">
        <f t="array" aca="1" ref="B47" ca="1">_xll.QDates_NextLMECurveDate(B46,$B$1,FALSE)</f>
        <v>45126</v>
      </c>
      <c r="C47" s="8" t="str" cm="1">
        <f t="array" aca="1" ref="C47" ca="1">IF(B47=$B$1,"03",_xll.QDates_GetMonthCodeAndYear(B47,2))</f>
        <v>N23</v>
      </c>
      <c r="D47" s="8" t="str">
        <f t="shared" ca="1" si="1"/>
        <v>S 03N23</v>
      </c>
      <c r="E47" s="35" cm="1">
        <f t="array" aca="1" ref="E47" ca="1">IF($D47="S 0303",0,_xll.BDP("LM"&amp;E$14&amp;"D"&amp;$D47&amp;" Comdty","PX_SETTLE"))</f>
        <v>-75.09</v>
      </c>
      <c r="F47" s="39"/>
      <c r="G47" s="37">
        <f ca="1"/>
        <v>-87.09</v>
      </c>
      <c r="H47" s="38">
        <f t="shared" ca="1" si="2"/>
        <v>2172.09</v>
      </c>
      <c r="I47" s="35" cm="1">
        <f t="array" aca="1" ref="I47" ca="1">IF($D47="S 0303",0,_xll.BDP("LM"&amp;I$14&amp;"D"&amp;$D47&amp;" Comdty","PX_SETTLE"))</f>
        <v>322</v>
      </c>
      <c r="J47" s="39"/>
      <c r="K47" s="37">
        <f ca="1"/>
        <v>322</v>
      </c>
      <c r="L47" s="38">
        <f t="shared" ca="1" si="3"/>
        <v>7956.5</v>
      </c>
      <c r="M47" s="35" cm="1">
        <f t="array" aca="1" ref="M47" ca="1">IF($D47="S 0303",0,_xll.BDP("LM"&amp;M$14&amp;"D"&amp;$D47&amp;" Comdty","PX_SETTLE"))</f>
        <v>-16.5</v>
      </c>
      <c r="N47" s="39"/>
      <c r="O47" s="37">
        <f ca="1"/>
        <v>-20.5</v>
      </c>
      <c r="P47" s="38">
        <f t="shared" ca="1" si="4"/>
        <v>2779.5</v>
      </c>
      <c r="Q47" s="35" cm="1">
        <f t="array" aca="1" ref="Q47" ca="1">IF($D47="S 0303",0,_xll.BDP("LM"&amp;Q$14&amp;"D"&amp;$D47&amp;" Comdty","PX_SETTLE"))</f>
        <v>-163.5</v>
      </c>
      <c r="R47" s="39"/>
      <c r="S47" s="37">
        <f ca="1"/>
        <v>-167.5</v>
      </c>
      <c r="T47" s="38">
        <f t="shared" ca="1" si="5"/>
        <v>18842.5</v>
      </c>
      <c r="U47" s="35" cm="1">
        <f t="array" aca="1" ref="U47" ca="1">IF($D47="S 0303",0,_xll.BDP("LM"&amp;U$14&amp;"D"&amp;$D47&amp;" Comdty","PX_SETTLE"))</f>
        <v>-56</v>
      </c>
      <c r="V47" s="39"/>
      <c r="W47" s="37">
        <f ca="1"/>
        <v>-60</v>
      </c>
      <c r="X47" s="38">
        <f t="shared" ca="1" si="6"/>
        <v>2150.5</v>
      </c>
      <c r="Y47" s="44">
        <f t="shared" ca="1" si="8"/>
        <v>1300</v>
      </c>
      <c r="Z47" s="39"/>
      <c r="AA47" s="37">
        <f ca="1"/>
        <v>1298</v>
      </c>
      <c r="AB47" s="38">
        <f t="shared" ca="1" si="7"/>
        <v>22027</v>
      </c>
    </row>
    <row r="48" spans="2:28" x14ac:dyDescent="0.25">
      <c r="B48" s="1" cm="1">
        <f t="array" aca="1" ref="B48" ca="1">_xll.QDates_NextLMECurveDate(B47,$B$1,FALSE)</f>
        <v>45154</v>
      </c>
      <c r="C48" s="8" t="str" cm="1">
        <f t="array" aca="1" ref="C48" ca="1">IF(B48=$B$1,"03",_xll.QDates_GetMonthCodeAndYear(B48,2))</f>
        <v>Q23</v>
      </c>
      <c r="D48" s="8" t="str">
        <f t="shared" ca="1" si="1"/>
        <v>S 03Q23</v>
      </c>
      <c r="E48" s="35" cm="1">
        <f t="array" aca="1" ref="E48" ca="1">IF($D48="S 0303",0,_xll.BDP("LM"&amp;E$14&amp;"D"&amp;$D48&amp;" Comdty","PX_SETTLE"))</f>
        <v>-77.59</v>
      </c>
      <c r="F48" s="39"/>
      <c r="G48" s="37">
        <f ca="1"/>
        <v>-89.59</v>
      </c>
      <c r="H48" s="38">
        <f t="shared" ca="1" si="2"/>
        <v>2174.59</v>
      </c>
      <c r="I48" s="35" cm="1">
        <f t="array" aca="1" ref="I48" ca="1">IF($D48="S 0303",0,_xll.BDP("LM"&amp;I$14&amp;"D"&amp;$D48&amp;" Comdty","PX_SETTLE"))</f>
        <v>334</v>
      </c>
      <c r="J48" s="39"/>
      <c r="K48" s="37">
        <f ca="1"/>
        <v>334</v>
      </c>
      <c r="L48" s="38">
        <f t="shared" ca="1" si="3"/>
        <v>7944.5</v>
      </c>
      <c r="M48" s="35" cm="1">
        <f t="array" aca="1" ref="M48" ca="1">IF($D48="S 0303",0,_xll.BDP("LM"&amp;M$14&amp;"D"&amp;$D48&amp;" Comdty","PX_SETTLE"))</f>
        <v>-15.5</v>
      </c>
      <c r="N48" s="39"/>
      <c r="O48" s="37">
        <f ca="1"/>
        <v>-19.5</v>
      </c>
      <c r="P48" s="38">
        <f t="shared" ca="1" si="4"/>
        <v>2778.5</v>
      </c>
      <c r="Q48" s="35" cm="1">
        <f t="array" aca="1" ref="Q48" ca="1">IF($D48="S 0303",0,_xll.BDP("LM"&amp;Q$14&amp;"D"&amp;$D48&amp;" Comdty","PX_SETTLE"))</f>
        <v>-170</v>
      </c>
      <c r="R48" s="39"/>
      <c r="S48" s="37">
        <f ca="1"/>
        <v>-174</v>
      </c>
      <c r="T48" s="38">
        <f t="shared" ca="1" si="5"/>
        <v>18849</v>
      </c>
      <c r="U48" s="35" cm="1">
        <f t="array" aca="1" ref="U48" ca="1">IF($D48="S 0303",0,_xll.BDP("LM"&amp;U$14&amp;"D"&amp;$D48&amp;" Comdty","PX_SETTLE"))</f>
        <v>-58.5</v>
      </c>
      <c r="V48" s="39"/>
      <c r="W48" s="37">
        <f ca="1"/>
        <v>-62.5</v>
      </c>
      <c r="X48" s="38">
        <f t="shared" ca="1" si="6"/>
        <v>2153</v>
      </c>
      <c r="Y48" s="44">
        <f t="shared" ca="1" si="8"/>
        <v>1315</v>
      </c>
      <c r="Z48" s="39"/>
      <c r="AA48" s="37">
        <f ca="1"/>
        <v>1313</v>
      </c>
      <c r="AB48" s="38">
        <f t="shared" ca="1" si="7"/>
        <v>22012</v>
      </c>
    </row>
    <row r="49" spans="1:28" x14ac:dyDescent="0.25">
      <c r="B49" s="1" cm="1">
        <f t="array" aca="1" ref="B49" ca="1">_xll.QDates_NextLMECurveDate(B48,$B$1,FALSE)</f>
        <v>45189</v>
      </c>
      <c r="C49" s="8" t="str" cm="1">
        <f t="array" aca="1" ref="C49" ca="1">IF(B49=$B$1,"03",_xll.QDates_GetMonthCodeAndYear(B49,2))</f>
        <v>U23</v>
      </c>
      <c r="D49" s="8" t="str">
        <f t="shared" ca="1" si="1"/>
        <v>S 03U23</v>
      </c>
      <c r="E49" s="35" cm="1">
        <f t="array" aca="1" ref="E49" ca="1">IF($D49="S 0303",0,_xll.BDP("LM"&amp;E$14&amp;"D"&amp;$D49&amp;" Comdty","PX_SETTLE"))</f>
        <v>-81.09</v>
      </c>
      <c r="F49" s="39"/>
      <c r="G49" s="37">
        <f ca="1"/>
        <v>-93.09</v>
      </c>
      <c r="H49" s="38">
        <f t="shared" ca="1" si="2"/>
        <v>2178.09</v>
      </c>
      <c r="I49" s="35" cm="1">
        <f t="array" aca="1" ref="I49" ca="1">IF($D49="S 0303",0,_xll.BDP("LM"&amp;I$14&amp;"D"&amp;$D49&amp;" Comdty","PX_SETTLE"))</f>
        <v>345</v>
      </c>
      <c r="J49" s="39"/>
      <c r="K49" s="37">
        <f ca="1"/>
        <v>345</v>
      </c>
      <c r="L49" s="38">
        <f t="shared" ca="1" si="3"/>
        <v>7933.5</v>
      </c>
      <c r="M49" s="35" cm="1">
        <f t="array" aca="1" ref="M49" ca="1">IF($D49="S 0303",0,_xll.BDP("LM"&amp;M$14&amp;"D"&amp;$D49&amp;" Comdty","PX_SETTLE"))</f>
        <v>-15</v>
      </c>
      <c r="N49" s="39"/>
      <c r="O49" s="37">
        <f ca="1"/>
        <v>-19</v>
      </c>
      <c r="P49" s="38">
        <f t="shared" ca="1" si="4"/>
        <v>2778</v>
      </c>
      <c r="Q49" s="35" cm="1">
        <f t="array" aca="1" ref="Q49" ca="1">IF($D49="S 0303",0,_xll.BDP("LM"&amp;Q$14&amp;"D"&amp;$D49&amp;" Comdty","PX_SETTLE"))</f>
        <v>-176.5</v>
      </c>
      <c r="R49" s="39"/>
      <c r="S49" s="37">
        <f ca="1"/>
        <v>-180.5</v>
      </c>
      <c r="T49" s="38">
        <f t="shared" ca="1" si="5"/>
        <v>18855.5</v>
      </c>
      <c r="U49" s="35" cm="1">
        <f t="array" aca="1" ref="U49" ca="1">IF($D49="S 0303",0,_xll.BDP("LM"&amp;U$14&amp;"D"&amp;$D49&amp;" Comdty","PX_SETTLE"))</f>
        <v>-61</v>
      </c>
      <c r="V49" s="39"/>
      <c r="W49" s="37">
        <f ca="1"/>
        <v>-65</v>
      </c>
      <c r="X49" s="38">
        <f t="shared" ca="1" si="6"/>
        <v>2155.5</v>
      </c>
      <c r="Y49" s="44">
        <f t="shared" ca="1" si="8"/>
        <v>1330</v>
      </c>
      <c r="Z49" s="39"/>
      <c r="AA49" s="37">
        <f ca="1"/>
        <v>1328</v>
      </c>
      <c r="AB49" s="38">
        <f t="shared" ca="1" si="7"/>
        <v>21997</v>
      </c>
    </row>
    <row r="50" spans="1:28" x14ac:dyDescent="0.25">
      <c r="B50" s="1" cm="1">
        <f t="array" aca="1" ref="B50" ca="1">_xll.QDates_NextLMECurveDate(B49,$B$1,FALSE)</f>
        <v>45217</v>
      </c>
      <c r="C50" s="8" t="str" cm="1">
        <f t="array" aca="1" ref="C50" ca="1">IF(B50=$B$1,"03",_xll.QDates_GetMonthCodeAndYear(B50,2))</f>
        <v>V23</v>
      </c>
      <c r="D50" s="8" t="str">
        <f t="shared" ca="1" si="1"/>
        <v>S 03V23</v>
      </c>
      <c r="E50" s="35" cm="1">
        <f t="array" aca="1" ref="E50" ca="1">IF($D50="S 0303",0,_xll.BDP("LM"&amp;E$14&amp;"D"&amp;$D50&amp;" Comdty","PX_SETTLE"))</f>
        <v>-83.84</v>
      </c>
      <c r="F50" s="39"/>
      <c r="G50" s="37">
        <f ca="1"/>
        <v>-95.84</v>
      </c>
      <c r="H50" s="38">
        <f t="shared" ca="1" si="2"/>
        <v>2180.84</v>
      </c>
      <c r="I50" s="35" cm="1">
        <f t="array" aca="1" ref="I50" ca="1">IF($D50="S 0303",0,_xll.BDP("LM"&amp;I$14&amp;"D"&amp;$D50&amp;" Comdty","PX_SETTLE"))</f>
        <v>356</v>
      </c>
      <c r="J50" s="39"/>
      <c r="K50" s="37">
        <f ca="1"/>
        <v>356</v>
      </c>
      <c r="L50" s="38">
        <f t="shared" ca="1" si="3"/>
        <v>7922.5</v>
      </c>
      <c r="M50" s="35" cm="1">
        <f t="array" aca="1" ref="M50" ca="1">IF($D50="S 0303",0,_xll.BDP("LM"&amp;M$14&amp;"D"&amp;$D50&amp;" Comdty","PX_SETTLE"))</f>
        <v>-14.5</v>
      </c>
      <c r="N50" s="39"/>
      <c r="O50" s="37">
        <f ca="1"/>
        <v>-18.5</v>
      </c>
      <c r="P50" s="38">
        <f t="shared" ca="1" si="4"/>
        <v>2777.5</v>
      </c>
      <c r="Q50" s="35" cm="1">
        <f t="array" aca="1" ref="Q50" ca="1">IF($D50="S 0303",0,_xll.BDP("LM"&amp;Q$14&amp;"D"&amp;$D50&amp;" Comdty","PX_SETTLE"))</f>
        <v>-183</v>
      </c>
      <c r="R50" s="39"/>
      <c r="S50" s="37">
        <f ca="1"/>
        <v>-187</v>
      </c>
      <c r="T50" s="38">
        <f t="shared" ca="1" si="5"/>
        <v>18862</v>
      </c>
      <c r="U50" s="35" cm="1">
        <f t="array" aca="1" ref="U50" ca="1">IF($D50="S 0303",0,_xll.BDP("LM"&amp;U$14&amp;"D"&amp;$D50&amp;" Comdty","PX_SETTLE"))</f>
        <v>-63.5</v>
      </c>
      <c r="V50" s="39"/>
      <c r="W50" s="37">
        <f ca="1"/>
        <v>-67.5</v>
      </c>
      <c r="X50" s="38">
        <f t="shared" ca="1" si="6"/>
        <v>2158</v>
      </c>
      <c r="Y50" s="44">
        <f t="shared" ca="1" si="8"/>
        <v>1345</v>
      </c>
      <c r="Z50" s="39"/>
      <c r="AA50" s="37">
        <f ca="1"/>
        <v>1343</v>
      </c>
      <c r="AB50" s="38">
        <f t="shared" ca="1" si="7"/>
        <v>21982</v>
      </c>
    </row>
    <row r="51" spans="1:28" x14ac:dyDescent="0.25">
      <c r="B51" s="1" cm="1">
        <f t="array" aca="1" ref="B51" ca="1">_xll.QDates_NextLMECurveDate(B50,$B$1,FALSE)</f>
        <v>45245</v>
      </c>
      <c r="C51" s="8" t="str" cm="1">
        <f t="array" aca="1" ref="C51" ca="1">IF(B51=$B$1,"03",_xll.QDates_GetMonthCodeAndYear(B51,2))</f>
        <v>X23</v>
      </c>
      <c r="D51" s="8" t="str">
        <f t="shared" ca="1" si="1"/>
        <v>S 03X23</v>
      </c>
      <c r="E51" s="35" cm="1">
        <f t="array" aca="1" ref="E51" ca="1">IF($D51="S 0303",0,_xll.BDP("LM"&amp;E$14&amp;"D"&amp;$D51&amp;" Comdty","PX_SETTLE"))</f>
        <v>-86.59</v>
      </c>
      <c r="F51" s="39"/>
      <c r="G51" s="37">
        <f ca="1"/>
        <v>-98.59</v>
      </c>
      <c r="H51" s="38">
        <f t="shared" ca="1" si="2"/>
        <v>2183.59</v>
      </c>
      <c r="I51" s="35" cm="1">
        <f t="array" aca="1" ref="I51" ca="1">IF($D51="S 0303",0,_xll.BDP("LM"&amp;I$14&amp;"D"&amp;$D51&amp;" Comdty","PX_SETTLE"))</f>
        <v>367</v>
      </c>
      <c r="J51" s="39"/>
      <c r="K51" s="37">
        <f ca="1"/>
        <v>367</v>
      </c>
      <c r="L51" s="38">
        <f t="shared" ca="1" si="3"/>
        <v>7911.5</v>
      </c>
      <c r="M51" s="35" cm="1">
        <f t="array" aca="1" ref="M51" ca="1">IF($D51="S 0303",0,_xll.BDP("LM"&amp;M$14&amp;"D"&amp;$D51&amp;" Comdty","PX_SETTLE"))</f>
        <v>-14</v>
      </c>
      <c r="N51" s="39"/>
      <c r="O51" s="37">
        <f ca="1"/>
        <v>-18</v>
      </c>
      <c r="P51" s="38">
        <f t="shared" ca="1" si="4"/>
        <v>2777</v>
      </c>
      <c r="Q51" s="35" cm="1">
        <f t="array" aca="1" ref="Q51" ca="1">IF($D51="S 0303",0,_xll.BDP("LM"&amp;Q$14&amp;"D"&amp;$D51&amp;" Comdty","PX_SETTLE"))</f>
        <v>-189.5</v>
      </c>
      <c r="R51" s="39"/>
      <c r="S51" s="37">
        <f ca="1"/>
        <v>-193.5</v>
      </c>
      <c r="T51" s="38">
        <f t="shared" ca="1" si="5"/>
        <v>18868.5</v>
      </c>
      <c r="U51" s="35" cm="1">
        <f t="array" aca="1" ref="U51" ca="1">IF($D51="S 0303",0,_xll.BDP("LM"&amp;U$14&amp;"D"&amp;$D51&amp;" Comdty","PX_SETTLE"))</f>
        <v>-65.75</v>
      </c>
      <c r="V51" s="39"/>
      <c r="W51" s="37">
        <f ca="1"/>
        <v>-69.75</v>
      </c>
      <c r="X51" s="38">
        <f t="shared" ca="1" si="6"/>
        <v>2160.25</v>
      </c>
      <c r="Y51" s="44">
        <f t="shared" ca="1" si="8"/>
        <v>1360</v>
      </c>
      <c r="Z51" s="39"/>
      <c r="AA51" s="37">
        <f ca="1"/>
        <v>1358</v>
      </c>
      <c r="AB51" s="38">
        <f t="shared" ca="1" si="7"/>
        <v>21967</v>
      </c>
    </row>
    <row r="52" spans="1:28" x14ac:dyDescent="0.25">
      <c r="B52" s="1" cm="1">
        <f t="array" aca="1" ref="B52" ca="1">_xll.QDates_NextLMECurveDate(B51,$B$1,FALSE)</f>
        <v>45280</v>
      </c>
      <c r="C52" s="8" t="str" cm="1">
        <f t="array" aca="1" ref="C52" ca="1">IF(B52=$B$1,"03",_xll.QDates_GetMonthCodeAndYear(B52,2))</f>
        <v>Z23</v>
      </c>
      <c r="D52" s="8" t="str">
        <f t="shared" ca="1" si="1"/>
        <v>S 03Z23</v>
      </c>
      <c r="E52" s="35" cm="1">
        <f t="array" aca="1" ref="E52" ca="1">IF($D52="S 0303",0,_xll.BDP("LM"&amp;E$14&amp;"D"&amp;$D52&amp;" Comdty","PX_SETTLE"))</f>
        <v>-90.09</v>
      </c>
      <c r="F52" s="39"/>
      <c r="G52" s="37">
        <f ca="1"/>
        <v>-102.09</v>
      </c>
      <c r="H52" s="38">
        <f t="shared" ca="1" si="2"/>
        <v>2187.09</v>
      </c>
      <c r="I52" s="35" cm="1">
        <f t="array" aca="1" ref="I52" ca="1">IF($D52="S 0303",0,_xll.BDP("LM"&amp;I$14&amp;"D"&amp;$D52&amp;" Comdty","PX_SETTLE"))</f>
        <v>378</v>
      </c>
      <c r="J52" s="39"/>
      <c r="K52" s="37">
        <f ca="1"/>
        <v>378</v>
      </c>
      <c r="L52" s="38">
        <f t="shared" ca="1" si="3"/>
        <v>7900.5</v>
      </c>
      <c r="M52" s="35" cm="1">
        <f t="array" aca="1" ref="M52" ca="1">IF($D52="S 0303",0,_xll.BDP("LM"&amp;M$14&amp;"D"&amp;$D52&amp;" Comdty","PX_SETTLE"))</f>
        <v>-13.5</v>
      </c>
      <c r="N52" s="39"/>
      <c r="O52" s="37">
        <f ca="1"/>
        <v>-17.5</v>
      </c>
      <c r="P52" s="38">
        <f t="shared" ca="1" si="4"/>
        <v>2776.5</v>
      </c>
      <c r="Q52" s="35" cm="1">
        <f t="array" aca="1" ref="Q52" ca="1">IF($D52="S 0303",0,_xll.BDP("LM"&amp;Q$14&amp;"D"&amp;$D52&amp;" Comdty","PX_SETTLE"))</f>
        <v>-196</v>
      </c>
      <c r="R52" s="39"/>
      <c r="S52" s="37">
        <f ca="1"/>
        <v>-200</v>
      </c>
      <c r="T52" s="38">
        <f t="shared" ca="1" si="5"/>
        <v>18875</v>
      </c>
      <c r="U52" s="35" cm="1">
        <f t="array" aca="1" ref="U52" ca="1">IF($D52="S 0303",0,_xll.BDP("LM"&amp;U$14&amp;"D"&amp;$D52&amp;" Comdty","PX_SETTLE"))</f>
        <v>-68</v>
      </c>
      <c r="V52" s="39"/>
      <c r="W52" s="37">
        <f ca="1"/>
        <v>-72</v>
      </c>
      <c r="X52" s="38">
        <f t="shared" ca="1" si="6"/>
        <v>2162.5</v>
      </c>
      <c r="Y52" s="44">
        <f t="shared" ca="1" si="8"/>
        <v>1375</v>
      </c>
      <c r="Z52" s="39"/>
      <c r="AA52" s="37">
        <f ca="1"/>
        <v>1373</v>
      </c>
      <c r="AB52" s="38">
        <f t="shared" ca="1" si="7"/>
        <v>21952</v>
      </c>
    </row>
    <row r="53" spans="1:28" x14ac:dyDescent="0.25">
      <c r="B53" s="1" cm="1">
        <f t="array" aca="1" ref="B53" ca="1">_xll.QDates_NextLMECurveDate(B52,$B$1,FALSE)</f>
        <v>45308</v>
      </c>
      <c r="C53" s="8" t="str" cm="1">
        <f t="array" aca="1" ref="C53" ca="1">IF(B53=$B$1,"03",_xll.QDates_GetMonthCodeAndYear(B53,2))</f>
        <v>F24</v>
      </c>
      <c r="D53" s="8" t="str">
        <f t="shared" ca="1" si="1"/>
        <v>S 03F24</v>
      </c>
      <c r="E53" s="35" cm="1">
        <f t="array" aca="1" ref="E53" ca="1">IF($D53="S 0303",0,_xll.BDP("LM"&amp;E$14&amp;"D"&amp;$D53&amp;" Comdty","PX_SETTLE"))</f>
        <v>-92.34</v>
      </c>
      <c r="F53" s="39"/>
      <c r="G53" s="37">
        <f ca="1"/>
        <v>-104.34</v>
      </c>
      <c r="H53" s="38">
        <f t="shared" ca="1" si="2"/>
        <v>2189.34</v>
      </c>
      <c r="I53" s="35" cm="1">
        <f t="array" aca="1" ref="I53" ca="1">IF($D53="S 0303",0,_xll.BDP("LM"&amp;I$14&amp;"D"&amp;$D53&amp;" Comdty","PX_SETTLE"))</f>
        <v>392</v>
      </c>
      <c r="J53" s="39"/>
      <c r="K53" s="37">
        <f ca="1"/>
        <v>392</v>
      </c>
      <c r="L53" s="38">
        <f t="shared" ca="1" si="3"/>
        <v>7886.5</v>
      </c>
      <c r="M53" s="35" cm="1">
        <f t="array" aca="1" ref="M53" ca="1">IF($D53="S 0303",0,_xll.BDP("LM"&amp;M$14&amp;"D"&amp;$D53&amp;" Comdty","PX_SETTLE"))</f>
        <v>-12.5</v>
      </c>
      <c r="N53" s="39"/>
      <c r="O53" s="37">
        <f ca="1"/>
        <v>-16.5</v>
      </c>
      <c r="P53" s="38">
        <f t="shared" ca="1" si="4"/>
        <v>2775.5</v>
      </c>
      <c r="Q53" s="35" cm="1">
        <f t="array" aca="1" ref="Q53" ca="1">IF($D53="S 0303",0,_xll.BDP("LM"&amp;Q$14&amp;"D"&amp;$D53&amp;" Comdty","PX_SETTLE"))</f>
        <v>-202.5</v>
      </c>
      <c r="R53" s="39"/>
      <c r="S53" s="37">
        <f ca="1"/>
        <v>-206.5</v>
      </c>
      <c r="T53" s="38">
        <f t="shared" ca="1" si="5"/>
        <v>18881.5</v>
      </c>
      <c r="U53" s="35" cm="1">
        <f t="array" aca="1" ref="U53" ca="1">IF($D53="S 0303",0,_xll.BDP("LM"&amp;U$14&amp;"D"&amp;$D53&amp;" Comdty","PX_SETTLE"))</f>
        <v>-70</v>
      </c>
      <c r="V53" s="39"/>
      <c r="W53" s="37">
        <f ca="1"/>
        <v>-74</v>
      </c>
      <c r="X53" s="38">
        <f t="shared" ca="1" si="6"/>
        <v>2164.5</v>
      </c>
      <c r="Y53" s="44">
        <f t="shared" ca="1" si="8"/>
        <v>1390</v>
      </c>
      <c r="Z53" s="39"/>
      <c r="AA53" s="37">
        <f ca="1"/>
        <v>1388</v>
      </c>
      <c r="AB53" s="38">
        <f t="shared" ca="1" si="7"/>
        <v>21937</v>
      </c>
    </row>
    <row r="54" spans="1:28" x14ac:dyDescent="0.25">
      <c r="B54" s="1" cm="1">
        <f t="array" aca="1" ref="B54" ca="1">_xll.QDates_NextLMECurveDate(B53,$B$1,FALSE)</f>
        <v>45343</v>
      </c>
      <c r="C54" s="8" t="str" cm="1">
        <f t="array" aca="1" ref="C54" ca="1">IF(B54=$B$1,"03",_xll.QDates_GetMonthCodeAndYear(B54,2))</f>
        <v>G24</v>
      </c>
      <c r="D54" s="8" t="str">
        <f t="shared" ca="1" si="1"/>
        <v>S 03G24</v>
      </c>
      <c r="E54" s="35" cm="1">
        <f t="array" aca="1" ref="E54" ca="1">IF($D54="S 0303",0,_xll.BDP("LM"&amp;E$14&amp;"D"&amp;$D54&amp;" Comdty","PX_SETTLE"))</f>
        <v>-95.34</v>
      </c>
      <c r="F54" s="39"/>
      <c r="G54" s="37">
        <f ca="1"/>
        <v>-107.34</v>
      </c>
      <c r="H54" s="38">
        <f t="shared" ca="1" si="2"/>
        <v>2192.34</v>
      </c>
      <c r="I54" s="35" cm="1">
        <f t="array" aca="1" ref="I54" ca="1">IF($D54="S 0303",0,_xll.BDP("LM"&amp;I$14&amp;"D"&amp;$D54&amp;" Comdty","PX_SETTLE"))</f>
        <v>406</v>
      </c>
      <c r="J54" s="39"/>
      <c r="K54" s="37">
        <f ca="1"/>
        <v>406</v>
      </c>
      <c r="L54" s="38">
        <f t="shared" ca="1" si="3"/>
        <v>7872.5</v>
      </c>
      <c r="M54" s="35" cm="1">
        <f t="array" aca="1" ref="M54" ca="1">IF($D54="S 0303",0,_xll.BDP("LM"&amp;M$14&amp;"D"&amp;$D54&amp;" Comdty","PX_SETTLE"))</f>
        <v>-11.5</v>
      </c>
      <c r="N54" s="39"/>
      <c r="O54" s="37">
        <f ca="1"/>
        <v>-15.5</v>
      </c>
      <c r="P54" s="38">
        <f t="shared" ca="1" si="4"/>
        <v>2774.5</v>
      </c>
      <c r="Q54" s="35" cm="1">
        <f t="array" aca="1" ref="Q54" ca="1">IF($D54="S 0303",0,_xll.BDP("LM"&amp;Q$14&amp;"D"&amp;$D54&amp;" Comdty","PX_SETTLE"))</f>
        <v>-209</v>
      </c>
      <c r="R54" s="39"/>
      <c r="S54" s="37">
        <f ca="1"/>
        <v>-213</v>
      </c>
      <c r="T54" s="38">
        <f t="shared" ca="1" si="5"/>
        <v>18888</v>
      </c>
      <c r="U54" s="35" cm="1">
        <f t="array" aca="1" ref="U54" ca="1">IF($D54="S 0303",0,_xll.BDP("LM"&amp;U$14&amp;"D"&amp;$D54&amp;" Comdty","PX_SETTLE"))</f>
        <v>-72</v>
      </c>
      <c r="V54" s="39"/>
      <c r="W54" s="37">
        <f ca="1"/>
        <v>-76</v>
      </c>
      <c r="X54" s="38">
        <f t="shared" ca="1" si="6"/>
        <v>2166.5</v>
      </c>
      <c r="Y54" s="44">
        <f t="shared" ca="1" si="8"/>
        <v>1405</v>
      </c>
      <c r="Z54" s="39"/>
      <c r="AA54" s="37">
        <f ca="1"/>
        <v>1403</v>
      </c>
      <c r="AB54" s="38">
        <f t="shared" ca="1" si="7"/>
        <v>21922</v>
      </c>
    </row>
    <row r="55" spans="1:28" x14ac:dyDescent="0.25">
      <c r="B55" s="1" cm="1">
        <f t="array" aca="1" ref="B55" ca="1">_xll.QDates_NextLMECurveDate(B54,$B$1,FALSE)</f>
        <v>45371</v>
      </c>
      <c r="C55" s="8" t="str" cm="1">
        <f t="array" aca="1" ref="C55" ca="1">IF(B55=$B$1,"03",_xll.QDates_GetMonthCodeAndYear(B55,2))</f>
        <v>H24</v>
      </c>
      <c r="D55" s="8" t="str">
        <f t="shared" ca="1" si="1"/>
        <v>S 03H24</v>
      </c>
      <c r="E55" s="35" cm="1">
        <f t="array" aca="1" ref="E55" ca="1">IF($D55="S 0303",0,_xll.BDP("LM"&amp;E$14&amp;"D"&amp;$D55&amp;" Comdty","PX_SETTLE"))</f>
        <v>-97.59</v>
      </c>
      <c r="F55" s="39"/>
      <c r="G55" s="37">
        <f ca="1"/>
        <v>-109.59</v>
      </c>
      <c r="H55" s="38">
        <f t="shared" ca="1" si="2"/>
        <v>2194.59</v>
      </c>
      <c r="I55" s="35" cm="1">
        <f t="array" aca="1" ref="I55" ca="1">IF($D55="S 0303",0,_xll.BDP("LM"&amp;I$14&amp;"D"&amp;$D55&amp;" Comdty","PX_SETTLE"))</f>
        <v>420</v>
      </c>
      <c r="J55" s="39"/>
      <c r="K55" s="37">
        <f ca="1"/>
        <v>420</v>
      </c>
      <c r="L55" s="38">
        <f t="shared" ca="1" si="3"/>
        <v>7858.5</v>
      </c>
      <c r="M55" s="35" cm="1">
        <f t="array" aca="1" ref="M55" ca="1">IF($D55="S 0303",0,_xll.BDP("LM"&amp;M$14&amp;"D"&amp;$D55&amp;" Comdty","PX_SETTLE"))</f>
        <v>-10.5</v>
      </c>
      <c r="N55" s="39"/>
      <c r="O55" s="37">
        <f ca="1"/>
        <v>-14.5</v>
      </c>
      <c r="P55" s="38">
        <f t="shared" ca="1" si="4"/>
        <v>2773.5</v>
      </c>
      <c r="Q55" s="35" cm="1">
        <f t="array" aca="1" ref="Q55" ca="1">IF($D55="S 0303",0,_xll.BDP("LM"&amp;Q$14&amp;"D"&amp;$D55&amp;" Comdty","PX_SETTLE"))</f>
        <v>-215.5</v>
      </c>
      <c r="R55" s="39"/>
      <c r="S55" s="37">
        <f ca="1"/>
        <v>-219.5</v>
      </c>
      <c r="T55" s="38">
        <f t="shared" ca="1" si="5"/>
        <v>18894.5</v>
      </c>
      <c r="U55" s="35" cm="1">
        <f t="array" aca="1" ref="U55" ca="1">IF($D55="S 0303",0,_xll.BDP("LM"&amp;U$14&amp;"D"&amp;$D55&amp;" Comdty","PX_SETTLE"))</f>
        <v>-74</v>
      </c>
      <c r="V55" s="39"/>
      <c r="W55" s="37">
        <f ca="1"/>
        <v>-78</v>
      </c>
      <c r="X55" s="38">
        <f t="shared" ca="1" si="6"/>
        <v>2168.5</v>
      </c>
      <c r="Y55" s="44">
        <f t="shared" ca="1" si="8"/>
        <v>1420</v>
      </c>
      <c r="Z55" s="39"/>
      <c r="AA55" s="37">
        <f ca="1"/>
        <v>1418</v>
      </c>
      <c r="AB55" s="38">
        <f t="shared" ca="1" si="7"/>
        <v>21907</v>
      </c>
    </row>
    <row r="56" spans="1:28" x14ac:dyDescent="0.25">
      <c r="B56" s="1" cm="1">
        <f t="array" aca="1" ref="B56" ca="1">_xll.QDates_NextLMECurveDate(B55,$B$1,FALSE)</f>
        <v>45399</v>
      </c>
      <c r="C56" s="8" t="str" cm="1">
        <f t="array" aca="1" ref="C56" ca="1">IF(B56=$B$1,"03",_xll.QDates_GetMonthCodeAndYear(B56,2))</f>
        <v>J24</v>
      </c>
      <c r="D56" s="8" t="str">
        <f t="shared" ca="1" si="1"/>
        <v>S 03J24</v>
      </c>
      <c r="E56" s="35" cm="1">
        <f t="array" aca="1" ref="E56" ca="1">IF($D56="S 0303",0,_xll.BDP("LM"&amp;E$14&amp;"D"&amp;$D56&amp;" Comdty","PX_SETTLE"))</f>
        <v>-99.84</v>
      </c>
      <c r="F56" s="39"/>
      <c r="G56" s="37">
        <f ca="1"/>
        <v>-111.84</v>
      </c>
      <c r="H56" s="38">
        <f t="shared" ca="1" si="2"/>
        <v>2196.84</v>
      </c>
      <c r="I56" s="35" cm="1">
        <f t="array" aca="1" ref="I56" ca="1">IF($D56="S 0303",0,_xll.BDP("LM"&amp;I$14&amp;"D"&amp;$D56&amp;" Comdty","PX_SETTLE"))</f>
        <v>434</v>
      </c>
      <c r="J56" s="39"/>
      <c r="K56" s="37">
        <f ca="1"/>
        <v>434</v>
      </c>
      <c r="L56" s="38">
        <f t="shared" ca="1" si="3"/>
        <v>7844.5</v>
      </c>
      <c r="M56" s="35" cm="1">
        <f t="array" aca="1" ref="M56" ca="1">IF($D56="S 0303",0,_xll.BDP("LM"&amp;M$14&amp;"D"&amp;$D56&amp;" Comdty","PX_SETTLE"))</f>
        <v>-9.5</v>
      </c>
      <c r="N56" s="39"/>
      <c r="O56" s="37">
        <f ca="1"/>
        <v>-13.5</v>
      </c>
      <c r="P56" s="38">
        <f t="shared" ca="1" si="4"/>
        <v>2772.5</v>
      </c>
      <c r="Q56" s="35" cm="1">
        <f t="array" aca="1" ref="Q56" ca="1">IF($D56="S 0303",0,_xll.BDP("LM"&amp;Q$14&amp;"D"&amp;$D56&amp;" Comdty","PX_SETTLE"))</f>
        <v>-222</v>
      </c>
      <c r="R56" s="39"/>
      <c r="S56" s="37">
        <f ca="1"/>
        <v>-226</v>
      </c>
      <c r="T56" s="38">
        <f t="shared" ca="1" si="5"/>
        <v>18901</v>
      </c>
      <c r="U56" s="35" cm="1">
        <f t="array" aca="1" ref="U56" ca="1">IF($D56="S 0303",0,_xll.BDP("LM"&amp;U$14&amp;"D"&amp;$D56&amp;" Comdty","PX_SETTLE"))</f>
        <v>-76</v>
      </c>
      <c r="V56" s="39"/>
      <c r="W56" s="37">
        <f ca="1"/>
        <v>-80</v>
      </c>
      <c r="X56" s="38">
        <f t="shared" ca="1" si="6"/>
        <v>2170.5</v>
      </c>
      <c r="Y56" s="44">
        <f t="shared" ca="1" si="8"/>
        <v>1435</v>
      </c>
      <c r="Z56" s="39"/>
      <c r="AA56" s="37">
        <f ca="1"/>
        <v>1433</v>
      </c>
      <c r="AB56" s="38">
        <f t="shared" ca="1" si="7"/>
        <v>21892</v>
      </c>
    </row>
    <row r="57" spans="1:28" x14ac:dyDescent="0.25">
      <c r="B57" s="1" cm="1">
        <f t="array" aca="1" ref="B57" ca="1">_xll.QDates_NextLMECurveDate(B56,$B$1,FALSE)</f>
        <v>45427</v>
      </c>
      <c r="C57" s="8" t="str" cm="1">
        <f t="array" aca="1" ref="C57" ca="1">IF(B57=$B$1,"03",_xll.QDates_GetMonthCodeAndYear(B57,2))</f>
        <v>K24</v>
      </c>
      <c r="D57" s="8" t="str">
        <f t="shared" ca="1" si="1"/>
        <v>S 03K24</v>
      </c>
      <c r="E57" s="35" cm="1">
        <f t="array" aca="1" ref="E57" ca="1">IF($D57="S 0303",0,_xll.BDP("LM"&amp;E$14&amp;"D"&amp;$D57&amp;" Comdty","PX_SETTLE"))</f>
        <v>-102.09</v>
      </c>
      <c r="F57" s="39"/>
      <c r="G57" s="37">
        <f ca="1"/>
        <v>-114.09</v>
      </c>
      <c r="H57" s="38">
        <f t="shared" ca="1" si="2"/>
        <v>2199.09</v>
      </c>
      <c r="I57" s="35" cm="1">
        <f t="array" aca="1" ref="I57" ca="1">IF($D57="S 0303",0,_xll.BDP("LM"&amp;I$14&amp;"D"&amp;$D57&amp;" Comdty","PX_SETTLE"))</f>
        <v>447</v>
      </c>
      <c r="J57" s="39"/>
      <c r="K57" s="37">
        <f ca="1"/>
        <v>447</v>
      </c>
      <c r="L57" s="38">
        <f t="shared" ca="1" si="3"/>
        <v>7831.5</v>
      </c>
      <c r="M57" s="35" cm="1">
        <f t="array" aca="1" ref="M57" ca="1">IF($D57="S 0303",0,_xll.BDP("LM"&amp;M$14&amp;"D"&amp;$D57&amp;" Comdty","PX_SETTLE"))</f>
        <v>-8.5</v>
      </c>
      <c r="N57" s="39"/>
      <c r="O57" s="37">
        <f ca="1"/>
        <v>-12.5</v>
      </c>
      <c r="P57" s="38">
        <f t="shared" ca="1" si="4"/>
        <v>2771.5</v>
      </c>
      <c r="Q57" s="35" cm="1">
        <f t="array" aca="1" ref="Q57" ca="1">IF($D57="S 0303",0,_xll.BDP("LM"&amp;Q$14&amp;"D"&amp;$D57&amp;" Comdty","PX_SETTLE"))</f>
        <v>-228.5</v>
      </c>
      <c r="R57" s="39"/>
      <c r="S57" s="37">
        <f ca="1"/>
        <v>-232.5</v>
      </c>
      <c r="T57" s="38">
        <f t="shared" ca="1" si="5"/>
        <v>18907.5</v>
      </c>
      <c r="U57" s="35" cm="1">
        <f t="array" aca="1" ref="U57" ca="1">IF($D57="S 0303",0,_xll.BDP("LM"&amp;U$14&amp;"D"&amp;$D57&amp;" Comdty","PX_SETTLE"))</f>
        <v>-78</v>
      </c>
      <c r="V57" s="39"/>
      <c r="W57" s="37">
        <f ca="1"/>
        <v>-82</v>
      </c>
      <c r="X57" s="38">
        <f t="shared" ca="1" si="6"/>
        <v>2172.5</v>
      </c>
      <c r="Y57" s="44">
        <f t="shared" ca="1" si="8"/>
        <v>1450</v>
      </c>
      <c r="Z57" s="39"/>
      <c r="AA57" s="37">
        <f ca="1"/>
        <v>1448</v>
      </c>
      <c r="AB57" s="38">
        <f t="shared" ca="1" si="7"/>
        <v>21877</v>
      </c>
    </row>
    <row r="58" spans="1:28" x14ac:dyDescent="0.25">
      <c r="B58" s="1" cm="1">
        <f t="array" aca="1" ref="B58" ca="1">_xll.QDates_NextLMECurveDate(B57,$B$1,FALSE)</f>
        <v>45462</v>
      </c>
      <c r="C58" s="8" t="str" cm="1">
        <f t="array" aca="1" ref="C58" ca="1">IF(B58=$B$1,"03",_xll.QDates_GetMonthCodeAndYear(B58,2))</f>
        <v>M24</v>
      </c>
      <c r="D58" s="8" t="str">
        <f t="shared" ca="1" si="1"/>
        <v>S 03M24</v>
      </c>
      <c r="E58" s="35" cm="1">
        <f t="array" aca="1" ref="E58" ca="1">IF($D58="S 0303",0,_xll.BDP("LM"&amp;E$14&amp;"D"&amp;$D58&amp;" Comdty","PX_SETTLE"))</f>
        <v>-105.09</v>
      </c>
      <c r="F58" s="39"/>
      <c r="G58" s="37">
        <f ca="1"/>
        <v>-117.09</v>
      </c>
      <c r="H58" s="38">
        <f t="shared" ca="1" si="2"/>
        <v>2202.09</v>
      </c>
      <c r="I58" s="35" cm="1">
        <f t="array" aca="1" ref="I58" ca="1">IF($D58="S 0303",0,_xll.BDP("LM"&amp;I$14&amp;"D"&amp;$D58&amp;" Comdty","PX_SETTLE"))</f>
        <v>460</v>
      </c>
      <c r="J58" s="39"/>
      <c r="K58" s="37">
        <f ca="1"/>
        <v>460</v>
      </c>
      <c r="L58" s="38">
        <f t="shared" ca="1" si="3"/>
        <v>7818.5</v>
      </c>
      <c r="M58" s="35" cm="1">
        <f t="array" aca="1" ref="M58" ca="1">IF($D58="S 0303",0,_xll.BDP("LM"&amp;M$14&amp;"D"&amp;$D58&amp;" Comdty","PX_SETTLE"))</f>
        <v>-8.5</v>
      </c>
      <c r="N58" s="39"/>
      <c r="O58" s="37">
        <f ca="1"/>
        <v>-12.5</v>
      </c>
      <c r="P58" s="38">
        <f t="shared" ca="1" si="4"/>
        <v>2771.5</v>
      </c>
      <c r="Q58" s="35" cm="1">
        <f t="array" aca="1" ref="Q58" ca="1">IF($D58="S 0303",0,_xll.BDP("LM"&amp;Q$14&amp;"D"&amp;$D58&amp;" Comdty","PX_SETTLE"))</f>
        <v>-235</v>
      </c>
      <c r="R58" s="39"/>
      <c r="S58" s="37">
        <f ca="1"/>
        <v>-239</v>
      </c>
      <c r="T58" s="38">
        <f t="shared" ca="1" si="5"/>
        <v>18914</v>
      </c>
      <c r="U58" s="35" cm="1">
        <f t="array" aca="1" ref="U58" ca="1">IF($D58="S 0303",0,_xll.BDP("LM"&amp;U$14&amp;"D"&amp;$D58&amp;" Comdty","PX_SETTLE"))</f>
        <v>-80</v>
      </c>
      <c r="V58" s="39"/>
      <c r="W58" s="37">
        <f ca="1"/>
        <v>-84</v>
      </c>
      <c r="X58" s="38">
        <f t="shared" ca="1" si="6"/>
        <v>2174.5</v>
      </c>
      <c r="Y58" s="44">
        <f t="shared" ca="1" si="8"/>
        <v>1465</v>
      </c>
      <c r="Z58" s="39"/>
      <c r="AA58" s="37">
        <f ca="1"/>
        <v>1463</v>
      </c>
      <c r="AB58" s="38">
        <f t="shared" ca="1" si="7"/>
        <v>21862</v>
      </c>
    </row>
    <row r="59" spans="1:28" x14ac:dyDescent="0.25">
      <c r="B59" s="1" cm="1">
        <f t="array" aca="1" ref="B59" ca="1">_xll.QDates_NextLMECurveDate(B58,$B$1,FALSE)</f>
        <v>45490</v>
      </c>
      <c r="C59" s="8" t="str" cm="1">
        <f t="array" aca="1" ref="C59" ca="1">IF(B59=$B$1,"03",_xll.QDates_GetMonthCodeAndYear(B59,2))</f>
        <v>N24</v>
      </c>
      <c r="D59" s="8" t="str">
        <f t="shared" ca="1" si="1"/>
        <v>S 03N24</v>
      </c>
      <c r="E59" s="35" cm="1">
        <f t="array" aca="1" ref="E59" ca="1">IF($D59="S 0303",0,_xll.BDP("LM"&amp;E$14&amp;"D"&amp;$D59&amp;" Comdty","PX_SETTLE"))</f>
        <v>-107.59</v>
      </c>
      <c r="F59" s="39"/>
      <c r="G59" s="37">
        <f ca="1"/>
        <v>-119.59</v>
      </c>
      <c r="H59" s="38">
        <f t="shared" ca="1" si="2"/>
        <v>2204.59</v>
      </c>
      <c r="I59" s="35" cm="1">
        <f t="array" aca="1" ref="I59" ca="1">IF($D59="S 0303",0,_xll.BDP("LM"&amp;I$14&amp;"D"&amp;$D59&amp;" Comdty","PX_SETTLE"))</f>
        <v>473</v>
      </c>
      <c r="J59" s="39"/>
      <c r="K59" s="37">
        <f ca="1"/>
        <v>473</v>
      </c>
      <c r="L59" s="38">
        <f t="shared" ca="1" si="3"/>
        <v>7805.5</v>
      </c>
      <c r="M59" s="35" cm="1">
        <f t="array" aca="1" ref="M59" ca="1">IF($D59="S 0303",0,_xll.BDP("LM"&amp;M$14&amp;"D"&amp;$D59&amp;" Comdty","PX_SETTLE"))</f>
        <v>-8.5</v>
      </c>
      <c r="N59" s="39"/>
      <c r="O59" s="37">
        <f ca="1"/>
        <v>-12.5</v>
      </c>
      <c r="P59" s="38">
        <f t="shared" ca="1" si="4"/>
        <v>2771.5</v>
      </c>
      <c r="Q59" s="35" cm="1">
        <f t="array" aca="1" ref="Q59" ca="1">IF($D59="S 0303",0,_xll.BDP("LM"&amp;Q$14&amp;"D"&amp;$D59&amp;" Comdty","PX_SETTLE"))</f>
        <v>-241.5</v>
      </c>
      <c r="R59" s="39"/>
      <c r="S59" s="37">
        <f ca="1"/>
        <v>-245.5</v>
      </c>
      <c r="T59" s="38">
        <f t="shared" ca="1" si="5"/>
        <v>18920.5</v>
      </c>
      <c r="U59" s="35" cm="1">
        <f t="array" aca="1" ref="U59" ca="1">IF($D59="S 0303",0,_xll.BDP("LM"&amp;U$14&amp;"D"&amp;$D59&amp;" Comdty","PX_SETTLE"))</f>
        <v>-82</v>
      </c>
      <c r="V59" s="39"/>
      <c r="W59" s="37">
        <f ca="1"/>
        <v>-86</v>
      </c>
      <c r="X59" s="38">
        <f t="shared" ca="1" si="6"/>
        <v>2176.5</v>
      </c>
      <c r="Y59" s="44">
        <f t="shared" ca="1" si="8"/>
        <v>1480</v>
      </c>
      <c r="Z59" s="39"/>
      <c r="AA59" s="37">
        <f ca="1"/>
        <v>1478</v>
      </c>
      <c r="AB59" s="38">
        <f t="shared" ca="1" si="7"/>
        <v>21847</v>
      </c>
    </row>
    <row r="60" spans="1:28" x14ac:dyDescent="0.25">
      <c r="B60" s="1" cm="1">
        <f t="array" aca="1" ref="B60" ca="1">_xll.QDates_NextLMECurveDate(B59,$B$1,FALSE)</f>
        <v>45525</v>
      </c>
      <c r="C60" s="8" t="str" cm="1">
        <f t="array" aca="1" ref="C60" ca="1">IF(B60=$B$1,"03",_xll.QDates_GetMonthCodeAndYear(B60,2))</f>
        <v>Q24</v>
      </c>
      <c r="D60" s="8" t="str">
        <f t="shared" ca="1" si="1"/>
        <v>S 03Q24</v>
      </c>
      <c r="E60" s="35" cm="1">
        <f t="array" aca="1" ref="E60" ca="1">IF($D60="S 0303",0,_xll.BDP("LM"&amp;E$14&amp;"D"&amp;$D60&amp;" Comdty","PX_SETTLE"))</f>
        <v>-111.09</v>
      </c>
      <c r="F60" s="39"/>
      <c r="G60" s="37">
        <f ca="1"/>
        <v>-123.09</v>
      </c>
      <c r="H60" s="38">
        <f t="shared" ca="1" si="2"/>
        <v>2208.09</v>
      </c>
      <c r="I60" s="35" cm="1">
        <f t="array" aca="1" ref="I60" ca="1">IF($D60="S 0303",0,_xll.BDP("LM"&amp;I$14&amp;"D"&amp;$D60&amp;" Comdty","PX_SETTLE"))</f>
        <v>486</v>
      </c>
      <c r="J60" s="39"/>
      <c r="K60" s="37">
        <f ca="1"/>
        <v>486</v>
      </c>
      <c r="L60" s="38">
        <f t="shared" ca="1" si="3"/>
        <v>7792.5</v>
      </c>
      <c r="M60" s="35" cm="1">
        <f t="array" aca="1" ref="M60" ca="1">IF($D60="S 0303",0,_xll.BDP("LM"&amp;M$14&amp;"D"&amp;$D60&amp;" Comdty","PX_SETTLE"))</f>
        <v>-8.5</v>
      </c>
      <c r="N60" s="39"/>
      <c r="O60" s="37">
        <f ca="1"/>
        <v>-12.5</v>
      </c>
      <c r="P60" s="38">
        <f t="shared" ca="1" si="4"/>
        <v>2771.5</v>
      </c>
      <c r="Q60" s="35" cm="1">
        <f t="array" aca="1" ref="Q60" ca="1">IF($D60="S 0303",0,_xll.BDP("LM"&amp;Q$14&amp;"D"&amp;$D60&amp;" Comdty","PX_SETTLE"))</f>
        <v>-248</v>
      </c>
      <c r="R60" s="39"/>
      <c r="S60" s="37">
        <f ca="1"/>
        <v>-252</v>
      </c>
      <c r="T60" s="38">
        <f t="shared" ca="1" si="5"/>
        <v>18927</v>
      </c>
      <c r="U60" s="35" cm="1">
        <f t="array" aca="1" ref="U60" ca="1">IF($D60="S 0303",0,_xll.BDP("LM"&amp;U$14&amp;"D"&amp;$D60&amp;" Comdty","PX_SETTLE"))</f>
        <v>-84</v>
      </c>
      <c r="V60" s="39"/>
      <c r="W60" s="37">
        <f ca="1"/>
        <v>-88</v>
      </c>
      <c r="X60" s="38">
        <f t="shared" ca="1" si="6"/>
        <v>2178.5</v>
      </c>
      <c r="Y60" s="44">
        <f t="shared" ca="1" si="8"/>
        <v>1495</v>
      </c>
      <c r="Z60" s="39"/>
      <c r="AA60" s="37">
        <f ca="1"/>
        <v>1493</v>
      </c>
      <c r="AB60" s="38">
        <f t="shared" ca="1" si="7"/>
        <v>21832</v>
      </c>
    </row>
    <row r="61" spans="1:28" x14ac:dyDescent="0.25">
      <c r="B61" s="1" cm="1">
        <f t="array" aca="1" ref="B61" ca="1">_xll.QDates_NextLMECurveDate(B60,$B$1,FALSE)</f>
        <v>45553</v>
      </c>
      <c r="C61" s="8" t="str" cm="1">
        <f t="array" aca="1" ref="C61" ca="1">IF(B61=$B$1,"03",_xll.QDates_GetMonthCodeAndYear(B61,2))</f>
        <v>U24</v>
      </c>
      <c r="D61" s="8" t="str">
        <f t="shared" ca="1" si="1"/>
        <v>S 03U24</v>
      </c>
      <c r="E61" s="35" cm="1">
        <f t="array" aca="1" ref="E61" ca="1">IF($D61="S 0303",0,_xll.BDP("LM"&amp;E$14&amp;"D"&amp;$D61&amp;" Comdty","PX_SETTLE"))</f>
        <v>-113.84</v>
      </c>
      <c r="F61" s="39"/>
      <c r="G61" s="37">
        <f ca="1"/>
        <v>-125.84</v>
      </c>
      <c r="H61" s="38">
        <f t="shared" ca="1" si="2"/>
        <v>2210.84</v>
      </c>
      <c r="I61" s="35" cm="1">
        <f t="array" aca="1" ref="I61" ca="1">IF($D61="S 0303",0,_xll.BDP("LM"&amp;I$14&amp;"D"&amp;$D61&amp;" Comdty","PX_SETTLE"))</f>
        <v>499</v>
      </c>
      <c r="J61" s="39"/>
      <c r="K61" s="37">
        <f ca="1"/>
        <v>499</v>
      </c>
      <c r="L61" s="38">
        <f t="shared" ca="1" si="3"/>
        <v>7779.5</v>
      </c>
      <c r="M61" s="35" cm="1">
        <f t="array" aca="1" ref="M61" ca="1">IF($D61="S 0303",0,_xll.BDP("LM"&amp;M$14&amp;"D"&amp;$D61&amp;" Comdty","PX_SETTLE"))</f>
        <v>-8.5</v>
      </c>
      <c r="N61" s="39"/>
      <c r="O61" s="37">
        <f ca="1"/>
        <v>-12.5</v>
      </c>
      <c r="P61" s="38">
        <f t="shared" ca="1" si="4"/>
        <v>2771.5</v>
      </c>
      <c r="Q61" s="35" cm="1">
        <f t="array" aca="1" ref="Q61" ca="1">IF($D61="S 0303",0,_xll.BDP("LM"&amp;Q$14&amp;"D"&amp;$D61&amp;" Comdty","PX_SETTLE"))</f>
        <v>-255</v>
      </c>
      <c r="R61" s="39"/>
      <c r="S61" s="37">
        <f ca="1"/>
        <v>-259</v>
      </c>
      <c r="T61" s="38">
        <f t="shared" ca="1" si="5"/>
        <v>18934</v>
      </c>
      <c r="U61" s="35" cm="1">
        <f t="array" aca="1" ref="U61" ca="1">IF($D61="S 0303",0,_xll.BDP("LM"&amp;U$14&amp;"D"&amp;$D61&amp;" Comdty","PX_SETTLE"))</f>
        <v>-86</v>
      </c>
      <c r="V61" s="39"/>
      <c r="W61" s="37">
        <f ca="1"/>
        <v>-90</v>
      </c>
      <c r="X61" s="38">
        <f t="shared" ca="1" si="6"/>
        <v>2180.5</v>
      </c>
      <c r="Y61" s="44">
        <f t="shared" ca="1" si="8"/>
        <v>1510</v>
      </c>
      <c r="Z61" s="39"/>
      <c r="AA61" s="37">
        <f ca="1"/>
        <v>1508</v>
      </c>
      <c r="AB61" s="38">
        <f t="shared" ca="1" si="7"/>
        <v>21817</v>
      </c>
    </row>
    <row r="62" spans="1:28" x14ac:dyDescent="0.25">
      <c r="B62" s="1" cm="1">
        <f t="array" aca="1" ref="B62" ca="1">_xll.QDates_NextLMECurveDate(B61,$B$1,FALSE)</f>
        <v>45581</v>
      </c>
      <c r="C62" s="8" t="str" cm="1">
        <f t="array" aca="1" ref="C62" ca="1">IF(B62=$B$1,"03",_xll.QDates_GetMonthCodeAndYear(B62,2))</f>
        <v>V24</v>
      </c>
      <c r="D62" s="8" t="str">
        <f t="shared" ca="1" si="1"/>
        <v>S 03V24</v>
      </c>
      <c r="E62" s="35" cm="1">
        <f t="array" aca="1" ref="E62" ca="1">IF($D62="S 0303",0,_xll.BDP("LM"&amp;E$14&amp;"D"&amp;$D62&amp;" Comdty","PX_SETTLE"))</f>
        <v>-116.84</v>
      </c>
      <c r="F62" s="39"/>
      <c r="G62" s="37">
        <f ca="1"/>
        <v>-128.84</v>
      </c>
      <c r="H62" s="38">
        <f t="shared" ca="1" si="2"/>
        <v>2213.84</v>
      </c>
      <c r="I62" s="35" cm="1">
        <f t="array" aca="1" ref="I62" ca="1">IF($D62="S 0303",0,_xll.BDP("LM"&amp;I$14&amp;"D"&amp;$D62&amp;" Comdty","PX_SETTLE"))</f>
        <v>512</v>
      </c>
      <c r="J62" s="39"/>
      <c r="K62" s="37">
        <f ca="1"/>
        <v>512</v>
      </c>
      <c r="L62" s="38">
        <f t="shared" ca="1" si="3"/>
        <v>7766.5</v>
      </c>
      <c r="M62" s="35" cm="1">
        <f t="array" aca="1" ref="M62" ca="1">IF($D62="S 0303",0,_xll.BDP("LM"&amp;M$14&amp;"D"&amp;$D62&amp;" Comdty","PX_SETTLE"))</f>
        <v>-8.5</v>
      </c>
      <c r="N62" s="39"/>
      <c r="O62" s="37">
        <f ca="1"/>
        <v>-12.5</v>
      </c>
      <c r="P62" s="38">
        <f t="shared" ca="1" si="4"/>
        <v>2771.5</v>
      </c>
      <c r="Q62" s="35" cm="1">
        <f t="array" aca="1" ref="Q62" ca="1">IF($D62="S 0303",0,_xll.BDP("LM"&amp;Q$14&amp;"D"&amp;$D62&amp;" Comdty","PX_SETTLE"))</f>
        <v>-262</v>
      </c>
      <c r="R62" s="39"/>
      <c r="S62" s="37">
        <f ca="1"/>
        <v>-266</v>
      </c>
      <c r="T62" s="38">
        <f t="shared" ca="1" si="5"/>
        <v>18941</v>
      </c>
      <c r="U62" s="35" cm="1">
        <f t="array" aca="1" ref="U62" ca="1">IF($D62="S 0303",0,_xll.BDP("LM"&amp;U$14&amp;"D"&amp;$D62&amp;" Comdty","PX_SETTLE"))</f>
        <v>-88</v>
      </c>
      <c r="V62" s="39"/>
      <c r="W62" s="37">
        <f ca="1"/>
        <v>-92</v>
      </c>
      <c r="X62" s="38">
        <f t="shared" ca="1" si="6"/>
        <v>2182.5</v>
      </c>
      <c r="Y62" s="44">
        <f t="shared" ca="1" si="8"/>
        <v>1525</v>
      </c>
      <c r="Z62" s="39"/>
      <c r="AA62" s="37">
        <f ca="1"/>
        <v>1523</v>
      </c>
      <c r="AB62" s="38">
        <f t="shared" ca="1" si="7"/>
        <v>21802</v>
      </c>
    </row>
    <row r="63" spans="1:28" x14ac:dyDescent="0.25">
      <c r="B63" s="1" cm="1">
        <f t="array" aca="1" ref="B63" ca="1">_xll.QDates_NextLMECurveDate(B62,$B$1,FALSE)</f>
        <v>45616</v>
      </c>
      <c r="C63" s="8" t="str" cm="1">
        <f t="array" aca="1" ref="C63" ca="1">IF(B63=$B$1,"03",_xll.QDates_GetMonthCodeAndYear(B63,2))</f>
        <v>X24</v>
      </c>
      <c r="D63" s="8" t="str">
        <f t="shared" ca="1" si="1"/>
        <v>S 03X24</v>
      </c>
      <c r="E63" s="35" cm="1">
        <f t="array" aca="1" ref="E63" ca="1">IF($D63="S 0303",0,_xll.BDP("LM"&amp;E$14&amp;"D"&amp;$D63&amp;" Comdty","PX_SETTLE"))</f>
        <v>-120.09</v>
      </c>
      <c r="F63" s="39"/>
      <c r="G63" s="37">
        <f ca="1"/>
        <v>-132.09</v>
      </c>
      <c r="H63" s="38">
        <f t="shared" ca="1" si="2"/>
        <v>2217.09</v>
      </c>
      <c r="I63" s="35" cm="1">
        <f t="array" aca="1" ref="I63" ca="1">IF($D63="S 0303",0,_xll.BDP("LM"&amp;I$14&amp;"D"&amp;$D63&amp;" Comdty","PX_SETTLE"))</f>
        <v>525</v>
      </c>
      <c r="J63" s="39"/>
      <c r="K63" s="37">
        <f ca="1"/>
        <v>525</v>
      </c>
      <c r="L63" s="38">
        <f t="shared" ca="1" si="3"/>
        <v>7753.5</v>
      </c>
      <c r="M63" s="35" cm="1">
        <f t="array" aca="1" ref="M63" ca="1">IF($D63="S 0303",0,_xll.BDP("LM"&amp;M$14&amp;"D"&amp;$D63&amp;" Comdty","PX_SETTLE"))</f>
        <v>-8.5</v>
      </c>
      <c r="N63" s="39"/>
      <c r="O63" s="37">
        <f ca="1"/>
        <v>-12.5</v>
      </c>
      <c r="P63" s="38">
        <f t="shared" ca="1" si="4"/>
        <v>2771.5</v>
      </c>
      <c r="Q63" s="35" cm="1">
        <f t="array" aca="1" ref="Q63" ca="1">IF($D63="S 0303",0,_xll.BDP("LM"&amp;Q$14&amp;"D"&amp;$D63&amp;" Comdty","PX_SETTLE"))</f>
        <v>-269</v>
      </c>
      <c r="R63" s="39"/>
      <c r="S63" s="37">
        <f ca="1"/>
        <v>-273</v>
      </c>
      <c r="T63" s="38">
        <f t="shared" ca="1" si="5"/>
        <v>18948</v>
      </c>
      <c r="U63" s="35" cm="1">
        <f t="array" aca="1" ref="U63" ca="1">IF($D63="S 0303",0,_xll.BDP("LM"&amp;U$14&amp;"D"&amp;$D63&amp;" Comdty","PX_SETTLE"))</f>
        <v>-90</v>
      </c>
      <c r="V63" s="39"/>
      <c r="W63" s="37">
        <f ca="1"/>
        <v>-94</v>
      </c>
      <c r="X63" s="38">
        <f t="shared" ca="1" si="6"/>
        <v>2184.5</v>
      </c>
      <c r="Y63" s="44">
        <f t="shared" ca="1" si="8"/>
        <v>1540</v>
      </c>
      <c r="Z63" s="39"/>
      <c r="AA63" s="37">
        <f ca="1"/>
        <v>1538</v>
      </c>
      <c r="AB63" s="38">
        <f t="shared" ca="1" si="7"/>
        <v>21787</v>
      </c>
    </row>
    <row r="64" spans="1:28" s="185" customFormat="1" x14ac:dyDescent="0.25">
      <c r="A64" s="3"/>
      <c r="B64" s="1" cm="1">
        <f t="array" aca="1" ref="B64" ca="1">_xll.QDates_NextLMECurveDate(B63,$B$1,FALSE)</f>
        <v>45644</v>
      </c>
      <c r="C64" s="186" t="str" cm="1">
        <f t="array" aca="1" ref="C64" ca="1">IF(B64=$B$1,"03",_xll.QDates_GetMonthCodeAndYear(B64,2))</f>
        <v>Z24</v>
      </c>
      <c r="D64" s="186" t="str">
        <f t="shared" ca="1" si="1"/>
        <v>S 03Z24</v>
      </c>
      <c r="E64" s="35" cm="1">
        <f t="array" aca="1" ref="E64" ca="1">IF($D64="S 0303",0,_xll.BDP("LM"&amp;E$14&amp;"D"&amp;$D64&amp;" Comdty","PX_SETTLE"))</f>
        <v>-122.59</v>
      </c>
      <c r="F64" s="39"/>
      <c r="G64" s="37">
        <f ca="1"/>
        <v>-134.59</v>
      </c>
      <c r="H64" s="38">
        <f t="shared" ca="1" si="2"/>
        <v>2219.59</v>
      </c>
      <c r="I64" s="35" cm="1">
        <f t="array" aca="1" ref="I64" ca="1">IF($D64="S 0303",0,_xll.BDP("LM"&amp;I$14&amp;"D"&amp;$D64&amp;" Comdty","PX_SETTLE"))</f>
        <v>538</v>
      </c>
      <c r="J64" s="39"/>
      <c r="K64" s="37">
        <f ca="1"/>
        <v>538</v>
      </c>
      <c r="L64" s="38">
        <f t="shared" ca="1" si="3"/>
        <v>7740.5</v>
      </c>
      <c r="M64" s="35" cm="1">
        <f t="array" aca="1" ref="M64" ca="1">IF($D64="S 0303",0,_xll.BDP("LM"&amp;M$14&amp;"D"&amp;$D64&amp;" Comdty","PX_SETTLE"))</f>
        <v>-8.5</v>
      </c>
      <c r="N64" s="39"/>
      <c r="O64" s="37">
        <f ca="1"/>
        <v>-12.5</v>
      </c>
      <c r="P64" s="38">
        <f t="shared" ca="1" si="4"/>
        <v>2771.5</v>
      </c>
      <c r="Q64" s="35" cm="1">
        <f t="array" aca="1" ref="Q64" ca="1">IF($D64="S 0303",0,_xll.BDP("LM"&amp;Q$14&amp;"D"&amp;$D64&amp;" Comdty","PX_SETTLE"))</f>
        <v>-276</v>
      </c>
      <c r="R64" s="39"/>
      <c r="S64" s="37">
        <f ca="1"/>
        <v>-280</v>
      </c>
      <c r="T64" s="38">
        <f t="shared" ca="1" si="5"/>
        <v>18955</v>
      </c>
      <c r="U64" s="35" cm="1">
        <f t="array" aca="1" ref="U64" ca="1">IF($D64="S 0303",0,_xll.BDP("LM"&amp;U$14&amp;"D"&amp;$D64&amp;" Comdty","PX_SETTLE"))</f>
        <v>-92</v>
      </c>
      <c r="V64" s="39"/>
      <c r="W64" s="37">
        <f ca="1"/>
        <v>-96</v>
      </c>
      <c r="X64" s="38">
        <f t="shared" ca="1" si="6"/>
        <v>2186.5</v>
      </c>
      <c r="Y64" s="44">
        <f t="shared" ca="1" si="8"/>
        <v>1555</v>
      </c>
      <c r="Z64" s="39"/>
      <c r="AA64" s="37">
        <f ca="1"/>
        <v>1553</v>
      </c>
      <c r="AB64" s="38">
        <f t="shared" ca="1" si="7"/>
        <v>21772</v>
      </c>
    </row>
    <row r="65" spans="1:46" s="185" customFormat="1" x14ac:dyDescent="0.25">
      <c r="A65" s="3"/>
      <c r="B65" s="1" cm="1">
        <f t="array" aca="1" ref="B65" ca="1">_xll.QDates_NextLMECurveDate(B64,$B$1,FALSE)</f>
        <v>45672</v>
      </c>
      <c r="C65" s="186" t="str" cm="1">
        <f t="array" aca="1" ref="C65" ca="1">IF(B65=$B$1,"03",_xll.QDates_GetMonthCodeAndYear(B65,2))</f>
        <v>F25</v>
      </c>
      <c r="D65" s="186" t="str">
        <f t="shared" ref="D65:D77" ca="1" si="9">IF(B65&lt;m3Date,"S "&amp;C65&amp;"03","S 03"&amp;C65)</f>
        <v>S 03F25</v>
      </c>
      <c r="E65" s="35" cm="1">
        <f t="array" aca="1" ref="E65" ca="1">IF($D65="S 0303",0,_xll.BDP("LM"&amp;E$14&amp;"D"&amp;$D65&amp;" Comdty","PX_SETTLE"))</f>
        <v>-127.09</v>
      </c>
      <c r="F65" s="39"/>
      <c r="G65" s="37">
        <f ca="1"/>
        <v>-139.09</v>
      </c>
      <c r="H65" s="38">
        <f t="shared" ca="1" si="2"/>
        <v>2224.09</v>
      </c>
      <c r="I65" s="35" cm="1">
        <f t="array" aca="1" ref="I65" ca="1">IF($D65="S 0303",0,_xll.BDP("LM"&amp;I$14&amp;"D"&amp;$D65&amp;" Comdty","PX_SETTLE"))</f>
        <v>548</v>
      </c>
      <c r="J65" s="39"/>
      <c r="K65" s="37">
        <f ca="1"/>
        <v>548</v>
      </c>
      <c r="L65" s="38">
        <f t="shared" ca="1" si="3"/>
        <v>7730.5</v>
      </c>
      <c r="M65" s="35"/>
      <c r="N65" s="39"/>
      <c r="O65" s="37"/>
      <c r="P65" s="38"/>
      <c r="Q65" s="35"/>
      <c r="R65" s="39"/>
      <c r="S65" s="37"/>
      <c r="T65" s="38"/>
      <c r="U65" s="35"/>
      <c r="V65" s="39"/>
      <c r="W65" s="37"/>
      <c r="X65" s="38"/>
      <c r="Y65" s="44"/>
      <c r="Z65" s="39"/>
      <c r="AA65" s="37"/>
      <c r="AB65" s="38"/>
    </row>
    <row r="66" spans="1:46" s="185" customFormat="1" x14ac:dyDescent="0.25">
      <c r="A66" s="3"/>
      <c r="B66" s="1" cm="1">
        <f t="array" aca="1" ref="B66" ca="1">_xll.QDates_NextLMECurveDate(B65,$B$1,FALSE)</f>
        <v>45707</v>
      </c>
      <c r="C66" s="186" t="str" cm="1">
        <f t="array" aca="1" ref="C66" ca="1">IF(B66=$B$1,"03",_xll.QDates_GetMonthCodeAndYear(B66,2))</f>
        <v>G25</v>
      </c>
      <c r="D66" s="186" t="str">
        <f t="shared" ca="1" si="9"/>
        <v>S 03G25</v>
      </c>
      <c r="E66" s="35" cm="1">
        <f t="array" aca="1" ref="E66" ca="1">IF($D66="S 0303",0,_xll.BDP("LM"&amp;E$14&amp;"D"&amp;$D66&amp;" Comdty","PX_SETTLE"))</f>
        <v>-132.09</v>
      </c>
      <c r="F66" s="39"/>
      <c r="G66" s="37">
        <f ca="1"/>
        <v>-144.09</v>
      </c>
      <c r="H66" s="38">
        <f t="shared" ca="1" si="2"/>
        <v>2229.09</v>
      </c>
      <c r="I66" s="35" cm="1">
        <f t="array" aca="1" ref="I66" ca="1">IF($D66="S 0303",0,_xll.BDP("LM"&amp;I$14&amp;"D"&amp;$D66&amp;" Comdty","PX_SETTLE"))</f>
        <v>558</v>
      </c>
      <c r="J66" s="39"/>
      <c r="K66" s="37">
        <f ca="1"/>
        <v>558</v>
      </c>
      <c r="L66" s="38">
        <f t="shared" ca="1" si="3"/>
        <v>7720.5</v>
      </c>
      <c r="M66" s="35"/>
      <c r="N66" s="39"/>
      <c r="O66" s="37"/>
      <c r="P66" s="38"/>
      <c r="Q66" s="35"/>
      <c r="R66" s="39"/>
      <c r="S66" s="37"/>
      <c r="T66" s="38"/>
      <c r="U66" s="35"/>
      <c r="V66" s="39"/>
      <c r="W66" s="37"/>
      <c r="X66" s="38"/>
      <c r="Y66" s="44"/>
      <c r="Z66" s="39"/>
      <c r="AA66" s="37"/>
      <c r="AB66" s="38"/>
    </row>
    <row r="67" spans="1:46" s="185" customFormat="1" x14ac:dyDescent="0.25">
      <c r="A67" s="3"/>
      <c r="B67" s="1" cm="1">
        <f t="array" aca="1" ref="B67" ca="1">_xll.QDates_NextLMECurveDate(B66,$B$1,FALSE)</f>
        <v>45735</v>
      </c>
      <c r="C67" s="186" t="str" cm="1">
        <f t="array" aca="1" ref="C67" ca="1">IF(B67=$B$1,"03",_xll.QDates_GetMonthCodeAndYear(B67,2))</f>
        <v>H25</v>
      </c>
      <c r="D67" s="186" t="str">
        <f t="shared" ca="1" si="9"/>
        <v>S 03H25</v>
      </c>
      <c r="E67" s="35" cm="1">
        <f t="array" aca="1" ref="E67" ca="1">IF($D67="S 0303",0,_xll.BDP("LM"&amp;E$14&amp;"D"&amp;$D67&amp;" Comdty","PX_SETTLE"))</f>
        <v>-136.59</v>
      </c>
      <c r="F67" s="39"/>
      <c r="G67" s="37">
        <f ca="1"/>
        <v>-148.59</v>
      </c>
      <c r="H67" s="38">
        <f t="shared" ca="1" si="2"/>
        <v>2233.59</v>
      </c>
      <c r="I67" s="35" cm="1">
        <f t="array" aca="1" ref="I67" ca="1">IF($D67="S 0303",0,_xll.BDP("LM"&amp;I$14&amp;"D"&amp;$D67&amp;" Comdty","PX_SETTLE"))</f>
        <v>568</v>
      </c>
      <c r="J67" s="39"/>
      <c r="K67" s="37">
        <f ca="1"/>
        <v>568</v>
      </c>
      <c r="L67" s="38">
        <f t="shared" ca="1" si="3"/>
        <v>7710.5</v>
      </c>
      <c r="M67" s="35"/>
      <c r="N67" s="39"/>
      <c r="O67" s="37"/>
      <c r="P67" s="38"/>
      <c r="Q67" s="35"/>
      <c r="R67" s="39"/>
      <c r="S67" s="37"/>
      <c r="T67" s="38"/>
      <c r="U67" s="35"/>
      <c r="V67" s="39"/>
      <c r="W67" s="37"/>
      <c r="X67" s="38"/>
      <c r="Y67" s="44"/>
      <c r="Z67" s="39"/>
      <c r="AA67" s="37"/>
      <c r="AB67" s="38"/>
    </row>
    <row r="68" spans="1:46" s="185" customFormat="1" x14ac:dyDescent="0.25">
      <c r="A68" s="3"/>
      <c r="B68" s="1" cm="1">
        <f t="array" aca="1" ref="B68" ca="1">_xll.QDates_NextLMECurveDate(B67,$B$1,FALSE)</f>
        <v>45763</v>
      </c>
      <c r="C68" s="186" t="str" cm="1">
        <f t="array" aca="1" ref="C68" ca="1">IF(B68=$B$1,"03",_xll.QDates_GetMonthCodeAndYear(B68,2))</f>
        <v>J25</v>
      </c>
      <c r="D68" s="186" t="str">
        <f t="shared" ca="1" si="9"/>
        <v>S 03J25</v>
      </c>
      <c r="E68" s="35" cm="1">
        <f t="array" aca="1" ref="E68" ca="1">IF($D68="S 0303",0,_xll.BDP("LM"&amp;E$14&amp;"D"&amp;$D68&amp;" Comdty","PX_SETTLE"))</f>
        <v>-141.09</v>
      </c>
      <c r="F68" s="39"/>
      <c r="G68" s="37">
        <f ca="1"/>
        <v>-153.09</v>
      </c>
      <c r="H68" s="38">
        <f t="shared" ca="1" si="2"/>
        <v>2238.09</v>
      </c>
      <c r="I68" s="35" cm="1">
        <f t="array" aca="1" ref="I68" ca="1">IF($D68="S 0303",0,_xll.BDP("LM"&amp;I$14&amp;"D"&amp;$D68&amp;" Comdty","PX_SETTLE"))</f>
        <v>578</v>
      </c>
      <c r="J68" s="39"/>
      <c r="K68" s="37">
        <f ca="1"/>
        <v>578</v>
      </c>
      <c r="L68" s="38">
        <f t="shared" ca="1" si="3"/>
        <v>7700.5</v>
      </c>
      <c r="M68" s="35"/>
      <c r="N68" s="39"/>
      <c r="O68" s="37"/>
      <c r="P68" s="38"/>
      <c r="Q68" s="35"/>
      <c r="R68" s="39"/>
      <c r="S68" s="37"/>
      <c r="T68" s="38"/>
      <c r="U68" s="35"/>
      <c r="V68" s="39"/>
      <c r="W68" s="37"/>
      <c r="X68" s="38"/>
      <c r="Y68" s="44"/>
      <c r="Z68" s="39"/>
      <c r="AA68" s="37"/>
      <c r="AB68" s="38"/>
    </row>
    <row r="69" spans="1:46" s="185" customFormat="1" x14ac:dyDescent="0.25">
      <c r="A69" s="3"/>
      <c r="B69" s="1" cm="1">
        <f t="array" aca="1" ref="B69" ca="1">_xll.QDates_NextLMECurveDate(B68,$B$1,FALSE)</f>
        <v>45798</v>
      </c>
      <c r="C69" s="186" t="str" cm="1">
        <f t="array" aca="1" ref="C69" ca="1">IF(B69=$B$1,"03",_xll.QDates_GetMonthCodeAndYear(B69,2))</f>
        <v>K25</v>
      </c>
      <c r="D69" s="186" t="str">
        <f t="shared" ca="1" si="9"/>
        <v>S 03K25</v>
      </c>
      <c r="E69" s="35" cm="1">
        <f t="array" aca="1" ref="E69" ca="1">IF($D69="S 0303",0,_xll.BDP("LM"&amp;E$14&amp;"D"&amp;$D69&amp;" Comdty","PX_SETTLE"))</f>
        <v>-146.09</v>
      </c>
      <c r="F69" s="39"/>
      <c r="G69" s="37">
        <f ca="1"/>
        <v>-158.09</v>
      </c>
      <c r="H69" s="38">
        <f t="shared" ca="1" si="2"/>
        <v>2243.09</v>
      </c>
      <c r="I69" s="35" cm="1">
        <f t="array" aca="1" ref="I69" ca="1">IF($D69="S 0303",0,_xll.BDP("LM"&amp;I$14&amp;"D"&amp;$D69&amp;" Comdty","PX_SETTLE"))</f>
        <v>588</v>
      </c>
      <c r="J69" s="39"/>
      <c r="K69" s="37">
        <f ca="1"/>
        <v>588</v>
      </c>
      <c r="L69" s="38">
        <f t="shared" ca="1" si="3"/>
        <v>7690.5</v>
      </c>
      <c r="M69" s="35"/>
      <c r="N69" s="39"/>
      <c r="O69" s="37"/>
      <c r="P69" s="38"/>
      <c r="Q69" s="35"/>
      <c r="R69" s="39"/>
      <c r="S69" s="37"/>
      <c r="T69" s="38"/>
      <c r="U69" s="35"/>
      <c r="V69" s="39"/>
      <c r="W69" s="37"/>
      <c r="X69" s="38"/>
      <c r="Y69" s="44"/>
      <c r="Z69" s="39"/>
      <c r="AA69" s="37"/>
      <c r="AB69" s="38"/>
    </row>
    <row r="70" spans="1:46" s="185" customFormat="1" x14ac:dyDescent="0.25">
      <c r="A70" s="3"/>
      <c r="B70" s="1" cm="1">
        <f t="array" aca="1" ref="B70" ca="1">_xll.QDates_NextLMECurveDate(B69,$B$1,FALSE)</f>
        <v>45826</v>
      </c>
      <c r="C70" s="186" t="str" cm="1">
        <f t="array" aca="1" ref="C70" ca="1">IF(B70=$B$1,"03",_xll.QDates_GetMonthCodeAndYear(B70,2))</f>
        <v>M25</v>
      </c>
      <c r="D70" s="186" t="str">
        <f t="shared" ca="1" si="9"/>
        <v>S 03M25</v>
      </c>
      <c r="E70" s="35" cm="1">
        <f t="array" aca="1" ref="E70" ca="1">IF($D70="S 0303",0,_xll.BDP("LM"&amp;E$14&amp;"D"&amp;$D70&amp;" Comdty","PX_SETTLE"))</f>
        <v>-150.59</v>
      </c>
      <c r="F70" s="39"/>
      <c r="G70" s="37">
        <f ca="1"/>
        <v>-162.59</v>
      </c>
      <c r="H70" s="38">
        <f t="shared" ca="1" si="2"/>
        <v>2247.59</v>
      </c>
      <c r="I70" s="35" cm="1">
        <f t="array" aca="1" ref="I70" ca="1">IF($D70="S 0303",0,_xll.BDP("LM"&amp;I$14&amp;"D"&amp;$D70&amp;" Comdty","PX_SETTLE"))</f>
        <v>598</v>
      </c>
      <c r="J70" s="39"/>
      <c r="K70" s="37">
        <f ca="1"/>
        <v>598</v>
      </c>
      <c r="L70" s="38">
        <f t="shared" ca="1" si="3"/>
        <v>7680.5</v>
      </c>
      <c r="M70" s="35"/>
      <c r="N70" s="39"/>
      <c r="O70" s="37"/>
      <c r="P70" s="38"/>
      <c r="Q70" s="35"/>
      <c r="R70" s="39"/>
      <c r="S70" s="37"/>
      <c r="T70" s="38"/>
      <c r="U70" s="35"/>
      <c r="V70" s="39"/>
      <c r="W70" s="37"/>
      <c r="X70" s="38"/>
      <c r="Y70" s="44"/>
      <c r="Z70" s="39"/>
      <c r="AA70" s="37"/>
      <c r="AB70" s="38"/>
    </row>
    <row r="71" spans="1:46" s="185" customFormat="1" x14ac:dyDescent="0.25">
      <c r="A71" s="3"/>
      <c r="B71" s="1" cm="1">
        <f t="array" aca="1" ref="B71" ca="1">_xll.QDates_NextLMECurveDate(B70,$B$1,FALSE)</f>
        <v>45854</v>
      </c>
      <c r="C71" s="186" t="str" cm="1">
        <f t="array" aca="1" ref="C71" ca="1">IF(B71=$B$1,"03",_xll.QDates_GetMonthCodeAndYear(B71,2))</f>
        <v>N25</v>
      </c>
      <c r="D71" s="186" t="str">
        <f t="shared" ca="1" si="9"/>
        <v>S 03N25</v>
      </c>
      <c r="E71" s="35" cm="1">
        <f t="array" aca="1" ref="E71" ca="1">IF($D71="S 0303",0,_xll.BDP("LM"&amp;E$14&amp;"D"&amp;$D71&amp;" Comdty","PX_SETTLE"))</f>
        <v>-155.09</v>
      </c>
      <c r="F71" s="39"/>
      <c r="G71" s="37">
        <f ca="1"/>
        <v>-167.09</v>
      </c>
      <c r="H71" s="38">
        <f t="shared" ca="1" si="2"/>
        <v>2252.09</v>
      </c>
      <c r="I71" s="35" cm="1">
        <f t="array" aca="1" ref="I71" ca="1">IF($D71="S 0303",0,_xll.BDP("LM"&amp;I$14&amp;"D"&amp;$D71&amp;" Comdty","PX_SETTLE"))</f>
        <v>603.5</v>
      </c>
      <c r="J71" s="39"/>
      <c r="K71" s="37">
        <f ca="1"/>
        <v>603.5</v>
      </c>
      <c r="L71" s="38">
        <f t="shared" ca="1" si="3"/>
        <v>7675</v>
      </c>
      <c r="M71" s="35"/>
      <c r="N71" s="39"/>
      <c r="O71" s="37"/>
      <c r="P71" s="38"/>
      <c r="Q71" s="35"/>
      <c r="R71" s="39"/>
      <c r="S71" s="37"/>
      <c r="T71" s="38"/>
      <c r="U71" s="35"/>
      <c r="V71" s="39"/>
      <c r="W71" s="37"/>
      <c r="X71" s="38"/>
      <c r="Y71" s="44"/>
      <c r="Z71" s="39"/>
      <c r="AA71" s="37"/>
      <c r="AB71" s="38"/>
    </row>
    <row r="72" spans="1:46" s="185" customFormat="1" x14ac:dyDescent="0.25">
      <c r="A72" s="3"/>
      <c r="B72" s="1" cm="1">
        <f t="array" aca="1" ref="B72" ca="1">_xll.QDates_NextLMECurveDate(B71,$B$1,FALSE)</f>
        <v>45889</v>
      </c>
      <c r="C72" s="186" t="str" cm="1">
        <f t="array" aca="1" ref="C72" ca="1">IF(B72=$B$1,"03",_xll.QDates_GetMonthCodeAndYear(B72,2))</f>
        <v>Q25</v>
      </c>
      <c r="D72" s="186" t="str">
        <f t="shared" ca="1" si="9"/>
        <v>S 03Q25</v>
      </c>
      <c r="E72" s="35" cm="1">
        <f t="array" aca="1" ref="E72" ca="1">IF($D72="S 0303",0,_xll.BDP("LM"&amp;E$14&amp;"D"&amp;$D72&amp;" Comdty","PX_SETTLE"))</f>
        <v>-160.09</v>
      </c>
      <c r="F72" s="39"/>
      <c r="G72" s="37">
        <f ca="1"/>
        <v>-172.09</v>
      </c>
      <c r="H72" s="38">
        <f t="shared" ca="1" si="2"/>
        <v>2257.09</v>
      </c>
      <c r="I72" s="35" cm="1">
        <f t="array" aca="1" ref="I72" ca="1">IF($D72="S 0303",0,_xll.BDP("LM"&amp;I$14&amp;"D"&amp;$D72&amp;" Comdty","PX_SETTLE"))</f>
        <v>609</v>
      </c>
      <c r="J72" s="39"/>
      <c r="K72" s="37">
        <f ca="1"/>
        <v>609</v>
      </c>
      <c r="L72" s="38">
        <f t="shared" ca="1" si="3"/>
        <v>7669.5</v>
      </c>
      <c r="M72" s="35"/>
      <c r="N72" s="39"/>
      <c r="O72" s="37"/>
      <c r="P72" s="38"/>
      <c r="Q72" s="35"/>
      <c r="R72" s="39"/>
      <c r="S72" s="37"/>
      <c r="T72" s="38"/>
      <c r="U72" s="35"/>
      <c r="V72" s="39"/>
      <c r="W72" s="37"/>
      <c r="X72" s="38"/>
      <c r="Y72" s="44"/>
      <c r="Z72" s="39"/>
      <c r="AA72" s="37"/>
      <c r="AB72" s="38"/>
    </row>
    <row r="73" spans="1:46" s="185" customFormat="1" x14ac:dyDescent="0.25">
      <c r="A73" s="3"/>
      <c r="B73" s="1" cm="1">
        <f t="array" aca="1" ref="B73" ca="1">_xll.QDates_NextLMECurveDate(B72,$B$1,FALSE)</f>
        <v>45917</v>
      </c>
      <c r="C73" s="186" t="str" cm="1">
        <f t="array" aca="1" ref="C73" ca="1">IF(B73=$B$1,"03",_xll.QDates_GetMonthCodeAndYear(B73,2))</f>
        <v>U25</v>
      </c>
      <c r="D73" s="186" t="str">
        <f t="shared" ca="1" si="9"/>
        <v>S 03U25</v>
      </c>
      <c r="E73" s="35" cm="1">
        <f t="array" aca="1" ref="E73" ca="1">IF($D73="S 0303",0,_xll.BDP("LM"&amp;E$14&amp;"D"&amp;$D73&amp;" Comdty","PX_SETTLE"))</f>
        <v>-164.59</v>
      </c>
      <c r="F73" s="39"/>
      <c r="G73" s="37">
        <f ca="1"/>
        <v>-176.59</v>
      </c>
      <c r="H73" s="38">
        <f t="shared" ca="1" si="2"/>
        <v>2261.59</v>
      </c>
      <c r="I73" s="35" cm="1">
        <f t="array" aca="1" ref="I73" ca="1">IF($D73="S 0303",0,_xll.BDP("LM"&amp;I$14&amp;"D"&amp;$D73&amp;" Comdty","PX_SETTLE"))</f>
        <v>614.5</v>
      </c>
      <c r="J73" s="39"/>
      <c r="K73" s="37">
        <f ca="1"/>
        <v>614.5</v>
      </c>
      <c r="L73" s="38">
        <f t="shared" ca="1" si="3"/>
        <v>7664</v>
      </c>
      <c r="M73" s="35"/>
      <c r="N73" s="39"/>
      <c r="O73" s="37"/>
      <c r="P73" s="38"/>
      <c r="Q73" s="35"/>
      <c r="R73" s="39"/>
      <c r="S73" s="37"/>
      <c r="T73" s="38"/>
      <c r="U73" s="35"/>
      <c r="V73" s="39"/>
      <c r="W73" s="37"/>
      <c r="X73" s="38"/>
      <c r="Y73" s="44"/>
      <c r="Z73" s="39"/>
      <c r="AA73" s="37"/>
      <c r="AB73" s="38"/>
    </row>
    <row r="74" spans="1:46" s="185" customFormat="1" x14ac:dyDescent="0.25">
      <c r="A74" s="3"/>
      <c r="B74" s="1" cm="1">
        <f t="array" aca="1" ref="B74" ca="1">_xll.QDates_NextLMECurveDate(B73,$B$1,FALSE)</f>
        <v>45945</v>
      </c>
      <c r="C74" s="186" t="str" cm="1">
        <f t="array" aca="1" ref="C74" ca="1">IF(B74=$B$1,"03",_xll.QDates_GetMonthCodeAndYear(B74,2))</f>
        <v>V25</v>
      </c>
      <c r="D74" s="186" t="str">
        <f t="shared" ca="1" si="9"/>
        <v>S 03V25</v>
      </c>
      <c r="E74" s="35" cm="1">
        <f t="array" aca="1" ref="E74" ca="1">IF($D74="S 0303",0,_xll.BDP("LM"&amp;E$14&amp;"D"&amp;$D74&amp;" Comdty","PX_SETTLE"))</f>
        <v>-169.09</v>
      </c>
      <c r="F74" s="39"/>
      <c r="G74" s="37">
        <f ca="1"/>
        <v>-181.09</v>
      </c>
      <c r="H74" s="38">
        <f t="shared" ca="1" si="2"/>
        <v>2266.09</v>
      </c>
      <c r="I74" s="35" cm="1">
        <f t="array" aca="1" ref="I74" ca="1">IF($D74="S 0303",0,_xll.BDP("LM"&amp;I$14&amp;"D"&amp;$D74&amp;" Comdty","PX_SETTLE"))</f>
        <v>620</v>
      </c>
      <c r="J74" s="39"/>
      <c r="K74" s="37">
        <f ca="1"/>
        <v>620</v>
      </c>
      <c r="L74" s="38">
        <f t="shared" ca="1" si="3"/>
        <v>7658.5</v>
      </c>
      <c r="M74" s="35"/>
      <c r="N74" s="39"/>
      <c r="O74" s="37"/>
      <c r="P74" s="38"/>
      <c r="Q74" s="35"/>
      <c r="R74" s="39"/>
      <c r="S74" s="37"/>
      <c r="T74" s="38"/>
      <c r="U74" s="35"/>
      <c r="V74" s="39"/>
      <c r="W74" s="37"/>
      <c r="X74" s="38"/>
      <c r="Y74" s="44"/>
      <c r="Z74" s="39"/>
      <c r="AA74" s="37"/>
      <c r="AB74" s="38"/>
    </row>
    <row r="75" spans="1:46" s="185" customFormat="1" x14ac:dyDescent="0.25">
      <c r="A75" s="3"/>
      <c r="B75" s="1" cm="1">
        <f t="array" aca="1" ref="B75" ca="1">_xll.QDates_NextLMECurveDate(B74,$B$1,FALSE)</f>
        <v>45980</v>
      </c>
      <c r="C75" s="186" t="str" cm="1">
        <f t="array" aca="1" ref="C75" ca="1">IF(B75=$B$1,"03",_xll.QDates_GetMonthCodeAndYear(B75,2))</f>
        <v>X25</v>
      </c>
      <c r="D75" s="186" t="str">
        <f t="shared" ca="1" si="9"/>
        <v>S 03X25</v>
      </c>
      <c r="E75" s="35" cm="1">
        <f t="array" aca="1" ref="E75" ca="1">IF($D75="S 0303",0,_xll.BDP("LM"&amp;E$14&amp;"D"&amp;$D75&amp;" Comdty","PX_SETTLE"))</f>
        <v>-174.09</v>
      </c>
      <c r="F75" s="39"/>
      <c r="G75" s="37">
        <f ca="1"/>
        <v>-186.09</v>
      </c>
      <c r="H75" s="38">
        <f t="shared" ca="1" si="2"/>
        <v>2271.09</v>
      </c>
      <c r="I75" s="35" cm="1">
        <f t="array" aca="1" ref="I75" ca="1">IF($D75="S 0303",0,_xll.BDP("LM"&amp;I$14&amp;"D"&amp;$D75&amp;" Comdty","PX_SETTLE"))</f>
        <v>625.5</v>
      </c>
      <c r="J75" s="39"/>
      <c r="K75" s="37">
        <f ca="1"/>
        <v>625.5</v>
      </c>
      <c r="L75" s="38">
        <f t="shared" ca="1" si="3"/>
        <v>7653</v>
      </c>
      <c r="M75" s="35"/>
      <c r="N75" s="39"/>
      <c r="O75" s="37"/>
      <c r="P75" s="38"/>
      <c r="Q75" s="35"/>
      <c r="R75" s="39"/>
      <c r="S75" s="37"/>
      <c r="T75" s="38"/>
      <c r="U75" s="35"/>
      <c r="V75" s="39"/>
      <c r="W75" s="37"/>
      <c r="X75" s="38"/>
      <c r="Y75" s="44"/>
      <c r="Z75" s="39"/>
      <c r="AA75" s="37"/>
      <c r="AB75" s="38"/>
    </row>
    <row r="76" spans="1:46" s="185" customFormat="1" x14ac:dyDescent="0.25">
      <c r="A76" s="3"/>
      <c r="B76" s="1" cm="1">
        <f t="array" aca="1" ref="B76" ca="1">_xll.QDates_NextLMECurveDate(B75,$B$1,FALSE)</f>
        <v>46008</v>
      </c>
      <c r="C76" s="186" t="str" cm="1">
        <f t="array" aca="1" ref="C76" ca="1">IF(B76=$B$1,"03",_xll.QDates_GetMonthCodeAndYear(B76,2))</f>
        <v>Z25</v>
      </c>
      <c r="D76" s="186" t="str">
        <f t="shared" ca="1" si="9"/>
        <v>S 03Z25</v>
      </c>
      <c r="E76" s="35" cm="1">
        <f t="array" aca="1" ref="E76" ca="1">IF($D76="S 0303",0,_xll.BDP("LM"&amp;E$14&amp;"D"&amp;$D76&amp;" Comdty","PX_SETTLE"))</f>
        <v>-178.59</v>
      </c>
      <c r="F76" s="39"/>
      <c r="G76" s="37">
        <f ca="1"/>
        <v>-190.59</v>
      </c>
      <c r="H76" s="38">
        <f t="shared" ca="1" si="2"/>
        <v>2275.59</v>
      </c>
      <c r="I76" s="35" cm="1">
        <f t="array" aca="1" ref="I76" ca="1">IF($D76="S 0303",0,_xll.BDP("LM"&amp;I$14&amp;"D"&amp;$D76&amp;" Comdty","PX_SETTLE"))</f>
        <v>631</v>
      </c>
      <c r="J76" s="39"/>
      <c r="K76" s="37">
        <f ca="1"/>
        <v>631</v>
      </c>
      <c r="L76" s="38">
        <f t="shared" ca="1" si="3"/>
        <v>7647.5</v>
      </c>
      <c r="M76" s="35"/>
      <c r="N76" s="39"/>
      <c r="O76" s="37"/>
      <c r="P76" s="38"/>
      <c r="Q76" s="35"/>
      <c r="R76" s="39"/>
      <c r="S76" s="37"/>
      <c r="T76" s="38"/>
      <c r="U76" s="35"/>
      <c r="V76" s="39"/>
      <c r="W76" s="37"/>
      <c r="X76" s="38"/>
      <c r="Y76" s="44"/>
      <c r="Z76" s="39"/>
      <c r="AA76" s="37"/>
      <c r="AB76" s="38"/>
    </row>
    <row r="77" spans="1:46" s="185" customFormat="1" x14ac:dyDescent="0.25">
      <c r="A77" s="3"/>
      <c r="B77" s="1" cm="1">
        <f t="array" aca="1" ref="B77" ca="1">_xll.QDates_NextLMECurveDate(B76,$B$1,FALSE)</f>
        <v>46043</v>
      </c>
      <c r="C77" s="186" t="str" cm="1">
        <f t="array" aca="1" ref="C77" ca="1">IF(B77=$B$1,"03",_xll.QDates_GetMonthCodeAndYear(B77,2))</f>
        <v>F26</v>
      </c>
      <c r="D77" s="186" t="str">
        <f t="shared" ca="1" si="9"/>
        <v>S 03F26</v>
      </c>
      <c r="E77" s="35" cm="1">
        <f t="array" aca="1" ref="E77" ca="1">IF($D77="S 0303",0,_xll.BDP("LM"&amp;E$14&amp;"D"&amp;$D77&amp;" Comdty","PX_SETTLE"))</f>
        <v>-182.59</v>
      </c>
      <c r="F77" s="39"/>
      <c r="G77" s="37">
        <f ca="1"/>
        <v>-194.59</v>
      </c>
      <c r="H77" s="38">
        <f t="shared" ca="1" si="2"/>
        <v>2279.59</v>
      </c>
      <c r="I77" s="35" cm="1">
        <f t="array" aca="1" ref="I77" ca="1">IF($D77="S 0303",0,_xll.BDP("LM"&amp;I$14&amp;"D"&amp;$D77&amp;" Comdty","PX_SETTLE"))</f>
        <v>631</v>
      </c>
      <c r="J77" s="39"/>
      <c r="K77" s="37">
        <f ca="1"/>
        <v>631</v>
      </c>
      <c r="L77" s="38">
        <f t="shared" ca="1" si="3"/>
        <v>7647.5</v>
      </c>
      <c r="M77" s="35"/>
      <c r="N77" s="39"/>
      <c r="O77" s="37"/>
      <c r="P77" s="38"/>
      <c r="Q77" s="35"/>
      <c r="R77" s="39"/>
      <c r="S77" s="37"/>
      <c r="T77" s="38"/>
      <c r="U77" s="35"/>
      <c r="V77" s="39"/>
      <c r="W77" s="37"/>
      <c r="X77" s="38"/>
      <c r="Y77" s="44"/>
      <c r="Z77" s="39"/>
      <c r="AA77" s="37"/>
      <c r="AB77" s="38"/>
    </row>
    <row r="79" spans="1:46" ht="15.75" thickBot="1" x14ac:dyDescent="0.3">
      <c r="A79" s="3" t="s">
        <v>114</v>
      </c>
    </row>
    <row r="80" spans="1:46" x14ac:dyDescent="0.25">
      <c r="D80" s="59" t="s">
        <v>116</v>
      </c>
      <c r="E80" s="60" t="s">
        <v>104</v>
      </c>
      <c r="F80" s="61"/>
      <c r="G80" s="62" t="s">
        <v>91</v>
      </c>
      <c r="H80" s="63">
        <v>0</v>
      </c>
      <c r="I80" s="61"/>
      <c r="J80" s="61"/>
      <c r="K80" s="61"/>
      <c r="L80" s="61" t="str" cm="1">
        <f t="array" aca="1" ref="L80" ca="1">_xll.QVol_CreateRiskyFlyVolSurface("vol_"&amp;E80,E80,valDate,L82:M82,$B$83:$B$144,I83:I144,J83:K144,L83:M144,,,"Simple",,,$C$83:$C$144,"USD","2b")</f>
        <v>vol_AH¬4</v>
      </c>
      <c r="M80" s="64"/>
      <c r="N80" s="61"/>
      <c r="O80" s="59" t="s">
        <v>116</v>
      </c>
      <c r="P80" s="60" t="s">
        <v>108</v>
      </c>
      <c r="Q80" s="61"/>
      <c r="R80" s="62" t="s">
        <v>91</v>
      </c>
      <c r="S80" s="63">
        <v>0</v>
      </c>
      <c r="T80" s="61"/>
      <c r="U80" s="61"/>
      <c r="V80" s="61"/>
      <c r="W80" s="61" t="str" cm="1">
        <f t="array" aca="1" ref="W80" ca="1">_xll.QVol_CreateRiskyFlyVolSurface("vol_"&amp;P80,P80,valDate,W82:X82,$B$83:$B$144,T83:T144,U83:V144,W83:X144,,,"Simple",,,$C$83:$C$144,"USD","2b")</f>
        <v>vol_CA¬4</v>
      </c>
      <c r="X80" s="64"/>
      <c r="Y80" s="61"/>
      <c r="Z80" s="59" t="s">
        <v>116</v>
      </c>
      <c r="AA80" s="60" t="s">
        <v>109</v>
      </c>
      <c r="AB80" s="61"/>
      <c r="AC80" s="62" t="s">
        <v>91</v>
      </c>
      <c r="AD80" s="63">
        <v>0.01</v>
      </c>
      <c r="AE80" s="61"/>
      <c r="AF80" s="61"/>
      <c r="AG80" s="61"/>
      <c r="AH80" s="61" t="str" cm="1">
        <f t="array" aca="1" ref="AH80" ca="1">_xll.QVol_CreateRiskyFlyVolSurface("vol_"&amp;AA80,AA80,valDate,AH82:AI82,$B$83:$B$109,AE83:AE109,AF83:AG109,AH83:AI109,,,"Simple",,,$C$83:$C$109,"USD","2b")</f>
        <v>vol_ZS¬4</v>
      </c>
      <c r="AI80" s="64"/>
      <c r="AJ80" s="61"/>
      <c r="AK80" s="59" t="s">
        <v>116</v>
      </c>
      <c r="AL80" s="60" t="s">
        <v>110</v>
      </c>
      <c r="AM80" s="61"/>
      <c r="AN80" s="62" t="s">
        <v>91</v>
      </c>
      <c r="AO80" s="63">
        <v>0.01</v>
      </c>
      <c r="AP80" s="61"/>
      <c r="AQ80" s="61"/>
      <c r="AR80" s="61"/>
      <c r="AS80" s="61" t="str" cm="1">
        <f t="array" aca="1" ref="AS80" ca="1">_xll.QVol_CreateRiskyFlyVolSurface("vol_"&amp;AL80,AL80,valDate,AS82:AT82,$B$83:$B$109,AP83:AP109,AQ83:AR109,AS83:AT109,,,"Simple",,,$C$83:$C$109,"USD","2b")</f>
        <v>vol_NI¬4</v>
      </c>
      <c r="AT80" s="64"/>
    </row>
    <row r="81" spans="2:46" x14ac:dyDescent="0.25">
      <c r="D81" s="65" t="s">
        <v>115</v>
      </c>
      <c r="E81" s="55" t="s">
        <v>103</v>
      </c>
      <c r="F81" s="25"/>
      <c r="G81" s="56" t="s">
        <v>117</v>
      </c>
      <c r="H81" s="57">
        <v>1</v>
      </c>
      <c r="I81" s="54" t="s">
        <v>85</v>
      </c>
      <c r="J81" s="200" t="s">
        <v>87</v>
      </c>
      <c r="K81" s="201"/>
      <c r="L81" s="202" t="s">
        <v>88</v>
      </c>
      <c r="M81" s="203"/>
      <c r="N81" s="70"/>
      <c r="O81" s="65" t="s">
        <v>115</v>
      </c>
      <c r="P81" s="55" t="s">
        <v>118</v>
      </c>
      <c r="Q81" s="25"/>
      <c r="R81" s="56" t="s">
        <v>117</v>
      </c>
      <c r="S81" s="57">
        <v>0</v>
      </c>
      <c r="T81" s="54" t="s">
        <v>85</v>
      </c>
      <c r="U81" s="200" t="s">
        <v>87</v>
      </c>
      <c r="V81" s="201"/>
      <c r="W81" s="202" t="s">
        <v>88</v>
      </c>
      <c r="X81" s="203"/>
      <c r="Y81" s="70"/>
      <c r="Z81" s="65" t="s">
        <v>115</v>
      </c>
      <c r="AA81" s="55" t="s">
        <v>119</v>
      </c>
      <c r="AB81" s="25"/>
      <c r="AC81" s="56" t="s">
        <v>117</v>
      </c>
      <c r="AD81" s="57">
        <v>1</v>
      </c>
      <c r="AE81" s="54" t="s">
        <v>85</v>
      </c>
      <c r="AF81" s="200" t="s">
        <v>87</v>
      </c>
      <c r="AG81" s="201"/>
      <c r="AH81" s="202" t="s">
        <v>88</v>
      </c>
      <c r="AI81" s="203"/>
      <c r="AJ81" s="70"/>
      <c r="AK81" s="65" t="s">
        <v>115</v>
      </c>
      <c r="AL81" s="55" t="s">
        <v>120</v>
      </c>
      <c r="AM81" s="25"/>
      <c r="AN81" s="56" t="s">
        <v>117</v>
      </c>
      <c r="AO81" s="57">
        <v>1</v>
      </c>
      <c r="AP81" s="54" t="s">
        <v>85</v>
      </c>
      <c r="AQ81" s="200" t="s">
        <v>87</v>
      </c>
      <c r="AR81" s="201"/>
      <c r="AS81" s="202" t="s">
        <v>88</v>
      </c>
      <c r="AT81" s="203"/>
    </row>
    <row r="82" spans="2:46" x14ac:dyDescent="0.25">
      <c r="D82" s="66">
        <v>0.1</v>
      </c>
      <c r="E82" s="46">
        <v>0.25</v>
      </c>
      <c r="F82" s="47">
        <v>0.5</v>
      </c>
      <c r="G82" s="46">
        <v>0.75</v>
      </c>
      <c r="H82" s="46">
        <v>0.9</v>
      </c>
      <c r="I82" s="51">
        <v>0.5</v>
      </c>
      <c r="J82" s="51">
        <v>0.25</v>
      </c>
      <c r="K82" s="53">
        <v>0.1</v>
      </c>
      <c r="L82" s="52">
        <v>0.25</v>
      </c>
      <c r="M82" s="67">
        <v>0.1</v>
      </c>
      <c r="N82" s="52"/>
      <c r="O82" s="66">
        <v>0.1</v>
      </c>
      <c r="P82" s="46">
        <v>0.25</v>
      </c>
      <c r="Q82" s="47">
        <v>0.5</v>
      </c>
      <c r="R82" s="46">
        <v>0.75</v>
      </c>
      <c r="S82" s="46">
        <v>0.9</v>
      </c>
      <c r="T82" s="51">
        <v>0.5</v>
      </c>
      <c r="U82" s="51">
        <v>0.25</v>
      </c>
      <c r="V82" s="53">
        <v>0.1</v>
      </c>
      <c r="W82" s="52">
        <v>0.25</v>
      </c>
      <c r="X82" s="67">
        <v>0.1</v>
      </c>
      <c r="Y82" s="52"/>
      <c r="Z82" s="66">
        <v>0.1</v>
      </c>
      <c r="AA82" s="46">
        <v>0.25</v>
      </c>
      <c r="AB82" s="47">
        <v>0.5</v>
      </c>
      <c r="AC82" s="46">
        <v>0.75</v>
      </c>
      <c r="AD82" s="46">
        <v>0.9</v>
      </c>
      <c r="AE82" s="51">
        <v>0.5</v>
      </c>
      <c r="AF82" s="51">
        <v>0.25</v>
      </c>
      <c r="AG82" s="53">
        <v>0.1</v>
      </c>
      <c r="AH82" s="52">
        <v>0.25</v>
      </c>
      <c r="AI82" s="67">
        <v>0.1</v>
      </c>
      <c r="AJ82" s="52"/>
      <c r="AK82" s="66">
        <v>0.1</v>
      </c>
      <c r="AL82" s="46">
        <v>0.25</v>
      </c>
      <c r="AM82" s="47">
        <v>0.5</v>
      </c>
      <c r="AN82" s="46">
        <v>0.75</v>
      </c>
      <c r="AO82" s="46">
        <v>0.9</v>
      </c>
      <c r="AP82" s="51">
        <v>0.5</v>
      </c>
      <c r="AQ82" s="51">
        <v>0.25</v>
      </c>
      <c r="AR82" s="53">
        <v>0.1</v>
      </c>
      <c r="AS82" s="52">
        <v>0.25</v>
      </c>
      <c r="AT82" s="67">
        <v>0.1</v>
      </c>
    </row>
    <row r="83" spans="2:46" x14ac:dyDescent="0.25">
      <c r="B83" s="1" cm="1">
        <f t="array" aca="1" ref="B83" ca="1">IF(valDate&gt;=_xll.QDates_SpecificWeekday(valDate,"Wednesday",1),_xll.QDates_SpecificWeekday(EDATE(valDate,1),"Wednesday",1),_xll.QDates_SpecificWeekday(valDate,"Wednesday",1))</f>
        <v>44258</v>
      </c>
      <c r="C83" t="str">
        <f ca="1">UPPER(TEXT(B83,"MMMYY"))</f>
        <v>MAR21</v>
      </c>
      <c r="D83" s="68" cm="1">
        <f t="array" aca="1" ref="D83" ca="1">_xll.BDP(E$81&amp;" "&amp;$C83&amp;" 10DP VOL LME Comdty","PX_LAST")/100</f>
        <v>0.17799493789672852</v>
      </c>
      <c r="E83" s="58" cm="1">
        <f t="array" aca="1" ref="E83" ca="1">_xll.BDP(E$81&amp;" "&amp;$C83&amp;" 25DP VOL LME Comdty","PX_LAST")/100</f>
        <v>0.16919776916503906</v>
      </c>
      <c r="F83" s="45" cm="1">
        <f t="array" aca="1" ref="F83" ca="1">_xll.BDP(E$81&amp;" "&amp;$C83&amp;" 50D VOL LME Comdty","PX_LAST")/100</f>
        <v>0.17009986877441408</v>
      </c>
      <c r="G83" s="58" cm="1">
        <f t="array" aca="1" ref="G83" ca="1">_xll.BDP(E$81&amp;" "&amp;$C83&amp;" 25DC VOL LME Comdty","PX_LAST")/100</f>
        <v>0.18179380416870117</v>
      </c>
      <c r="H83" s="58" cm="1">
        <f t="array" aca="1" ref="H83" ca="1">_xll.BDP(E$81&amp;" "&amp;$C83&amp;" 10DC VOL LME Comdty","PX_LAST")/100</f>
        <v>0.19579320907592773</v>
      </c>
      <c r="I83" s="49">
        <f ca="1">F83+H$80</f>
        <v>0.17009986877441408</v>
      </c>
      <c r="J83" s="50">
        <f ca="1">(G83-E83)*H$81</f>
        <v>1.2596035003662104E-2</v>
      </c>
      <c r="K83" s="50">
        <f ca="1">(H83-D83)*H$81</f>
        <v>1.7798271179199215E-2</v>
      </c>
      <c r="L83" s="50">
        <f ca="1">(AVERAGE(E83,G83)-F83)*H$81</f>
        <v>5.3959178924560258E-3</v>
      </c>
      <c r="M83" s="69">
        <f ca="1">(AVERAGE(D83,H83)-F83)*H$81</f>
        <v>1.6794204711914063E-2</v>
      </c>
      <c r="N83" s="50"/>
      <c r="O83" s="68" cm="1">
        <f t="array" aca="1" ref="O83" ca="1">_xll.BDP(P$81&amp;" "&amp;$C83&amp;" 10DP VOL LME Comdty","PX_LAST")/100</f>
        <v>0.27339370727539064</v>
      </c>
      <c r="P83" s="58" cm="1">
        <f t="array" aca="1" ref="P83" ca="1">_xll.BDP(P$81&amp;" "&amp;$C83&amp;" 25DP VOL LME Comdty","PX_LAST")/100</f>
        <v>0.26049484252929689</v>
      </c>
      <c r="Q83" s="45" cm="1">
        <f t="array" aca="1" ref="Q83" ca="1">_xll.BDP(P$81&amp;" "&amp;$C83&amp;" 50D VOL LME Comdty","PX_LAST")/100</f>
        <v>0.24940004348754882</v>
      </c>
      <c r="R83" s="58" cm="1">
        <f t="array" aca="1" ref="R83" ca="1">_xll.BDP(P$81&amp;" "&amp;$C83&amp;" 25DC VOL LME Comdty","PX_LAST")/100</f>
        <v>0.25869417190551758</v>
      </c>
      <c r="S83" s="58" cm="1">
        <f t="array" aca="1" ref="S83" ca="1">_xll.BDP(P$81&amp;" "&amp;$C83&amp;" 10DC VOL LME Comdty","PX_LAST")/100</f>
        <v>0.2708933448791504</v>
      </c>
      <c r="T83" s="49">
        <f ca="1">Q83+S$80</f>
        <v>0.24940004348754882</v>
      </c>
      <c r="U83" s="50">
        <f ca="1">(R83-P83)*S$81</f>
        <v>0</v>
      </c>
      <c r="V83" s="50">
        <f ca="1">(S83-O83)*S$81</f>
        <v>0</v>
      </c>
      <c r="W83" s="50">
        <f ca="1">(AVERAGE(P83,R83)-Q83)*S$81</f>
        <v>0</v>
      </c>
      <c r="X83" s="69">
        <f ca="1">(AVERAGE(O83,S83)-Q83)*S$81</f>
        <v>0</v>
      </c>
      <c r="Y83" s="50"/>
      <c r="Z83" s="68" cm="1">
        <f t="array" aca="1" ref="Z83" ca="1">_xll.BDP(AA$81&amp;" "&amp;$C83&amp;" 10DP VOL LME Comdty","PX_LAST")/100</f>
        <v>0.26589328765869141</v>
      </c>
      <c r="AA83" s="58" cm="1">
        <f t="array" aca="1" ref="AA83" ca="1">_xll.BDP(AA$81&amp;" "&amp;$C83&amp;" 25DP VOL LME Comdty","PX_LAST")/100</f>
        <v>0.25209424972534178</v>
      </c>
      <c r="AB83" s="45" cm="1">
        <f t="array" aca="1" ref="AB83" ca="1">_xll.BDP(AA$81&amp;" "&amp;$C83&amp;" 50D VOL LME Comdty","PX_LAST")/100</f>
        <v>0.23850011825561523</v>
      </c>
      <c r="AC83" s="58" cm="1">
        <f t="array" aca="1" ref="AC83" ca="1">_xll.BDP(AA$81&amp;" "&amp;$C83&amp;" 25DC VOL LME Comdty","PX_LAST")/100</f>
        <v>0.24179761886596679</v>
      </c>
      <c r="AD83" s="58" cm="1">
        <f t="array" aca="1" ref="AD83" ca="1">_xll.BDP(AA$81&amp;" "&amp;$C83&amp;" 10DC VOL LME Comdty","PX_LAST")/100</f>
        <v>0.24659742355346681</v>
      </c>
      <c r="AE83" s="49">
        <f ca="1">AB83+AD$80</f>
        <v>0.24850011825561524</v>
      </c>
      <c r="AF83" s="50">
        <f ca="1">(AC83-AA83)*AD$81</f>
        <v>-1.0296630859374989E-2</v>
      </c>
      <c r="AG83" s="50">
        <f ca="1">(AD83-Z83)*AD$81</f>
        <v>-1.9295864105224603E-2</v>
      </c>
      <c r="AH83" s="50">
        <f ca="1">(AVERAGE(AA83,AC83)-AB83)*AD$81</f>
        <v>8.4458160400390503E-3</v>
      </c>
      <c r="AI83" s="69">
        <f ca="1">(AVERAGE(Z83,AD83)-AB83)*AD$81</f>
        <v>1.7745237350463849E-2</v>
      </c>
      <c r="AJ83" s="50"/>
      <c r="AK83" s="68" cm="1">
        <f t="array" aca="1" ref="AK83" ca="1">_xll.BDP(AL$81&amp;" "&amp;$C83&amp;" 10DP VOL LME Comdty","PX_LAST")/100</f>
        <v>0.2899957275390625</v>
      </c>
      <c r="AL83" s="58" cm="1">
        <f t="array" aca="1" ref="AL83" ca="1">_xll.BDP(AL$81&amp;" "&amp;$C83&amp;" 25DP VOL LME Comdty","PX_LAST")/100</f>
        <v>0.28209732055664061</v>
      </c>
      <c r="AM83" s="45" cm="1">
        <f t="array" aca="1" ref="AM83" ca="1">_xll.BDP(AL$81&amp;" "&amp;$C83&amp;" 50D VOL LME Comdty","PX_LAST")/100</f>
        <v>0.27909982681274415</v>
      </c>
      <c r="AN83" s="58" cm="1">
        <f t="array" aca="1" ref="AN83" ca="1">_xll.BDP(AL$81&amp;" "&amp;$C83&amp;" 25DC VOL LME Comdty","PX_LAST")/100</f>
        <v>0.29279279708862305</v>
      </c>
      <c r="AO83" s="58" cm="1">
        <f t="array" aca="1" ref="AO83" ca="1">_xll.BDP(AL$81&amp;" "&amp;$C83&amp;" 10DC VOL LME Comdty","PX_LAST")/100</f>
        <v>0.3074921989440918</v>
      </c>
      <c r="AP83" s="49">
        <f ca="1">AM83+AO$80</f>
        <v>0.28909982681274415</v>
      </c>
      <c r="AQ83" s="50">
        <f ca="1">(AN83-AL83)*AO$81</f>
        <v>1.069547653198244E-2</v>
      </c>
      <c r="AR83" s="50">
        <f ca="1">(AO83-AK83)*AO$81</f>
        <v>1.7496471405029301E-2</v>
      </c>
      <c r="AS83" s="50">
        <f ca="1">(AVERAGE(AL83,AN83)-AM83)*AO$81</f>
        <v>8.345232009887682E-3</v>
      </c>
      <c r="AT83" s="69">
        <f ca="1">(AVERAGE(AK83,AO83)-AM83)*AO$81</f>
        <v>1.9644136428833003E-2</v>
      </c>
    </row>
    <row r="84" spans="2:46" x14ac:dyDescent="0.25">
      <c r="B84" s="1" cm="1">
        <f t="array" aca="1" ref="B84" ca="1">_xll.QDates_SpecificWeekday(EDATE(B83,1),"Wednesday",1)</f>
        <v>44293</v>
      </c>
      <c r="C84" t="str">
        <f ca="1">UPPER(TEXT(B84,"MMMYY"))</f>
        <v>APR21</v>
      </c>
      <c r="D84" s="68" cm="1">
        <f t="array" aca="1" ref="D84" ca="1">_xll.BDP(E$81&amp;" "&amp;$C84&amp;" 10DP VOL LME Comdty","PX_LAST")/100</f>
        <v>0.17829502105712891</v>
      </c>
      <c r="E84" s="58" cm="1">
        <f t="array" aca="1" ref="E84" ca="1">_xll.BDP(E$81&amp;" "&amp;$C84&amp;" 25DP VOL LME Comdty","PX_LAST")/100</f>
        <v>0.16899785995483399</v>
      </c>
      <c r="F84" s="45" cm="1">
        <f t="array" aca="1" ref="F84" ca="1">_xll.BDP(E$81&amp;" "&amp;$C84&amp;" 50D VOL LME Comdty","PX_LAST")/100</f>
        <v>0.17009979248046875</v>
      </c>
      <c r="G84" s="58" cm="1">
        <f t="array" aca="1" ref="G84" ca="1">_xll.BDP(E$81&amp;" "&amp;$C84&amp;" 25DC VOL LME Comdty","PX_LAST")/100</f>
        <v>0.18109426498413086</v>
      </c>
      <c r="H84" s="58" cm="1">
        <f t="array" aca="1" ref="H84" ca="1">_xll.BDP(E$81&amp;" "&amp;$C84&amp;" 10DC VOL LME Comdty","PX_LAST")/100</f>
        <v>0.19289377212524414</v>
      </c>
      <c r="I84" s="49">
        <f t="shared" ref="I84:I124" ca="1" si="10">F84+H$80</f>
        <v>0.17009979248046875</v>
      </c>
      <c r="J84" s="50">
        <f t="shared" ref="J84:J124" ca="1" si="11">(G84-E84)*H$81</f>
        <v>1.2096405029296875E-2</v>
      </c>
      <c r="K84" s="50">
        <f t="shared" ref="K84:K124" ca="1" si="12">(H84-D84)*H$81</f>
        <v>1.4598751068115229E-2</v>
      </c>
      <c r="L84" s="50">
        <f t="shared" ref="L84:L124" ca="1" si="13">(AVERAGE(E84,G84)-F84)*H$81</f>
        <v>4.9462699890136796E-3</v>
      </c>
      <c r="M84" s="69">
        <f t="shared" ref="M84:M124" ca="1" si="14">(AVERAGE(D84,H84)-F84)*H$81</f>
        <v>1.5494604110717791E-2</v>
      </c>
      <c r="N84" s="50"/>
      <c r="O84" s="68" cm="1">
        <f t="array" aca="1" ref="O84" ca="1">_xll.BDP(P$81&amp;" "&amp;$C84&amp;" 10DP VOL LME Comdty","PX_LAST")/100</f>
        <v>0.27329355239868164</v>
      </c>
      <c r="P84" s="58" cm="1">
        <f t="array" aca="1" ref="P84" ca="1">_xll.BDP(P$81&amp;" "&amp;$C84&amp;" 25DP VOL LME Comdty","PX_LAST")/100</f>
        <v>0.25989492416381837</v>
      </c>
      <c r="Q84" s="45" cm="1">
        <f t="array" aca="1" ref="Q84" ca="1">_xll.BDP(P$81&amp;" "&amp;$C84&amp;" 50D VOL LME Comdty","PX_LAST")/100</f>
        <v>0.24810007095336914</v>
      </c>
      <c r="R84" s="58" cm="1">
        <f t="array" aca="1" ref="R84" ca="1">_xll.BDP(P$81&amp;" "&amp;$C84&amp;" 25DC VOL LME Comdty","PX_LAST")/100</f>
        <v>0.25699407577514649</v>
      </c>
      <c r="S84" s="58" cm="1">
        <f t="array" aca="1" ref="S84" ca="1">_xll.BDP(P$81&amp;" "&amp;$C84&amp;" 10DC VOL LME Comdty","PX_LAST")/100</f>
        <v>0.26869350433349609</v>
      </c>
      <c r="T84" s="49">
        <f t="shared" ref="T84:T124" ca="1" si="15">Q84+S$80</f>
        <v>0.24810007095336914</v>
      </c>
      <c r="U84" s="50">
        <f t="shared" ref="U84:U124" ca="1" si="16">(R84-P84)*S$81</f>
        <v>0</v>
      </c>
      <c r="V84" s="50">
        <f t="shared" ref="V84:V124" ca="1" si="17">(S84-O84)*S$81</f>
        <v>0</v>
      </c>
      <c r="W84" s="50">
        <f t="shared" ref="W84:W124" ca="1" si="18">(AVERAGE(P84,R84)-Q84)*S$81</f>
        <v>0</v>
      </c>
      <c r="X84" s="69">
        <f t="shared" ref="X84:X124" ca="1" si="19">(AVERAGE(O84,S84)-Q84)*S$81</f>
        <v>0</v>
      </c>
      <c r="Y84" s="50"/>
      <c r="Z84" s="68" cm="1">
        <f t="array" aca="1" ref="Z84" ca="1">_xll.BDP(AA$81&amp;" "&amp;$C84&amp;" 10DP VOL LME Comdty","PX_LAST")/100</f>
        <v>0.26489318847656251</v>
      </c>
      <c r="AA84" s="58" cm="1">
        <f t="array" aca="1" ref="AA84" ca="1">_xll.BDP(AA$81&amp;" "&amp;$C84&amp;" 25DP VOL LME Comdty","PX_LAST")/100</f>
        <v>0.25059444427490235</v>
      </c>
      <c r="AB84" s="45" cm="1">
        <f t="array" aca="1" ref="AB84" ca="1">_xll.BDP(AA$81&amp;" "&amp;$C84&amp;" 50D VOL LME Comdty","PX_LAST")/100</f>
        <v>0.23660022735595704</v>
      </c>
      <c r="AC84" s="58" cm="1">
        <f t="array" aca="1" ref="AC84" ca="1">_xll.BDP(AA$81&amp;" "&amp;$C84&amp;" 25DC VOL LME Comdty","PX_LAST")/100</f>
        <v>0.23869825363159181</v>
      </c>
      <c r="AD84" s="58" cm="1">
        <f t="array" aca="1" ref="AD84" ca="1">_xll.BDP(AA$81&amp;" "&amp;$C84&amp;" 10DC VOL LME Comdty","PX_LAST")/100</f>
        <v>0.24159820556640624</v>
      </c>
      <c r="AE84" s="49">
        <f t="shared" ref="AE84:AE109" ca="1" si="20">AB84+AD$80</f>
        <v>0.24660022735595705</v>
      </c>
      <c r="AF84" s="50">
        <f t="shared" ref="AF84:AF109" ca="1" si="21">(AC84-AA84)*AD$81</f>
        <v>-1.1896190643310545E-2</v>
      </c>
      <c r="AG84" s="50">
        <f t="shared" ref="AG84:AG109" ca="1" si="22">(AD84-Z84)*AD$81</f>
        <v>-2.3294982910156276E-2</v>
      </c>
      <c r="AH84" s="50">
        <f t="shared" ref="AH84:AH109" ca="1" si="23">(AVERAGE(AA84,AC84)-AB84)*AD$81</f>
        <v>8.0461215972900402E-3</v>
      </c>
      <c r="AI84" s="69">
        <f t="shared" ref="AI84:AI109" ca="1" si="24">(AVERAGE(Z84,AD84)-AB84)*AD$81</f>
        <v>1.6645469665527324E-2</v>
      </c>
      <c r="AJ84" s="50"/>
      <c r="AK84" s="68" cm="1">
        <f t="array" aca="1" ref="AK84" ca="1">_xll.BDP(AL$81&amp;" "&amp;$C84&amp;" 10DP VOL LME Comdty","PX_LAST")/100</f>
        <v>0.29839570999145509</v>
      </c>
      <c r="AL84" s="58" cm="1">
        <f t="array" aca="1" ref="AL84" ca="1">_xll.BDP(AL$81&amp;" "&amp;$C84&amp;" 25DP VOL LME Comdty","PX_LAST")/100</f>
        <v>0.29039749145507815</v>
      </c>
      <c r="AM84" s="45" cm="1">
        <f t="array" aca="1" ref="AM84" ca="1">_xll.BDP(AL$81&amp;" "&amp;$C84&amp;" 50D VOL LME Comdty","PX_LAST")/100</f>
        <v>0.28739971160888672</v>
      </c>
      <c r="AN84" s="58" cm="1">
        <f t="array" aca="1" ref="AN84" ca="1">_xll.BDP(AL$81&amp;" "&amp;$C84&amp;" 25DC VOL LME Comdty","PX_LAST")/100</f>
        <v>0.30049272537231447</v>
      </c>
      <c r="AO84" s="58" cm="1">
        <f t="array" aca="1" ref="AO84" ca="1">_xll.BDP(AL$81&amp;" "&amp;$C84&amp;" 10DC VOL LME Comdty","PX_LAST")/100</f>
        <v>0.31429246902465818</v>
      </c>
      <c r="AP84" s="49">
        <f t="shared" ref="AP84:AP109" ca="1" si="25">AM84+AO$80</f>
        <v>0.29739971160888673</v>
      </c>
      <c r="AQ84" s="50">
        <f t="shared" ref="AQ84:AQ109" ca="1" si="26">(AN84-AL84)*AO$81</f>
        <v>1.0095233917236324E-2</v>
      </c>
      <c r="AR84" s="50">
        <f t="shared" ref="AR84:AR109" ca="1" si="27">(AO84-AK84)*AO$81</f>
        <v>1.5896759033203089E-2</v>
      </c>
      <c r="AS84" s="50">
        <f t="shared" ref="AS84:AS109" ca="1" si="28">(AVERAGE(AL84,AN84)-AM84)*AO$81</f>
        <v>8.0453968048095903E-3</v>
      </c>
      <c r="AT84" s="69">
        <f t="shared" ref="AT84:AT109" ca="1" si="29">(AVERAGE(AK84,AO84)-AM84)*AO$81</f>
        <v>1.8944377899169917E-2</v>
      </c>
    </row>
    <row r="85" spans="2:46" x14ac:dyDescent="0.25">
      <c r="B85" s="1" cm="1">
        <f t="array" aca="1" ref="B85" ca="1">_xll.QDates_SpecificWeekday(EDATE(B84,1),"Wednesday",1)</f>
        <v>44321</v>
      </c>
      <c r="C85" t="str">
        <f t="shared" ref="C85:C124" ca="1" si="30">UPPER(TEXT(B85,"MMMYY"))</f>
        <v>MAY21</v>
      </c>
      <c r="D85" s="68" cm="1">
        <f t="array" aca="1" ref="D85" ca="1">_xll.BDP(E$81&amp;" "&amp;$C85&amp;" 10DP VOL LME Comdty","PX_LAST")/100</f>
        <v>0.17869514465332031</v>
      </c>
      <c r="E85" s="58" cm="1">
        <f t="array" aca="1" ref="E85" ca="1">_xll.BDP(E$81&amp;" "&amp;$C85&amp;" 25DP VOL LME Comdty","PX_LAST")/100</f>
        <v>0.17049760818481446</v>
      </c>
      <c r="F85" s="45" cm="1">
        <f t="array" aca="1" ref="F85" ca="1">_xll.BDP(E$81&amp;" "&amp;$C85&amp;" 50D VOL LME Comdty","PX_LAST")/100</f>
        <v>0.16869981765747069</v>
      </c>
      <c r="G85" s="58" cm="1">
        <f t="array" aca="1" ref="G85" ca="1">_xll.BDP(E$81&amp;" "&amp;$C85&amp;" 25DC VOL LME Comdty","PX_LAST")/100</f>
        <v>0.17919416427612306</v>
      </c>
      <c r="H85" s="58" cm="1">
        <f t="array" aca="1" ref="H85" ca="1">_xll.BDP(E$81&amp;" "&amp;$C85&amp;" 10DC VOL LME Comdty","PX_LAST")/100</f>
        <v>0.19139377593994142</v>
      </c>
      <c r="I85" s="49">
        <f t="shared" ca="1" si="10"/>
        <v>0.16869981765747069</v>
      </c>
      <c r="J85" s="50">
        <f t="shared" ca="1" si="11"/>
        <v>8.6965560913085938E-3</v>
      </c>
      <c r="K85" s="50">
        <f t="shared" ca="1" si="12"/>
        <v>1.2698631286621104E-2</v>
      </c>
      <c r="L85" s="50">
        <f t="shared" ca="1" si="13"/>
        <v>6.1460685729980702E-3</v>
      </c>
      <c r="M85" s="69">
        <f t="shared" ca="1" si="14"/>
        <v>1.6344642639160162E-2</v>
      </c>
      <c r="N85" s="50"/>
      <c r="O85" s="68" cm="1">
        <f t="array" aca="1" ref="O85" ca="1">_xll.BDP(P$81&amp;" "&amp;$C85&amp;" 10DP VOL LME Comdty","PX_LAST")/100</f>
        <v>0.27389337539672853</v>
      </c>
      <c r="P85" s="58" cm="1">
        <f t="array" aca="1" ref="P85" ca="1">_xll.BDP(P$81&amp;" "&amp;$C85&amp;" 25DP VOL LME Comdty","PX_LAST")/100</f>
        <v>0.2598948287963867</v>
      </c>
      <c r="Q85" s="45" cm="1">
        <f t="array" aca="1" ref="Q85" ca="1">_xll.BDP(P$81&amp;" "&amp;$C85&amp;" 50D VOL LME Comdty","PX_LAST")/100</f>
        <v>0.24710012435913087</v>
      </c>
      <c r="R85" s="58" cm="1">
        <f t="array" aca="1" ref="R85" ca="1">_xll.BDP(P$81&amp;" "&amp;$C85&amp;" 25DC VOL LME Comdty","PX_LAST")/100</f>
        <v>0.25539409637451171</v>
      </c>
      <c r="S85" s="58" cm="1">
        <f t="array" aca="1" ref="S85" ca="1">_xll.BDP(P$81&amp;" "&amp;$C85&amp;" 10DC VOL LME Comdty","PX_LAST")/100</f>
        <v>0.2667936134338379</v>
      </c>
      <c r="T85" s="49">
        <f t="shared" ca="1" si="15"/>
        <v>0.24710012435913087</v>
      </c>
      <c r="U85" s="50">
        <f t="shared" ca="1" si="16"/>
        <v>0</v>
      </c>
      <c r="V85" s="50">
        <f t="shared" ca="1" si="17"/>
        <v>0</v>
      </c>
      <c r="W85" s="50">
        <f t="shared" ca="1" si="18"/>
        <v>0</v>
      </c>
      <c r="X85" s="69">
        <f t="shared" ca="1" si="19"/>
        <v>0</v>
      </c>
      <c r="Y85" s="50"/>
      <c r="Z85" s="68" cm="1">
        <f t="array" aca="1" ref="Z85" ca="1">_xll.BDP(AA$81&amp;" "&amp;$C85&amp;" 10DP VOL LME Comdty","PX_LAST")/100</f>
        <v>0.26519300460815431</v>
      </c>
      <c r="AA85" s="58" cm="1">
        <f t="array" aca="1" ref="AA85" ca="1">_xll.BDP(AA$81&amp;" "&amp;$C85&amp;" 25DP VOL LME Comdty","PX_LAST")/100</f>
        <v>0.25019445419311526</v>
      </c>
      <c r="AB85" s="45" cm="1">
        <f t="array" aca="1" ref="AB85" ca="1">_xll.BDP(AA$81&amp;" "&amp;$C85&amp;" 50D VOL LME Comdty","PX_LAST")/100</f>
        <v>0.23570030212402343</v>
      </c>
      <c r="AC85" s="58" cm="1">
        <f t="array" aca="1" ref="AC85" ca="1">_xll.BDP(AA$81&amp;" "&amp;$C85&amp;" 25DC VOL LME Comdty","PX_LAST")/100</f>
        <v>0.23679861068725586</v>
      </c>
      <c r="AD85" s="58" cm="1">
        <f t="array" aca="1" ref="AD85" ca="1">_xll.BDP(AA$81&amp;" "&amp;$C85&amp;" 10DC VOL LME Comdty","PX_LAST")/100</f>
        <v>0.23919858932495117</v>
      </c>
      <c r="AE85" s="49">
        <f t="shared" ca="1" si="20"/>
        <v>0.24570030212402344</v>
      </c>
      <c r="AF85" s="50">
        <f t="shared" ca="1" si="21"/>
        <v>-1.3395843505859401E-2</v>
      </c>
      <c r="AG85" s="50">
        <f t="shared" ca="1" si="22"/>
        <v>-2.5994415283203148E-2</v>
      </c>
      <c r="AH85" s="50">
        <f t="shared" ca="1" si="23"/>
        <v>7.7962303161621116E-3</v>
      </c>
      <c r="AI85" s="69">
        <f t="shared" ca="1" si="24"/>
        <v>1.6495494842529324E-2</v>
      </c>
      <c r="AJ85" s="50"/>
      <c r="AK85" s="68" cm="1">
        <f t="array" aca="1" ref="AK85" ca="1">_xll.BDP(AL$81&amp;" "&amp;$C85&amp;" 10DP VOL LME Comdty","PX_LAST")/100</f>
        <v>0.30179565429687499</v>
      </c>
      <c r="AL85" s="58" cm="1">
        <f t="array" aca="1" ref="AL85" ca="1">_xll.BDP(AL$81&amp;" "&amp;$C85&amp;" 25DP VOL LME Comdty","PX_LAST")/100</f>
        <v>0.29359756469726561</v>
      </c>
      <c r="AM85" s="45" cm="1">
        <f t="array" aca="1" ref="AM85" ca="1">_xll.BDP(AL$81&amp;" "&amp;$C85&amp;" 50D VOL LME Comdty","PX_LAST")/100</f>
        <v>0.29059963226318358</v>
      </c>
      <c r="AN85" s="58" cm="1">
        <f t="array" aca="1" ref="AN85" ca="1">_xll.BDP(AL$81&amp;" "&amp;$C85&amp;" 25DC VOL LME Comdty","PX_LAST")/100</f>
        <v>0.30359258651733401</v>
      </c>
      <c r="AO85" s="58" cm="1">
        <f t="array" aca="1" ref="AO85" ca="1">_xll.BDP(AL$81&amp;" "&amp;$C85&amp;" 10DC VOL LME Comdty","PX_LAST")/100</f>
        <v>0.3170925712585449</v>
      </c>
      <c r="AP85" s="49">
        <f t="shared" ca="1" si="25"/>
        <v>0.30059963226318359</v>
      </c>
      <c r="AQ85" s="50">
        <f t="shared" ca="1" si="26"/>
        <v>9.9950218200683949E-3</v>
      </c>
      <c r="AR85" s="50">
        <f t="shared" ca="1" si="27"/>
        <v>1.5296916961669904E-2</v>
      </c>
      <c r="AS85" s="50">
        <f t="shared" ca="1" si="28"/>
        <v>7.9954433441162265E-3</v>
      </c>
      <c r="AT85" s="69">
        <f t="shared" ca="1" si="29"/>
        <v>1.8844480514526363E-2</v>
      </c>
    </row>
    <row r="86" spans="2:46" x14ac:dyDescent="0.25">
      <c r="B86" s="1" cm="1">
        <f t="array" aca="1" ref="B86" ca="1">_xll.QDates_SpecificWeekday(EDATE(B85,1),"Wednesday",1)</f>
        <v>44349</v>
      </c>
      <c r="C86" t="str">
        <f t="shared" ca="1" si="30"/>
        <v>JUN21</v>
      </c>
      <c r="D86" s="68" cm="1">
        <f t="array" aca="1" ref="D86" ca="1">_xll.BDP(E$81&amp;" "&amp;$C86&amp;" 10DP VOL LME Comdty","PX_LAST")/100</f>
        <v>0.18029499053955078</v>
      </c>
      <c r="E86" s="58" cm="1">
        <f t="array" aca="1" ref="E86" ca="1">_xll.BDP(E$81&amp;" "&amp;$C86&amp;" 25DP VOL LME Comdty","PX_LAST")/100</f>
        <v>0.17119733810424806</v>
      </c>
      <c r="F86" s="45" cm="1">
        <f t="array" aca="1" ref="F86" ca="1">_xll.BDP(E$81&amp;" "&amp;$C86&amp;" 50D VOL LME Comdty","PX_LAST")/100</f>
        <v>0.16839982986450194</v>
      </c>
      <c r="G86" s="58" cm="1">
        <f t="array" aca="1" ref="G86" ca="1">_xll.BDP(E$81&amp;" "&amp;$C86&amp;" 25DC VOL LME Comdty","PX_LAST")/100</f>
        <v>0.17759439468383789</v>
      </c>
      <c r="H86" s="58" cm="1">
        <f t="array" aca="1" ref="H86" ca="1">_xll.BDP(E$81&amp;" "&amp;$C86&amp;" 10DC VOL LME Comdty","PX_LAST")/100</f>
        <v>0.18919389724731445</v>
      </c>
      <c r="I86" s="49">
        <f t="shared" ca="1" si="10"/>
        <v>0.16839982986450194</v>
      </c>
      <c r="J86" s="50">
        <f t="shared" ca="1" si="11"/>
        <v>6.3970565795898326E-3</v>
      </c>
      <c r="K86" s="50">
        <f t="shared" ca="1" si="12"/>
        <v>8.8989067077636652E-3</v>
      </c>
      <c r="L86" s="50">
        <f t="shared" ca="1" si="13"/>
        <v>5.9960365295410323E-3</v>
      </c>
      <c r="M86" s="69">
        <f t="shared" ca="1" si="14"/>
        <v>1.6344614028930671E-2</v>
      </c>
      <c r="N86" s="50"/>
      <c r="O86" s="68" cm="1">
        <f t="array" aca="1" ref="O86" ca="1">_xll.BDP(P$81&amp;" "&amp;$C86&amp;" 10DP VOL LME Comdty","PX_LAST")/100</f>
        <v>0.27439321517944337</v>
      </c>
      <c r="P86" s="58" cm="1">
        <f t="array" aca="1" ref="P86" ca="1">_xll.BDP(P$81&amp;" "&amp;$C86&amp;" 25DP VOL LME Comdty","PX_LAST")/100</f>
        <v>0.25969472885131833</v>
      </c>
      <c r="Q86" s="45" cm="1">
        <f t="array" aca="1" ref="Q86" ca="1">_xll.BDP(P$81&amp;" "&amp;$C86&amp;" 50D VOL LME Comdty","PX_LAST")/100</f>
        <v>0.24570018768310548</v>
      </c>
      <c r="R86" s="58" cm="1">
        <f t="array" aca="1" ref="R86" ca="1">_xll.BDP(P$81&amp;" "&amp;$C86&amp;" 25DC VOL LME Comdty","PX_LAST")/100</f>
        <v>0.25409408569335939</v>
      </c>
      <c r="S86" s="58" cm="1">
        <f t="array" aca="1" ref="S86" ca="1">_xll.BDP(P$81&amp;" "&amp;$C86&amp;" 10DC VOL LME Comdty","PX_LAST")/100</f>
        <v>0.26489366531372072</v>
      </c>
      <c r="T86" s="49">
        <f t="shared" ca="1" si="15"/>
        <v>0.24570018768310548</v>
      </c>
      <c r="U86" s="50">
        <f t="shared" ca="1" si="16"/>
        <v>0</v>
      </c>
      <c r="V86" s="50">
        <f t="shared" ca="1" si="17"/>
        <v>0</v>
      </c>
      <c r="W86" s="50">
        <f t="shared" ca="1" si="18"/>
        <v>0</v>
      </c>
      <c r="X86" s="69">
        <f t="shared" ca="1" si="19"/>
        <v>0</v>
      </c>
      <c r="Y86" s="50"/>
      <c r="Z86" s="68" cm="1">
        <f t="array" aca="1" ref="Z86" ca="1">_xll.BDP(AA$81&amp;" "&amp;$C86&amp;" 10DP VOL LME Comdty","PX_LAST")/100</f>
        <v>0.26369293212890627</v>
      </c>
      <c r="AA86" s="58" cm="1">
        <f t="array" aca="1" ref="AA86" ca="1">_xll.BDP(AA$81&amp;" "&amp;$C86&amp;" 25DP VOL LME Comdty","PX_LAST")/100</f>
        <v>0.24839454650878906</v>
      </c>
      <c r="AB86" s="45" cm="1">
        <f t="array" aca="1" ref="AB86" ca="1">_xll.BDP(AA$81&amp;" "&amp;$C86&amp;" 50D VOL LME Comdty","PX_LAST")/100</f>
        <v>0.23360036849975585</v>
      </c>
      <c r="AC86" s="58" cm="1">
        <f t="array" aca="1" ref="AC86" ca="1">_xll.BDP(AA$81&amp;" "&amp;$C86&amp;" 25DC VOL LME Comdty","PX_LAST")/100</f>
        <v>0.23439888000488282</v>
      </c>
      <c r="AD86" s="58" cm="1">
        <f t="array" aca="1" ref="AD86" ca="1">_xll.BDP(AA$81&amp;" "&amp;$C86&amp;" 10DC VOL LME Comdty","PX_LAST")/100</f>
        <v>0.23599891662597655</v>
      </c>
      <c r="AE86" s="49">
        <f t="shared" ca="1" si="20"/>
        <v>0.24360036849975586</v>
      </c>
      <c r="AF86" s="50">
        <f t="shared" ca="1" si="21"/>
        <v>-1.399566650390624E-2</v>
      </c>
      <c r="AG86" s="50">
        <f t="shared" ca="1" si="22"/>
        <v>-2.7694015502929714E-2</v>
      </c>
      <c r="AH86" s="50">
        <f t="shared" ca="1" si="23"/>
        <v>7.7963447570800759E-3</v>
      </c>
      <c r="AI86" s="69">
        <f t="shared" ca="1" si="24"/>
        <v>1.6245555877685558E-2</v>
      </c>
      <c r="AJ86" s="50"/>
      <c r="AK86" s="68" cm="1">
        <f t="array" aca="1" ref="AK86" ca="1">_xll.BDP(AL$81&amp;" "&amp;$C86&amp;" 10DP VOL LME Comdty","PX_LAST")/100</f>
        <v>0.30519554138183591</v>
      </c>
      <c r="AL86" s="58" cm="1">
        <f t="array" aca="1" ref="AL86" ca="1">_xll.BDP(AL$81&amp;" "&amp;$C86&amp;" 25DP VOL LME Comdty","PX_LAST")/100</f>
        <v>0.29649755477905271</v>
      </c>
      <c r="AM86" s="45" cm="1">
        <f t="array" aca="1" ref="AM86" ca="1">_xll.BDP(AL$81&amp;" "&amp;$C86&amp;" 50D VOL LME Comdty","PX_LAST")/100</f>
        <v>0.29309959411621095</v>
      </c>
      <c r="AN86" s="58" cm="1">
        <f t="array" aca="1" ref="AN86" ca="1">_xll.BDP(AL$81&amp;" "&amp;$C86&amp;" 25DC VOL LME Comdty","PX_LAST")/100</f>
        <v>0.30589252471923828</v>
      </c>
      <c r="AO86" s="58" cm="1">
        <f t="array" aca="1" ref="AO86" ca="1">_xll.BDP(AL$81&amp;" "&amp;$C86&amp;" 10DC VOL LME Comdty","PX_LAST")/100</f>
        <v>0.31899265289306639</v>
      </c>
      <c r="AP86" s="49">
        <f t="shared" ca="1" si="25"/>
        <v>0.30309959411621096</v>
      </c>
      <c r="AQ86" s="50">
        <f t="shared" ca="1" si="26"/>
        <v>9.3949699401855713E-3</v>
      </c>
      <c r="AR86" s="50">
        <f t="shared" ca="1" si="27"/>
        <v>1.3797111511230475E-2</v>
      </c>
      <c r="AS86" s="50">
        <f t="shared" ca="1" si="28"/>
        <v>8.0954456329345725E-3</v>
      </c>
      <c r="AT86" s="69">
        <f t="shared" ca="1" si="29"/>
        <v>1.8994503021240228E-2</v>
      </c>
    </row>
    <row r="87" spans="2:46" x14ac:dyDescent="0.25">
      <c r="B87" s="1" cm="1">
        <f t="array" aca="1" ref="B87" ca="1">_xll.QDates_SpecificWeekday(EDATE(B86,1),"Wednesday",1)</f>
        <v>44384</v>
      </c>
      <c r="C87" t="str">
        <f t="shared" ca="1" si="30"/>
        <v>JUL21</v>
      </c>
      <c r="D87" s="68" cm="1">
        <f t="array" aca="1" ref="D87" ca="1">_xll.BDP(E$81&amp;" "&amp;$C87&amp;" 10DP VOL LME Comdty","PX_LAST")/100</f>
        <v>0.18229457855224609</v>
      </c>
      <c r="E87" s="58" cm="1">
        <f t="array" aca="1" ref="E87" ca="1">_xll.BDP(E$81&amp;" "&amp;$C87&amp;" 25DP VOL LME Comdty","PX_LAST")/100</f>
        <v>0.17209693908691406</v>
      </c>
      <c r="F87" s="45" cm="1">
        <f t="array" aca="1" ref="F87" ca="1">_xll.BDP(E$81&amp;" "&amp;$C87&amp;" 50D VOL LME Comdty","PX_LAST")/100</f>
        <v>0.16759988784790039</v>
      </c>
      <c r="G87" s="58" cm="1">
        <f t="array" aca="1" ref="G87" ca="1">_xll.BDP(E$81&amp;" "&amp;$C87&amp;" 25DC VOL LME Comdty","PX_LAST")/100</f>
        <v>0.17589462280273438</v>
      </c>
      <c r="H87" s="58" cm="1">
        <f t="array" aca="1" ref="H87" ca="1">_xll.BDP(E$81&amp;" "&amp;$C87&amp;" 10DC VOL LME Comdty","PX_LAST")/100</f>
        <v>0.18699411392211915</v>
      </c>
      <c r="I87" s="49">
        <f t="shared" ca="1" si="10"/>
        <v>0.16759988784790039</v>
      </c>
      <c r="J87" s="50">
        <f t="shared" ca="1" si="11"/>
        <v>3.7976837158203158E-3</v>
      </c>
      <c r="K87" s="50">
        <f t="shared" ca="1" si="12"/>
        <v>4.6995353698730535E-3</v>
      </c>
      <c r="L87" s="50">
        <f t="shared" ca="1" si="13"/>
        <v>6.3958930969238159E-3</v>
      </c>
      <c r="M87" s="69">
        <f t="shared" ca="1" si="14"/>
        <v>1.704445838928223E-2</v>
      </c>
      <c r="N87" s="50"/>
      <c r="O87" s="68" cm="1">
        <f t="array" aca="1" ref="O87" ca="1">_xll.BDP(P$81&amp;" "&amp;$C87&amp;" 10DP VOL LME Comdty","PX_LAST")/100</f>
        <v>0.27519304275512696</v>
      </c>
      <c r="P87" s="58" cm="1">
        <f t="array" aca="1" ref="P87" ca="1">_xll.BDP(P$81&amp;" "&amp;$C87&amp;" 25DP VOL LME Comdty","PX_LAST")/100</f>
        <v>0.25989473342895508</v>
      </c>
      <c r="Q87" s="45" cm="1">
        <f t="array" aca="1" ref="Q87" ca="1">_xll.BDP(P$81&amp;" "&amp;$C87&amp;" 50D VOL LME Comdty","PX_LAST")/100</f>
        <v>0.24540025711059571</v>
      </c>
      <c r="R87" s="58" cm="1">
        <f t="array" aca="1" ref="R87" ca="1">_xll.BDP(P$81&amp;" "&amp;$C87&amp;" 25DC VOL LME Comdty","PX_LAST")/100</f>
        <v>0.25369388580322266</v>
      </c>
      <c r="S87" s="58" cm="1">
        <f t="array" aca="1" ref="S87" ca="1">_xll.BDP(P$81&amp;" "&amp;$C87&amp;" 10DC VOL LME Comdty","PX_LAST")/100</f>
        <v>0.26479358673095704</v>
      </c>
      <c r="T87" s="49">
        <f t="shared" ca="1" si="15"/>
        <v>0.24540025711059571</v>
      </c>
      <c r="U87" s="50">
        <f t="shared" ca="1" si="16"/>
        <v>0</v>
      </c>
      <c r="V87" s="50">
        <f t="shared" ca="1" si="17"/>
        <v>0</v>
      </c>
      <c r="W87" s="50">
        <f t="shared" ca="1" si="18"/>
        <v>0</v>
      </c>
      <c r="X87" s="69">
        <f t="shared" ca="1" si="19"/>
        <v>0</v>
      </c>
      <c r="Y87" s="50"/>
      <c r="Z87" s="68" cm="1">
        <f t="array" aca="1" ref="Z87" ca="1">_xll.BDP(AA$81&amp;" "&amp;$C87&amp;" 10DP VOL LME Comdty","PX_LAST")/100</f>
        <v>0.26159278869628905</v>
      </c>
      <c r="AA87" s="58" cm="1">
        <f t="array" aca="1" ref="AA87" ca="1">_xll.BDP(AA$81&amp;" "&amp;$C87&amp;" 25DP VOL LME Comdty","PX_LAST")/100</f>
        <v>0.2458946418762207</v>
      </c>
      <c r="AB87" s="45" cm="1">
        <f t="array" aca="1" ref="AB87" ca="1">_xll.BDP(AA$81&amp;" "&amp;$C87&amp;" 50D VOL LME Comdty","PX_LAST")/100</f>
        <v>0.23100042343139648</v>
      </c>
      <c r="AC87" s="58" cm="1">
        <f t="array" aca="1" ref="AC87" ca="1">_xll.BDP(AA$81&amp;" "&amp;$C87&amp;" 25DC VOL LME Comdty","PX_LAST")/100</f>
        <v>0.23129911422729493</v>
      </c>
      <c r="AD87" s="58" cm="1">
        <f t="array" aca="1" ref="AD87" ca="1">_xll.BDP(AA$81&amp;" "&amp;$C87&amp;" 10DC VOL LME Comdty","PX_LAST")/100</f>
        <v>0.23269918441772461</v>
      </c>
      <c r="AE87" s="49">
        <f t="shared" ca="1" si="20"/>
        <v>0.24100042343139649</v>
      </c>
      <c r="AF87" s="50">
        <f t="shared" ca="1" si="21"/>
        <v>-1.4595527648925771E-2</v>
      </c>
      <c r="AG87" s="50">
        <f t="shared" ca="1" si="22"/>
        <v>-2.8893604278564439E-2</v>
      </c>
      <c r="AH87" s="50">
        <f t="shared" ca="1" si="23"/>
        <v>7.5964546203613481E-3</v>
      </c>
      <c r="AI87" s="69">
        <f t="shared" ca="1" si="24"/>
        <v>1.6145563125610329E-2</v>
      </c>
      <c r="AJ87" s="50"/>
      <c r="AK87" s="68" cm="1">
        <f t="array" aca="1" ref="AK87" ca="1">_xll.BDP(AL$81&amp;" "&amp;$C87&amp;" 10DP VOL LME Comdty","PX_LAST")/100</f>
        <v>0.30749555587768557</v>
      </c>
      <c r="AL87" s="58" cm="1">
        <f t="array" aca="1" ref="AL87" ca="1">_xll.BDP(AL$81&amp;" "&amp;$C87&amp;" 25DP VOL LME Comdty","PX_LAST")/100</f>
        <v>0.29869764328002929</v>
      </c>
      <c r="AM87" s="45" cm="1">
        <f t="array" aca="1" ref="AM87" ca="1">_xll.BDP(AL$81&amp;" "&amp;$C87&amp;" 50D VOL LME Comdty","PX_LAST")/100</f>
        <v>0.29499958038330076</v>
      </c>
      <c r="AN87" s="58" cm="1">
        <f t="array" aca="1" ref="AN87" ca="1">_xll.BDP(AL$81&amp;" "&amp;$C87&amp;" 25DC VOL LME Comdty","PX_LAST")/100</f>
        <v>0.30689264297485352</v>
      </c>
      <c r="AO87" s="58" cm="1">
        <f t="array" aca="1" ref="AO87" ca="1">_xll.BDP(AL$81&amp;" "&amp;$C87&amp;" 10DC VOL LME Comdty","PX_LAST")/100</f>
        <v>0.31949277877807619</v>
      </c>
      <c r="AP87" s="49">
        <f t="shared" ca="1" si="25"/>
        <v>0.30499958038330077</v>
      </c>
      <c r="AQ87" s="50">
        <f t="shared" ca="1" si="26"/>
        <v>8.1949996948242343E-3</v>
      </c>
      <c r="AR87" s="50">
        <f t="shared" ca="1" si="27"/>
        <v>1.1997222900390625E-2</v>
      </c>
      <c r="AS87" s="50">
        <f t="shared" ca="1" si="28"/>
        <v>7.7955627441406161E-3</v>
      </c>
      <c r="AT87" s="69">
        <f t="shared" ca="1" si="29"/>
        <v>1.8494586944580116E-2</v>
      </c>
    </row>
    <row r="88" spans="2:46" x14ac:dyDescent="0.25">
      <c r="B88" s="1" cm="1">
        <f t="array" aca="1" ref="B88" ca="1">_xll.QDates_SpecificWeekday(EDATE(B87,1),"Wednesday",1)</f>
        <v>44412</v>
      </c>
      <c r="C88" t="str">
        <f t="shared" ca="1" si="30"/>
        <v>AUG21</v>
      </c>
      <c r="D88" s="68" cm="1">
        <f t="array" aca="1" ref="D88" ca="1">_xll.BDP(E$81&amp;" "&amp;$C88&amp;" 10DP VOL LME Comdty","PX_LAST")/100</f>
        <v>0.1839940643310547</v>
      </c>
      <c r="E88" s="58" cm="1">
        <f t="array" aca="1" ref="E88" ca="1">_xll.BDP(E$81&amp;" "&amp;$C88&amp;" 25DP VOL LME Comdty","PX_LAST")/100</f>
        <v>0.17289663314819337</v>
      </c>
      <c r="F88" s="45" cm="1">
        <f t="array" aca="1" ref="F88" ca="1">_xll.BDP(E$81&amp;" "&amp;$C88&amp;" 50D VOL LME Comdty","PX_LAST")/100</f>
        <v>0.16739992141723634</v>
      </c>
      <c r="G88" s="58" cm="1">
        <f t="array" aca="1" ref="G88" ca="1">_xll.BDP(E$81&amp;" "&amp;$C88&amp;" 25DC VOL LME Comdty","PX_LAST")/100</f>
        <v>0.17489498138427734</v>
      </c>
      <c r="H88" s="58" cm="1">
        <f t="array" aca="1" ref="H88" ca="1">_xll.BDP(E$81&amp;" "&amp;$C88&amp;" 10DC VOL LME Comdty","PX_LAST")/100</f>
        <v>0.18569452285766602</v>
      </c>
      <c r="I88" s="49">
        <f t="shared" ca="1" si="10"/>
        <v>0.16739992141723634</v>
      </c>
      <c r="J88" s="50">
        <f t="shared" ca="1" si="11"/>
        <v>1.9983482360839688E-3</v>
      </c>
      <c r="K88" s="50">
        <f t="shared" ca="1" si="12"/>
        <v>1.7004585266113259E-3</v>
      </c>
      <c r="L88" s="50">
        <f t="shared" ca="1" si="13"/>
        <v>6.4958858489990168E-3</v>
      </c>
      <c r="M88" s="69">
        <f t="shared" ca="1" si="14"/>
        <v>1.7444372177124023E-2</v>
      </c>
      <c r="N88" s="50"/>
      <c r="O88" s="68" cm="1">
        <f t="array" aca="1" ref="O88" ca="1">_xll.BDP(P$81&amp;" "&amp;$C88&amp;" 10DP VOL LME Comdty","PX_LAST")/100</f>
        <v>0.27619289398193358</v>
      </c>
      <c r="P88" s="58" cm="1">
        <f t="array" aca="1" ref="P88" ca="1">_xll.BDP(P$81&amp;" "&amp;$C88&amp;" 25DP VOL LME Comdty","PX_LAST")/100</f>
        <v>0.26029468536376954</v>
      </c>
      <c r="Q88" s="45" cm="1">
        <f t="array" aca="1" ref="Q88" ca="1">_xll.BDP(P$81&amp;" "&amp;$C88&amp;" 50D VOL LME Comdty","PX_LAST")/100</f>
        <v>0.24550029754638672</v>
      </c>
      <c r="R88" s="58" cm="1">
        <f t="array" aca="1" ref="R88" ca="1">_xll.BDP(P$81&amp;" "&amp;$C88&amp;" 25DC VOL LME Comdty","PX_LAST")/100</f>
        <v>0.25309373855590822</v>
      </c>
      <c r="S88" s="58" cm="1">
        <f t="array" aca="1" ref="S88" ca="1">_xll.BDP(P$81&amp;" "&amp;$C88&amp;" 10DC VOL LME Comdty","PX_LAST")/100</f>
        <v>0.26469345092773439</v>
      </c>
      <c r="T88" s="49">
        <f t="shared" ca="1" si="15"/>
        <v>0.24550029754638672</v>
      </c>
      <c r="U88" s="50">
        <f t="shared" ca="1" si="16"/>
        <v>0</v>
      </c>
      <c r="V88" s="50">
        <f t="shared" ca="1" si="17"/>
        <v>0</v>
      </c>
      <c r="W88" s="50">
        <f t="shared" ca="1" si="18"/>
        <v>0</v>
      </c>
      <c r="X88" s="69">
        <f t="shared" ca="1" si="19"/>
        <v>0</v>
      </c>
      <c r="Y88" s="50"/>
      <c r="Z88" s="68" cm="1">
        <f t="array" aca="1" ref="Z88" ca="1">_xll.BDP(AA$81&amp;" "&amp;$C88&amp;" 10DP VOL LME Comdty","PX_LAST")/100</f>
        <v>0.25929267883300783</v>
      </c>
      <c r="AA88" s="58" cm="1">
        <f t="array" aca="1" ref="AA88" ca="1">_xll.BDP(AA$81&amp;" "&amp;$C88&amp;" 25DP VOL LME Comdty","PX_LAST")/100</f>
        <v>0.24319471359252931</v>
      </c>
      <c r="AB88" s="45" cm="1">
        <f t="array" aca="1" ref="AB88" ca="1">_xll.BDP(AA$81&amp;" "&amp;$C88&amp;" 50D VOL LME Comdty","PX_LAST")/100</f>
        <v>0.22830045700073243</v>
      </c>
      <c r="AC88" s="58" cm="1">
        <f t="array" aca="1" ref="AC88" ca="1">_xll.BDP(AA$81&amp;" "&amp;$C88&amp;" 25DC VOL LME Comdty","PX_LAST")/100</f>
        <v>0.2283993148803711</v>
      </c>
      <c r="AD88" s="58" cm="1">
        <f t="array" aca="1" ref="AD88" ca="1">_xll.BDP(AA$81&amp;" "&amp;$C88&amp;" 10DC VOL LME Comdty","PX_LAST")/100</f>
        <v>0.22909938812255859</v>
      </c>
      <c r="AE88" s="49">
        <f t="shared" ca="1" si="20"/>
        <v>0.23830045700073244</v>
      </c>
      <c r="AF88" s="50">
        <f t="shared" ca="1" si="21"/>
        <v>-1.4795398712158209E-2</v>
      </c>
      <c r="AG88" s="50">
        <f t="shared" ca="1" si="22"/>
        <v>-3.0193290710449239E-2</v>
      </c>
      <c r="AH88" s="50">
        <f t="shared" ca="1" si="23"/>
        <v>7.4965572357177934E-3</v>
      </c>
      <c r="AI88" s="69">
        <f t="shared" ca="1" si="24"/>
        <v>1.5895576477050782E-2</v>
      </c>
      <c r="AJ88" s="50"/>
      <c r="AK88" s="68" cm="1">
        <f t="array" aca="1" ref="AK88" ca="1">_xll.BDP(AL$81&amp;" "&amp;$C88&amp;" 10DP VOL LME Comdty","PX_LAST")/100</f>
        <v>0.3080955696105957</v>
      </c>
      <c r="AL88" s="58" cm="1">
        <f t="array" aca="1" ref="AL88" ca="1">_xll.BDP(AL$81&amp;" "&amp;$C88&amp;" 25DP VOL LME Comdty","PX_LAST")/100</f>
        <v>0.29919771194458006</v>
      </c>
      <c r="AM88" s="45" cm="1">
        <f t="array" aca="1" ref="AM88" ca="1">_xll.BDP(AL$81&amp;" "&amp;$C88&amp;" 50D VOL LME Comdty","PX_LAST")/100</f>
        <v>0.29549955368041991</v>
      </c>
      <c r="AN88" s="58" cm="1">
        <f t="array" aca="1" ref="AN88" ca="1">_xll.BDP(AL$81&amp;" "&amp;$C88&amp;" 25DC VOL LME Comdty","PX_LAST")/100</f>
        <v>0.30749250411987306</v>
      </c>
      <c r="AO88" s="58" cm="1">
        <f t="array" aca="1" ref="AO88" ca="1">_xll.BDP(AL$81&amp;" "&amp;$C88&amp;" 10DC VOL LME Comdty","PX_LAST")/100</f>
        <v>0.31999280929565432</v>
      </c>
      <c r="AP88" s="49">
        <f t="shared" ca="1" si="25"/>
        <v>0.30549955368041992</v>
      </c>
      <c r="AQ88" s="50">
        <f t="shared" ca="1" si="26"/>
        <v>8.2947921752929976E-3</v>
      </c>
      <c r="AR88" s="50">
        <f t="shared" ca="1" si="27"/>
        <v>1.1897239685058625E-2</v>
      </c>
      <c r="AS88" s="50">
        <f t="shared" ca="1" si="28"/>
        <v>7.8455543518066717E-3</v>
      </c>
      <c r="AT88" s="69">
        <f t="shared" ca="1" si="29"/>
        <v>1.8544635772705098E-2</v>
      </c>
    </row>
    <row r="89" spans="2:46" x14ac:dyDescent="0.25">
      <c r="B89" s="1" cm="1">
        <f t="array" aca="1" ref="B89" ca="1">_xll.QDates_SpecificWeekday(EDATE(B88,1),"Wednesday",1)</f>
        <v>44440</v>
      </c>
      <c r="C89" t="str">
        <f t="shared" ca="1" si="30"/>
        <v>SEP21</v>
      </c>
      <c r="D89" s="68" cm="1">
        <f t="array" aca="1" ref="D89" ca="1">_xll.BDP(E$81&amp;" "&amp;$C89&amp;" 10DP VOL LME Comdty","PX_LAST")/100</f>
        <v>0.18859386444091797</v>
      </c>
      <c r="E89" s="58" cm="1">
        <f t="array" aca="1" ref="E89" ca="1">_xll.BDP(E$81&amp;" "&amp;$C89&amp;" 25DP VOL LME Comdty","PX_LAST")/100</f>
        <v>0.17559585571289063</v>
      </c>
      <c r="F89" s="45" cm="1">
        <f t="array" aca="1" ref="F89" ca="1">_xll.BDP(E$81&amp;" "&amp;$C89&amp;" 50D VOL LME Comdty","PX_LAST")/100</f>
        <v>0.16680007934570312</v>
      </c>
      <c r="G89" s="58" cm="1">
        <f t="array" aca="1" ref="G89" ca="1">_xll.BDP(E$81&amp;" "&amp;$C89&amp;" 25DC VOL LME Comdty","PX_LAST")/100</f>
        <v>0.17249563217163086</v>
      </c>
      <c r="H89" s="58" cm="1">
        <f t="array" aca="1" ref="H89" ca="1">_xll.BDP(E$81&amp;" "&amp;$C89&amp;" 10DC VOL LME Comdty","PX_LAST")/100</f>
        <v>0.18129480361938477</v>
      </c>
      <c r="I89" s="49">
        <f t="shared" ca="1" si="10"/>
        <v>0.16680007934570312</v>
      </c>
      <c r="J89" s="50">
        <f t="shared" ca="1" si="11"/>
        <v>-3.1002235412597723E-3</v>
      </c>
      <c r="K89" s="50">
        <f t="shared" ca="1" si="12"/>
        <v>-7.2990608215331987E-3</v>
      </c>
      <c r="L89" s="50">
        <f t="shared" ca="1" si="13"/>
        <v>7.2456645965576216E-3</v>
      </c>
      <c r="M89" s="69">
        <f t="shared" ca="1" si="14"/>
        <v>1.8144254684448247E-2</v>
      </c>
      <c r="N89" s="50"/>
      <c r="O89" s="68" cm="1">
        <f t="array" aca="1" ref="O89" ca="1">_xll.BDP(P$81&amp;" "&amp;$C89&amp;" 10DP VOL LME Comdty","PX_LAST")/100</f>
        <v>0.27869272232055664</v>
      </c>
      <c r="P89" s="58" cm="1">
        <f t="array" aca="1" ref="P89" ca="1">_xll.BDP(P$81&amp;" "&amp;$C89&amp;" 25DP VOL LME Comdty","PX_LAST")/100</f>
        <v>0.26209459304809568</v>
      </c>
      <c r="Q89" s="45" cm="1">
        <f t="array" aca="1" ref="Q89" ca="1">_xll.BDP(P$81&amp;" "&amp;$C89&amp;" 50D VOL LME Comdty","PX_LAST")/100</f>
        <v>0.24600032806396485</v>
      </c>
      <c r="R89" s="58" cm="1">
        <f t="array" aca="1" ref="R89" ca="1">_xll.BDP(P$81&amp;" "&amp;$C89&amp;" 25DC VOL LME Comdty","PX_LAST")/100</f>
        <v>0.25479352951049805</v>
      </c>
      <c r="S89" s="58" cm="1">
        <f t="array" aca="1" ref="S89" ca="1">_xll.BDP(P$81&amp;" "&amp;$C89&amp;" 10DC VOL LME Comdty","PX_LAST")/100</f>
        <v>0.26569343566894532</v>
      </c>
      <c r="T89" s="49">
        <f t="shared" ca="1" si="15"/>
        <v>0.24600032806396485</v>
      </c>
      <c r="U89" s="50">
        <f t="shared" ca="1" si="16"/>
        <v>0</v>
      </c>
      <c r="V89" s="50">
        <f t="shared" ca="1" si="17"/>
        <v>0</v>
      </c>
      <c r="W89" s="50">
        <f t="shared" ca="1" si="18"/>
        <v>0</v>
      </c>
      <c r="X89" s="69">
        <f t="shared" ca="1" si="19"/>
        <v>0</v>
      </c>
      <c r="Y89" s="50"/>
      <c r="Z89" s="68" cm="1">
        <f t="array" aca="1" ref="Z89" ca="1">_xll.BDP(AA$81&amp;" "&amp;$C89&amp;" 10DP VOL LME Comdty","PX_LAST")/100</f>
        <v>0.25809253692626954</v>
      </c>
      <c r="AA89" s="58" cm="1">
        <f t="array" aca="1" ref="AA89" ca="1">_xll.BDP(AA$81&amp;" "&amp;$C89&amp;" 25DP VOL LME Comdty","PX_LAST")/100</f>
        <v>0.24129474639892579</v>
      </c>
      <c r="AB89" s="45" cm="1">
        <f t="array" aca="1" ref="AB89" ca="1">_xll.BDP(AA$81&amp;" "&amp;$C89&amp;" 50D VOL LME Comdty","PX_LAST")/100</f>
        <v>0.22660051345825194</v>
      </c>
      <c r="AC89" s="58" cm="1">
        <f t="array" aca="1" ref="AC89" ca="1">_xll.BDP(AA$81&amp;" "&amp;$C89&amp;" 25DC VOL LME Comdty","PX_LAST")/100</f>
        <v>0.22599946975708007</v>
      </c>
      <c r="AD89" s="58" cm="1">
        <f t="array" aca="1" ref="AD89" ca="1">_xll.BDP(AA$81&amp;" "&amp;$C89&amp;" 10DC VOL LME Comdty","PX_LAST")/100</f>
        <v>0.2265995216369629</v>
      </c>
      <c r="AE89" s="49">
        <f t="shared" ca="1" si="20"/>
        <v>0.23660051345825195</v>
      </c>
      <c r="AF89" s="50">
        <f t="shared" ca="1" si="21"/>
        <v>-1.5295276641845712E-2</v>
      </c>
      <c r="AG89" s="50">
        <f t="shared" ca="1" si="22"/>
        <v>-3.1493015289306647E-2</v>
      </c>
      <c r="AH89" s="50">
        <f t="shared" ca="1" si="23"/>
        <v>7.0465946197509899E-3</v>
      </c>
      <c r="AI89" s="69">
        <f t="shared" ca="1" si="24"/>
        <v>1.5745515823364281E-2</v>
      </c>
      <c r="AJ89" s="50"/>
      <c r="AK89" s="68" cm="1">
        <f t="array" aca="1" ref="AK89" ca="1">_xll.BDP(AL$81&amp;" "&amp;$C89&amp;" 10DP VOL LME Comdty","PX_LAST")/100</f>
        <v>0.30859569549560545</v>
      </c>
      <c r="AL89" s="58" cm="1">
        <f t="array" aca="1" ref="AL89" ca="1">_xll.BDP(AL$81&amp;" "&amp;$C89&amp;" 25DP VOL LME Comdty","PX_LAST")/100</f>
        <v>0.29979785919189456</v>
      </c>
      <c r="AM89" s="45" cm="1">
        <f t="array" aca="1" ref="AM89" ca="1">_xll.BDP(AL$81&amp;" "&amp;$C89&amp;" 50D VOL LME Comdty","PX_LAST")/100</f>
        <v>0.29649951934814456</v>
      </c>
      <c r="AN89" s="58" cm="1">
        <f t="array" aca="1" ref="AN89" ca="1">_xll.BDP(AL$81&amp;" "&amp;$C89&amp;" 25DC VOL LME Comdty","PX_LAST")/100</f>
        <v>0.30769245147705077</v>
      </c>
      <c r="AO89" s="58" cm="1">
        <f t="array" aca="1" ref="AO89" ca="1">_xll.BDP(AL$81&amp;" "&amp;$C89&amp;" 10DC VOL LME Comdty","PX_LAST")/100</f>
        <v>0.32049274444580078</v>
      </c>
      <c r="AP89" s="49">
        <f t="shared" ca="1" si="25"/>
        <v>0.30649951934814457</v>
      </c>
      <c r="AQ89" s="50">
        <f t="shared" ca="1" si="26"/>
        <v>7.89459228515621E-3</v>
      </c>
      <c r="AR89" s="50">
        <f t="shared" ca="1" si="27"/>
        <v>1.1897048950195332E-2</v>
      </c>
      <c r="AS89" s="50">
        <f t="shared" ca="1" si="28"/>
        <v>7.2456359863281028E-3</v>
      </c>
      <c r="AT89" s="69">
        <f t="shared" ca="1" si="29"/>
        <v>1.8044700622558585E-2</v>
      </c>
    </row>
    <row r="90" spans="2:46" x14ac:dyDescent="0.25">
      <c r="B90" s="1" cm="1">
        <f t="array" aca="1" ref="B90" ca="1">_xll.QDates_SpecificWeekday(EDATE(B89,1),"Wednesday",1)</f>
        <v>44475</v>
      </c>
      <c r="C90" t="str">
        <f t="shared" ca="1" si="30"/>
        <v>OCT21</v>
      </c>
      <c r="D90" s="68" cm="1">
        <f t="array" aca="1" ref="D90" ca="1">_xll.BDP(E$81&amp;" "&amp;$C90&amp;" 10DP VOL LME Comdty","PX_LAST")/100</f>
        <v>0.18989336013793945</v>
      </c>
      <c r="E90" s="58" cm="1">
        <f t="array" aca="1" ref="E90" ca="1">_xll.BDP(E$81&amp;" "&amp;$C90&amp;" 25DP VOL LME Comdty","PX_LAST")/100</f>
        <v>0.17579549789428711</v>
      </c>
      <c r="F90" s="45" cm="1">
        <f t="array" aca="1" ref="F90" ca="1">_xll.BDP(E$81&amp;" "&amp;$C90&amp;" 50D VOL LME Comdty","PX_LAST")/100</f>
        <v>0.16550008773803712</v>
      </c>
      <c r="G90" s="58" cm="1">
        <f t="array" aca="1" ref="G90" ca="1">_xll.BDP(E$81&amp;" "&amp;$C90&amp;" 25DC VOL LME Comdty","PX_LAST")/100</f>
        <v>0.17099594116210937</v>
      </c>
      <c r="H90" s="58" cm="1">
        <f t="array" aca="1" ref="H90" ca="1">_xll.BDP(E$81&amp;" "&amp;$C90&amp;" 10DC VOL LME Comdty","PX_LAST")/100</f>
        <v>0.17839544296264648</v>
      </c>
      <c r="I90" s="49">
        <f t="shared" ca="1" si="10"/>
        <v>0.16550008773803712</v>
      </c>
      <c r="J90" s="50">
        <f t="shared" ca="1" si="11"/>
        <v>-4.7995567321777455E-3</v>
      </c>
      <c r="K90" s="50">
        <f t="shared" ca="1" si="12"/>
        <v>-1.1497917175292971E-2</v>
      </c>
      <c r="L90" s="50">
        <f t="shared" ca="1" si="13"/>
        <v>7.8956317901611173E-3</v>
      </c>
      <c r="M90" s="69">
        <f t="shared" ca="1" si="14"/>
        <v>1.8644313812255842E-2</v>
      </c>
      <c r="N90" s="50"/>
      <c r="O90" s="68" cm="1">
        <f t="array" aca="1" ref="O90" ca="1">_xll.BDP(P$81&amp;" "&amp;$C90&amp;" 10DP VOL LME Comdty","PX_LAST")/100</f>
        <v>0.28049257278442385</v>
      </c>
      <c r="P90" s="58" cm="1">
        <f t="array" aca="1" ref="P90" ca="1">_xll.BDP(P$81&amp;" "&amp;$C90&amp;" 25DP VOL LME Comdty","PX_LAST")/100</f>
        <v>0.26309457778930662</v>
      </c>
      <c r="Q90" s="45" cm="1">
        <f t="array" aca="1" ref="Q90" ca="1">_xll.BDP(P$81&amp;" "&amp;$C90&amp;" 50D VOL LME Comdty","PX_LAST")/100</f>
        <v>0.2465003776550293</v>
      </c>
      <c r="R90" s="58" cm="1">
        <f t="array" aca="1" ref="R90" ca="1">_xll.BDP(P$81&amp;" "&amp;$C90&amp;" 25DC VOL LME Comdty","PX_LAST")/100</f>
        <v>0.25519340515136718</v>
      </c>
      <c r="S90" s="58" cm="1">
        <f t="array" aca="1" ref="S90" ca="1">_xll.BDP(P$81&amp;" "&amp;$C90&amp;" 10DC VOL LME Comdty","PX_LAST")/100</f>
        <v>0.26609342575073242</v>
      </c>
      <c r="T90" s="49">
        <f t="shared" ca="1" si="15"/>
        <v>0.2465003776550293</v>
      </c>
      <c r="U90" s="50">
        <f t="shared" ca="1" si="16"/>
        <v>0</v>
      </c>
      <c r="V90" s="50">
        <f t="shared" ca="1" si="17"/>
        <v>0</v>
      </c>
      <c r="W90" s="50">
        <f t="shared" ca="1" si="18"/>
        <v>0</v>
      </c>
      <c r="X90" s="69">
        <f t="shared" ca="1" si="19"/>
        <v>0</v>
      </c>
      <c r="Y90" s="50"/>
      <c r="Z90" s="68" cm="1">
        <f t="array" aca="1" ref="Z90" ca="1">_xll.BDP(AA$81&amp;" "&amp;$C90&amp;" 10DP VOL LME Comdty","PX_LAST")/100</f>
        <v>0.25719228744506833</v>
      </c>
      <c r="AA90" s="58" cm="1">
        <f t="array" aca="1" ref="AA90" ca="1">_xll.BDP(AA$81&amp;" "&amp;$C90&amp;" 25DP VOL LME Comdty","PX_LAST")/100</f>
        <v>0.23999481201171874</v>
      </c>
      <c r="AB90" s="45" cm="1">
        <f t="array" aca="1" ref="AB90" ca="1">_xll.BDP(AA$81&amp;" "&amp;$C90&amp;" 50D VOL LME Comdty","PX_LAST")/100</f>
        <v>0.22520053863525391</v>
      </c>
      <c r="AC90" s="58" cm="1">
        <f t="array" aca="1" ref="AC90" ca="1">_xll.BDP(AA$81&amp;" "&amp;$C90&amp;" 25DC VOL LME Comdty","PX_LAST")/100</f>
        <v>0.22459959030151366</v>
      </c>
      <c r="AD90" s="58" cm="1">
        <f t="array" aca="1" ref="AD90" ca="1">_xll.BDP(AA$81&amp;" "&amp;$C90&amp;" 10DC VOL LME Comdty","PX_LAST")/100</f>
        <v>0.22499971389770507</v>
      </c>
      <c r="AE90" s="49">
        <f t="shared" ca="1" si="20"/>
        <v>0.23520053863525392</v>
      </c>
      <c r="AF90" s="50">
        <f t="shared" ca="1" si="21"/>
        <v>-1.5395221710205076E-2</v>
      </c>
      <c r="AG90" s="50">
        <f t="shared" ca="1" si="22"/>
        <v>-3.2192573547363268E-2</v>
      </c>
      <c r="AH90" s="50">
        <f t="shared" ca="1" si="23"/>
        <v>7.0966625213622903E-3</v>
      </c>
      <c r="AI90" s="69">
        <f t="shared" ca="1" si="24"/>
        <v>1.589546203613279E-2</v>
      </c>
      <c r="AJ90" s="50"/>
      <c r="AK90" s="68" cm="1">
        <f t="array" aca="1" ref="AK90" ca="1">_xll.BDP(AL$81&amp;" "&amp;$C90&amp;" 10DP VOL LME Comdty","PX_LAST")/100</f>
        <v>0.30839582443237307</v>
      </c>
      <c r="AL90" s="58" cm="1">
        <f t="array" aca="1" ref="AL90" ca="1">_xll.BDP(AL$81&amp;" "&amp;$C90&amp;" 25DP VOL LME Comdty","PX_LAST")/100</f>
        <v>0.29969799041748046</v>
      </c>
      <c r="AM90" s="45" cm="1">
        <f t="array" aca="1" ref="AM90" ca="1">_xll.BDP(AL$81&amp;" "&amp;$C90&amp;" 50D VOL LME Comdty","PX_LAST")/100</f>
        <v>0.29649948120117187</v>
      </c>
      <c r="AN90" s="58" cm="1">
        <f t="array" aca="1" ref="AN90" ca="1">_xll.BDP(AL$81&amp;" "&amp;$C90&amp;" 25DC VOL LME Comdty","PX_LAST")/100</f>
        <v>0.30789222717285158</v>
      </c>
      <c r="AO90" s="58" cm="1">
        <f t="array" aca="1" ref="AO90" ca="1">_xll.BDP(AL$81&amp;" "&amp;$C90&amp;" 10DC VOL LME Comdty","PX_LAST")/100</f>
        <v>0.32069263458251951</v>
      </c>
      <c r="AP90" s="49">
        <f t="shared" ca="1" si="25"/>
        <v>0.30649948120117188</v>
      </c>
      <c r="AQ90" s="50">
        <f t="shared" ca="1" si="26"/>
        <v>8.1942367553711204E-3</v>
      </c>
      <c r="AR90" s="50">
        <f t="shared" ca="1" si="27"/>
        <v>1.2296810150146442E-2</v>
      </c>
      <c r="AS90" s="50">
        <f t="shared" ca="1" si="28"/>
        <v>7.2956275939941584E-3</v>
      </c>
      <c r="AT90" s="69">
        <f t="shared" ca="1" si="29"/>
        <v>1.804474830627445E-2</v>
      </c>
    </row>
    <row r="91" spans="2:46" x14ac:dyDescent="0.25">
      <c r="B91" s="1" cm="1">
        <f t="array" aca="1" ref="B91" ca="1">_xll.QDates_SpecificWeekday(EDATE(B90,1),"Wednesday",1)</f>
        <v>44503</v>
      </c>
      <c r="C91" t="str">
        <f t="shared" ca="1" si="30"/>
        <v>NOV21</v>
      </c>
      <c r="D91" s="68" cm="1">
        <f t="array" aca="1" ref="D91" ca="1">_xll.BDP(E$81&amp;" "&amp;$C91&amp;" 10DP VOL LME Comdty","PX_LAST")/100</f>
        <v>0.19099288940429687</v>
      </c>
      <c r="E91" s="58" cm="1">
        <f t="array" aca="1" ref="E91" ca="1">_xll.BDP(E$81&amp;" "&amp;$C91&amp;" 25DP VOL LME Comdty","PX_LAST")/100</f>
        <v>0.17499530792236329</v>
      </c>
      <c r="F91" s="45" cm="1">
        <f t="array" aca="1" ref="F91" ca="1">_xll.BDP(E$81&amp;" "&amp;$C91&amp;" 50D VOL LME Comdty","PX_LAST")/100</f>
        <v>0.16520006179809571</v>
      </c>
      <c r="G91" s="58" cm="1">
        <f t="array" aca="1" ref="G91" ca="1">_xll.BDP(E$81&amp;" "&amp;$C91&amp;" 25DC VOL LME Comdty","PX_LAST")/100</f>
        <v>0.1710960578918457</v>
      </c>
      <c r="H91" s="58" cm="1">
        <f t="array" aca="1" ref="H91" ca="1">_xll.BDP(E$81&amp;" "&amp;$C91&amp;" 10DC VOL LME Comdty","PX_LAST")/100</f>
        <v>0.17829601287841798</v>
      </c>
      <c r="I91" s="49">
        <f t="shared" ca="1" si="10"/>
        <v>0.16520006179809571</v>
      </c>
      <c r="J91" s="50">
        <f t="shared" ca="1" si="11"/>
        <v>-3.8992500305175815E-3</v>
      </c>
      <c r="K91" s="50">
        <f t="shared" ca="1" si="12"/>
        <v>-1.2696876525878892E-2</v>
      </c>
      <c r="L91" s="50">
        <f t="shared" ca="1" si="13"/>
        <v>7.8456211090087713E-3</v>
      </c>
      <c r="M91" s="69">
        <f t="shared" ca="1" si="14"/>
        <v>1.9444389343261703E-2</v>
      </c>
      <c r="N91" s="50"/>
      <c r="O91" s="68" cm="1">
        <f t="array" aca="1" ref="O91" ca="1">_xll.BDP(P$81&amp;" "&amp;$C91&amp;" 10DP VOL LME Comdty","PX_LAST")/100</f>
        <v>0.28149248123168946</v>
      </c>
      <c r="P91" s="58" cm="1">
        <f t="array" aca="1" ref="P91" ca="1">_xll.BDP(P$81&amp;" "&amp;$C91&amp;" 25DP VOL LME Comdty","PX_LAST")/100</f>
        <v>0.26389465332031248</v>
      </c>
      <c r="Q91" s="45" cm="1">
        <f t="array" aca="1" ref="Q91" ca="1">_xll.BDP(P$81&amp;" "&amp;$C91&amp;" 50D VOL LME Comdty","PX_LAST")/100</f>
        <v>0.24700044631958007</v>
      </c>
      <c r="R91" s="58" cm="1">
        <f t="array" aca="1" ref="R91" ca="1">_xll.BDP(P$81&amp;" "&amp;$C91&amp;" 25DC VOL LME Comdty","PX_LAST")/100</f>
        <v>0.25519344329833982</v>
      </c>
      <c r="S91" s="58" cm="1">
        <f t="array" aca="1" ref="S91" ca="1">_xll.BDP(P$81&amp;" "&amp;$C91&amp;" 10DC VOL LME Comdty","PX_LAST")/100</f>
        <v>0.26609346389770505</v>
      </c>
      <c r="T91" s="49">
        <f t="shared" ca="1" si="15"/>
        <v>0.24700044631958007</v>
      </c>
      <c r="U91" s="50">
        <f t="shared" ca="1" si="16"/>
        <v>0</v>
      </c>
      <c r="V91" s="50">
        <f t="shared" ca="1" si="17"/>
        <v>0</v>
      </c>
      <c r="W91" s="50">
        <f t="shared" ca="1" si="18"/>
        <v>0</v>
      </c>
      <c r="X91" s="69">
        <f t="shared" ca="1" si="19"/>
        <v>0</v>
      </c>
      <c r="Y91" s="50"/>
      <c r="Z91" s="68" cm="1">
        <f t="array" aca="1" ref="Z91" ca="1">_xll.BDP(AA$81&amp;" "&amp;$C91&amp;" 10DP VOL LME Comdty","PX_LAST")/100</f>
        <v>0.25639204025268553</v>
      </c>
      <c r="AA91" s="58" cm="1">
        <f t="array" aca="1" ref="AA91" ca="1">_xll.BDP(AA$81&amp;" "&amp;$C91&amp;" 25DP VOL LME Comdty","PX_LAST")/100</f>
        <v>0.23869478225708007</v>
      </c>
      <c r="AB91" s="45" cm="1">
        <f t="array" aca="1" ref="AB91" ca="1">_xll.BDP(AA$81&amp;" "&amp;$C91&amp;" 50D VOL LME Comdty","PX_LAST")/100</f>
        <v>0.22380054473876954</v>
      </c>
      <c r="AC91" s="58" cm="1">
        <f t="array" aca="1" ref="AC91" ca="1">_xll.BDP(AA$81&amp;" "&amp;$C91&amp;" 25DC VOL LME Comdty","PX_LAST")/100</f>
        <v>0.22319967269897462</v>
      </c>
      <c r="AD91" s="58" cm="1">
        <f t="array" aca="1" ref="AD91" ca="1">_xll.BDP(AA$81&amp;" "&amp;$C91&amp;" 10DC VOL LME Comdty","PX_LAST")/100</f>
        <v>0.22339984893798828</v>
      </c>
      <c r="AE91" s="49">
        <f t="shared" ca="1" si="20"/>
        <v>0.23380054473876954</v>
      </c>
      <c r="AF91" s="50">
        <f t="shared" ca="1" si="21"/>
        <v>-1.5495109558105458E-2</v>
      </c>
      <c r="AG91" s="50">
        <f t="shared" ca="1" si="22"/>
        <v>-3.2992191314697245E-2</v>
      </c>
      <c r="AH91" s="50">
        <f t="shared" ca="1" si="23"/>
        <v>7.1466827392578092E-3</v>
      </c>
      <c r="AI91" s="69">
        <f t="shared" ca="1" si="24"/>
        <v>1.6095399856567383E-2</v>
      </c>
      <c r="AJ91" s="50"/>
      <c r="AK91" s="68" cm="1">
        <f t="array" aca="1" ref="AK91" ca="1">_xll.BDP(AL$81&amp;" "&amp;$C91&amp;" 10DP VOL LME Comdty","PX_LAST")/100</f>
        <v>0.30809585571289061</v>
      </c>
      <c r="AL91" s="58" cm="1">
        <f t="array" aca="1" ref="AL91" ca="1">_xll.BDP(AL$81&amp;" "&amp;$C91&amp;" 25DP VOL LME Comdty","PX_LAST")/100</f>
        <v>0.29939807891845704</v>
      </c>
      <c r="AM91" s="45" cm="1">
        <f t="array" aca="1" ref="AM91" ca="1">_xll.BDP(AL$81&amp;" "&amp;$C91&amp;" 50D VOL LME Comdty","PX_LAST")/100</f>
        <v>0.2963993835449219</v>
      </c>
      <c r="AN91" s="58" cm="1">
        <f t="array" aca="1" ref="AN91" ca="1">_xll.BDP(AL$81&amp;" "&amp;$C91&amp;" 25DC VOL LME Comdty","PX_LAST")/100</f>
        <v>0.30799192428588867</v>
      </c>
      <c r="AO91" s="58" cm="1">
        <f t="array" aca="1" ref="AO91" ca="1">_xll.BDP(AL$81&amp;" "&amp;$C91&amp;" 10DC VOL LME Comdty","PX_LAST")/100</f>
        <v>0.32089241027832033</v>
      </c>
      <c r="AP91" s="49">
        <f t="shared" ca="1" si="25"/>
        <v>0.30639938354492191</v>
      </c>
      <c r="AQ91" s="50">
        <f t="shared" ca="1" si="26"/>
        <v>8.5938453674316295E-3</v>
      </c>
      <c r="AR91" s="50">
        <f t="shared" ca="1" si="27"/>
        <v>1.2796554565429719E-2</v>
      </c>
      <c r="AS91" s="50">
        <f t="shared" ca="1" si="28"/>
        <v>7.2956180572509854E-3</v>
      </c>
      <c r="AT91" s="69">
        <f t="shared" ca="1" si="29"/>
        <v>1.8094749450683567E-2</v>
      </c>
    </row>
    <row r="92" spans="2:46" x14ac:dyDescent="0.25">
      <c r="B92" s="1" cm="1">
        <f t="array" aca="1" ref="B92" ca="1">_xll.QDates_SpecificWeekday(EDATE(B91,1),"Wednesday",1)</f>
        <v>44531</v>
      </c>
      <c r="C92" t="str">
        <f t="shared" ca="1" si="30"/>
        <v>DEC21</v>
      </c>
      <c r="D92" s="68" cm="1">
        <f t="array" aca="1" ref="D92" ca="1">_xll.BDP(E$81&amp;" "&amp;$C92&amp;" 10DP VOL LME Comdty","PX_LAST")/100</f>
        <v>0.19059267044067382</v>
      </c>
      <c r="E92" s="58" cm="1">
        <f t="array" aca="1" ref="E92" ca="1">_xll.BDP(E$81&amp;" "&amp;$C92&amp;" 25DP VOL LME Comdty","PX_LAST")/100</f>
        <v>0.17459526062011718</v>
      </c>
      <c r="F92" s="45" cm="1">
        <f t="array" aca="1" ref="F92" ca="1">_xll.BDP(E$81&amp;" "&amp;$C92&amp;" 50D VOL LME Comdty","PX_LAST")/100</f>
        <v>0.16490005493164062</v>
      </c>
      <c r="G92" s="58" cm="1">
        <f t="array" aca="1" ref="G92" ca="1">_xll.BDP(E$81&amp;" "&amp;$C92&amp;" 25DC VOL LME Comdty","PX_LAST")/100</f>
        <v>0.17069631576538086</v>
      </c>
      <c r="H92" s="58" cm="1">
        <f t="array" aca="1" ref="H92" ca="1">_xll.BDP(E$81&amp;" "&amp;$C92&amp;" 10DC VOL LME Comdty","PX_LAST")/100</f>
        <v>0.17719648361206056</v>
      </c>
      <c r="I92" s="49">
        <f t="shared" ca="1" si="10"/>
        <v>0.16490005493164062</v>
      </c>
      <c r="J92" s="50">
        <f t="shared" ca="1" si="11"/>
        <v>-3.8989448547363248E-3</v>
      </c>
      <c r="K92" s="50">
        <f t="shared" ca="1" si="12"/>
        <v>-1.3396186828613266E-2</v>
      </c>
      <c r="L92" s="50">
        <f t="shared" ca="1" si="13"/>
        <v>7.7457332611083896E-3</v>
      </c>
      <c r="M92" s="69">
        <f t="shared" ca="1" si="14"/>
        <v>1.8994522094726574E-2</v>
      </c>
      <c r="N92" s="50"/>
      <c r="O92" s="68" cm="1">
        <f t="array" aca="1" ref="O92" ca="1">_xll.BDP(P$81&amp;" "&amp;$C92&amp;" 10DP VOL LME Comdty","PX_LAST")/100</f>
        <v>0.28229240417480467</v>
      </c>
      <c r="P92" s="58" cm="1">
        <f t="array" aca="1" ref="P92" ca="1">_xll.BDP(P$81&amp;" "&amp;$C92&amp;" 25DP VOL LME Comdty","PX_LAST")/100</f>
        <v>0.26459468841552736</v>
      </c>
      <c r="Q92" s="45" cm="1">
        <f t="array" aca="1" ref="Q92" ca="1">_xll.BDP(P$81&amp;" "&amp;$C92&amp;" 50D VOL LME Comdty","PX_LAST")/100</f>
        <v>0.24750049591064452</v>
      </c>
      <c r="R92" s="58" cm="1">
        <f t="array" aca="1" ref="R92" ca="1">_xll.BDP(P$81&amp;" "&amp;$C92&amp;" 25DC VOL LME Comdty","PX_LAST")/100</f>
        <v>0.25519351959228515</v>
      </c>
      <c r="S92" s="58" cm="1">
        <f t="array" aca="1" ref="S92" ca="1">_xll.BDP(P$81&amp;" "&amp;$C92&amp;" 10DC VOL LME Comdty","PX_LAST")/100</f>
        <v>0.26599357604980467</v>
      </c>
      <c r="T92" s="49">
        <f t="shared" ca="1" si="15"/>
        <v>0.24750049591064452</v>
      </c>
      <c r="U92" s="50">
        <f t="shared" ca="1" si="16"/>
        <v>0</v>
      </c>
      <c r="V92" s="50">
        <f t="shared" ca="1" si="17"/>
        <v>0</v>
      </c>
      <c r="W92" s="50">
        <f t="shared" ca="1" si="18"/>
        <v>0</v>
      </c>
      <c r="X92" s="69">
        <f t="shared" ca="1" si="19"/>
        <v>0</v>
      </c>
      <c r="Y92" s="50"/>
      <c r="Z92" s="68" cm="1">
        <f t="array" aca="1" ref="Z92" ca="1">_xll.BDP(AA$81&amp;" "&amp;$C92&amp;" 10DP VOL LME Comdty","PX_LAST")/100</f>
        <v>0.25559179306030272</v>
      </c>
      <c r="AA92" s="58" cm="1">
        <f t="array" aca="1" ref="AA92" ca="1">_xll.BDP(AA$81&amp;" "&amp;$C92&amp;" 25DP VOL LME Comdty","PX_LAST")/100</f>
        <v>0.23709474563598631</v>
      </c>
      <c r="AB92" s="45" cm="1">
        <f t="array" aca="1" ref="AB92" ca="1">_xll.BDP(AA$81&amp;" "&amp;$C92&amp;" 50D VOL LME Comdty","PX_LAST")/100</f>
        <v>0.22210056304931641</v>
      </c>
      <c r="AC92" s="58" cm="1">
        <f t="array" aca="1" ref="AC92" ca="1">_xll.BDP(AA$81&amp;" "&amp;$C92&amp;" 25DC VOL LME Comdty","PX_LAST")/100</f>
        <v>0.22129974365234376</v>
      </c>
      <c r="AD92" s="58" cm="1">
        <f t="array" aca="1" ref="AD92" ca="1">_xll.BDP(AA$81&amp;" "&amp;$C92&amp;" 10DC VOL LME Comdty","PX_LAST")/100</f>
        <v>0.22139999389648438</v>
      </c>
      <c r="AE92" s="49">
        <f t="shared" ca="1" si="20"/>
        <v>0.23210056304931642</v>
      </c>
      <c r="AF92" s="50">
        <f t="shared" ca="1" si="21"/>
        <v>-1.5795001983642559E-2</v>
      </c>
      <c r="AG92" s="50">
        <f t="shared" ca="1" si="22"/>
        <v>-3.4191799163818343E-2</v>
      </c>
      <c r="AH92" s="50">
        <f t="shared" ca="1" si="23"/>
        <v>7.0966815948486084E-3</v>
      </c>
      <c r="AI92" s="69">
        <f t="shared" ca="1" si="24"/>
        <v>1.6395330429077148E-2</v>
      </c>
      <c r="AJ92" s="50"/>
      <c r="AK92" s="68" cm="1">
        <f t="array" aca="1" ref="AK92" ca="1">_xll.BDP(AL$81&amp;" "&amp;$C92&amp;" 10DP VOL LME Comdty","PX_LAST")/100</f>
        <v>0.30599580764770506</v>
      </c>
      <c r="AL92" s="58" cm="1">
        <f t="array" aca="1" ref="AL92" ca="1">_xll.BDP(AL$81&amp;" "&amp;$C92&amp;" 25DP VOL LME Comdty","PX_LAST")/100</f>
        <v>0.29769823074340818</v>
      </c>
      <c r="AM92" s="45" cm="1">
        <f t="array" aca="1" ref="AM92" ca="1">_xll.BDP(AL$81&amp;" "&amp;$C92&amp;" 50D VOL LME Comdty","PX_LAST")/100</f>
        <v>0.29529926300048825</v>
      </c>
      <c r="AN92" s="58" cm="1">
        <f t="array" aca="1" ref="AN92" ca="1">_xll.BDP(AL$81&amp;" "&amp;$C92&amp;" 25DC VOL LME Comdty","PX_LAST")/100</f>
        <v>0.30829160690307617</v>
      </c>
      <c r="AO92" s="58" cm="1">
        <f t="array" aca="1" ref="AO92" ca="1">_xll.BDP(AL$81&amp;" "&amp;$C92&amp;" 10DC VOL LME Comdty","PX_LAST")/100</f>
        <v>0.32189262390136719</v>
      </c>
      <c r="AP92" s="49">
        <f t="shared" ca="1" si="25"/>
        <v>0.30529926300048826</v>
      </c>
      <c r="AQ92" s="50">
        <f t="shared" ca="1" si="26"/>
        <v>1.0593376159667989E-2</v>
      </c>
      <c r="AR92" s="50">
        <f t="shared" ca="1" si="27"/>
        <v>1.5896816253662127E-2</v>
      </c>
      <c r="AS92" s="50">
        <f t="shared" ca="1" si="28"/>
        <v>7.6956558227538885E-3</v>
      </c>
      <c r="AT92" s="69">
        <f t="shared" ca="1" si="29"/>
        <v>1.8644952774047874E-2</v>
      </c>
    </row>
    <row r="93" spans="2:46" x14ac:dyDescent="0.25">
      <c r="B93" s="1" cm="1">
        <f t="array" aca="1" ref="B93" ca="1">_xll.QDates_SpecificWeekday(EDATE(B92,1),"Wednesday",1)</f>
        <v>44566</v>
      </c>
      <c r="C93" t="str">
        <f t="shared" ca="1" si="30"/>
        <v>JAN22</v>
      </c>
      <c r="D93" s="68" cm="1">
        <f t="array" aca="1" ref="D93" ca="1">_xll.BDP(E$81&amp;" "&amp;$C93&amp;" 10DP VOL LME Comdty","PX_LAST")/100</f>
        <v>0.19119375228881835</v>
      </c>
      <c r="E93" s="58" cm="1">
        <f t="array" aca="1" ref="E93" ca="1">_xll.BDP(E$81&amp;" "&amp;$C93&amp;" 25DP VOL LME Comdty","PX_LAST")/100</f>
        <v>0.17739511489868165</v>
      </c>
      <c r="F93" s="45" cm="1">
        <f t="array" aca="1" ref="F93" ca="1">_xll.BDP(E$81&amp;" "&amp;$C93&amp;" 50D VOL LME Comdty","PX_LAST")/100</f>
        <v>0.16310031890869139</v>
      </c>
      <c r="G93" s="58" cm="1">
        <f t="array" aca="1" ref="G93" ca="1">_xll.BDP(E$81&amp;" "&amp;$C93&amp;" 25DC VOL LME Comdty","PX_LAST")/100</f>
        <v>0.16629699707031251</v>
      </c>
      <c r="H93" s="58" cm="1">
        <f t="array" aca="1" ref="H93" ca="1">_xll.BDP(E$81&amp;" "&amp;$C93&amp;" 10DC VOL LME Comdty","PX_LAST")/100</f>
        <v>0.17099662780761718</v>
      </c>
      <c r="I93" s="49">
        <f t="shared" ca="1" si="10"/>
        <v>0.16310031890869139</v>
      </c>
      <c r="J93" s="50">
        <f t="shared" ca="1" si="11"/>
        <v>-1.1098117828369142E-2</v>
      </c>
      <c r="K93" s="50">
        <f t="shared" ca="1" si="12"/>
        <v>-2.0197124481201173E-2</v>
      </c>
      <c r="L93" s="50">
        <f t="shared" ca="1" si="13"/>
        <v>8.7457370758056985E-3</v>
      </c>
      <c r="M93" s="69">
        <f t="shared" ca="1" si="14"/>
        <v>1.7994871139526386E-2</v>
      </c>
      <c r="N93" s="50"/>
      <c r="O93" s="68" cm="1">
        <f t="array" aca="1" ref="O93" ca="1">_xll.BDP(P$81&amp;" "&amp;$C93&amp;" 10DP VOL LME Comdty","PX_LAST")/100</f>
        <v>0.27569259643554689</v>
      </c>
      <c r="P93" s="58" cm="1">
        <f t="array" aca="1" ref="P93" ca="1">_xll.BDP(P$81&amp;" "&amp;$C93&amp;" 25DP VOL LME Comdty","PX_LAST")/100</f>
        <v>0.25759471893310548</v>
      </c>
      <c r="Q93" s="45" cm="1">
        <f t="array" aca="1" ref="Q93" ca="1">_xll.BDP(P$81&amp;" "&amp;$C93&amp;" 50D VOL LME Comdty","PX_LAST")/100</f>
        <v>0.2400006103515625</v>
      </c>
      <c r="R93" s="58" cm="1">
        <f t="array" aca="1" ref="R93" ca="1">_xll.BDP(P$81&amp;" "&amp;$C93&amp;" 25DC VOL LME Comdty","PX_LAST")/100</f>
        <v>0.2465938949584961</v>
      </c>
      <c r="S93" s="58" cm="1">
        <f t="array" aca="1" ref="S93" ca="1">_xll.BDP(P$81&amp;" "&amp;$C93&amp;" 10DC VOL LME Comdty","PX_LAST")/100</f>
        <v>0.25689378738403318</v>
      </c>
      <c r="T93" s="49">
        <f t="shared" ca="1" si="15"/>
        <v>0.2400006103515625</v>
      </c>
      <c r="U93" s="50">
        <f t="shared" ca="1" si="16"/>
        <v>0</v>
      </c>
      <c r="V93" s="50">
        <f t="shared" ca="1" si="17"/>
        <v>0</v>
      </c>
      <c r="W93" s="50">
        <f t="shared" ca="1" si="18"/>
        <v>0</v>
      </c>
      <c r="X93" s="69">
        <f t="shared" ca="1" si="19"/>
        <v>0</v>
      </c>
      <c r="Y93" s="50"/>
      <c r="Z93" s="68" cm="1">
        <f t="array" aca="1" ref="Z93" ca="1">_xll.BDP(AA$81&amp;" "&amp;$C93&amp;" 10DP VOL LME Comdty","PX_LAST")/100</f>
        <v>0.25709169387817382</v>
      </c>
      <c r="AA93" s="58" cm="1">
        <f t="array" aca="1" ref="AA93" ca="1">_xll.BDP(AA$81&amp;" "&amp;$C93&amp;" 25DP VOL LME Comdty","PX_LAST")/100</f>
        <v>0.23729442596435546</v>
      </c>
      <c r="AB93" s="45" cm="1">
        <f t="array" aca="1" ref="AB93" ca="1">_xll.BDP(AA$81&amp;" "&amp;$C93&amp;" 50D VOL LME Comdty","PX_LAST")/100</f>
        <v>0.22020071029663085</v>
      </c>
      <c r="AC93" s="58" cm="1">
        <f t="array" aca="1" ref="AC93" ca="1">_xll.BDP(AA$81&amp;" "&amp;$C93&amp;" 25DC VOL LME Comdty","PX_LAST")/100</f>
        <v>0.21969982147216796</v>
      </c>
      <c r="AD93" s="58" cm="1">
        <f t="array" aca="1" ref="AD93" ca="1">_xll.BDP(AA$81&amp;" "&amp;$C93&amp;" 10DC VOL LME Comdty","PX_LAST")/100</f>
        <v>0.21899995803833008</v>
      </c>
      <c r="AE93" s="49">
        <f t="shared" ca="1" si="20"/>
        <v>0.23020071029663086</v>
      </c>
      <c r="AF93" s="50">
        <f t="shared" ca="1" si="21"/>
        <v>-1.7594604492187499E-2</v>
      </c>
      <c r="AG93" s="50">
        <f t="shared" ca="1" si="22"/>
        <v>-3.8091735839843738E-2</v>
      </c>
      <c r="AH93" s="50">
        <f t="shared" ca="1" si="23"/>
        <v>8.2964134216308438E-3</v>
      </c>
      <c r="AI93" s="69">
        <f t="shared" ca="1" si="24"/>
        <v>1.7845115661621114E-2</v>
      </c>
      <c r="AJ93" s="50"/>
      <c r="AK93" s="68" cm="1">
        <f t="array" aca="1" ref="AK93" ca="1">_xll.BDP(AL$81&amp;" "&amp;$C93&amp;" 10DP VOL LME Comdty","PX_LAST")/100</f>
        <v>0.30849584579467776</v>
      </c>
      <c r="AL93" s="58" cm="1">
        <f t="array" aca="1" ref="AL93" ca="1">_xll.BDP(AL$81&amp;" "&amp;$C93&amp;" 25DP VOL LME Comdty","PX_LAST")/100</f>
        <v>0.29989822387695314</v>
      </c>
      <c r="AM93" s="45" cm="1">
        <f t="array" aca="1" ref="AM93" ca="1">_xll.BDP(AL$81&amp;" "&amp;$C93&amp;" 50D VOL LME Comdty","PX_LAST")/100</f>
        <v>0.29729913711547851</v>
      </c>
      <c r="AN93" s="58" cm="1">
        <f t="array" aca="1" ref="AN93" ca="1">_xll.BDP(AL$81&amp;" "&amp;$C93&amp;" 25DC VOL LME Comdty","PX_LAST")/100</f>
        <v>0.31089134216308595</v>
      </c>
      <c r="AO93" s="58" cm="1">
        <f t="array" aca="1" ref="AO93" ca="1">_xll.BDP(AL$81&amp;" "&amp;$C93&amp;" 10DC VOL LME Comdty","PX_LAST")/100</f>
        <v>0.32349262237548826</v>
      </c>
      <c r="AP93" s="49">
        <f t="shared" ca="1" si="25"/>
        <v>0.30729913711547852</v>
      </c>
      <c r="AQ93" s="50">
        <f t="shared" ca="1" si="26"/>
        <v>1.0993118286132808E-2</v>
      </c>
      <c r="AR93" s="50">
        <f t="shared" ca="1" si="27"/>
        <v>1.49967765808105E-2</v>
      </c>
      <c r="AS93" s="50">
        <f t="shared" ca="1" si="28"/>
        <v>8.0956459045410378E-3</v>
      </c>
      <c r="AT93" s="69">
        <f t="shared" ca="1" si="29"/>
        <v>1.8695096969604474E-2</v>
      </c>
    </row>
    <row r="94" spans="2:46" x14ac:dyDescent="0.25">
      <c r="B94" s="1" cm="1">
        <f t="array" aca="1" ref="B94" ca="1">_xll.QDates_SpecificWeekday(EDATE(B93,1),"Wednesday",1)</f>
        <v>44594</v>
      </c>
      <c r="C94" t="str">
        <f t="shared" ca="1" si="30"/>
        <v>FEB22</v>
      </c>
      <c r="D94" s="68" cm="1">
        <f t="array" aca="1" ref="D94" ca="1">_xll.BDP(E$81&amp;" "&amp;$C94&amp;" 10DP VOL LME Comdty","PX_LAST")/100</f>
        <v>0.19129388809204101</v>
      </c>
      <c r="E94" s="58" cm="1">
        <f t="array" aca="1" ref="E94" ca="1">_xll.BDP(E$81&amp;" "&amp;$C94&amp;" 25DP VOL LME Comdty","PX_LAST")/100</f>
        <v>0.17739503860473632</v>
      </c>
      <c r="F94" s="45" cm="1">
        <f t="array" aca="1" ref="F94" ca="1">_xll.BDP(E$81&amp;" "&amp;$C94&amp;" 50D VOL LME Comdty","PX_LAST")/100</f>
        <v>0.16250041961669923</v>
      </c>
      <c r="G94" s="58" cm="1">
        <f t="array" aca="1" ref="G94" ca="1">_xll.BDP(E$81&amp;" "&amp;$C94&amp;" 25DC VOL LME Comdty","PX_LAST")/100</f>
        <v>0.16519714355468751</v>
      </c>
      <c r="H94" s="58" cm="1">
        <f t="array" aca="1" ref="H94" ca="1">_xll.BDP(E$81&amp;" "&amp;$C94&amp;" 10DC VOL LME Comdty","PX_LAST")/100</f>
        <v>0.16989675521850586</v>
      </c>
      <c r="I94" s="49">
        <f t="shared" ca="1" si="10"/>
        <v>0.16250041961669923</v>
      </c>
      <c r="J94" s="50">
        <f t="shared" ca="1" si="11"/>
        <v>-1.2197895050048813E-2</v>
      </c>
      <c r="K94" s="50">
        <f t="shared" ca="1" si="12"/>
        <v>-2.1397132873535146E-2</v>
      </c>
      <c r="L94" s="50">
        <f t="shared" ca="1" si="13"/>
        <v>8.7956714630126887E-3</v>
      </c>
      <c r="M94" s="69">
        <f t="shared" ca="1" si="14"/>
        <v>1.8094902038574195E-2</v>
      </c>
      <c r="N94" s="50"/>
      <c r="O94" s="68" cm="1">
        <f t="array" aca="1" ref="O94" ca="1">_xll.BDP(P$81&amp;" "&amp;$C94&amp;" 10DP VOL LME Comdty","PX_LAST")/100</f>
        <v>0.27089277267456052</v>
      </c>
      <c r="P94" s="58" cm="1">
        <f t="array" aca="1" ref="P94" ca="1">_xll.BDP(P$81&amp;" "&amp;$C94&amp;" 25DP VOL LME Comdty","PX_LAST")/100</f>
        <v>0.25319473266601561</v>
      </c>
      <c r="Q94" s="45" cm="1">
        <f t="array" aca="1" ref="Q94" ca="1">_xll.BDP(P$81&amp;" "&amp;$C94&amp;" 50D VOL LME Comdty","PX_LAST")/100</f>
        <v>0.23450071334838868</v>
      </c>
      <c r="R94" s="58" cm="1">
        <f t="array" aca="1" ref="R94" ca="1">_xll.BDP(P$81&amp;" "&amp;$C94&amp;" 25DC VOL LME Comdty","PX_LAST")/100</f>
        <v>0.24049421310424804</v>
      </c>
      <c r="S94" s="58" cm="1">
        <f t="array" aca="1" ref="S94" ca="1">_xll.BDP(P$81&amp;" "&amp;$C94&amp;" 10DC VOL LME Comdty","PX_LAST")/100</f>
        <v>0.2502939796447754</v>
      </c>
      <c r="T94" s="49">
        <f t="shared" ca="1" si="15"/>
        <v>0.23450071334838868</v>
      </c>
      <c r="U94" s="50">
        <f t="shared" ca="1" si="16"/>
        <v>0</v>
      </c>
      <c r="V94" s="50">
        <f t="shared" ca="1" si="17"/>
        <v>0</v>
      </c>
      <c r="W94" s="50">
        <f t="shared" ca="1" si="18"/>
        <v>0</v>
      </c>
      <c r="X94" s="69">
        <f t="shared" ca="1" si="19"/>
        <v>0</v>
      </c>
      <c r="Y94" s="50"/>
      <c r="Z94" s="68" cm="1">
        <f t="array" aca="1" ref="Z94" ca="1">_xll.BDP(AA$81&amp;" "&amp;$C94&amp;" 10DP VOL LME Comdty","PX_LAST")/100</f>
        <v>0.25789157867431639</v>
      </c>
      <c r="AA94" s="58" cm="1">
        <f t="array" aca="1" ref="AA94" ca="1">_xll.BDP(AA$81&amp;" "&amp;$C94&amp;" 25DP VOL LME Comdty","PX_LAST")/100</f>
        <v>0.23829448699951172</v>
      </c>
      <c r="AB94" s="45" cm="1">
        <f t="array" aca="1" ref="AB94" ca="1">_xll.BDP(AA$81&amp;" "&amp;$C94&amp;" 50D VOL LME Comdty","PX_LAST")/100</f>
        <v>0.2202008056640625</v>
      </c>
      <c r="AC94" s="58" cm="1">
        <f t="array" aca="1" ref="AC94" ca="1">_xll.BDP(AA$81&amp;" "&amp;$C94&amp;" 25DC VOL LME Comdty","PX_LAST")/100</f>
        <v>0.21979988098144532</v>
      </c>
      <c r="AD94" s="58" cm="1">
        <f t="array" aca="1" ref="AD94" ca="1">_xll.BDP(AA$81&amp;" "&amp;$C94&amp;" 10DC VOL LME Comdty","PX_LAST")/100</f>
        <v>0.21879997253417968</v>
      </c>
      <c r="AE94" s="49">
        <f t="shared" ca="1" si="20"/>
        <v>0.23020080566406251</v>
      </c>
      <c r="AF94" s="50">
        <f t="shared" ca="1" si="21"/>
        <v>-1.8494606018066406E-2</v>
      </c>
      <c r="AG94" s="50">
        <f t="shared" ca="1" si="22"/>
        <v>-3.9091606140136709E-2</v>
      </c>
      <c r="AH94" s="50">
        <f t="shared" ca="1" si="23"/>
        <v>8.8463783264160212E-3</v>
      </c>
      <c r="AI94" s="69">
        <f t="shared" ca="1" si="24"/>
        <v>1.8144969940185524E-2</v>
      </c>
      <c r="AJ94" s="50"/>
      <c r="AK94" s="68" cm="1">
        <f t="array" aca="1" ref="AK94" ca="1">_xll.BDP(AL$81&amp;" "&amp;$C94&amp;" 10DP VOL LME Comdty","PX_LAST")/100</f>
        <v>0.30859575271606443</v>
      </c>
      <c r="AL94" s="58" cm="1">
        <f t="array" aca="1" ref="AL94" ca="1">_xll.BDP(AL$81&amp;" "&amp;$C94&amp;" 25DP VOL LME Comdty","PX_LAST")/100</f>
        <v>0.29969825744628908</v>
      </c>
      <c r="AM94" s="45" cm="1">
        <f t="array" aca="1" ref="AM94" ca="1">_xll.BDP(AL$81&amp;" "&amp;$C94&amp;" 50D VOL LME Comdty","PX_LAST")/100</f>
        <v>0.2973990058898926</v>
      </c>
      <c r="AN94" s="58" cm="1">
        <f t="array" aca="1" ref="AN94" ca="1">_xll.BDP(AL$81&amp;" "&amp;$C94&amp;" 25DC VOL LME Comdty","PX_LAST")/100</f>
        <v>0.31169118881225588</v>
      </c>
      <c r="AO94" s="58" cm="1">
        <f t="array" aca="1" ref="AO94" ca="1">_xll.BDP(AL$81&amp;" "&amp;$C94&amp;" 10DC VOL LME Comdty","PX_LAST")/100</f>
        <v>0.32399272918701172</v>
      </c>
      <c r="AP94" s="49">
        <f t="shared" ca="1" si="25"/>
        <v>0.30739900588989261</v>
      </c>
      <c r="AQ94" s="50">
        <f t="shared" ca="1" si="26"/>
        <v>1.1992931365966797E-2</v>
      </c>
      <c r="AR94" s="50">
        <f t="shared" ca="1" si="27"/>
        <v>1.5396976470947288E-2</v>
      </c>
      <c r="AS94" s="50">
        <f t="shared" ca="1" si="28"/>
        <v>8.295717239379885E-3</v>
      </c>
      <c r="AT94" s="69">
        <f t="shared" ca="1" si="29"/>
        <v>1.8895235061645477E-2</v>
      </c>
    </row>
    <row r="95" spans="2:46" x14ac:dyDescent="0.25">
      <c r="B95" s="1" cm="1">
        <f t="array" aca="1" ref="B95" ca="1">_xll.QDates_SpecificWeekday(EDATE(B94,1),"Wednesday",1)</f>
        <v>44622</v>
      </c>
      <c r="C95" t="str">
        <f t="shared" ca="1" si="30"/>
        <v>MAR22</v>
      </c>
      <c r="D95" s="68" cm="1">
        <f t="array" aca="1" ref="D95" ca="1">_xll.BDP(E$81&amp;" "&amp;$C95&amp;" 10DP VOL LME Comdty","PX_LAST")/100</f>
        <v>0.1913938331604004</v>
      </c>
      <c r="E95" s="58" cm="1">
        <f t="array" aca="1" ref="E95" ca="1">_xll.BDP(E$81&amp;" "&amp;$C95&amp;" 25DP VOL LME Comdty","PX_LAST")/100</f>
        <v>0.17649494171142577</v>
      </c>
      <c r="F95" s="45" cm="1">
        <f t="array" aca="1" ref="F95" ca="1">_xll.BDP(E$81&amp;" "&amp;$C95&amp;" 50D VOL LME Comdty","PX_LAST")/100</f>
        <v>0.16160045623779296</v>
      </c>
      <c r="G95" s="58" cm="1">
        <f t="array" aca="1" ref="G95" ca="1">_xll.BDP(E$81&amp;" "&amp;$C95&amp;" 25DC VOL LME Comdty","PX_LAST")/100</f>
        <v>0.16479675292968751</v>
      </c>
      <c r="H95" s="58" cm="1">
        <f t="array" aca="1" ref="H95" ca="1">_xll.BDP(E$81&amp;" "&amp;$C95&amp;" 10DC VOL LME Comdty","PX_LAST")/100</f>
        <v>0.17089687347412108</v>
      </c>
      <c r="I95" s="49">
        <f t="shared" ca="1" si="10"/>
        <v>0.16160045623779296</v>
      </c>
      <c r="J95" s="50">
        <f t="shared" ca="1" si="11"/>
        <v>-1.1698188781738256E-2</v>
      </c>
      <c r="K95" s="50">
        <f t="shared" ca="1" si="12"/>
        <v>-2.049695968627932E-2</v>
      </c>
      <c r="L95" s="50">
        <f t="shared" ca="1" si="13"/>
        <v>9.0453910827636985E-3</v>
      </c>
      <c r="M95" s="69">
        <f t="shared" ca="1" si="14"/>
        <v>1.9544897079467771E-2</v>
      </c>
      <c r="N95" s="50"/>
      <c r="O95" s="68" cm="1">
        <f t="array" aca="1" ref="O95" ca="1">_xll.BDP(P$81&amp;" "&amp;$C95&amp;" 10DP VOL LME Comdty","PX_LAST")/100</f>
        <v>0.26749282836914062</v>
      </c>
      <c r="P95" s="58" cm="1">
        <f t="array" aca="1" ref="P95" ca="1">_xll.BDP(P$81&amp;" "&amp;$C95&amp;" 25DP VOL LME Comdty","PX_LAST")/100</f>
        <v>0.24939477920532227</v>
      </c>
      <c r="Q95" s="45" cm="1">
        <f t="array" aca="1" ref="Q95" ca="1">_xll.BDP(P$81&amp;" "&amp;$C95&amp;" 50D VOL LME Comdty","PX_LAST")/100</f>
        <v>0.23100078582763672</v>
      </c>
      <c r="R95" s="58" cm="1">
        <f t="array" aca="1" ref="R95" ca="1">_xll.BDP(P$81&amp;" "&amp;$C95&amp;" 25DC VOL LME Comdty","PX_LAST")/100</f>
        <v>0.23619449615478516</v>
      </c>
      <c r="S95" s="58" cm="1">
        <f t="array" aca="1" ref="S95" ca="1">_xll.BDP(P$81&amp;" "&amp;$C95&amp;" 10DC VOL LME Comdty","PX_LAST")/100</f>
        <v>0.24549421310424804</v>
      </c>
      <c r="T95" s="49">
        <f t="shared" ca="1" si="15"/>
        <v>0.23100078582763672</v>
      </c>
      <c r="U95" s="50">
        <f t="shared" ca="1" si="16"/>
        <v>0</v>
      </c>
      <c r="V95" s="50">
        <f t="shared" ca="1" si="17"/>
        <v>0</v>
      </c>
      <c r="W95" s="50">
        <f t="shared" ca="1" si="18"/>
        <v>0</v>
      </c>
      <c r="X95" s="69">
        <f t="shared" ca="1" si="19"/>
        <v>0</v>
      </c>
      <c r="Y95" s="50"/>
      <c r="Z95" s="68" cm="1">
        <f t="array" aca="1" ref="Z95" ca="1">_xll.BDP(AA$81&amp;" "&amp;$C95&amp;" 10DP VOL LME Comdty","PX_LAST")/100</f>
        <v>0.25819150924682616</v>
      </c>
      <c r="AA95" s="58" cm="1">
        <f t="array" aca="1" ref="AA95" ca="1">_xll.BDP(AA$81&amp;" "&amp;$C95&amp;" 25DP VOL LME Comdty","PX_LAST")/100</f>
        <v>0.23819452285766601</v>
      </c>
      <c r="AB95" s="45" cm="1">
        <f t="array" aca="1" ref="AB95" ca="1">_xll.BDP(AA$81&amp;" "&amp;$C95&amp;" 50D VOL LME Comdty","PX_LAST")/100</f>
        <v>0.22000083923339844</v>
      </c>
      <c r="AC95" s="58" cm="1">
        <f t="array" aca="1" ref="AC95" ca="1">_xll.BDP(AA$81&amp;" "&amp;$C95&amp;" 25DC VOL LME Comdty","PX_LAST")/100</f>
        <v>0.21969991683959961</v>
      </c>
      <c r="AD95" s="58" cm="1">
        <f t="array" aca="1" ref="AD95" ca="1">_xll.BDP(AA$81&amp;" "&amp;$C95&amp;" 10DC VOL LME Comdty","PX_LAST")/100</f>
        <v>0.21839998245239259</v>
      </c>
      <c r="AE95" s="49">
        <f t="shared" ca="1" si="20"/>
        <v>0.23000083923339845</v>
      </c>
      <c r="AF95" s="50">
        <f t="shared" ca="1" si="21"/>
        <v>-1.8494606018066406E-2</v>
      </c>
      <c r="AG95" s="50">
        <f t="shared" ca="1" si="22"/>
        <v>-3.9791526794433568E-2</v>
      </c>
      <c r="AH95" s="50">
        <f t="shared" ca="1" si="23"/>
        <v>8.9463806152343672E-3</v>
      </c>
      <c r="AI95" s="69">
        <f t="shared" ca="1" si="24"/>
        <v>1.8294906616210943E-2</v>
      </c>
      <c r="AJ95" s="50"/>
      <c r="AK95" s="68" cm="1">
        <f t="array" aca="1" ref="AK95" ca="1">_xll.BDP(AL$81&amp;" "&amp;$C95&amp;" 10DP VOL LME Comdty","PX_LAST")/100</f>
        <v>0.30869571685791014</v>
      </c>
      <c r="AL95" s="58" cm="1">
        <f t="array" aca="1" ref="AL95" ca="1">_xll.BDP(AL$81&amp;" "&amp;$C95&amp;" 25DP VOL LME Comdty","PX_LAST")/100</f>
        <v>0.29959823608398439</v>
      </c>
      <c r="AM95" s="45" cm="1">
        <f t="array" aca="1" ref="AM95" ca="1">_xll.BDP(AL$81&amp;" "&amp;$C95&amp;" 50D VOL LME Comdty","PX_LAST")/100</f>
        <v>0.29709894180297852</v>
      </c>
      <c r="AN95" s="58" cm="1">
        <f t="array" aca="1" ref="AN95" ca="1">_xll.BDP(AL$81&amp;" "&amp;$C95&amp;" 25DC VOL LME Comdty","PX_LAST")/100</f>
        <v>0.31149105072021482</v>
      </c>
      <c r="AO95" s="58" cm="1">
        <f t="array" aca="1" ref="AO95" ca="1">_xll.BDP(AL$81&amp;" "&amp;$C95&amp;" 10DC VOL LME Comdty","PX_LAST")/100</f>
        <v>0.32379272460937503</v>
      </c>
      <c r="AP95" s="49">
        <f t="shared" ca="1" si="25"/>
        <v>0.30709894180297853</v>
      </c>
      <c r="AQ95" s="50">
        <f t="shared" ca="1" si="26"/>
        <v>1.1892814636230431E-2</v>
      </c>
      <c r="AR95" s="50">
        <f t="shared" ca="1" si="27"/>
        <v>1.5097007751464886E-2</v>
      </c>
      <c r="AS95" s="50">
        <f t="shared" ca="1" si="28"/>
        <v>8.4457015991211137E-3</v>
      </c>
      <c r="AT95" s="69">
        <f t="shared" ca="1" si="29"/>
        <v>1.9145278930664034E-2</v>
      </c>
    </row>
    <row r="96" spans="2:46" x14ac:dyDescent="0.25">
      <c r="B96" s="1" cm="1">
        <f t="array" aca="1" ref="B96" ca="1">_xll.QDates_SpecificWeekday(EDATE(B95,1),"Wednesday",1)</f>
        <v>44657</v>
      </c>
      <c r="C96" t="str">
        <f t="shared" ca="1" si="30"/>
        <v>APR22</v>
      </c>
      <c r="D96" s="68" cm="1">
        <f t="array" aca="1" ref="D96" ca="1">_xll.BDP(E$81&amp;" "&amp;$C96&amp;" 10DP VOL LME Comdty","PX_LAST")/100</f>
        <v>0.19069425582885743</v>
      </c>
      <c r="E96" s="58" cm="1">
        <f t="array" aca="1" ref="E96" ca="1">_xll.BDP(E$81&amp;" "&amp;$C96&amp;" 25DP VOL LME Comdty","PX_LAST")/100</f>
        <v>0.1766950035095215</v>
      </c>
      <c r="F96" s="45" cm="1">
        <f t="array" aca="1" ref="F96" ca="1">_xll.BDP(E$81&amp;" "&amp;$C96&amp;" 50D VOL LME Comdty","PX_LAST")/100</f>
        <v>0.16060054779052735</v>
      </c>
      <c r="G96" s="58" cm="1">
        <f t="array" aca="1" ref="G96" ca="1">_xll.BDP(E$81&amp;" "&amp;$C96&amp;" 25DC VOL LME Comdty","PX_LAST")/100</f>
        <v>0.16279727935791016</v>
      </c>
      <c r="H96" s="58" cm="1">
        <f t="array" aca="1" ref="H96" ca="1">_xll.BDP(E$81&amp;" "&amp;$C96&amp;" 10DC VOL LME Comdty","PX_LAST")/100</f>
        <v>0.16729694366455078</v>
      </c>
      <c r="I96" s="49">
        <f t="shared" ca="1" si="10"/>
        <v>0.16060054779052735</v>
      </c>
      <c r="J96" s="50">
        <f t="shared" ca="1" si="11"/>
        <v>-1.3897724151611335E-2</v>
      </c>
      <c r="K96" s="50">
        <f t="shared" ca="1" si="12"/>
        <v>-2.3397312164306655E-2</v>
      </c>
      <c r="L96" s="50">
        <f t="shared" ca="1" si="13"/>
        <v>9.1455936431884821E-3</v>
      </c>
      <c r="M96" s="69">
        <f t="shared" ca="1" si="14"/>
        <v>1.8395051956176744E-2</v>
      </c>
      <c r="N96" s="50"/>
      <c r="O96" s="68" cm="1">
        <f t="array" aca="1" ref="O96" ca="1">_xll.BDP(P$81&amp;" "&amp;$C96&amp;" 10DP VOL LME Comdty","PX_LAST")/100</f>
        <v>0.26469295501708984</v>
      </c>
      <c r="P96" s="58" cm="1">
        <f t="array" aca="1" ref="P96" ca="1">_xll.BDP(P$81&amp;" "&amp;$C96&amp;" 25DP VOL LME Comdty","PX_LAST")/100</f>
        <v>0.24709480285644531</v>
      </c>
      <c r="Q96" s="45" cm="1">
        <f t="array" aca="1" ref="Q96" ca="1">_xll.BDP(P$81&amp;" "&amp;$C96&amp;" 50D VOL LME Comdty","PX_LAST")/100</f>
        <v>0.22750089645385743</v>
      </c>
      <c r="R96" s="58" cm="1">
        <f t="array" aca="1" ref="R96" ca="1">_xll.BDP(P$81&amp;" "&amp;$C96&amp;" 25DC VOL LME Comdty","PX_LAST")/100</f>
        <v>0.23239473342895509</v>
      </c>
      <c r="S96" s="58" cm="1">
        <f t="array" aca="1" ref="S96" ca="1">_xll.BDP(P$81&amp;" "&amp;$C96&amp;" 10DC VOL LME Comdty","PX_LAST")/100</f>
        <v>0.24119447708129882</v>
      </c>
      <c r="T96" s="49">
        <f t="shared" ca="1" si="15"/>
        <v>0.22750089645385743</v>
      </c>
      <c r="U96" s="50">
        <f t="shared" ca="1" si="16"/>
        <v>0</v>
      </c>
      <c r="V96" s="50">
        <f t="shared" ca="1" si="17"/>
        <v>0</v>
      </c>
      <c r="W96" s="50">
        <f t="shared" ca="1" si="18"/>
        <v>0</v>
      </c>
      <c r="X96" s="69">
        <f t="shared" ca="1" si="19"/>
        <v>0</v>
      </c>
      <c r="Y96" s="50"/>
      <c r="Z96" s="68" cm="1">
        <f t="array" aca="1" ref="Z96" ca="1">_xll.BDP(AA$81&amp;" "&amp;$C96&amp;" 10DP VOL LME Comdty","PX_LAST")/100</f>
        <v>0.25859149932861331</v>
      </c>
      <c r="AA96" s="58" cm="1">
        <f t="array" aca="1" ref="AA96" ca="1">_xll.BDP(AA$81&amp;" "&amp;$C96&amp;" 25DP VOL LME Comdty","PX_LAST")/100</f>
        <v>0.23849458694458009</v>
      </c>
      <c r="AB96" s="45" cm="1">
        <f t="array" aca="1" ref="AB96" ca="1">_xll.BDP(AA$81&amp;" "&amp;$C96&amp;" 50D VOL LME Comdty","PX_LAST")/100</f>
        <v>0.21990089416503905</v>
      </c>
      <c r="AC96" s="58" cm="1">
        <f t="array" aca="1" ref="AC96" ca="1">_xll.BDP(AA$81&amp;" "&amp;$C96&amp;" 25DC VOL LME Comdty","PX_LAST")/100</f>
        <v>0.21959991455078126</v>
      </c>
      <c r="AD96" s="58" cm="1">
        <f t="array" aca="1" ref="AD96" ca="1">_xll.BDP(AA$81&amp;" "&amp;$C96&amp;" 10DC VOL LME Comdty","PX_LAST")/100</f>
        <v>0.21839998245239259</v>
      </c>
      <c r="AE96" s="49">
        <f t="shared" ca="1" si="20"/>
        <v>0.22990089416503906</v>
      </c>
      <c r="AF96" s="50">
        <f t="shared" ca="1" si="21"/>
        <v>-1.8894672393798828E-2</v>
      </c>
      <c r="AG96" s="50">
        <f t="shared" ca="1" si="22"/>
        <v>-4.0191516876220718E-2</v>
      </c>
      <c r="AH96" s="50">
        <f t="shared" ca="1" si="23"/>
        <v>9.1463565826416238E-3</v>
      </c>
      <c r="AI96" s="69">
        <f t="shared" ca="1" si="24"/>
        <v>1.8594846725463909E-2</v>
      </c>
      <c r="AJ96" s="50"/>
      <c r="AK96" s="68" cm="1">
        <f t="array" aca="1" ref="AK96" ca="1">_xll.BDP(AL$81&amp;" "&amp;$C96&amp;" 10DP VOL LME Comdty","PX_LAST")/100</f>
        <v>0.30899564743041991</v>
      </c>
      <c r="AL96" s="58" cm="1">
        <f t="array" aca="1" ref="AL96" ca="1">_xll.BDP(AL$81&amp;" "&amp;$C96&amp;" 25DP VOL LME Comdty","PX_LAST")/100</f>
        <v>0.29959827423095703</v>
      </c>
      <c r="AM96" s="45" cm="1">
        <f t="array" aca="1" ref="AM96" ca="1">_xll.BDP(AL$81&amp;" "&amp;$C96&amp;" 50D VOL LME Comdty","PX_LAST")/100</f>
        <v>0.29719886779785154</v>
      </c>
      <c r="AN96" s="58" cm="1">
        <f t="array" aca="1" ref="AN96" ca="1">_xll.BDP(AL$81&amp;" "&amp;$C96&amp;" 25DC VOL LME Comdty","PX_LAST")/100</f>
        <v>0.31179086685180663</v>
      </c>
      <c r="AO96" s="58" cm="1">
        <f t="array" aca="1" ref="AO96" ca="1">_xll.BDP(AL$81&amp;" "&amp;$C96&amp;" 10DC VOL LME Comdty","PX_LAST")/100</f>
        <v>0.32419273376464841</v>
      </c>
      <c r="AP96" s="49">
        <f t="shared" ca="1" si="25"/>
        <v>0.30719886779785155</v>
      </c>
      <c r="AQ96" s="50">
        <f t="shared" ca="1" si="26"/>
        <v>1.2192592620849596E-2</v>
      </c>
      <c r="AR96" s="50">
        <f t="shared" ca="1" si="27"/>
        <v>1.5197086334228505E-2</v>
      </c>
      <c r="AS96" s="50">
        <f t="shared" ca="1" si="28"/>
        <v>8.4957027435302868E-3</v>
      </c>
      <c r="AT96" s="69">
        <f t="shared" ca="1" si="29"/>
        <v>1.9395322799682591E-2</v>
      </c>
    </row>
    <row r="97" spans="2:46" x14ac:dyDescent="0.25">
      <c r="B97" s="1" cm="1">
        <f t="array" aca="1" ref="B97" ca="1">_xll.QDates_SpecificWeekday(EDATE(B96,1),"Wednesday",1)</f>
        <v>44685</v>
      </c>
      <c r="C97" t="str">
        <f t="shared" ca="1" si="30"/>
        <v>MAY22</v>
      </c>
      <c r="D97" s="68" cm="1">
        <f t="array" aca="1" ref="D97" ca="1">_xll.BDP(E$81&amp;" "&amp;$C97&amp;" 10DP VOL LME Comdty","PX_LAST")/100</f>
        <v>0.19049440383911131</v>
      </c>
      <c r="E97" s="58" cm="1">
        <f t="array" aca="1" ref="E97" ca="1">_xll.BDP(E$81&amp;" "&amp;$C97&amp;" 25DP VOL LME Comdty","PX_LAST")/100</f>
        <v>0.17679506301879883</v>
      </c>
      <c r="F97" s="45" cm="1">
        <f t="array" aca="1" ref="F97" ca="1">_xll.BDP(E$81&amp;" "&amp;$C97&amp;" 50D VOL LME Comdty","PX_LAST")/100</f>
        <v>0.16030059814453124</v>
      </c>
      <c r="G97" s="58" cm="1">
        <f t="array" aca="1" ref="G97" ca="1">_xll.BDP(E$81&amp;" "&amp;$C97&amp;" 25DC VOL LME Comdty","PX_LAST")/100</f>
        <v>0.1624973487854004</v>
      </c>
      <c r="H97" s="58" cm="1">
        <f t="array" aca="1" ref="H97" ca="1">_xll.BDP(E$81&amp;" "&amp;$C97&amp;" 10DC VOL LME Comdty","PX_LAST")/100</f>
        <v>0.16709703445434571</v>
      </c>
      <c r="I97" s="49">
        <f t="shared" ca="1" si="10"/>
        <v>0.16030059814453124</v>
      </c>
      <c r="J97" s="50">
        <f t="shared" ca="1" si="11"/>
        <v>-1.4297714233398429E-2</v>
      </c>
      <c r="K97" s="50">
        <f t="shared" ca="1" si="12"/>
        <v>-2.3397369384765609E-2</v>
      </c>
      <c r="L97" s="50">
        <f t="shared" ca="1" si="13"/>
        <v>9.3456077575683749E-3</v>
      </c>
      <c r="M97" s="69">
        <f t="shared" ca="1" si="14"/>
        <v>1.8495121002197273E-2</v>
      </c>
      <c r="N97" s="50"/>
      <c r="O97" s="68" cm="1">
        <f t="array" aca="1" ref="O97" ca="1">_xll.BDP(P$81&amp;" "&amp;$C97&amp;" 10DP VOL LME Comdty","PX_LAST")/100</f>
        <v>0.26079311370849612</v>
      </c>
      <c r="P97" s="58" cm="1">
        <f t="array" aca="1" ref="P97" ca="1">_xll.BDP(P$81&amp;" "&amp;$C97&amp;" 25DP VOL LME Comdty","PX_LAST")/100</f>
        <v>0.24319480895996093</v>
      </c>
      <c r="Q97" s="45" cm="1">
        <f t="array" aca="1" ref="Q97" ca="1">_xll.BDP(P$81&amp;" "&amp;$C97&amp;" 50D VOL LME Comdty","PX_LAST")/100</f>
        <v>0.2232009506225586</v>
      </c>
      <c r="R97" s="58" cm="1">
        <f t="array" aca="1" ref="R97" ca="1">_xll.BDP(P$81&amp;" "&amp;$C97&amp;" 25DC VOL LME Comdty","PX_LAST")/100</f>
        <v>0.22759496688842773</v>
      </c>
      <c r="S97" s="58" cm="1">
        <f t="array" aca="1" ref="S97" ca="1">_xll.BDP(P$81&amp;" "&amp;$C97&amp;" 10DC VOL LME Comdty","PX_LAST")/100</f>
        <v>0.23599464416503907</v>
      </c>
      <c r="T97" s="49">
        <f t="shared" ca="1" si="15"/>
        <v>0.2232009506225586</v>
      </c>
      <c r="U97" s="50">
        <f t="shared" ca="1" si="16"/>
        <v>0</v>
      </c>
      <c r="V97" s="50">
        <f t="shared" ca="1" si="17"/>
        <v>0</v>
      </c>
      <c r="W97" s="50">
        <f t="shared" ca="1" si="18"/>
        <v>0</v>
      </c>
      <c r="X97" s="69">
        <f t="shared" ca="1" si="19"/>
        <v>0</v>
      </c>
      <c r="Y97" s="50"/>
      <c r="Z97" s="68" cm="1">
        <f t="array" aca="1" ref="Z97" ca="1">_xll.BDP(AA$81&amp;" "&amp;$C97&amp;" 10DP VOL LME Comdty","PX_LAST")/100</f>
        <v>0.25889152526855469</v>
      </c>
      <c r="AA97" s="58" cm="1">
        <f t="array" aca="1" ref="AA97" ca="1">_xll.BDP(AA$81&amp;" "&amp;$C97&amp;" 25DP VOL LME Comdty","PX_LAST")/100</f>
        <v>0.23869468688964843</v>
      </c>
      <c r="AB97" s="45" cm="1">
        <f t="array" aca="1" ref="AB97" ca="1">_xll.BDP(AA$81&amp;" "&amp;$C97&amp;" 50D VOL LME Comdty","PX_LAST")/100</f>
        <v>0.22000093460083009</v>
      </c>
      <c r="AC97" s="58" cm="1">
        <f t="array" aca="1" ref="AC97" ca="1">_xll.BDP(AA$81&amp;" "&amp;$C97&amp;" 25DC VOL LME Comdty","PX_LAST")/100</f>
        <v>0.21969991683959961</v>
      </c>
      <c r="AD97" s="58" cm="1">
        <f t="array" aca="1" ref="AD97" ca="1">_xll.BDP(AA$81&amp;" "&amp;$C97&amp;" 10DC VOL LME Comdty","PX_LAST")/100</f>
        <v>0.21839998245239259</v>
      </c>
      <c r="AE97" s="49">
        <f t="shared" ca="1" si="20"/>
        <v>0.2300009346008301</v>
      </c>
      <c r="AF97" s="50">
        <f t="shared" ca="1" si="21"/>
        <v>-1.899477005004882E-2</v>
      </c>
      <c r="AG97" s="50">
        <f t="shared" ca="1" si="22"/>
        <v>-4.0491542816162102E-2</v>
      </c>
      <c r="AH97" s="50">
        <f t="shared" ca="1" si="23"/>
        <v>9.1963672637939142E-3</v>
      </c>
      <c r="AI97" s="69">
        <f t="shared" ca="1" si="24"/>
        <v>1.8644819259643564E-2</v>
      </c>
      <c r="AJ97" s="50"/>
      <c r="AK97" s="68" cm="1">
        <f t="array" aca="1" ref="AK97" ca="1">_xll.BDP(AL$81&amp;" "&amp;$C97&amp;" 10DP VOL LME Comdty","PX_LAST")/100</f>
        <v>0.30919563293457031</v>
      </c>
      <c r="AL97" s="58" cm="1">
        <f t="array" aca="1" ref="AL97" ca="1">_xll.BDP(AL$81&amp;" "&amp;$C97&amp;" 25DP VOL LME Comdty","PX_LAST")/100</f>
        <v>0.29969831466674807</v>
      </c>
      <c r="AM97" s="45" cm="1">
        <f t="array" aca="1" ref="AM97" ca="1">_xll.BDP(AL$81&amp;" "&amp;$C97&amp;" 50D VOL LME Comdty","PX_LAST")/100</f>
        <v>0.29729881286621096</v>
      </c>
      <c r="AN97" s="58" cm="1">
        <f t="array" aca="1" ref="AN97" ca="1">_xll.BDP(AL$81&amp;" "&amp;$C97&amp;" 25DC VOL LME Comdty","PX_LAST")/100</f>
        <v>0.31199073791503906</v>
      </c>
      <c r="AO97" s="58" cm="1">
        <f t="array" aca="1" ref="AO97" ca="1">_xll.BDP(AL$81&amp;" "&amp;$C97&amp;" 10DC VOL LME Comdty","PX_LAST")/100</f>
        <v>0.32439273834228516</v>
      </c>
      <c r="AP97" s="49">
        <f t="shared" ca="1" si="25"/>
        <v>0.30729881286621097</v>
      </c>
      <c r="AQ97" s="50">
        <f t="shared" ca="1" si="26"/>
        <v>1.2292423248290996E-2</v>
      </c>
      <c r="AR97" s="50">
        <f t="shared" ca="1" si="27"/>
        <v>1.519710540771485E-2</v>
      </c>
      <c r="AS97" s="50">
        <f t="shared" ca="1" si="28"/>
        <v>8.5457134246825772E-3</v>
      </c>
      <c r="AT97" s="69">
        <f t="shared" ca="1" si="29"/>
        <v>1.9495372772216801E-2</v>
      </c>
    </row>
    <row r="98" spans="2:46" x14ac:dyDescent="0.25">
      <c r="B98" s="1" cm="1">
        <f t="array" aca="1" ref="B98" ca="1">_xll.QDates_SpecificWeekday(EDATE(B97,1),"Wednesday",1)</f>
        <v>44713</v>
      </c>
      <c r="C98" t="str">
        <f t="shared" ca="1" si="30"/>
        <v>JUN22</v>
      </c>
      <c r="D98" s="68" cm="1">
        <f t="array" aca="1" ref="D98" ca="1">_xll.BDP(E$81&amp;" "&amp;$C98&amp;" 10DP VOL LME Comdty","PX_LAST")/100</f>
        <v>0.19019454956054688</v>
      </c>
      <c r="E98" s="58" cm="1">
        <f t="array" aca="1" ref="E98" ca="1">_xll.BDP(E$81&amp;" "&amp;$C98&amp;" 25DP VOL LME Comdty","PX_LAST")/100</f>
        <v>0.17679510116577149</v>
      </c>
      <c r="F98" s="45" cm="1">
        <f t="array" aca="1" ref="F98" ca="1">_xll.BDP(E$81&amp;" "&amp;$C98&amp;" 50D VOL LME Comdty","PX_LAST")/100</f>
        <v>0.15980063438415526</v>
      </c>
      <c r="G98" s="58" cm="1">
        <f t="array" aca="1" ref="G98" ca="1">_xll.BDP(E$81&amp;" "&amp;$C98&amp;" 25DC VOL LME Comdty","PX_LAST")/100</f>
        <v>0.16179737091064453</v>
      </c>
      <c r="H98" s="58" cm="1">
        <f t="array" aca="1" ref="H98" ca="1">_xll.BDP(E$81&amp;" "&amp;$C98&amp;" 10DC VOL LME Comdty","PX_LAST")/100</f>
        <v>0.16659709930419922</v>
      </c>
      <c r="I98" s="49">
        <f t="shared" ca="1" si="10"/>
        <v>0.15980063438415526</v>
      </c>
      <c r="J98" s="50">
        <f t="shared" ca="1" si="11"/>
        <v>-1.4997730255126962E-2</v>
      </c>
      <c r="K98" s="50">
        <f t="shared" ca="1" si="12"/>
        <v>-2.3597450256347657E-2</v>
      </c>
      <c r="L98" s="50">
        <f t="shared" ca="1" si="13"/>
        <v>9.4956016540527488E-3</v>
      </c>
      <c r="M98" s="69">
        <f t="shared" ca="1" si="14"/>
        <v>1.8595190048217802E-2</v>
      </c>
      <c r="N98" s="50"/>
      <c r="O98" s="68" cm="1">
        <f t="array" aca="1" ref="O98" ca="1">_xll.BDP(P$81&amp;" "&amp;$C98&amp;" 10DP VOL LME Comdty","PX_LAST")/100</f>
        <v>0.25779319763183595</v>
      </c>
      <c r="P98" s="58" cm="1">
        <f t="array" aca="1" ref="P98" ca="1">_xll.BDP(P$81&amp;" "&amp;$C98&amp;" 25DP VOL LME Comdty","PX_LAST")/100</f>
        <v>0.24019485473632812</v>
      </c>
      <c r="Q98" s="45" cm="1">
        <f t="array" aca="1" ref="Q98" ca="1">_xll.BDP(P$81&amp;" "&amp;$C98&amp;" 50D VOL LME Comdty","PX_LAST")/100</f>
        <v>0.22000101089477539</v>
      </c>
      <c r="R98" s="58" cm="1">
        <f t="array" aca="1" ref="R98" ca="1">_xll.BDP(P$81&amp;" "&amp;$C98&amp;" 25DC VOL LME Comdty","PX_LAST")/100</f>
        <v>0.22399515151977539</v>
      </c>
      <c r="S98" s="58" cm="1">
        <f t="array" aca="1" ref="S98" ca="1">_xll.BDP(P$81&amp;" "&amp;$C98&amp;" 10DC VOL LME Comdty","PX_LAST")/100</f>
        <v>0.2318947982788086</v>
      </c>
      <c r="T98" s="49">
        <f t="shared" ca="1" si="15"/>
        <v>0.22000101089477539</v>
      </c>
      <c r="U98" s="50">
        <f t="shared" ca="1" si="16"/>
        <v>0</v>
      </c>
      <c r="V98" s="50">
        <f t="shared" ca="1" si="17"/>
        <v>0</v>
      </c>
      <c r="W98" s="50">
        <f t="shared" ca="1" si="18"/>
        <v>0</v>
      </c>
      <c r="X98" s="69">
        <f t="shared" ca="1" si="19"/>
        <v>0</v>
      </c>
      <c r="Y98" s="50"/>
      <c r="Z98" s="68" cm="1">
        <f t="array" aca="1" ref="Z98" ca="1">_xll.BDP(AA$81&amp;" "&amp;$C98&amp;" 10DP VOL LME Comdty","PX_LAST")/100</f>
        <v>0.25869155883789063</v>
      </c>
      <c r="AA98" s="58" cm="1">
        <f t="array" aca="1" ref="AA98" ca="1">_xll.BDP(AA$81&amp;" "&amp;$C98&amp;" 25DP VOL LME Comdty","PX_LAST")/100</f>
        <v>0.23849475860595704</v>
      </c>
      <c r="AB98" s="45" cm="1">
        <f t="array" aca="1" ref="AB98" ca="1">_xll.BDP(AA$81&amp;" "&amp;$C98&amp;" 50D VOL LME Comdty","PX_LAST")/100</f>
        <v>0.21960094451904297</v>
      </c>
      <c r="AC98" s="58" cm="1">
        <f t="array" aca="1" ref="AC98" ca="1">_xll.BDP(AA$81&amp;" "&amp;$C98&amp;" 25DC VOL LME Comdty","PX_LAST")/100</f>
        <v>0.21939990997314454</v>
      </c>
      <c r="AD98" s="58" cm="1">
        <f t="array" aca="1" ref="AD98" ca="1">_xll.BDP(AA$81&amp;" "&amp;$C98&amp;" 10DC VOL LME Comdty","PX_LAST")/100</f>
        <v>0.21799997329711915</v>
      </c>
      <c r="AE98" s="49">
        <f t="shared" ca="1" si="20"/>
        <v>0.22960094451904298</v>
      </c>
      <c r="AF98" s="50">
        <f t="shared" ca="1" si="21"/>
        <v>-1.9094848632812494E-2</v>
      </c>
      <c r="AG98" s="50">
        <f t="shared" ca="1" si="22"/>
        <v>-4.0691585540771485E-2</v>
      </c>
      <c r="AH98" s="50">
        <f t="shared" ca="1" si="23"/>
        <v>9.3463897705078069E-3</v>
      </c>
      <c r="AI98" s="69">
        <f t="shared" ca="1" si="24"/>
        <v>1.8744821548461937E-2</v>
      </c>
      <c r="AJ98" s="50"/>
      <c r="AK98" s="68" cm="1">
        <f t="array" aca="1" ref="AK98" ca="1">_xll.BDP(AL$81&amp;" "&amp;$C98&amp;" 10DP VOL LME Comdty","PX_LAST")/100</f>
        <v>0.3094956398010254</v>
      </c>
      <c r="AL98" s="58" cm="1">
        <f t="array" aca="1" ref="AL98" ca="1">_xll.BDP(AL$81&amp;" "&amp;$C98&amp;" 25DP VOL LME Comdty","PX_LAST")/100</f>
        <v>0.2999983596801758</v>
      </c>
      <c r="AM98" s="45" cm="1">
        <f t="array" aca="1" ref="AM98" ca="1">_xll.BDP(AL$81&amp;" "&amp;$C98&amp;" 50D VOL LME Comdty","PX_LAST")/100</f>
        <v>0.29749876022338867</v>
      </c>
      <c r="AN98" s="58" cm="1">
        <f t="array" aca="1" ref="AN98" ca="1">_xll.BDP(AL$81&amp;" "&amp;$C98&amp;" 25DC VOL LME Comdty","PX_LAST")/100</f>
        <v>0.31239063262939454</v>
      </c>
      <c r="AO98" s="58" cm="1">
        <f t="array" aca="1" ref="AO98" ca="1">_xll.BDP(AL$81&amp;" "&amp;$C98&amp;" 10DC VOL LME Comdty","PX_LAST")/100</f>
        <v>0.32469272613525391</v>
      </c>
      <c r="AP98" s="49">
        <f t="shared" ca="1" si="25"/>
        <v>0.30749876022338868</v>
      </c>
      <c r="AQ98" s="50">
        <f t="shared" ca="1" si="26"/>
        <v>1.2392272949218741E-2</v>
      </c>
      <c r="AR98" s="50">
        <f t="shared" ca="1" si="27"/>
        <v>1.5197086334228505E-2</v>
      </c>
      <c r="AS98" s="50">
        <f t="shared" ca="1" si="28"/>
        <v>8.6957359313964977E-3</v>
      </c>
      <c r="AT98" s="69">
        <f t="shared" ca="1" si="29"/>
        <v>1.9595422744750957E-2</v>
      </c>
    </row>
    <row r="99" spans="2:46" x14ac:dyDescent="0.25">
      <c r="B99" s="1" cm="1">
        <f t="array" aca="1" ref="B99" ca="1">_xll.QDates_SpecificWeekday(EDATE(B98,1),"Wednesday",1)</f>
        <v>44748</v>
      </c>
      <c r="C99" t="str">
        <f t="shared" ca="1" si="30"/>
        <v>JUL22</v>
      </c>
      <c r="D99" s="68" cm="1">
        <f t="array" aca="1" ref="D99" ca="1">_xll.BDP(E$81&amp;" "&amp;$C99&amp;" 10DP VOL LME Comdty","PX_LAST")/100</f>
        <v>0.18999467849731444</v>
      </c>
      <c r="E99" s="58" cm="1">
        <f t="array" aca="1" ref="E99" ca="1">_xll.BDP(E$81&amp;" "&amp;$C99&amp;" 25DP VOL LME Comdty","PX_LAST")/100</f>
        <v>0.17649517059326172</v>
      </c>
      <c r="F99" s="45" cm="1">
        <f t="array" aca="1" ref="F99" ca="1">_xll.BDP(E$81&amp;" "&amp;$C99&amp;" 50D VOL LME Comdty","PX_LAST")/100</f>
        <v>0.15960068702697755</v>
      </c>
      <c r="G99" s="58" cm="1">
        <f t="array" aca="1" ref="G99" ca="1">_xll.BDP(E$81&amp;" "&amp;$C99&amp;" 25DC VOL LME Comdty","PX_LAST")/100</f>
        <v>0.16139747619628905</v>
      </c>
      <c r="H99" s="58" cm="1">
        <f t="array" aca="1" ref="H99" ca="1">_xll.BDP(E$81&amp;" "&amp;$C99&amp;" 10DC VOL LME Comdty","PX_LAST")/100</f>
        <v>0.16559719085693358</v>
      </c>
      <c r="I99" s="49">
        <f t="shared" ca="1" si="10"/>
        <v>0.15960068702697755</v>
      </c>
      <c r="J99" s="50">
        <f t="shared" ca="1" si="11"/>
        <v>-1.5097694396972672E-2</v>
      </c>
      <c r="K99" s="50">
        <f t="shared" ca="1" si="12"/>
        <v>-2.4397487640380855E-2</v>
      </c>
      <c r="L99" s="50">
        <f t="shared" ca="1" si="13"/>
        <v>9.3456363677978382E-3</v>
      </c>
      <c r="M99" s="69">
        <f t="shared" ca="1" si="14"/>
        <v>1.8195247650146462E-2</v>
      </c>
      <c r="N99" s="50"/>
      <c r="O99" s="68" cm="1">
        <f t="array" aca="1" ref="O99" ca="1">_xll.BDP(P$81&amp;" "&amp;$C99&amp;" 10DP VOL LME Comdty","PX_LAST")/100</f>
        <v>0.25679319381713867</v>
      </c>
      <c r="P99" s="58" cm="1">
        <f t="array" aca="1" ref="P99" ca="1">_xll.BDP(P$81&amp;" "&amp;$C99&amp;" 25DP VOL LME Comdty","PX_LAST")/100</f>
        <v>0.23889488220214844</v>
      </c>
      <c r="Q99" s="45" cm="1">
        <f t="array" aca="1" ref="Q99" ca="1">_xll.BDP(P$81&amp;" "&amp;$C99&amp;" 50D VOL LME Comdty","PX_LAST")/100</f>
        <v>0.21840106964111328</v>
      </c>
      <c r="R99" s="58" cm="1">
        <f t="array" aca="1" ref="R99" ca="1">_xll.BDP(P$81&amp;" "&amp;$C99&amp;" 25DC VOL LME Comdty","PX_LAST")/100</f>
        <v>0.22219522476196288</v>
      </c>
      <c r="S99" s="58" cm="1">
        <f t="array" aca="1" ref="S99" ca="1">_xll.BDP(P$81&amp;" "&amp;$C99&amp;" 10DC VOL LME Comdty","PX_LAST")/100</f>
        <v>0.23009489059448243</v>
      </c>
      <c r="T99" s="49">
        <f t="shared" ca="1" si="15"/>
        <v>0.21840106964111328</v>
      </c>
      <c r="U99" s="50">
        <f t="shared" ca="1" si="16"/>
        <v>0</v>
      </c>
      <c r="V99" s="50">
        <f t="shared" ca="1" si="17"/>
        <v>0</v>
      </c>
      <c r="W99" s="50">
        <f t="shared" ca="1" si="18"/>
        <v>0</v>
      </c>
      <c r="X99" s="69">
        <f t="shared" ca="1" si="19"/>
        <v>0</v>
      </c>
      <c r="Y99" s="50"/>
      <c r="Z99" s="68" cm="1">
        <f t="array" aca="1" ref="Z99" ca="1">_xll.BDP(AA$81&amp;" "&amp;$C99&amp;" 10DP VOL LME Comdty","PX_LAST")/100</f>
        <v>0.2591916275024414</v>
      </c>
      <c r="AA99" s="58" cm="1">
        <f t="array" aca="1" ref="AA99" ca="1">_xll.BDP(AA$81&amp;" "&amp;$C99&amp;" 25DP VOL LME Comdty","PX_LAST")/100</f>
        <v>0.23879486083984375</v>
      </c>
      <c r="AB99" s="45" cm="1">
        <f t="array" aca="1" ref="AB99" ca="1">_xll.BDP(AA$81&amp;" "&amp;$C99&amp;" 50D VOL LME Comdty","PX_LAST")/100</f>
        <v>0.2199009895324707</v>
      </c>
      <c r="AC99" s="58" cm="1">
        <f t="array" aca="1" ref="AC99" ca="1">_xll.BDP(AA$81&amp;" "&amp;$C99&amp;" 25DC VOL LME Comdty","PX_LAST")/100</f>
        <v>0.21969989776611329</v>
      </c>
      <c r="AD99" s="58" cm="1">
        <f t="array" aca="1" ref="AD99" ca="1">_xll.BDP(AA$81&amp;" "&amp;$C99&amp;" 10DC VOL LME Comdty","PX_LAST")/100</f>
        <v>0.21839998245239259</v>
      </c>
      <c r="AE99" s="49">
        <f t="shared" ca="1" si="20"/>
        <v>0.22990098953247071</v>
      </c>
      <c r="AF99" s="50">
        <f t="shared" ca="1" si="21"/>
        <v>-1.9094963073730459E-2</v>
      </c>
      <c r="AG99" s="50">
        <f t="shared" ca="1" si="22"/>
        <v>-4.0791645050048814E-2</v>
      </c>
      <c r="AH99" s="50">
        <f t="shared" ca="1" si="23"/>
        <v>9.3463897705078069E-3</v>
      </c>
      <c r="AI99" s="69">
        <f t="shared" ca="1" si="24"/>
        <v>1.8894815444946284E-2</v>
      </c>
      <c r="AJ99" s="50"/>
      <c r="AK99" s="68" cm="1">
        <f t="array" aca="1" ref="AK99" ca="1">_xll.BDP(AL$81&amp;" "&amp;$C99&amp;" 10DP VOL LME Comdty","PX_LAST")/100</f>
        <v>0.30929561614990236</v>
      </c>
      <c r="AL99" s="58" cm="1">
        <f t="array" aca="1" ref="AL99" ca="1">_xll.BDP(AL$81&amp;" "&amp;$C99&amp;" 25DP VOL LME Comdty","PX_LAST")/100</f>
        <v>0.29959840774536134</v>
      </c>
      <c r="AM99" s="45" cm="1">
        <f t="array" aca="1" ref="AM99" ca="1">_xll.BDP(AL$81&amp;" "&amp;$C99&amp;" 50D VOL LME Comdty","PX_LAST")/100</f>
        <v>0.29729867935180665</v>
      </c>
      <c r="AN99" s="58" cm="1">
        <f t="array" aca="1" ref="AN99" ca="1">_xll.BDP(AL$81&amp;" "&amp;$C99&amp;" 25DC VOL LME Comdty","PX_LAST")/100</f>
        <v>0.31219049453735354</v>
      </c>
      <c r="AO99" s="58" cm="1">
        <f t="array" aca="1" ref="AO99" ca="1">_xll.BDP(AL$81&amp;" "&amp;$C99&amp;" 10DC VOL LME Comdty","PX_LAST")/100</f>
        <v>0.32459274291992185</v>
      </c>
      <c r="AP99" s="49">
        <f t="shared" ca="1" si="25"/>
        <v>0.30729867935180666</v>
      </c>
      <c r="AQ99" s="50">
        <f t="shared" ca="1" si="26"/>
        <v>1.2592086791992196E-2</v>
      </c>
      <c r="AR99" s="50">
        <f t="shared" ca="1" si="27"/>
        <v>1.5297126770019487E-2</v>
      </c>
      <c r="AS99" s="50">
        <f t="shared" ca="1" si="28"/>
        <v>8.5957717895507879E-3</v>
      </c>
      <c r="AT99" s="69">
        <f t="shared" ca="1" si="29"/>
        <v>1.9645500183105458E-2</v>
      </c>
    </row>
    <row r="100" spans="2:46" x14ac:dyDescent="0.25">
      <c r="B100" s="1" cm="1">
        <f t="array" aca="1" ref="B100" ca="1">_xll.QDates_SpecificWeekday(EDATE(B99,1),"Wednesday",1)</f>
        <v>44776</v>
      </c>
      <c r="C100" t="str">
        <f t="shared" ca="1" si="30"/>
        <v>AUG22</v>
      </c>
      <c r="D100" s="68" cm="1">
        <f t="array" aca="1" ref="D100" ca="1">_xll.BDP(E$81&amp;" "&amp;$C100&amp;" 10DP VOL LME Comdty","PX_LAST")/100</f>
        <v>0.18979475021362305</v>
      </c>
      <c r="E100" s="58" cm="1">
        <f t="array" aca="1" ref="E100" ca="1">_xll.BDP(E$81&amp;" "&amp;$C100&amp;" 25DP VOL LME Comdty","PX_LAST")/100</f>
        <v>0.17639522552490233</v>
      </c>
      <c r="F100" s="45" cm="1">
        <f t="array" aca="1" ref="F100" ca="1">_xll.BDP(E$81&amp;" "&amp;$C100&amp;" 50D VOL LME Comdty","PX_LAST")/100</f>
        <v>0.15940071105957032</v>
      </c>
      <c r="G100" s="58" cm="1">
        <f t="array" aca="1" ref="G100" ca="1">_xll.BDP(E$81&amp;" "&amp;$C100&amp;" 25DC VOL LME Comdty","PX_LAST")/100</f>
        <v>0.16109750747680665</v>
      </c>
      <c r="H100" s="58" cm="1">
        <f t="array" aca="1" ref="H100" ca="1">_xll.BDP(E$81&amp;" "&amp;$C100&amp;" 10DC VOL LME Comdty","PX_LAST")/100</f>
        <v>0.1652972412109375</v>
      </c>
      <c r="I100" s="49">
        <f t="shared" ca="1" si="10"/>
        <v>0.15940071105957032</v>
      </c>
      <c r="J100" s="50">
        <f t="shared" ca="1" si="11"/>
        <v>-1.5297718048095682E-2</v>
      </c>
      <c r="K100" s="50">
        <f t="shared" ca="1" si="12"/>
        <v>-2.4497509002685547E-2</v>
      </c>
      <c r="L100" s="50">
        <f t="shared" ca="1" si="13"/>
        <v>9.3456554412841841E-3</v>
      </c>
      <c r="M100" s="69">
        <f t="shared" ca="1" si="14"/>
        <v>1.8145284652709953E-2</v>
      </c>
      <c r="N100" s="50"/>
      <c r="O100" s="68" cm="1">
        <f t="array" aca="1" ref="O100" ca="1">_xll.BDP(P$81&amp;" "&amp;$C100&amp;" 10DP VOL LME Comdty","PX_LAST")/100</f>
        <v>0.25509323120117189</v>
      </c>
      <c r="P100" s="58" cm="1">
        <f t="array" aca="1" ref="P100" ca="1">_xll.BDP(P$81&amp;" "&amp;$C100&amp;" 25DP VOL LME Comdty","PX_LAST")/100</f>
        <v>0.23709491729736329</v>
      </c>
      <c r="Q100" s="45" cm="1">
        <f t="array" aca="1" ref="Q100" ca="1">_xll.BDP(P$81&amp;" "&amp;$C100&amp;" 50D VOL LME Comdty","PX_LAST")/100</f>
        <v>0.21640111923217772</v>
      </c>
      <c r="R100" s="58" cm="1">
        <f t="array" aca="1" ref="R100" ca="1">_xll.BDP(P$81&amp;" "&amp;$C100&amp;" 25DC VOL LME Comdty","PX_LAST")/100</f>
        <v>0.21999525070190429</v>
      </c>
      <c r="S100" s="58" cm="1">
        <f t="array" aca="1" ref="S100" ca="1">_xll.BDP(P$81&amp;" "&amp;$C100&amp;" 10DC VOL LME Comdty","PX_LAST")/100</f>
        <v>0.22779491424560547</v>
      </c>
      <c r="T100" s="49">
        <f t="shared" ca="1" si="15"/>
        <v>0.21640111923217772</v>
      </c>
      <c r="U100" s="50">
        <f t="shared" ca="1" si="16"/>
        <v>0</v>
      </c>
      <c r="V100" s="50">
        <f t="shared" ca="1" si="17"/>
        <v>0</v>
      </c>
      <c r="W100" s="50">
        <f t="shared" ca="1" si="18"/>
        <v>0</v>
      </c>
      <c r="X100" s="69">
        <f t="shared" ca="1" si="19"/>
        <v>0</v>
      </c>
      <c r="Y100" s="50"/>
      <c r="Z100" s="68" cm="1">
        <f t="array" aca="1" ref="Z100" ca="1">_xll.BDP(AA$81&amp;" "&amp;$C100&amp;" 10DP VOL LME Comdty","PX_LAST")/100</f>
        <v>0.25949169158935548</v>
      </c>
      <c r="AA100" s="58" cm="1">
        <f t="array" aca="1" ref="AA100" ca="1">_xll.BDP(AA$81&amp;" "&amp;$C100&amp;" 25DP VOL LME Comdty","PX_LAST")/100</f>
        <v>0.23919496536254883</v>
      </c>
      <c r="AB100" s="45" cm="1">
        <f t="array" aca="1" ref="AB100" ca="1">_xll.BDP(AA$81&amp;" "&amp;$C100&amp;" 50D VOL LME Comdty","PX_LAST")/100</f>
        <v>0.22010103225708008</v>
      </c>
      <c r="AC100" s="58" cm="1">
        <f t="array" aca="1" ref="AC100" ca="1">_xll.BDP(AA$81&amp;" "&amp;$C100&amp;" 25DC VOL LME Comdty","PX_LAST")/100</f>
        <v>0.21989988327026366</v>
      </c>
      <c r="AD100" s="58" cm="1">
        <f t="array" aca="1" ref="AD100" ca="1">_xll.BDP(AA$81&amp;" "&amp;$C100&amp;" 10DC VOL LME Comdty","PX_LAST")/100</f>
        <v>0.21859998703002931</v>
      </c>
      <c r="AE100" s="49">
        <f t="shared" ca="1" si="20"/>
        <v>0.23010103225708009</v>
      </c>
      <c r="AF100" s="50">
        <f t="shared" ca="1" si="21"/>
        <v>-1.9295082092285171E-2</v>
      </c>
      <c r="AG100" s="50">
        <f t="shared" ca="1" si="22"/>
        <v>-4.089170455932617E-2</v>
      </c>
      <c r="AH100" s="50">
        <f t="shared" ca="1" si="23"/>
        <v>9.446392059326153E-3</v>
      </c>
      <c r="AI100" s="69">
        <f t="shared" ca="1" si="24"/>
        <v>1.8944807052612311E-2</v>
      </c>
      <c r="AJ100" s="50"/>
      <c r="AK100" s="68" cm="1">
        <f t="array" aca="1" ref="AK100" ca="1">_xll.BDP(AL$81&amp;" "&amp;$C100&amp;" 10DP VOL LME Comdty","PX_LAST")/100</f>
        <v>0.30919565200805665</v>
      </c>
      <c r="AL100" s="58" cm="1">
        <f t="array" aca="1" ref="AL100" ca="1">_xll.BDP(AL$81&amp;" "&amp;$C100&amp;" 25DP VOL LME Comdty","PX_LAST")/100</f>
        <v>0.29949846267700198</v>
      </c>
      <c r="AM100" s="45" cm="1">
        <f t="array" aca="1" ref="AM100" ca="1">_xll.BDP(AL$81&amp;" "&amp;$C100&amp;" 50D VOL LME Comdty","PX_LAST")/100</f>
        <v>0.29719863891601561</v>
      </c>
      <c r="AN100" s="58" cm="1">
        <f t="array" aca="1" ref="AN100" ca="1">_xll.BDP(AL$81&amp;" "&amp;$C100&amp;" 25DC VOL LME Comdty","PX_LAST")/100</f>
        <v>0.31219039916992186</v>
      </c>
      <c r="AO100" s="58" cm="1">
        <f t="array" aca="1" ref="AO100" ca="1">_xll.BDP(AL$81&amp;" "&amp;$C100&amp;" 10DC VOL LME Comdty","PX_LAST")/100</f>
        <v>0.32449272155761721</v>
      </c>
      <c r="AP100" s="49">
        <f t="shared" ca="1" si="25"/>
        <v>0.30719863891601562</v>
      </c>
      <c r="AQ100" s="50">
        <f t="shared" ca="1" si="26"/>
        <v>1.2691936492919886E-2</v>
      </c>
      <c r="AR100" s="50">
        <f t="shared" ca="1" si="27"/>
        <v>1.529706954956056E-2</v>
      </c>
      <c r="AS100" s="50">
        <f t="shared" ca="1" si="28"/>
        <v>8.6457920074463068E-3</v>
      </c>
      <c r="AT100" s="69">
        <f t="shared" ca="1" si="29"/>
        <v>1.9645547866821322E-2</v>
      </c>
    </row>
    <row r="101" spans="2:46" x14ac:dyDescent="0.25">
      <c r="B101" s="1" cm="1">
        <f t="array" aca="1" ref="B101" ca="1">_xll.QDates_SpecificWeekday(EDATE(B100,1),"Wednesday",1)</f>
        <v>44811</v>
      </c>
      <c r="C101" t="str">
        <f t="shared" ca="1" si="30"/>
        <v>SEP22</v>
      </c>
      <c r="D101" s="68" cm="1">
        <f t="array" aca="1" ref="D101" ca="1">_xll.BDP(E$81&amp;" "&amp;$C101&amp;" 10DP VOL LME Comdty","PX_LAST")/100</f>
        <v>0.18969484329223632</v>
      </c>
      <c r="E101" s="58" cm="1">
        <f t="array" aca="1" ref="E101" ca="1">_xll.BDP(E$81&amp;" "&amp;$C101&amp;" 25DP VOL LME Comdty","PX_LAST")/100</f>
        <v>0.17639530181884766</v>
      </c>
      <c r="F101" s="45" cm="1">
        <f t="array" aca="1" ref="F101" ca="1">_xll.BDP(E$81&amp;" "&amp;$C101&amp;" 50D VOL LME Comdty","PX_LAST")/100</f>
        <v>0.15910075187683106</v>
      </c>
      <c r="G101" s="58" cm="1">
        <f t="array" aca="1" ref="G101" ca="1">_xll.BDP(E$81&amp;" "&amp;$C101&amp;" 25DC VOL LME Comdty","PX_LAST")/100</f>
        <v>0.1605975341796875</v>
      </c>
      <c r="H101" s="58" cm="1">
        <f t="array" aca="1" ref="H101" ca="1">_xll.BDP(E$81&amp;" "&amp;$C101&amp;" 10DC VOL LME Comdty","PX_LAST")/100</f>
        <v>0.16479724884033203</v>
      </c>
      <c r="I101" s="49">
        <f t="shared" ca="1" si="10"/>
        <v>0.15910075187683106</v>
      </c>
      <c r="J101" s="50">
        <f t="shared" ca="1" si="11"/>
        <v>-1.579776763916016E-2</v>
      </c>
      <c r="K101" s="50">
        <f t="shared" ca="1" si="12"/>
        <v>-2.4897594451904287E-2</v>
      </c>
      <c r="L101" s="50">
        <f t="shared" ca="1" si="13"/>
        <v>9.3956661224365023E-3</v>
      </c>
      <c r="M101" s="69">
        <f t="shared" ca="1" si="14"/>
        <v>1.8145294189453126E-2</v>
      </c>
      <c r="N101" s="50"/>
      <c r="O101" s="68" cm="1">
        <f t="array" aca="1" ref="O101" ca="1">_xll.BDP(P$81&amp;" "&amp;$C101&amp;" 10DP VOL LME Comdty","PX_LAST")/100</f>
        <v>0.25289327621459962</v>
      </c>
      <c r="P101" s="58" cm="1">
        <f t="array" aca="1" ref="P101" ca="1">_xll.BDP(P$81&amp;" "&amp;$C101&amp;" 25DP VOL LME Comdty","PX_LAST")/100</f>
        <v>0.23499496459960936</v>
      </c>
      <c r="Q101" s="45" cm="1">
        <f t="array" aca="1" ref="Q101" ca="1">_xll.BDP(P$81&amp;" "&amp;$C101&amp;" 50D VOL LME Comdty","PX_LAST")/100</f>
        <v>0.21400115966796876</v>
      </c>
      <c r="R101" s="58" cm="1">
        <f t="array" aca="1" ref="R101" ca="1">_xll.BDP(P$81&amp;" "&amp;$C101&amp;" 25DC VOL LME Comdty","PX_LAST")/100</f>
        <v>0.2173952865600586</v>
      </c>
      <c r="S101" s="58" cm="1">
        <f t="array" aca="1" ref="S101" ca="1">_xll.BDP(P$81&amp;" "&amp;$C101&amp;" 10DC VOL LME Comdty","PX_LAST")/100</f>
        <v>0.22519495010375976</v>
      </c>
      <c r="T101" s="49">
        <f t="shared" ca="1" si="15"/>
        <v>0.21400115966796876</v>
      </c>
      <c r="U101" s="50">
        <f t="shared" ca="1" si="16"/>
        <v>0</v>
      </c>
      <c r="V101" s="50">
        <f t="shared" ca="1" si="17"/>
        <v>0</v>
      </c>
      <c r="W101" s="50">
        <f t="shared" ca="1" si="18"/>
        <v>0</v>
      </c>
      <c r="X101" s="69">
        <f t="shared" ca="1" si="19"/>
        <v>0</v>
      </c>
      <c r="Y101" s="50"/>
      <c r="Z101" s="68" cm="1">
        <f t="array" aca="1" ref="Z101" ca="1">_xll.BDP(AA$81&amp;" "&amp;$C101&amp;" 10DP VOL LME Comdty","PX_LAST")/100</f>
        <v>0.25959178924560544</v>
      </c>
      <c r="AA101" s="58" cm="1">
        <f t="array" aca="1" ref="AA101" ca="1">_xll.BDP(AA$81&amp;" "&amp;$C101&amp;" 25DP VOL LME Comdty","PX_LAST")/100</f>
        <v>0.23919506072998048</v>
      </c>
      <c r="AB101" s="45" cm="1">
        <f t="array" aca="1" ref="AB101" ca="1">_xll.BDP(AA$81&amp;" "&amp;$C101&amp;" 50D VOL LME Comdty","PX_LAST")/100</f>
        <v>0.22000106811523437</v>
      </c>
      <c r="AC101" s="58" cm="1">
        <f t="array" aca="1" ref="AC101" ca="1">_xll.BDP(AA$81&amp;" "&amp;$C101&amp;" 25DC VOL LME Comdty","PX_LAST")/100</f>
        <v>0.21979986190795897</v>
      </c>
      <c r="AD101" s="58" cm="1">
        <f t="array" aca="1" ref="AD101" ca="1">_xll.BDP(AA$81&amp;" "&amp;$C101&amp;" 10DC VOL LME Comdty","PX_LAST")/100</f>
        <v>0.21869997024536134</v>
      </c>
      <c r="AE101" s="49">
        <f t="shared" ca="1" si="20"/>
        <v>0.23000106811523438</v>
      </c>
      <c r="AF101" s="50">
        <f t="shared" ca="1" si="21"/>
        <v>-1.9395198822021509E-2</v>
      </c>
      <c r="AG101" s="50">
        <f t="shared" ca="1" si="22"/>
        <v>-4.0891819000244106E-2</v>
      </c>
      <c r="AH101" s="50">
        <f t="shared" ca="1" si="23"/>
        <v>9.4963932037353538E-3</v>
      </c>
      <c r="AI101" s="69">
        <f t="shared" ca="1" si="24"/>
        <v>1.9144811630249031E-2</v>
      </c>
      <c r="AJ101" s="50"/>
      <c r="AK101" s="68" cm="1">
        <f t="array" aca="1" ref="AK101" ca="1">_xll.BDP(AL$81&amp;" "&amp;$C101&amp;" 10DP VOL LME Comdty","PX_LAST")/100</f>
        <v>0.30879571914672854</v>
      </c>
      <c r="AL101" s="58" cm="1">
        <f t="array" aca="1" ref="AL101" ca="1">_xll.BDP(AL$81&amp;" "&amp;$C101&amp;" 25DP VOL LME Comdty","PX_LAST")/100</f>
        <v>0.29929853439331056</v>
      </c>
      <c r="AM101" s="45" cm="1">
        <f t="array" aca="1" ref="AM101" ca="1">_xll.BDP(AL$81&amp;" "&amp;$C101&amp;" 50D VOL LME Comdty","PX_LAST")/100</f>
        <v>0.29689859390258788</v>
      </c>
      <c r="AN101" s="58" cm="1">
        <f t="array" aca="1" ref="AN101" ca="1">_xll.BDP(AL$81&amp;" "&amp;$C101&amp;" 25DC VOL LME Comdty","PX_LAST")/100</f>
        <v>0.31189029693603515</v>
      </c>
      <c r="AO101" s="58" cm="1">
        <f t="array" aca="1" ref="AO101" ca="1">_xll.BDP(AL$81&amp;" "&amp;$C101&amp;" 10DC VOL LME Comdty","PX_LAST")/100</f>
        <v>0.32419269561767577</v>
      </c>
      <c r="AP101" s="49">
        <f t="shared" ca="1" si="25"/>
        <v>0.30689859390258789</v>
      </c>
      <c r="AQ101" s="50">
        <f t="shared" ca="1" si="26"/>
        <v>1.2591762542724594E-2</v>
      </c>
      <c r="AR101" s="50">
        <f t="shared" ca="1" si="27"/>
        <v>1.5396976470947232E-2</v>
      </c>
      <c r="AS101" s="50">
        <f t="shared" ca="1" si="28"/>
        <v>8.6958217620849432E-3</v>
      </c>
      <c r="AT101" s="69">
        <f t="shared" ca="1" si="29"/>
        <v>1.9595613479614249E-2</v>
      </c>
    </row>
    <row r="102" spans="2:46" x14ac:dyDescent="0.25">
      <c r="B102" s="1" cm="1">
        <f t="array" aca="1" ref="B102" ca="1">_xll.QDates_SpecificWeekday(EDATE(B101,1),"Wednesday",1)</f>
        <v>44839</v>
      </c>
      <c r="C102" t="str">
        <f t="shared" ca="1" si="30"/>
        <v>OCT22</v>
      </c>
      <c r="D102" s="68" cm="1">
        <f t="array" aca="1" ref="D102" ca="1">_xll.BDP(E$81&amp;" "&amp;$C102&amp;" 10DP VOL LME Comdty","PX_LAST")/100</f>
        <v>0.18959486007690429</v>
      </c>
      <c r="E102" s="58" cm="1">
        <f t="array" aca="1" ref="E102" ca="1">_xll.BDP(E$81&amp;" "&amp;$C102&amp;" 25DP VOL LME Comdty","PX_LAST")/100</f>
        <v>0.17629535675048827</v>
      </c>
      <c r="F102" s="45" cm="1">
        <f t="array" aca="1" ref="F102" ca="1">_xll.BDP(E$81&amp;" "&amp;$C102&amp;" 50D VOL LME Comdty","PX_LAST")/100</f>
        <v>0.15910077095031738</v>
      </c>
      <c r="G102" s="58" cm="1">
        <f t="array" aca="1" ref="G102" ca="1">_xll.BDP(E$81&amp;" "&amp;$C102&amp;" 25DC VOL LME Comdty","PX_LAST")/100</f>
        <v>0.16069753646850585</v>
      </c>
      <c r="H102" s="58" cm="1">
        <f t="array" aca="1" ref="H102" ca="1">_xll.BDP(E$81&amp;" "&amp;$C102&amp;" 10DC VOL LME Comdty","PX_LAST")/100</f>
        <v>0.16479726791381835</v>
      </c>
      <c r="I102" s="49">
        <f t="shared" ca="1" si="10"/>
        <v>0.15910077095031738</v>
      </c>
      <c r="J102" s="50">
        <f t="shared" ca="1" si="11"/>
        <v>-1.5597820281982422E-2</v>
      </c>
      <c r="K102" s="50">
        <f t="shared" ca="1" si="12"/>
        <v>-2.4797592163085941E-2</v>
      </c>
      <c r="L102" s="50">
        <f t="shared" ca="1" si="13"/>
        <v>9.3956756591796753E-3</v>
      </c>
      <c r="M102" s="69">
        <f t="shared" ca="1" si="14"/>
        <v>1.8095293045043925E-2</v>
      </c>
      <c r="N102" s="50"/>
      <c r="O102" s="68" cm="1">
        <f t="array" aca="1" ref="O102" ca="1">_xll.BDP(P$81&amp;" "&amp;$C102&amp;" 10DP VOL LME Comdty","PX_LAST")/100</f>
        <v>0.25239330291748047</v>
      </c>
      <c r="P102" s="58" cm="1">
        <f t="array" aca="1" ref="P102" ca="1">_xll.BDP(P$81&amp;" "&amp;$C102&amp;" 25DP VOL LME Comdty","PX_LAST")/100</f>
        <v>0.23429498672485352</v>
      </c>
      <c r="Q102" s="45" cm="1">
        <f t="array" aca="1" ref="Q102" ca="1">_xll.BDP(P$81&amp;" "&amp;$C102&amp;" 50D VOL LME Comdty","PX_LAST")/100</f>
        <v>0.21320121765136718</v>
      </c>
      <c r="R102" s="58" cm="1">
        <f t="array" aca="1" ref="R102" ca="1">_xll.BDP(P$81&amp;" "&amp;$C102&amp;" 25DC VOL LME Comdty","PX_LAST")/100</f>
        <v>0.21649530410766601</v>
      </c>
      <c r="S102" s="58" cm="1">
        <f t="array" aca="1" ref="S102" ca="1">_xll.BDP(P$81&amp;" "&amp;$C102&amp;" 10DC VOL LME Comdty","PX_LAST")/100</f>
        <v>0.22429500579833983</v>
      </c>
      <c r="T102" s="49">
        <f t="shared" ca="1" si="15"/>
        <v>0.21320121765136718</v>
      </c>
      <c r="U102" s="50">
        <f t="shared" ca="1" si="16"/>
        <v>0</v>
      </c>
      <c r="V102" s="50">
        <f t="shared" ca="1" si="17"/>
        <v>0</v>
      </c>
      <c r="W102" s="50">
        <f t="shared" ca="1" si="18"/>
        <v>0</v>
      </c>
      <c r="X102" s="69">
        <f t="shared" ca="1" si="19"/>
        <v>0</v>
      </c>
      <c r="Y102" s="50"/>
      <c r="Z102" s="68" cm="1">
        <f t="array" aca="1" ref="Z102" ca="1">_xll.BDP(AA$81&amp;" "&amp;$C102&amp;" 10DP VOL LME Comdty","PX_LAST")/100</f>
        <v>0.25979188919067381</v>
      </c>
      <c r="AA102" s="58" cm="1">
        <f t="array" aca="1" ref="AA102" ca="1">_xll.BDP(AA$81&amp;" "&amp;$C102&amp;" 25DP VOL LME Comdty","PX_LAST")/100</f>
        <v>0.23959516525268554</v>
      </c>
      <c r="AB102" s="45" cm="1">
        <f t="array" aca="1" ref="AB102" ca="1">_xll.BDP(AA$81&amp;" "&amp;$C102&amp;" 50D VOL LME Comdty","PX_LAST")/100</f>
        <v>0.2203011131286621</v>
      </c>
      <c r="AC102" s="58" cm="1">
        <f t="array" aca="1" ref="AC102" ca="1">_xll.BDP(AA$81&amp;" "&amp;$C102&amp;" 25DC VOL LME Comdty","PX_LAST")/100</f>
        <v>0.22009984970092775</v>
      </c>
      <c r="AD102" s="58" cm="1">
        <f t="array" aca="1" ref="AD102" ca="1">_xll.BDP(AA$81&amp;" "&amp;$C102&amp;" 10DC VOL LME Comdty","PX_LAST")/100</f>
        <v>0.21889997482299806</v>
      </c>
      <c r="AE102" s="49">
        <f t="shared" ca="1" si="20"/>
        <v>0.23030111312866211</v>
      </c>
      <c r="AF102" s="50">
        <f t="shared" ca="1" si="21"/>
        <v>-1.9495315551757791E-2</v>
      </c>
      <c r="AG102" s="50">
        <f t="shared" ca="1" si="22"/>
        <v>-4.0891914367675752E-2</v>
      </c>
      <c r="AH102" s="50">
        <f t="shared" ca="1" si="23"/>
        <v>9.5463943481445546E-3</v>
      </c>
      <c r="AI102" s="69">
        <f t="shared" ca="1" si="24"/>
        <v>1.904481887817383E-2</v>
      </c>
      <c r="AJ102" s="50"/>
      <c r="AK102" s="68" cm="1">
        <f t="array" aca="1" ref="AK102" ca="1">_xll.BDP(AL$81&amp;" "&amp;$C102&amp;" 10DP VOL LME Comdty","PX_LAST")/100</f>
        <v>0.30869571685791014</v>
      </c>
      <c r="AL102" s="58" cm="1">
        <f t="array" aca="1" ref="AL102" ca="1">_xll.BDP(AL$81&amp;" "&amp;$C102&amp;" 25DP VOL LME Comdty","PX_LAST")/100</f>
        <v>0.2989985656738281</v>
      </c>
      <c r="AM102" s="45" cm="1">
        <f t="array" aca="1" ref="AM102" ca="1">_xll.BDP(AL$81&amp;" "&amp;$C102&amp;" 50D VOL LME Comdty","PX_LAST")/100</f>
        <v>0.29679853439331055</v>
      </c>
      <c r="AN102" s="58" cm="1">
        <f t="array" aca="1" ref="AN102" ca="1">_xll.BDP(AL$81&amp;" "&amp;$C102&amp;" 25DC VOL LME Comdty","PX_LAST")/100</f>
        <v>0.31189018249511719</v>
      </c>
      <c r="AO102" s="58" cm="1">
        <f t="array" aca="1" ref="AO102" ca="1">_xll.BDP(AL$81&amp;" "&amp;$C102&amp;" 10DC VOL LME Comdty","PX_LAST")/100</f>
        <v>0.32419269561767577</v>
      </c>
      <c r="AP102" s="49">
        <f t="shared" ca="1" si="25"/>
        <v>0.30679853439331056</v>
      </c>
      <c r="AQ102" s="50">
        <f t="shared" ca="1" si="26"/>
        <v>1.2891616821289087E-2</v>
      </c>
      <c r="AR102" s="50">
        <f t="shared" ca="1" si="27"/>
        <v>1.5496978759765634E-2</v>
      </c>
      <c r="AS102" s="50">
        <f t="shared" ca="1" si="28"/>
        <v>8.645839691162116E-3</v>
      </c>
      <c r="AT102" s="69">
        <f t="shared" ca="1" si="29"/>
        <v>1.9645671844482404E-2</v>
      </c>
    </row>
    <row r="103" spans="2:46" x14ac:dyDescent="0.25">
      <c r="B103" s="1" cm="1">
        <f t="array" aca="1" ref="B103" ca="1">_xll.QDates_SpecificWeekday(EDATE(B102,1),"Wednesday",1)</f>
        <v>44867</v>
      </c>
      <c r="C103" t="str">
        <f t="shared" ca="1" si="30"/>
        <v>NOV22</v>
      </c>
      <c r="D103" s="68" cm="1">
        <f t="array" aca="1" ref="D103" ca="1">_xll.BDP(E$81&amp;" "&amp;$C103&amp;" 10DP VOL LME Comdty","PX_LAST")/100</f>
        <v>0.18949487686157226</v>
      </c>
      <c r="E103" s="58" cm="1">
        <f t="array" aca="1" ref="E103" ca="1">_xll.BDP(E$81&amp;" "&amp;$C103&amp;" 25DP VOL LME Comdty","PX_LAST")/100</f>
        <v>0.17619539260864259</v>
      </c>
      <c r="F103" s="45" cm="1">
        <f t="array" aca="1" ref="F103" ca="1">_xll.BDP(E$81&amp;" "&amp;$C103&amp;" 50D VOL LME Comdty","PX_LAST")/100</f>
        <v>0.15900078773498535</v>
      </c>
      <c r="G103" s="58" cm="1">
        <f t="array" aca="1" ref="G103" ca="1">_xll.BDP(E$81&amp;" "&amp;$C103&amp;" 25DC VOL LME Comdty","PX_LAST")/100</f>
        <v>0.16049755096435547</v>
      </c>
      <c r="H103" s="58" cm="1">
        <f t="array" aca="1" ref="H103" ca="1">_xll.BDP(E$81&amp;" "&amp;$C103&amp;" 10DC VOL LME Comdty","PX_LAST")/100</f>
        <v>0.1645973014831543</v>
      </c>
      <c r="I103" s="49">
        <f t="shared" ca="1" si="10"/>
        <v>0.15900078773498535</v>
      </c>
      <c r="J103" s="50">
        <f t="shared" ca="1" si="11"/>
        <v>-1.5697841644287114E-2</v>
      </c>
      <c r="K103" s="50">
        <f t="shared" ca="1" si="12"/>
        <v>-2.4897575378417969E-2</v>
      </c>
      <c r="L103" s="50">
        <f t="shared" ca="1" si="13"/>
        <v>9.3456840515136752E-3</v>
      </c>
      <c r="M103" s="69">
        <f t="shared" ca="1" si="14"/>
        <v>1.8045301437377925E-2</v>
      </c>
      <c r="N103" s="50"/>
      <c r="O103" s="68" cm="1">
        <f t="array" aca="1" ref="O103" ca="1">_xll.BDP(P$81&amp;" "&amp;$C103&amp;" 10DP VOL LME Comdty","PX_LAST")/100</f>
        <v>0.25099336624145507</v>
      </c>
      <c r="P103" s="58" cm="1">
        <f t="array" aca="1" ref="P103" ca="1">_xll.BDP(P$81&amp;" "&amp;$C103&amp;" 25DP VOL LME Comdty","PX_LAST")/100</f>
        <v>0.23279504776000975</v>
      </c>
      <c r="Q103" s="45" cm="1">
        <f t="array" aca="1" ref="Q103" ca="1">_xll.BDP(P$81&amp;" "&amp;$C103&amp;" 50D VOL LME Comdty","PX_LAST")/100</f>
        <v>0.2115012550354004</v>
      </c>
      <c r="R103" s="58" cm="1">
        <f t="array" aca="1" ref="R103" ca="1">_xll.BDP(P$81&amp;" "&amp;$C103&amp;" 25DC VOL LME Comdty","PX_LAST")/100</f>
        <v>0.21459537506103515</v>
      </c>
      <c r="S103" s="58" cm="1">
        <f t="array" aca="1" ref="S103" ca="1">_xll.BDP(P$81&amp;" "&amp;$C103&amp;" 10DC VOL LME Comdty","PX_LAST")/100</f>
        <v>0.22229507446289062</v>
      </c>
      <c r="T103" s="49">
        <f t="shared" ca="1" si="15"/>
        <v>0.2115012550354004</v>
      </c>
      <c r="U103" s="50">
        <f t="shared" ca="1" si="16"/>
        <v>0</v>
      </c>
      <c r="V103" s="50">
        <f t="shared" ca="1" si="17"/>
        <v>0</v>
      </c>
      <c r="W103" s="50">
        <f t="shared" ca="1" si="18"/>
        <v>0</v>
      </c>
      <c r="X103" s="69">
        <f t="shared" ca="1" si="19"/>
        <v>0</v>
      </c>
      <c r="Y103" s="50"/>
      <c r="Z103" s="68" cm="1">
        <f t="array" aca="1" ref="Z103" ca="1">_xll.BDP(AA$81&amp;" "&amp;$C103&amp;" 10DP VOL LME Comdty","PX_LAST")/100</f>
        <v>0.25999197006225588</v>
      </c>
      <c r="AA103" s="58" cm="1">
        <f t="array" aca="1" ref="AA103" ca="1">_xll.BDP(AA$81&amp;" "&amp;$C103&amp;" 25DP VOL LME Comdty","PX_LAST")/100</f>
        <v>0.23979524612426759</v>
      </c>
      <c r="AB103" s="45" cm="1">
        <f t="array" aca="1" ref="AB103" ca="1">_xll.BDP(AA$81&amp;" "&amp;$C103&amp;" 50D VOL LME Comdty","PX_LAST")/100</f>
        <v>0.22050111770629882</v>
      </c>
      <c r="AC103" s="58" cm="1">
        <f t="array" aca="1" ref="AC103" ca="1">_xll.BDP(AA$81&amp;" "&amp;$C103&amp;" 25DC VOL LME Comdty","PX_LAST")/100</f>
        <v>0.22029983520507812</v>
      </c>
      <c r="AD103" s="58" cm="1">
        <f t="array" aca="1" ref="AD103" ca="1">_xll.BDP(AA$81&amp;" "&amp;$C103&amp;" 10DC VOL LME Comdty","PX_LAST")/100</f>
        <v>0.2191999626159668</v>
      </c>
      <c r="AE103" s="49">
        <f t="shared" ca="1" si="20"/>
        <v>0.23050111770629883</v>
      </c>
      <c r="AF103" s="50">
        <f t="shared" ca="1" si="21"/>
        <v>-1.9495410919189465E-2</v>
      </c>
      <c r="AG103" s="50">
        <f t="shared" ca="1" si="22"/>
        <v>-4.079200744628908E-2</v>
      </c>
      <c r="AH103" s="50">
        <f t="shared" ca="1" si="23"/>
        <v>9.5464229583740456E-3</v>
      </c>
      <c r="AI103" s="69">
        <f t="shared" ca="1" si="24"/>
        <v>1.9094848632812522E-2</v>
      </c>
      <c r="AJ103" s="50"/>
      <c r="AK103" s="68" cm="1">
        <f t="array" aca="1" ref="AK103" ca="1">_xll.BDP(AL$81&amp;" "&amp;$C103&amp;" 10DP VOL LME Comdty","PX_LAST")/100</f>
        <v>0.30839572906494139</v>
      </c>
      <c r="AL103" s="58" cm="1">
        <f t="array" aca="1" ref="AL103" ca="1">_xll.BDP(AL$81&amp;" "&amp;$C103&amp;" 25DP VOL LME Comdty","PX_LAST")/100</f>
        <v>0.29859859466552735</v>
      </c>
      <c r="AM103" s="45" cm="1">
        <f t="array" aca="1" ref="AM103" ca="1">_xll.BDP(AL$81&amp;" "&amp;$C103&amp;" 50D VOL LME Comdty","PX_LAST")/100</f>
        <v>0.29649848937988282</v>
      </c>
      <c r="AN103" s="58" cm="1">
        <f t="array" aca="1" ref="AN103" ca="1">_xll.BDP(AL$81&amp;" "&amp;$C103&amp;" 25DC VOL LME Comdty","PX_LAST")/100</f>
        <v>0.31159008026123047</v>
      </c>
      <c r="AO103" s="58" cm="1">
        <f t="array" aca="1" ref="AO103" ca="1">_xll.BDP(AL$81&amp;" "&amp;$C103&amp;" 10DC VOL LME Comdty","PX_LAST")/100</f>
        <v>0.32399269104003908</v>
      </c>
      <c r="AP103" s="49">
        <f t="shared" ca="1" si="25"/>
        <v>0.30649848937988283</v>
      </c>
      <c r="AQ103" s="50">
        <f t="shared" ca="1" si="26"/>
        <v>1.2991485595703123E-2</v>
      </c>
      <c r="AR103" s="50">
        <f t="shared" ca="1" si="27"/>
        <v>1.559696197509769E-2</v>
      </c>
      <c r="AS103" s="50">
        <f t="shared" ca="1" si="28"/>
        <v>8.5958480834960604E-3</v>
      </c>
      <c r="AT103" s="69">
        <f t="shared" ca="1" si="29"/>
        <v>1.9695720672607442E-2</v>
      </c>
    </row>
    <row r="104" spans="2:46" x14ac:dyDescent="0.25">
      <c r="B104" s="1" cm="1">
        <f t="array" aca="1" ref="B104" ca="1">_xll.QDates_SpecificWeekday(EDATE(B103,1),"Wednesday",1)</f>
        <v>44902</v>
      </c>
      <c r="C104" t="str">
        <f t="shared" ca="1" si="30"/>
        <v>DEC22</v>
      </c>
      <c r="D104" s="68" cm="1">
        <f t="array" aca="1" ref="D104" ca="1">_xll.BDP(E$81&amp;" "&amp;$C104&amp;" 10DP VOL LME Comdty","PX_LAST")/100</f>
        <v>0.1893949317932129</v>
      </c>
      <c r="E104" s="58" cm="1">
        <f t="array" aca="1" ref="E104" ca="1">_xll.BDP(E$81&amp;" "&amp;$C104&amp;" 25DP VOL LME Comdty","PX_LAST")/100</f>
        <v>0.17619543075561522</v>
      </c>
      <c r="F104" s="45" cm="1">
        <f t="array" aca="1" ref="F104" ca="1">_xll.BDP(E$81&amp;" "&amp;$C104&amp;" 50D VOL LME Comdty","PX_LAST")/100</f>
        <v>0.15870083808898927</v>
      </c>
      <c r="G104" s="58" cm="1">
        <f t="array" aca="1" ref="G104" ca="1">_xll.BDP(E$81&amp;" "&amp;$C104&amp;" 25DC VOL LME Comdty","PX_LAST")/100</f>
        <v>0.15999762535095216</v>
      </c>
      <c r="H104" s="58" cm="1">
        <f t="array" aca="1" ref="H104" ca="1">_xll.BDP(E$81&amp;" "&amp;$C104&amp;" 10DC VOL LME Comdty","PX_LAST")/100</f>
        <v>0.16419740676879882</v>
      </c>
      <c r="I104" s="49">
        <f t="shared" ca="1" si="10"/>
        <v>0.15870083808898927</v>
      </c>
      <c r="J104" s="50">
        <f t="shared" ca="1" si="11"/>
        <v>-1.6197805404663063E-2</v>
      </c>
      <c r="K104" s="50">
        <f t="shared" ca="1" si="12"/>
        <v>-2.519752502441408E-2</v>
      </c>
      <c r="L104" s="50">
        <f t="shared" ca="1" si="13"/>
        <v>9.3956899642944069E-3</v>
      </c>
      <c r="M104" s="69">
        <f t="shared" ca="1" si="14"/>
        <v>1.8095331192016589E-2</v>
      </c>
      <c r="N104" s="50"/>
      <c r="O104" s="68" cm="1">
        <f t="array" aca="1" ref="O104" ca="1">_xll.BDP(P$81&amp;" "&amp;$C104&amp;" 10DP VOL LME Comdty","PX_LAST")/100</f>
        <v>0.24909360885620116</v>
      </c>
      <c r="P104" s="58" cm="1">
        <f t="array" aca="1" ref="P104" ca="1">_xll.BDP(P$81&amp;" "&amp;$C104&amp;" 25DP VOL LME Comdty","PX_LAST")/100</f>
        <v>0.23089513778686524</v>
      </c>
      <c r="Q104" s="45" cm="1">
        <f t="array" aca="1" ref="Q104" ca="1">_xll.BDP(P$81&amp;" "&amp;$C104&amp;" 50D VOL LME Comdty","PX_LAST")/100</f>
        <v>0.20920129776000976</v>
      </c>
      <c r="R104" s="58" cm="1">
        <f t="array" aca="1" ref="R104" ca="1">_xll.BDP(P$81&amp;" "&amp;$C104&amp;" 25DC VOL LME Comdty","PX_LAST")/100</f>
        <v>0.21209548950195312</v>
      </c>
      <c r="S104" s="58" cm="1">
        <f t="array" aca="1" ref="S104" ca="1">_xll.BDP(P$81&amp;" "&amp;$C104&amp;" 10DC VOL LME Comdty","PX_LAST")/100</f>
        <v>0.21959524154663085</v>
      </c>
      <c r="T104" s="49">
        <f t="shared" ca="1" si="15"/>
        <v>0.20920129776000976</v>
      </c>
      <c r="U104" s="50">
        <f t="shared" ca="1" si="16"/>
        <v>0</v>
      </c>
      <c r="V104" s="50">
        <f t="shared" ca="1" si="17"/>
        <v>0</v>
      </c>
      <c r="W104" s="50">
        <f t="shared" ca="1" si="18"/>
        <v>0</v>
      </c>
      <c r="X104" s="69">
        <f t="shared" ca="1" si="19"/>
        <v>0</v>
      </c>
      <c r="Y104" s="50"/>
      <c r="Z104" s="68" cm="1">
        <f t="array" aca="1" ref="Z104" ca="1">_xll.BDP(AA$81&amp;" "&amp;$C104&amp;" 10DP VOL LME Comdty","PX_LAST")/100</f>
        <v>0.25999212265014648</v>
      </c>
      <c r="AA104" s="58" cm="1">
        <f t="array" aca="1" ref="AA104" ca="1">_xll.BDP(AA$81&amp;" "&amp;$C104&amp;" 25DP VOL LME Comdty","PX_LAST")/100</f>
        <v>0.23999536514282227</v>
      </c>
      <c r="AB104" s="45" cm="1">
        <f t="array" aca="1" ref="AB104" ca="1">_xll.BDP(AA$81&amp;" "&amp;$C104&amp;" 50D VOL LME Comdty","PX_LAST")/100</f>
        <v>0.22040117263793946</v>
      </c>
      <c r="AC104" s="58" cm="1">
        <f t="array" aca="1" ref="AC104" ca="1">_xll.BDP(AA$81&amp;" "&amp;$C104&amp;" 25DC VOL LME Comdty","PX_LAST")/100</f>
        <v>0.22019981384277343</v>
      </c>
      <c r="AD104" s="58" cm="1">
        <f t="array" aca="1" ref="AD104" ca="1">_xll.BDP(AA$81&amp;" "&amp;$C104&amp;" 10DC VOL LME Comdty","PX_LAST")/100</f>
        <v>0.21919998168945312</v>
      </c>
      <c r="AE104" s="49">
        <f t="shared" ca="1" si="20"/>
        <v>0.23040117263793947</v>
      </c>
      <c r="AF104" s="50">
        <f t="shared" ca="1" si="21"/>
        <v>-1.9795551300048841E-2</v>
      </c>
      <c r="AG104" s="50">
        <f t="shared" ca="1" si="22"/>
        <v>-4.0792140960693363E-2</v>
      </c>
      <c r="AH104" s="50">
        <f t="shared" ca="1" si="23"/>
        <v>9.6964168548583918E-3</v>
      </c>
      <c r="AI104" s="69">
        <f t="shared" ca="1" si="24"/>
        <v>1.9194879531860332E-2</v>
      </c>
      <c r="AJ104" s="50"/>
      <c r="AK104" s="68" cm="1">
        <f t="array" aca="1" ref="AK104" ca="1">_xll.BDP(AL$81&amp;" "&amp;$C104&amp;" 10DP VOL LME Comdty","PX_LAST")/100</f>
        <v>0.30809581756591797</v>
      </c>
      <c r="AL104" s="58" cm="1">
        <f t="array" aca="1" ref="AL104" ca="1">_xll.BDP(AL$81&amp;" "&amp;$C104&amp;" 25DP VOL LME Comdty","PX_LAST")/100</f>
        <v>0.29829866409301758</v>
      </c>
      <c r="AM104" s="45" cm="1">
        <f t="array" aca="1" ref="AM104" ca="1">_xll.BDP(AL$81&amp;" "&amp;$C104&amp;" 50D VOL LME Comdty","PX_LAST")/100</f>
        <v>0.29619844436645509</v>
      </c>
      <c r="AN104" s="58" cm="1">
        <f t="array" aca="1" ref="AN104" ca="1">_xll.BDP(AL$81&amp;" "&amp;$C104&amp;" 25DC VOL LME Comdty","PX_LAST")/100</f>
        <v>0.31138999938964845</v>
      </c>
      <c r="AO104" s="58" cm="1">
        <f t="array" aca="1" ref="AO104" ca="1">_xll.BDP(AL$81&amp;" "&amp;$C104&amp;" 10DC VOL LME Comdty","PX_LAST")/100</f>
        <v>0.32359275817871092</v>
      </c>
      <c r="AP104" s="49">
        <f t="shared" ca="1" si="25"/>
        <v>0.3061984443664551</v>
      </c>
      <c r="AQ104" s="50">
        <f t="shared" ca="1" si="26"/>
        <v>1.3091335296630868E-2</v>
      </c>
      <c r="AR104" s="50">
        <f t="shared" ca="1" si="27"/>
        <v>1.5496940612792942E-2</v>
      </c>
      <c r="AS104" s="50">
        <f t="shared" ca="1" si="28"/>
        <v>8.6458873748779252E-3</v>
      </c>
      <c r="AT104" s="69">
        <f t="shared" ca="1" si="29"/>
        <v>1.9645843505859351E-2</v>
      </c>
    </row>
    <row r="105" spans="2:46" x14ac:dyDescent="0.25">
      <c r="B105" s="1" cm="1">
        <f t="array" aca="1" ref="B105" ca="1">_xll.QDates_SpecificWeekday(EDATE(B104,1),"Wednesday",1)</f>
        <v>44930</v>
      </c>
      <c r="C105" t="str">
        <f t="shared" ca="1" si="30"/>
        <v>JAN23</v>
      </c>
      <c r="D105" s="68" cm="1">
        <f t="array" aca="1" ref="D105" ca="1">_xll.BDP(E$81&amp;" "&amp;$C105&amp;" 10DP VOL LME Comdty","PX_LAST")/100</f>
        <v>0.18889501571655273</v>
      </c>
      <c r="E105" s="58" cm="1">
        <f t="array" aca="1" ref="E105" ca="1">_xll.BDP(E$81&amp;" "&amp;$C105&amp;" 25DP VOL LME Comdty","PX_LAST")/100</f>
        <v>0.17559549331665039</v>
      </c>
      <c r="F105" s="45" cm="1">
        <f t="array" aca="1" ref="F105" ca="1">_xll.BDP(E$81&amp;" "&amp;$C105&amp;" 50D VOL LME Comdty","PX_LAST")/100</f>
        <v>0.15810088157653809</v>
      </c>
      <c r="G105" s="58" cm="1">
        <f t="array" aca="1" ref="G105" ca="1">_xll.BDP(E$81&amp;" "&amp;$C105&amp;" 25DC VOL LME Comdty","PX_LAST")/100</f>
        <v>0.15879778861999511</v>
      </c>
      <c r="H105" s="58" cm="1">
        <f t="array" aca="1" ref="H105" ca="1">_xll.BDP(E$81&amp;" "&amp;$C105&amp;" 10DC VOL LME Comdty","PX_LAST")/100</f>
        <v>0.16259746551513671</v>
      </c>
      <c r="I105" s="49">
        <f t="shared" ca="1" si="10"/>
        <v>0.15810088157653809</v>
      </c>
      <c r="J105" s="50">
        <f t="shared" ca="1" si="11"/>
        <v>-1.6797704696655286E-2</v>
      </c>
      <c r="K105" s="50">
        <f t="shared" ca="1" si="12"/>
        <v>-2.6297550201416026E-2</v>
      </c>
      <c r="L105" s="50">
        <f t="shared" ca="1" si="13"/>
        <v>9.0957593917846691E-3</v>
      </c>
      <c r="M105" s="69">
        <f t="shared" ca="1" si="14"/>
        <v>1.7645359039306613E-2</v>
      </c>
      <c r="N105" s="50"/>
      <c r="O105" s="68" cm="1">
        <f t="array" aca="1" ref="O105" ca="1">_xll.BDP(P$81&amp;" "&amp;$C105&amp;" 10DP VOL LME Comdty","PX_LAST")/100</f>
        <v>0.2433937644958496</v>
      </c>
      <c r="P105" s="58" cm="1">
        <f t="array" aca="1" ref="P105" ca="1">_xll.BDP(P$81&amp;" "&amp;$C105&amp;" 25DP VOL LME Comdty","PX_LAST")/100</f>
        <v>0.22649528503417968</v>
      </c>
      <c r="Q105" s="45" cm="1">
        <f t="array" aca="1" ref="Q105" ca="1">_xll.BDP(P$81&amp;" "&amp;$C105&amp;" 50D VOL LME Comdty","PX_LAST")/100</f>
        <v>0.20560127258300781</v>
      </c>
      <c r="R105" s="58" cm="1">
        <f t="array" aca="1" ref="R105" ca="1">_xll.BDP(P$81&amp;" "&amp;$C105&amp;" 25DC VOL LME Comdty","PX_LAST")/100</f>
        <v>0.20839582443237303</v>
      </c>
      <c r="S105" s="58" cm="1">
        <f t="array" aca="1" ref="S105" ca="1">_xll.BDP(P$81&amp;" "&amp;$C105&amp;" 10DC VOL LME Comdty","PX_LAST")/100</f>
        <v>0.21469554901123047</v>
      </c>
      <c r="T105" s="49">
        <f t="shared" ca="1" si="15"/>
        <v>0.20560127258300781</v>
      </c>
      <c r="U105" s="50">
        <f t="shared" ca="1" si="16"/>
        <v>0</v>
      </c>
      <c r="V105" s="50">
        <f t="shared" ca="1" si="17"/>
        <v>0</v>
      </c>
      <c r="W105" s="50">
        <f t="shared" ca="1" si="18"/>
        <v>0</v>
      </c>
      <c r="X105" s="69">
        <f t="shared" ca="1" si="19"/>
        <v>0</v>
      </c>
      <c r="Y105" s="50"/>
      <c r="Z105" s="68" cm="1">
        <f t="array" aca="1" ref="Z105" ca="1">_xll.BDP(AA$81&amp;" "&amp;$C105&amp;" 10DP VOL LME Comdty","PX_LAST")/100</f>
        <v>0.26019218444824221</v>
      </c>
      <c r="AA105" s="58" cm="1">
        <f t="array" aca="1" ref="AA105" ca="1">_xll.BDP(AA$81&amp;" "&amp;$C105&amp;" 25DP VOL LME Comdty","PX_LAST")/100</f>
        <v>0.24009544372558594</v>
      </c>
      <c r="AB105" s="45" cm="1">
        <f t="array" aca="1" ref="AB105" ca="1">_xll.BDP(AA$81&amp;" "&amp;$C105&amp;" 50D VOL LME Comdty","PX_LAST")/100</f>
        <v>0.22070117950439452</v>
      </c>
      <c r="AC105" s="58" cm="1">
        <f t="array" aca="1" ref="AC105" ca="1">_xll.BDP(AA$81&amp;" "&amp;$C105&amp;" 25DC VOL LME Comdty","PX_LAST")/100</f>
        <v>0.22049980163574218</v>
      </c>
      <c r="AD105" s="58" cm="1">
        <f t="array" aca="1" ref="AD105" ca="1">_xll.BDP(AA$81&amp;" "&amp;$C105&amp;" 10DC VOL LME Comdty","PX_LAST")/100</f>
        <v>0.21949996948242187</v>
      </c>
      <c r="AE105" s="49">
        <f t="shared" ca="1" si="20"/>
        <v>0.23070117950439453</v>
      </c>
      <c r="AF105" s="50">
        <f t="shared" ca="1" si="21"/>
        <v>-1.9595642089843768E-2</v>
      </c>
      <c r="AG105" s="50">
        <f t="shared" ca="1" si="22"/>
        <v>-4.0692214965820345E-2</v>
      </c>
      <c r="AH105" s="50">
        <f t="shared" ca="1" si="23"/>
        <v>9.5964431762695368E-3</v>
      </c>
      <c r="AI105" s="69">
        <f t="shared" ca="1" si="24"/>
        <v>1.9144897460937532E-2</v>
      </c>
      <c r="AJ105" s="50"/>
      <c r="AK105" s="68" cm="1">
        <f t="array" aca="1" ref="AK105" ca="1">_xll.BDP(AL$81&amp;" "&amp;$C105&amp;" 10DP VOL LME Comdty","PX_LAST")/100</f>
        <v>0.30719591140747071</v>
      </c>
      <c r="AL105" s="58" cm="1">
        <f t="array" aca="1" ref="AL105" ca="1">_xll.BDP(AL$81&amp;" "&amp;$C105&amp;" 25DP VOL LME Comdty","PX_LAST")/100</f>
        <v>0.29769870758056638</v>
      </c>
      <c r="AM105" s="45" cm="1">
        <f t="array" aca="1" ref="AM105" ca="1">_xll.BDP(AL$81&amp;" "&amp;$C105&amp;" 50D VOL LME Comdty","PX_LAST")/100</f>
        <v>0.29539846420288085</v>
      </c>
      <c r="AN105" s="58" cm="1">
        <f t="array" aca="1" ref="AN105" ca="1">_xll.BDP(AL$81&amp;" "&amp;$C105&amp;" 25DC VOL LME Comdty","PX_LAST")/100</f>
        <v>0.31039005279541015</v>
      </c>
      <c r="AO105" s="58" cm="1">
        <f t="array" aca="1" ref="AO105" ca="1">_xll.BDP(AL$81&amp;" "&amp;$C105&amp;" 10DC VOL LME Comdty","PX_LAST")/100</f>
        <v>0.32239276885986329</v>
      </c>
      <c r="AP105" s="49">
        <f t="shared" ca="1" si="25"/>
        <v>0.30539846420288086</v>
      </c>
      <c r="AQ105" s="50">
        <f t="shared" ca="1" si="26"/>
        <v>1.2691345214843774E-2</v>
      </c>
      <c r="AR105" s="50">
        <f t="shared" ca="1" si="27"/>
        <v>1.5196857452392576E-2</v>
      </c>
      <c r="AS105" s="50">
        <f t="shared" ca="1" si="28"/>
        <v>8.6459159851074441E-3</v>
      </c>
      <c r="AT105" s="69">
        <f t="shared" ca="1" si="29"/>
        <v>1.9395875930786177E-2</v>
      </c>
    </row>
    <row r="106" spans="2:46" x14ac:dyDescent="0.25">
      <c r="B106" s="1" cm="1">
        <f t="array" aca="1" ref="B106" ca="1">_xll.QDates_SpecificWeekday(EDATE(B105,1),"Wednesday",1)</f>
        <v>44958</v>
      </c>
      <c r="C106" t="str">
        <f t="shared" ca="1" si="30"/>
        <v>FEB23</v>
      </c>
      <c r="D106" s="68" cm="1">
        <f t="array" aca="1" ref="D106" ca="1">_xll.BDP(E$81&amp;" "&amp;$C106&amp;" 10DP VOL LME Comdty","PX_LAST")/100</f>
        <v>0.18829504013061524</v>
      </c>
      <c r="E106" s="58" cm="1">
        <f t="array" aca="1" ref="E106" ca="1">_xll.BDP(E$81&amp;" "&amp;$C106&amp;" 25DP VOL LME Comdty","PX_LAST")/100</f>
        <v>0.1749955177307129</v>
      </c>
      <c r="F106" s="45" cm="1">
        <f t="array" aca="1" ref="F106" ca="1">_xll.BDP(E$81&amp;" "&amp;$C106&amp;" 50D VOL LME Comdty","PX_LAST")/100</f>
        <v>0.1575009059906006</v>
      </c>
      <c r="G106" s="58" cm="1">
        <f t="array" aca="1" ref="G106" ca="1">_xll.BDP(E$81&amp;" "&amp;$C106&amp;" 25DC VOL LME Comdty","PX_LAST")/100</f>
        <v>0.15809792518615723</v>
      </c>
      <c r="H106" s="58" cm="1">
        <f t="array" aca="1" ref="H106" ca="1">_xll.BDP(E$81&amp;" "&amp;$C106&amp;" 10DC VOL LME Comdty","PX_LAST")/100</f>
        <v>0.16159761428833008</v>
      </c>
      <c r="I106" s="49">
        <f t="shared" ca="1" si="10"/>
        <v>0.1575009059906006</v>
      </c>
      <c r="J106" s="50">
        <f t="shared" ca="1" si="11"/>
        <v>-1.6897592544555667E-2</v>
      </c>
      <c r="K106" s="50">
        <f t="shared" ca="1" si="12"/>
        <v>-2.6697425842285155E-2</v>
      </c>
      <c r="L106" s="50">
        <f t="shared" ca="1" si="13"/>
        <v>9.0458154678344782E-3</v>
      </c>
      <c r="M106" s="69">
        <f t="shared" ca="1" si="14"/>
        <v>1.7445421218872076E-2</v>
      </c>
      <c r="N106" s="50"/>
      <c r="O106" s="68" cm="1">
        <f t="array" aca="1" ref="O106" ca="1">_xll.BDP(P$81&amp;" "&amp;$C106&amp;" 10DP VOL LME Comdty","PX_LAST")/100</f>
        <v>0.24229393005371094</v>
      </c>
      <c r="P106" s="58" cm="1">
        <f t="array" aca="1" ref="P106" ca="1">_xll.BDP(P$81&amp;" "&amp;$C106&amp;" 25DP VOL LME Comdty","PX_LAST")/100</f>
        <v>0.22549539566040039</v>
      </c>
      <c r="Q106" s="45" cm="1">
        <f t="array" aca="1" ref="Q106" ca="1">_xll.BDP(P$81&amp;" "&amp;$C106&amp;" 50D VOL LME Comdty","PX_LAST")/100</f>
        <v>0.20450128555297853</v>
      </c>
      <c r="R106" s="58" cm="1">
        <f t="array" aca="1" ref="R106" ca="1">_xll.BDP(P$81&amp;" "&amp;$C106&amp;" 25DC VOL LME Comdty","PX_LAST")/100</f>
        <v>0.20739589691162108</v>
      </c>
      <c r="S106" s="58" cm="1">
        <f t="array" aca="1" ref="S106" ca="1">_xll.BDP(P$81&amp;" "&amp;$C106&amp;" 10DC VOL LME Comdty","PX_LAST")/100</f>
        <v>0.2136956787109375</v>
      </c>
      <c r="T106" s="49">
        <f t="shared" ca="1" si="15"/>
        <v>0.20450128555297853</v>
      </c>
      <c r="U106" s="50">
        <f t="shared" ca="1" si="16"/>
        <v>0</v>
      </c>
      <c r="V106" s="50">
        <f t="shared" ca="1" si="17"/>
        <v>0</v>
      </c>
      <c r="W106" s="50">
        <f t="shared" ca="1" si="18"/>
        <v>0</v>
      </c>
      <c r="X106" s="69">
        <f t="shared" ca="1" si="19"/>
        <v>0</v>
      </c>
      <c r="Y106" s="50"/>
      <c r="Z106" s="68" cm="1">
        <f t="array" aca="1" ref="Z106" ca="1">_xll.BDP(AA$81&amp;" "&amp;$C106&amp;" 10DP VOL LME Comdty","PX_LAST")/100</f>
        <v>0.25979228973388674</v>
      </c>
      <c r="AA106" s="58" cm="1">
        <f t="array" aca="1" ref="AA106" ca="1">_xll.BDP(AA$81&amp;" "&amp;$C106&amp;" 25DP VOL LME Comdty","PX_LAST")/100</f>
        <v>0.23969552993774415</v>
      </c>
      <c r="AB106" s="45" cm="1">
        <f t="array" aca="1" ref="AB106" ca="1">_xll.BDP(AA$81&amp;" "&amp;$C106&amp;" 50D VOL LME Comdty","PX_LAST")/100</f>
        <v>0.22030120849609375</v>
      </c>
      <c r="AC106" s="58" cm="1">
        <f t="array" aca="1" ref="AC106" ca="1">_xll.BDP(AA$81&amp;" "&amp;$C106&amp;" 25DC VOL LME Comdty","PX_LAST")/100</f>
        <v>0.22009979248046874</v>
      </c>
      <c r="AD106" s="58" cm="1">
        <f t="array" aca="1" ref="AD106" ca="1">_xll.BDP(AA$81&amp;" "&amp;$C106&amp;" 10DC VOL LME Comdty","PX_LAST")/100</f>
        <v>0.2191999626159668</v>
      </c>
      <c r="AE106" s="49">
        <f t="shared" ca="1" si="20"/>
        <v>0.23030120849609376</v>
      </c>
      <c r="AF106" s="50">
        <f t="shared" ca="1" si="21"/>
        <v>-1.9595737457275414E-2</v>
      </c>
      <c r="AG106" s="50">
        <f t="shared" ca="1" si="22"/>
        <v>-4.0592327117919935E-2</v>
      </c>
      <c r="AH106" s="50">
        <f t="shared" ca="1" si="23"/>
        <v>9.596452713012682E-3</v>
      </c>
      <c r="AI106" s="69">
        <f t="shared" ca="1" si="24"/>
        <v>1.9194917678833023E-2</v>
      </c>
      <c r="AJ106" s="50"/>
      <c r="AK106" s="68" cm="1">
        <f t="array" aca="1" ref="AK106" ca="1">_xll.BDP(AL$81&amp;" "&amp;$C106&amp;" 10DP VOL LME Comdty","PX_LAST")/100</f>
        <v>0.30659595489501951</v>
      </c>
      <c r="AL106" s="58" cm="1">
        <f t="array" aca="1" ref="AL106" ca="1">_xll.BDP(AL$81&amp;" "&amp;$C106&amp;" 25DP VOL LME Comdty","PX_LAST")/100</f>
        <v>0.29719875335693358</v>
      </c>
      <c r="AM106" s="45" cm="1">
        <f t="array" aca="1" ref="AM106" ca="1">_xll.BDP(AL$81&amp;" "&amp;$C106&amp;" 50D VOL LME Comdty","PX_LAST")/100</f>
        <v>0.29489841461181643</v>
      </c>
      <c r="AN106" s="58" cm="1">
        <f t="array" aca="1" ref="AN106" ca="1">_xll.BDP(AL$81&amp;" "&amp;$C106&amp;" 25DC VOL LME Comdty","PX_LAST")/100</f>
        <v>0.3099899101257324</v>
      </c>
      <c r="AO106" s="58" cm="1">
        <f t="array" aca="1" ref="AO106" ca="1">_xll.BDP(AL$81&amp;" "&amp;$C106&amp;" 10DC VOL LME Comdty","PX_LAST")/100</f>
        <v>0.32209274291992185</v>
      </c>
      <c r="AP106" s="49">
        <f t="shared" ca="1" si="25"/>
        <v>0.30489841461181644</v>
      </c>
      <c r="AQ106" s="50">
        <f t="shared" ca="1" si="26"/>
        <v>1.2791156768798828E-2</v>
      </c>
      <c r="AR106" s="50">
        <f t="shared" ca="1" si="27"/>
        <v>1.5496788024902342E-2</v>
      </c>
      <c r="AS106" s="50">
        <f t="shared" ca="1" si="28"/>
        <v>8.6959171295165616E-3</v>
      </c>
      <c r="AT106" s="69">
        <f t="shared" ca="1" si="29"/>
        <v>1.9445934295654221E-2</v>
      </c>
    </row>
    <row r="107" spans="2:46" x14ac:dyDescent="0.25">
      <c r="B107" s="1" cm="1">
        <f t="array" aca="1" ref="B107" ca="1">_xll.QDates_SpecificWeekday(EDATE(B106,1),"Wednesday",1)</f>
        <v>44986</v>
      </c>
      <c r="C107" t="str">
        <f t="shared" ca="1" si="30"/>
        <v>MAR23</v>
      </c>
      <c r="D107" s="68" cm="1">
        <f t="array" aca="1" ref="D107" ca="1">_xll.BDP(E$81&amp;" "&amp;$C107&amp;" 10DP VOL LME Comdty","PX_LAST")/100</f>
        <v>0.18789505004882812</v>
      </c>
      <c r="E107" s="58" cm="1">
        <f t="array" aca="1" ref="E107" ca="1">_xll.BDP(E$81&amp;" "&amp;$C107&amp;" 25DP VOL LME Comdty","PX_LAST")/100</f>
        <v>0.17459556579589844</v>
      </c>
      <c r="F107" s="45" cm="1">
        <f t="array" aca="1" ref="F107" ca="1">_xll.BDP(E$81&amp;" "&amp;$C107&amp;" 50D VOL LME Comdty","PX_LAST")/100</f>
        <v>0.15700092315673828</v>
      </c>
      <c r="G107" s="58" cm="1">
        <f t="array" aca="1" ref="G107" ca="1">_xll.BDP(E$81&amp;" "&amp;$C107&amp;" 25DC VOL LME Comdty","PX_LAST")/100</f>
        <v>0.15749802589416503</v>
      </c>
      <c r="H107" s="58" cm="1">
        <f t="array" aca="1" ref="H107" ca="1">_xll.BDP(E$81&amp;" "&amp;$C107&amp;" 10DC VOL LME Comdty","PX_LAST")/100</f>
        <v>0.16079774856567383</v>
      </c>
      <c r="I107" s="49">
        <f t="shared" ca="1" si="10"/>
        <v>0.15700092315673828</v>
      </c>
      <c r="J107" s="50">
        <f t="shared" ca="1" si="11"/>
        <v>-1.7097539901733405E-2</v>
      </c>
      <c r="K107" s="50">
        <f t="shared" ca="1" si="12"/>
        <v>-2.7097301483154285E-2</v>
      </c>
      <c r="L107" s="50">
        <f t="shared" ca="1" si="13"/>
        <v>9.0458726882934604E-3</v>
      </c>
      <c r="M107" s="69">
        <f t="shared" ca="1" si="14"/>
        <v>1.7345476150512712E-2</v>
      </c>
      <c r="N107" s="50"/>
      <c r="O107" s="68" cm="1">
        <f t="array" aca="1" ref="O107" ca="1">_xll.BDP(P$81&amp;" "&amp;$C107&amp;" 10DP VOL LME Comdty","PX_LAST")/100</f>
        <v>0.24109403610229493</v>
      </c>
      <c r="P107" s="58" cm="1">
        <f t="array" aca="1" ref="P107" ca="1">_xll.BDP(P$81&amp;" "&amp;$C107&amp;" 25DP VOL LME Comdty","PX_LAST")/100</f>
        <v>0.2242954444885254</v>
      </c>
      <c r="Q107" s="45" cm="1">
        <f t="array" aca="1" ref="Q107" ca="1">_xll.BDP(P$81&amp;" "&amp;$C107&amp;" 50D VOL LME Comdty","PX_LAST")/100</f>
        <v>0.20330129623413085</v>
      </c>
      <c r="R107" s="58" cm="1">
        <f t="array" aca="1" ref="R107" ca="1">_xll.BDP(P$81&amp;" "&amp;$C107&amp;" 25DC VOL LME Comdty","PX_LAST")/100</f>
        <v>0.20629583358764647</v>
      </c>
      <c r="S107" s="58" cm="1">
        <f t="array" aca="1" ref="S107" ca="1">_xll.BDP(P$81&amp;" "&amp;$C107&amp;" 10DC VOL LME Comdty","PX_LAST")/100</f>
        <v>0.21269567489624022</v>
      </c>
      <c r="T107" s="49">
        <f t="shared" ca="1" si="15"/>
        <v>0.20330129623413085</v>
      </c>
      <c r="U107" s="50">
        <f t="shared" ca="1" si="16"/>
        <v>0</v>
      </c>
      <c r="V107" s="50">
        <f t="shared" ca="1" si="17"/>
        <v>0</v>
      </c>
      <c r="W107" s="50">
        <f t="shared" ca="1" si="18"/>
        <v>0</v>
      </c>
      <c r="X107" s="69">
        <f t="shared" ca="1" si="19"/>
        <v>0</v>
      </c>
      <c r="Y107" s="50"/>
      <c r="Z107" s="68" cm="1">
        <f t="array" aca="1" ref="Z107" ca="1">_xll.BDP(AA$81&amp;" "&amp;$C107&amp;" 10DP VOL LME Comdty","PX_LAST")/100</f>
        <v>0.25989234924316407</v>
      </c>
      <c r="AA107" s="58" cm="1">
        <f t="array" aca="1" ref="AA107" ca="1">_xll.BDP(AA$81&amp;" "&amp;$C107&amp;" 25DP VOL LME Comdty","PX_LAST")/100</f>
        <v>0.23999561309814454</v>
      </c>
      <c r="AB107" s="45" cm="1">
        <f t="array" aca="1" ref="AB107" ca="1">_xll.BDP(AA$81&amp;" "&amp;$C107&amp;" 50D VOL LME Comdty","PX_LAST")/100</f>
        <v>0.22050123214721679</v>
      </c>
      <c r="AC107" s="58" cm="1">
        <f t="array" aca="1" ref="AC107" ca="1">_xll.BDP(AA$81&amp;" "&amp;$C107&amp;" 25DC VOL LME Comdty","PX_LAST")/100</f>
        <v>0.22029977798461914</v>
      </c>
      <c r="AD107" s="58" cm="1">
        <f t="array" aca="1" ref="AD107" ca="1">_xll.BDP(AA$81&amp;" "&amp;$C107&amp;" 10DC VOL LME Comdty","PX_LAST")/100</f>
        <v>0.21939994812011718</v>
      </c>
      <c r="AE107" s="49">
        <f t="shared" ca="1" si="20"/>
        <v>0.23050123214721679</v>
      </c>
      <c r="AF107" s="50">
        <f t="shared" ca="1" si="21"/>
        <v>-1.9695835113525406E-2</v>
      </c>
      <c r="AG107" s="50">
        <f t="shared" ca="1" si="22"/>
        <v>-4.0492401123046889E-2</v>
      </c>
      <c r="AH107" s="50">
        <f t="shared" ca="1" si="23"/>
        <v>9.6464633941650557E-3</v>
      </c>
      <c r="AI107" s="69">
        <f t="shared" ca="1" si="24"/>
        <v>1.914491653442385E-2</v>
      </c>
      <c r="AJ107" s="50"/>
      <c r="AK107" s="68" cm="1">
        <f t="array" aca="1" ref="AK107" ca="1">_xll.BDP(AL$81&amp;" "&amp;$C107&amp;" 10DP VOL LME Comdty","PX_LAST")/100</f>
        <v>0.3062959861755371</v>
      </c>
      <c r="AL107" s="58" cm="1">
        <f t="array" aca="1" ref="AL107" ca="1">_xll.BDP(AL$81&amp;" "&amp;$C107&amp;" 25DP VOL LME Comdty","PX_LAST")/100</f>
        <v>0.29689878463745117</v>
      </c>
      <c r="AM107" s="45" cm="1">
        <f t="array" aca="1" ref="AM107" ca="1">_xll.BDP(AL$81&amp;" "&amp;$C107&amp;" 50D VOL LME Comdty","PX_LAST")/100</f>
        <v>0.29459838867187499</v>
      </c>
      <c r="AN107" s="58" cm="1">
        <f t="array" aca="1" ref="AN107" ca="1">_xll.BDP(AL$81&amp;" "&amp;$C107&amp;" 25DC VOL LME Comdty","PX_LAST")/100</f>
        <v>0.30968982696533204</v>
      </c>
      <c r="AO107" s="58" cm="1">
        <f t="array" aca="1" ref="AO107" ca="1">_xll.BDP(AL$81&amp;" "&amp;$C107&amp;" 10DC VOL LME Comdty","PX_LAST")/100</f>
        <v>0.32179271697998046</v>
      </c>
      <c r="AP107" s="49">
        <f t="shared" ca="1" si="25"/>
        <v>0.304598388671875</v>
      </c>
      <c r="AQ107" s="50">
        <f t="shared" ca="1" si="26"/>
        <v>1.2791042327880864E-2</v>
      </c>
      <c r="AR107" s="50">
        <f t="shared" ca="1" si="27"/>
        <v>1.5496730804443359E-2</v>
      </c>
      <c r="AS107" s="50">
        <f t="shared" ca="1" si="28"/>
        <v>8.6959171295166171E-3</v>
      </c>
      <c r="AT107" s="69">
        <f t="shared" ca="1" si="29"/>
        <v>1.9445962905883796E-2</v>
      </c>
    </row>
    <row r="108" spans="2:46" x14ac:dyDescent="0.25">
      <c r="B108" s="1" cm="1">
        <f t="array" aca="1" ref="B108" ca="1">_xll.QDates_SpecificWeekday(EDATE(B107,1),"Wednesday",1)</f>
        <v>45021</v>
      </c>
      <c r="C108" t="str">
        <f t="shared" ca="1" si="30"/>
        <v>APR23</v>
      </c>
      <c r="D108" s="68" cm="1">
        <f t="array" aca="1" ref="D108" ca="1">_xll.BDP(E$81&amp;" "&amp;$C108&amp;" 10DP VOL LME Comdty","PX_LAST")/100</f>
        <v>0.18799505233764649</v>
      </c>
      <c r="E108" s="58" cm="1">
        <f t="array" aca="1" ref="E108" ca="1">_xll.BDP(E$81&amp;" "&amp;$C108&amp;" 25DP VOL LME Comdty","PX_LAST")/100</f>
        <v>0.17469560623168945</v>
      </c>
      <c r="F108" s="45" cm="1">
        <f t="array" aca="1" ref="F108" ca="1">_xll.BDP(E$81&amp;" "&amp;$C108&amp;" 50D VOL LME Comdty","PX_LAST")/100</f>
        <v>0.15700094223022462</v>
      </c>
      <c r="G108" s="58" cm="1">
        <f t="array" aca="1" ref="G108" ca="1">_xll.BDP(E$81&amp;" "&amp;$C108&amp;" 25DC VOL LME Comdty","PX_LAST")/100</f>
        <v>0.157498140335083</v>
      </c>
      <c r="H108" s="58" cm="1">
        <f t="array" aca="1" ref="H108" ca="1">_xll.BDP(E$81&amp;" "&amp;$C108&amp;" 10DC VOL LME Comdty","PX_LAST")/100</f>
        <v>0.16049791336059571</v>
      </c>
      <c r="I108" s="49">
        <f t="shared" ca="1" si="10"/>
        <v>0.15700094223022462</v>
      </c>
      <c r="J108" s="50">
        <f t="shared" ca="1" si="11"/>
        <v>-1.7197465896606451E-2</v>
      </c>
      <c r="K108" s="50">
        <f t="shared" ca="1" si="12"/>
        <v>-2.7497138977050778E-2</v>
      </c>
      <c r="L108" s="50">
        <f t="shared" ca="1" si="13"/>
        <v>9.0959310531616155E-3</v>
      </c>
      <c r="M108" s="69">
        <f t="shared" ca="1" si="14"/>
        <v>1.7245540618896466E-2</v>
      </c>
      <c r="N108" s="50"/>
      <c r="O108" s="68" cm="1">
        <f t="array" aca="1" ref="O108" ca="1">_xll.BDP(P$81&amp;" "&amp;$C108&amp;" 10DP VOL LME Comdty","PX_LAST")/100</f>
        <v>0.23999414443969727</v>
      </c>
      <c r="P108" s="58" cm="1">
        <f t="array" aca="1" ref="P108" ca="1">_xll.BDP(P$81&amp;" "&amp;$C108&amp;" 25DP VOL LME Comdty","PX_LAST")/100</f>
        <v>0.22339550018310547</v>
      </c>
      <c r="Q108" s="45" cm="1">
        <f t="array" aca="1" ref="Q108" ca="1">_xll.BDP(P$81&amp;" "&amp;$C108&amp;" 50D VOL LME Comdty","PX_LAST")/100</f>
        <v>0.20220130920410156</v>
      </c>
      <c r="R108" s="58" cm="1">
        <f t="array" aca="1" ref="R108" ca="1">_xll.BDP(P$81&amp;" "&amp;$C108&amp;" 25DC VOL LME Comdty","PX_LAST")/100</f>
        <v>0.20539569854736328</v>
      </c>
      <c r="S108" s="58" cm="1">
        <f t="array" aca="1" ref="S108" ca="1">_xll.BDP(P$81&amp;" "&amp;$C108&amp;" 10DC VOL LME Comdty","PX_LAST")/100</f>
        <v>0.21189561843872071</v>
      </c>
      <c r="T108" s="49">
        <f t="shared" ca="1" si="15"/>
        <v>0.20220130920410156</v>
      </c>
      <c r="U108" s="50">
        <f t="shared" ca="1" si="16"/>
        <v>0</v>
      </c>
      <c r="V108" s="50">
        <f t="shared" ca="1" si="17"/>
        <v>0</v>
      </c>
      <c r="W108" s="50">
        <f t="shared" ca="1" si="18"/>
        <v>0</v>
      </c>
      <c r="X108" s="69">
        <f t="shared" ca="1" si="19"/>
        <v>0</v>
      </c>
      <c r="Y108" s="50"/>
      <c r="Z108" s="68" cm="1">
        <f t="array" aca="1" ref="Z108" ca="1">_xll.BDP(AA$81&amp;" "&amp;$C108&amp;" 10DP VOL LME Comdty","PX_LAST")/100</f>
        <v>0.25999242782592774</v>
      </c>
      <c r="AA108" s="58" cm="1">
        <f t="array" aca="1" ref="AA108" ca="1">_xll.BDP(AA$81&amp;" "&amp;$C108&amp;" 25DP VOL LME Comdty","PX_LAST")/100</f>
        <v>0.24009571075439454</v>
      </c>
      <c r="AB108" s="45" cm="1">
        <f t="array" aca="1" ref="AB108" ca="1">_xll.BDP(AA$81&amp;" "&amp;$C108&amp;" 50D VOL LME Comdty","PX_LAST")/100</f>
        <v>0.22060125350952148</v>
      </c>
      <c r="AC108" s="58" cm="1">
        <f t="array" aca="1" ref="AC108" ca="1">_xll.BDP(AA$81&amp;" "&amp;$C108&amp;" 25DC VOL LME Comdty","PX_LAST")/100</f>
        <v>0.22039976119995117</v>
      </c>
      <c r="AD108" s="58" cm="1">
        <f t="array" aca="1" ref="AD108" ca="1">_xll.BDP(AA$81&amp;" "&amp;$C108&amp;" 10DC VOL LME Comdty","PX_LAST")/100</f>
        <v>0.2195999526977539</v>
      </c>
      <c r="AE108" s="49">
        <f t="shared" ca="1" si="20"/>
        <v>0.23060125350952149</v>
      </c>
      <c r="AF108" s="50">
        <f t="shared" ca="1" si="21"/>
        <v>-1.969594955444337E-2</v>
      </c>
      <c r="AG108" s="50">
        <f t="shared" ca="1" si="22"/>
        <v>-4.0392475128173844E-2</v>
      </c>
      <c r="AH108" s="50">
        <f t="shared" ca="1" si="23"/>
        <v>9.6464824676513738E-3</v>
      </c>
      <c r="AI108" s="69">
        <f t="shared" ca="1" si="24"/>
        <v>1.9194936752319341E-2</v>
      </c>
      <c r="AJ108" s="50"/>
      <c r="AK108" s="68" cm="1">
        <f t="array" aca="1" ref="AK108" ca="1">_xll.BDP(AL$81&amp;" "&amp;$C108&amp;" 10DP VOL LME Comdty","PX_LAST")/100</f>
        <v>0.3059960174560547</v>
      </c>
      <c r="AL108" s="58" cm="1">
        <f t="array" aca="1" ref="AL108" ca="1">_xll.BDP(AL$81&amp;" "&amp;$C108&amp;" 25DP VOL LME Comdty","PX_LAST")/100</f>
        <v>0.29649883270263672</v>
      </c>
      <c r="AM108" s="45" cm="1">
        <f t="array" aca="1" ref="AM108" ca="1">_xll.BDP(AL$81&amp;" "&amp;$C108&amp;" 50D VOL LME Comdty","PX_LAST")/100</f>
        <v>0.29429834365844726</v>
      </c>
      <c r="AN108" s="58" cm="1">
        <f t="array" aca="1" ref="AN108" ca="1">_xll.BDP(AL$81&amp;" "&amp;$C108&amp;" 25DC VOL LME Comdty","PX_LAST")/100</f>
        <v>0.30938976287841796</v>
      </c>
      <c r="AO108" s="58" cm="1">
        <f t="array" aca="1" ref="AO108" ca="1">_xll.BDP(AL$81&amp;" "&amp;$C108&amp;" 10DC VOL LME Comdty","PX_LAST")/100</f>
        <v>0.32149272918701172</v>
      </c>
      <c r="AP108" s="49">
        <f t="shared" ca="1" si="25"/>
        <v>0.30429834365844727</v>
      </c>
      <c r="AQ108" s="50">
        <f t="shared" ca="1" si="26"/>
        <v>1.2890930175781246E-2</v>
      </c>
      <c r="AR108" s="50">
        <f t="shared" ca="1" si="27"/>
        <v>1.5496711730957013E-2</v>
      </c>
      <c r="AS108" s="50">
        <f t="shared" ca="1" si="28"/>
        <v>8.6459541320800803E-3</v>
      </c>
      <c r="AT108" s="69">
        <f t="shared" ca="1" si="29"/>
        <v>1.9446029663085951E-2</v>
      </c>
    </row>
    <row r="109" spans="2:46" x14ac:dyDescent="0.25">
      <c r="B109" s="1" cm="1">
        <f t="array" aca="1" ref="B109" ca="1">_xll.QDates_SpecificWeekday(EDATE(B108,1),"Wednesday",1)</f>
        <v>45049</v>
      </c>
      <c r="C109" t="str">
        <f t="shared" ca="1" si="30"/>
        <v>MAY23</v>
      </c>
      <c r="D109" s="68" cm="1">
        <f t="array" aca="1" ref="D109" ca="1">_xll.BDP(E$81&amp;" "&amp;$C109&amp;" 10DP VOL LME Comdty","PX_LAST")/100</f>
        <v>0.18789506912231446</v>
      </c>
      <c r="E109" s="58" cm="1">
        <f t="array" aca="1" ref="E109" ca="1">_xll.BDP(E$81&amp;" "&amp;$C109&amp;" 25DP VOL LME Comdty","PX_LAST")/100</f>
        <v>0.17459564208984374</v>
      </c>
      <c r="F109" s="45" cm="1">
        <f t="array" aca="1" ref="F109" ca="1">_xll.BDP(E$81&amp;" "&amp;$C109&amp;" 50D VOL LME Comdty","PX_LAST")/100</f>
        <v>0.15690095901489257</v>
      </c>
      <c r="G109" s="58" cm="1">
        <f t="array" aca="1" ref="G109" ca="1">_xll.BDP(E$81&amp;" "&amp;$C109&amp;" 25DC VOL LME Comdty","PX_LAST")/100</f>
        <v>0.15729823112487792</v>
      </c>
      <c r="H109" s="58" cm="1">
        <f t="array" aca="1" ref="H109" ca="1">_xll.BDP(E$81&amp;" "&amp;$C109&amp;" 10DC VOL LME Comdty","PX_LAST")/100</f>
        <v>0.1600980567932129</v>
      </c>
      <c r="I109" s="49">
        <f t="shared" ca="1" si="10"/>
        <v>0.15690095901489257</v>
      </c>
      <c r="J109" s="50">
        <f t="shared" ca="1" si="11"/>
        <v>-1.7297410964965815E-2</v>
      </c>
      <c r="K109" s="50">
        <f t="shared" ca="1" si="12"/>
        <v>-2.7797012329101561E-2</v>
      </c>
      <c r="L109" s="50">
        <f t="shared" ca="1" si="13"/>
        <v>9.0459775924682517E-3</v>
      </c>
      <c r="M109" s="69">
        <f t="shared" ca="1" si="14"/>
        <v>1.7095603942871102E-2</v>
      </c>
      <c r="N109" s="50"/>
      <c r="O109" s="68" cm="1">
        <f t="array" aca="1" ref="O109" ca="1">_xll.BDP(P$81&amp;" "&amp;$C109&amp;" 10DP VOL LME Comdty","PX_LAST")/100</f>
        <v>0.23929424285888673</v>
      </c>
      <c r="P109" s="58" cm="1">
        <f t="array" aca="1" ref="P109" ca="1">_xll.BDP(P$81&amp;" "&amp;$C109&amp;" 25DP VOL LME Comdty","PX_LAST")/100</f>
        <v>0.22269556045532227</v>
      </c>
      <c r="Q109" s="45" cm="1">
        <f t="array" aca="1" ref="Q109" ca="1">_xll.BDP(P$81&amp;" "&amp;$C109&amp;" 50D VOL LME Comdty","PX_LAST")/100</f>
        <v>0.20150131225585938</v>
      </c>
      <c r="R109" s="58" cm="1">
        <f t="array" aca="1" ref="R109" ca="1">_xll.BDP(P$81&amp;" "&amp;$C109&amp;" 25DC VOL LME Comdty","PX_LAST")/100</f>
        <v>0.20479560852050782</v>
      </c>
      <c r="S109" s="58" cm="1">
        <f t="array" aca="1" ref="S109" ca="1">_xll.BDP(P$81&amp;" "&amp;$C109&amp;" 10DC VOL LME Comdty","PX_LAST")/100</f>
        <v>0.21139556884765626</v>
      </c>
      <c r="T109" s="49">
        <f t="shared" ca="1" si="15"/>
        <v>0.20150131225585938</v>
      </c>
      <c r="U109" s="50">
        <f t="shared" ca="1" si="16"/>
        <v>0</v>
      </c>
      <c r="V109" s="50">
        <f t="shared" ca="1" si="17"/>
        <v>0</v>
      </c>
      <c r="W109" s="50">
        <f t="shared" ca="1" si="18"/>
        <v>0</v>
      </c>
      <c r="X109" s="69">
        <f t="shared" ca="1" si="19"/>
        <v>0</v>
      </c>
      <c r="Y109" s="50"/>
      <c r="Z109" s="68" cm="1">
        <f t="array" aca="1" ref="Z109" ca="1">_xll.BDP(AA$81&amp;" "&amp;$C109&amp;" 10DP VOL LME Comdty","PX_LAST")/100</f>
        <v>0.25959251403808592</v>
      </c>
      <c r="AA109" s="58" cm="1">
        <f t="array" aca="1" ref="AA109" ca="1">_xll.BDP(AA$81&amp;" "&amp;$C109&amp;" 25DP VOL LME Comdty","PX_LAST")/100</f>
        <v>0.23969581604003906</v>
      </c>
      <c r="AB109" s="45" cm="1">
        <f t="array" aca="1" ref="AB109" ca="1">_xll.BDP(AA$81&amp;" "&amp;$C109&amp;" 50D VOL LME Comdty","PX_LAST")/100</f>
        <v>0.2202012825012207</v>
      </c>
      <c r="AC109" s="58" cm="1">
        <f t="array" aca="1" ref="AC109" ca="1">_xll.BDP(AA$81&amp;" "&amp;$C109&amp;" 25DC VOL LME Comdty","PX_LAST")/100</f>
        <v>0.21999977111816407</v>
      </c>
      <c r="AD109" s="58" cm="1">
        <f t="array" aca="1" ref="AD109" ca="1">_xll.BDP(AA$81&amp;" "&amp;$C109&amp;" 10DC VOL LME Comdty","PX_LAST")/100</f>
        <v>0.2191999626159668</v>
      </c>
      <c r="AE109" s="49">
        <f t="shared" ca="1" si="20"/>
        <v>0.23020128250122071</v>
      </c>
      <c r="AF109" s="50">
        <f t="shared" ca="1" si="21"/>
        <v>-1.9696044921874989E-2</v>
      </c>
      <c r="AG109" s="50">
        <f t="shared" ca="1" si="22"/>
        <v>-4.0392551422119116E-2</v>
      </c>
      <c r="AH109" s="50">
        <f t="shared" ca="1" si="23"/>
        <v>9.6465110778808649E-3</v>
      </c>
      <c r="AI109" s="69">
        <f t="shared" ca="1" si="24"/>
        <v>1.919495582580566E-2</v>
      </c>
      <c r="AJ109" s="50"/>
      <c r="AK109" s="68" cm="1">
        <f t="array" aca="1" ref="AK109" ca="1">_xll.BDP(AL$81&amp;" "&amp;$C109&amp;" 10DP VOL LME Comdty","PX_LAST")/100</f>
        <v>0.30639604568481443</v>
      </c>
      <c r="AL109" s="58" cm="1">
        <f t="array" aca="1" ref="AL109" ca="1">_xll.BDP(AL$81&amp;" "&amp;$C109&amp;" 25DP VOL LME Comdty","PX_LAST")/100</f>
        <v>0.2968988609313965</v>
      </c>
      <c r="AM109" s="45" cm="1">
        <f t="array" aca="1" ref="AM109" ca="1">_xll.BDP(AL$81&amp;" "&amp;$C109&amp;" 50D VOL LME Comdty","PX_LAST")/100</f>
        <v>0.29469831466674806</v>
      </c>
      <c r="AN109" s="58" cm="1">
        <f t="array" aca="1" ref="AN109" ca="1">_xll.BDP(AL$81&amp;" "&amp;$C109&amp;" 25DC VOL LME Comdty","PX_LAST")/100</f>
        <v>0.30978967666625978</v>
      </c>
      <c r="AO109" s="58" cm="1">
        <f t="array" aca="1" ref="AO109" ca="1">_xll.BDP(AL$81&amp;" "&amp;$C109&amp;" 10DC VOL LME Comdty","PX_LAST")/100</f>
        <v>0.32189270019531252</v>
      </c>
      <c r="AP109" s="49">
        <f t="shared" ca="1" si="25"/>
        <v>0.30469831466674807</v>
      </c>
      <c r="AQ109" s="50">
        <f t="shared" ca="1" si="26"/>
        <v>1.2890815734863281E-2</v>
      </c>
      <c r="AR109" s="50">
        <f t="shared" ca="1" si="27"/>
        <v>1.5496654510498087E-2</v>
      </c>
      <c r="AS109" s="50">
        <f t="shared" ca="1" si="28"/>
        <v>8.6459541320800803E-3</v>
      </c>
      <c r="AT109" s="69">
        <f t="shared" ca="1" si="29"/>
        <v>1.9446058273315414E-2</v>
      </c>
    </row>
    <row r="110" spans="2:46" x14ac:dyDescent="0.25">
      <c r="B110" s="1" cm="1">
        <f t="array" aca="1" ref="B110" ca="1">_xll.QDates_SpecificWeekday(EDATE(B109,1),"Wednesday",1)</f>
        <v>45084</v>
      </c>
      <c r="C110" t="str">
        <f t="shared" ca="1" si="30"/>
        <v>JUN23</v>
      </c>
      <c r="D110" s="68" cm="1">
        <f t="array" aca="1" ref="D110" ca="1">_xll.BDP(E$81&amp;" "&amp;$C110&amp;" 10DP VOL LME Comdty","PX_LAST")/100</f>
        <v>0.18789514541625976</v>
      </c>
      <c r="E110" s="58" cm="1">
        <f t="array" aca="1" ref="E110" ca="1">_xll.BDP(E$81&amp;" "&amp;$C110&amp;" 25DP VOL LME Comdty","PX_LAST")/100</f>
        <v>0.17459569931030272</v>
      </c>
      <c r="F110" s="45" cm="1">
        <f t="array" aca="1" ref="F110" ca="1">_xll.BDP(E$81&amp;" "&amp;$C110&amp;" 50D VOL LME Comdty","PX_LAST")/100</f>
        <v>0.15680098533630371</v>
      </c>
      <c r="G110" s="58" cm="1">
        <f t="array" aca="1" ref="G110" ca="1">_xll.BDP(E$81&amp;" "&amp;$C110&amp;" 25DC VOL LME Comdty","PX_LAST")/100</f>
        <v>0.15719834327697754</v>
      </c>
      <c r="H110" s="58" cm="1">
        <f t="array" aca="1" ref="H110" ca="1">_xll.BDP(E$81&amp;" "&amp;$C110&amp;" 10DC VOL LME Comdty","PX_LAST")/100</f>
        <v>0.15969823837280273</v>
      </c>
      <c r="I110" s="49">
        <f t="shared" ca="1" si="10"/>
        <v>0.15680098533630371</v>
      </c>
      <c r="J110" s="50">
        <f t="shared" ca="1" si="11"/>
        <v>-1.7397356033325179E-2</v>
      </c>
      <c r="K110" s="50">
        <f t="shared" ca="1" si="12"/>
        <v>-2.8196907043457037E-2</v>
      </c>
      <c r="L110" s="50">
        <f t="shared" ca="1" si="13"/>
        <v>9.0960359573364347E-3</v>
      </c>
      <c r="M110" s="69">
        <f t="shared" ca="1" si="14"/>
        <v>1.6995706558227519E-2</v>
      </c>
      <c r="N110" s="50"/>
      <c r="O110" s="68" cm="1">
        <f t="array" aca="1" ref="O110" ca="1">_xll.BDP(P$81&amp;" "&amp;$C110&amp;" 10DP VOL LME Comdty","PX_LAST")/100</f>
        <v>0.2383943748474121</v>
      </c>
      <c r="P110" s="58" cm="1">
        <f t="array" aca="1" ref="P110" ca="1">_xll.BDP(P$81&amp;" "&amp;$C110&amp;" 25DP VOL LME Comdty","PX_LAST")/100</f>
        <v>0.22189565658569335</v>
      </c>
      <c r="Q110" s="45" cm="1">
        <f t="array" aca="1" ref="Q110" ca="1">_xll.BDP(P$81&amp;" "&amp;$C110&amp;" 50D VOL LME Comdty","PX_LAST")/100</f>
        <v>0.20060132980346679</v>
      </c>
      <c r="R110" s="58" cm="1">
        <f t="array" aca="1" ref="R110" ca="1">_xll.BDP(P$81&amp;" "&amp;$C110&amp;" 25DC VOL LME Comdty","PX_LAST")/100</f>
        <v>0.20409553527832031</v>
      </c>
      <c r="S110" s="58" cm="1">
        <f t="array" aca="1" ref="S110" ca="1">_xll.BDP(P$81&amp;" "&amp;$C110&amp;" 10DC VOL LME Comdty","PX_LAST")/100</f>
        <v>0.2107955551147461</v>
      </c>
      <c r="T110" s="49">
        <f t="shared" ca="1" si="15"/>
        <v>0.20060132980346679</v>
      </c>
      <c r="U110" s="50">
        <f t="shared" ca="1" si="16"/>
        <v>0</v>
      </c>
      <c r="V110" s="50">
        <f t="shared" ca="1" si="17"/>
        <v>0</v>
      </c>
      <c r="W110" s="50">
        <f t="shared" ca="1" si="18"/>
        <v>0</v>
      </c>
      <c r="X110" s="69">
        <f t="shared" ca="1" si="19"/>
        <v>0</v>
      </c>
      <c r="Y110" s="50"/>
      <c r="Z110" s="68"/>
      <c r="AA110" s="58"/>
      <c r="AB110" s="45"/>
      <c r="AC110" s="58"/>
      <c r="AD110" s="58"/>
      <c r="AE110" s="49"/>
      <c r="AF110" s="50"/>
      <c r="AG110" s="50"/>
      <c r="AH110" s="50"/>
      <c r="AI110" s="69"/>
      <c r="AJ110" s="50"/>
      <c r="AK110" s="68"/>
      <c r="AL110" s="58"/>
      <c r="AM110" s="45"/>
      <c r="AN110" s="58"/>
      <c r="AO110" s="58"/>
      <c r="AP110" s="49"/>
      <c r="AQ110" s="50"/>
      <c r="AR110" s="50"/>
      <c r="AS110" s="50"/>
      <c r="AT110" s="69"/>
    </row>
    <row r="111" spans="2:46" x14ac:dyDescent="0.25">
      <c r="B111" s="1" cm="1">
        <f t="array" aca="1" ref="B111" ca="1">_xll.QDates_SpecificWeekday(EDATE(B110,1),"Wednesday",1)</f>
        <v>45112</v>
      </c>
      <c r="C111" t="str">
        <f t="shared" ca="1" si="30"/>
        <v>JUL23</v>
      </c>
      <c r="D111" s="68" cm="1">
        <f t="array" aca="1" ref="D111" ca="1">_xll.BDP(E$81&amp;" "&amp;$C111&amp;" 10DP VOL LME Comdty","PX_LAST")/100</f>
        <v>0.18789520263671874</v>
      </c>
      <c r="E111" s="58" cm="1">
        <f t="array" aca="1" ref="E111" ca="1">_xll.BDP(E$81&amp;" "&amp;$C111&amp;" 25DP VOL LME Comdty","PX_LAST")/100</f>
        <v>0.17469573974609376</v>
      </c>
      <c r="F111" s="45" cm="1">
        <f t="array" aca="1" ref="F111" ca="1">_xll.BDP(E$81&amp;" "&amp;$C111&amp;" 50D VOL LME Comdty","PX_LAST")/100</f>
        <v>0.15680100440979003</v>
      </c>
      <c r="G111" s="58" cm="1">
        <f t="array" aca="1" ref="G111" ca="1">_xll.BDP(E$81&amp;" "&amp;$C111&amp;" 25DC VOL LME Comdty","PX_LAST")/100</f>
        <v>0.15709842681884767</v>
      </c>
      <c r="H111" s="58" cm="1">
        <f t="array" aca="1" ref="H111" ca="1">_xll.BDP(E$81&amp;" "&amp;$C111&amp;" 10DC VOL LME Comdty","PX_LAST")/100</f>
        <v>0.15939836502075194</v>
      </c>
      <c r="I111" s="49">
        <f t="shared" ca="1" si="10"/>
        <v>0.15680100440979003</v>
      </c>
      <c r="J111" s="50">
        <f t="shared" ca="1" si="11"/>
        <v>-1.7597312927246089E-2</v>
      </c>
      <c r="K111" s="50">
        <f t="shared" ca="1" si="12"/>
        <v>-2.8496837615966802E-2</v>
      </c>
      <c r="L111" s="50">
        <f t="shared" ca="1" si="13"/>
        <v>9.0960788726806852E-3</v>
      </c>
      <c r="M111" s="69">
        <f t="shared" ca="1" si="14"/>
        <v>1.68457794189453E-2</v>
      </c>
      <c r="N111" s="50"/>
      <c r="O111" s="68" cm="1">
        <f t="array" aca="1" ref="O111" ca="1">_xll.BDP(P$81&amp;" "&amp;$C111&amp;" 10DP VOL LME Comdty","PX_LAST")/100</f>
        <v>0.23769460678100585</v>
      </c>
      <c r="P111" s="58" cm="1">
        <f t="array" aca="1" ref="P111" ca="1">_xll.BDP(P$81&amp;" "&amp;$C111&amp;" 25DP VOL LME Comdty","PX_LAST")/100</f>
        <v>0.22119575500488281</v>
      </c>
      <c r="Q111" s="45" cm="1">
        <f t="array" aca="1" ref="Q111" ca="1">_xll.BDP(P$81&amp;" "&amp;$C111&amp;" 50D VOL LME Comdty","PX_LAST")/100</f>
        <v>0.19990137100219726</v>
      </c>
      <c r="R111" s="58" cm="1">
        <f t="array" aca="1" ref="R111" ca="1">_xll.BDP(P$81&amp;" "&amp;$C111&amp;" 25DC VOL LME Comdty","PX_LAST")/100</f>
        <v>0.20349559783935547</v>
      </c>
      <c r="S111" s="58" cm="1">
        <f t="array" aca="1" ref="S111" ca="1">_xll.BDP(P$81&amp;" "&amp;$C111&amp;" 10DC VOL LME Comdty","PX_LAST")/100</f>
        <v>0.21029569625854491</v>
      </c>
      <c r="T111" s="49">
        <f t="shared" ca="1" si="15"/>
        <v>0.19990137100219726</v>
      </c>
      <c r="U111" s="50">
        <f t="shared" ca="1" si="16"/>
        <v>0</v>
      </c>
      <c r="V111" s="50">
        <f t="shared" ca="1" si="17"/>
        <v>0</v>
      </c>
      <c r="W111" s="50">
        <f t="shared" ca="1" si="18"/>
        <v>0</v>
      </c>
      <c r="X111" s="69">
        <f t="shared" ca="1" si="19"/>
        <v>0</v>
      </c>
      <c r="Y111" s="50"/>
      <c r="Z111" s="68"/>
      <c r="AA111" s="58"/>
      <c r="AB111" s="45"/>
      <c r="AC111" s="58"/>
      <c r="AD111" s="58"/>
      <c r="AE111" s="49"/>
      <c r="AF111" s="50"/>
      <c r="AG111" s="50"/>
      <c r="AH111" s="50"/>
      <c r="AI111" s="69"/>
      <c r="AJ111" s="50"/>
      <c r="AK111" s="68"/>
      <c r="AL111" s="58"/>
      <c r="AM111" s="45"/>
      <c r="AN111" s="58"/>
      <c r="AO111" s="58"/>
      <c r="AP111" s="49"/>
      <c r="AQ111" s="50"/>
      <c r="AR111" s="50"/>
      <c r="AS111" s="50"/>
      <c r="AT111" s="69"/>
    </row>
    <row r="112" spans="2:46" x14ac:dyDescent="0.25">
      <c r="B112" s="1" cm="1">
        <f t="array" aca="1" ref="B112" ca="1">_xll.QDates_SpecificWeekday(EDATE(B111,1),"Wednesday",1)</f>
        <v>45140</v>
      </c>
      <c r="C112" t="str">
        <f t="shared" ca="1" si="30"/>
        <v>AUG23</v>
      </c>
      <c r="D112" s="68" cm="1">
        <f t="array" aca="1" ref="D112" ca="1">_xll.BDP(E$81&amp;" "&amp;$C112&amp;" 10DP VOL LME Comdty","PX_LAST")/100</f>
        <v>0.18789525985717773</v>
      </c>
      <c r="E112" s="58" cm="1">
        <f t="array" aca="1" ref="E112" ca="1">_xll.BDP(E$81&amp;" "&amp;$C112&amp;" 25DP VOL LME Comdty","PX_LAST")/100</f>
        <v>0.1746957778930664</v>
      </c>
      <c r="F112" s="45" cm="1">
        <f t="array" aca="1" ref="F112" ca="1">_xll.BDP(E$81&amp;" "&amp;$C112&amp;" 50D VOL LME Comdty","PX_LAST")/100</f>
        <v>0.15680102348327637</v>
      </c>
      <c r="G112" s="58" cm="1">
        <f t="array" aca="1" ref="G112" ca="1">_xll.BDP(E$81&amp;" "&amp;$C112&amp;" 25DC VOL LME Comdty","PX_LAST")/100</f>
        <v>0.1570984935760498</v>
      </c>
      <c r="H112" s="58" cm="1">
        <f t="array" aca="1" ref="H112" ca="1">_xll.BDP(E$81&amp;" "&amp;$C112&amp;" 10DC VOL LME Comdty","PX_LAST")/100</f>
        <v>0.15909847259521484</v>
      </c>
      <c r="I112" s="49">
        <f t="shared" ca="1" si="10"/>
        <v>0.15680102348327637</v>
      </c>
      <c r="J112" s="50">
        <f t="shared" ca="1" si="11"/>
        <v>-1.7597284317016598E-2</v>
      </c>
      <c r="K112" s="50">
        <f t="shared" ca="1" si="12"/>
        <v>-2.8796787261962886E-2</v>
      </c>
      <c r="L112" s="50">
        <f t="shared" ca="1" si="13"/>
        <v>9.096112251281735E-3</v>
      </c>
      <c r="M112" s="69">
        <f t="shared" ca="1" si="14"/>
        <v>1.6695842742919909E-2</v>
      </c>
      <c r="N112" s="50"/>
      <c r="O112" s="68" cm="1">
        <f t="array" aca="1" ref="O112" ca="1">_xll.BDP(P$81&amp;" "&amp;$C112&amp;" 10DP VOL LME Comdty","PX_LAST")/100</f>
        <v>0.23509490966796875</v>
      </c>
      <c r="P112" s="58" cm="1">
        <f t="array" aca="1" ref="P112" ca="1">_xll.BDP(P$81&amp;" "&amp;$C112&amp;" 25DP VOL LME Comdty","PX_LAST")/100</f>
        <v>0.22059593200683594</v>
      </c>
      <c r="Q112" s="45" cm="1">
        <f t="array" aca="1" ref="Q112" ca="1">_xll.BDP(P$81&amp;" "&amp;$C112&amp;" 50D VOL LME Comdty","PX_LAST")/100</f>
        <v>0.19920143127441406</v>
      </c>
      <c r="R112" s="58" cm="1">
        <f t="array" aca="1" ref="R112" ca="1">_xll.BDP(P$81&amp;" "&amp;$C112&amp;" 25DC VOL LME Comdty","PX_LAST")/100</f>
        <v>0.20209594726562499</v>
      </c>
      <c r="S112" s="58" cm="1">
        <f t="array" aca="1" ref="S112" ca="1">_xll.BDP(P$81&amp;" "&amp;$C112&amp;" 10DC VOL LME Comdty","PX_LAST")/100</f>
        <v>0.20759592056274415</v>
      </c>
      <c r="T112" s="49">
        <f t="shared" ca="1" si="15"/>
        <v>0.19920143127441406</v>
      </c>
      <c r="U112" s="50">
        <f t="shared" ca="1" si="16"/>
        <v>0</v>
      </c>
      <c r="V112" s="50">
        <f t="shared" ca="1" si="17"/>
        <v>0</v>
      </c>
      <c r="W112" s="50">
        <f t="shared" ca="1" si="18"/>
        <v>0</v>
      </c>
      <c r="X112" s="69">
        <f t="shared" ca="1" si="19"/>
        <v>0</v>
      </c>
      <c r="Y112" s="50"/>
      <c r="Z112" s="68"/>
      <c r="AA112" s="58"/>
      <c r="AB112" s="45"/>
      <c r="AC112" s="58"/>
      <c r="AD112" s="58"/>
      <c r="AE112" s="49"/>
      <c r="AF112" s="50"/>
      <c r="AG112" s="50"/>
      <c r="AH112" s="50"/>
      <c r="AI112" s="69"/>
      <c r="AJ112" s="50"/>
      <c r="AK112" s="68"/>
      <c r="AL112" s="58"/>
      <c r="AM112" s="45"/>
      <c r="AN112" s="58"/>
      <c r="AO112" s="58"/>
      <c r="AP112" s="49"/>
      <c r="AQ112" s="50"/>
      <c r="AR112" s="50"/>
      <c r="AS112" s="50"/>
      <c r="AT112" s="69"/>
    </row>
    <row r="113" spans="1:46" x14ac:dyDescent="0.25">
      <c r="B113" s="1" cm="1">
        <f t="array" aca="1" ref="B113" ca="1">_xll.QDates_SpecificWeekday(EDATE(B112,1),"Wednesday",1)</f>
        <v>45175</v>
      </c>
      <c r="C113" t="str">
        <f t="shared" ca="1" si="30"/>
        <v>SEP23</v>
      </c>
      <c r="D113" s="68" cm="1">
        <f t="array" aca="1" ref="D113" ca="1">_xll.BDP(E$81&amp;" "&amp;$C113&amp;" 10DP VOL LME Comdty","PX_LAST")/100</f>
        <v>0.18789531707763671</v>
      </c>
      <c r="E113" s="58" cm="1">
        <f t="array" aca="1" ref="E113" ca="1">_xll.BDP(E$81&amp;" "&amp;$C113&amp;" 25DP VOL LME Comdty","PX_LAST")/100</f>
        <v>0.17469581604003906</v>
      </c>
      <c r="F113" s="45" cm="1">
        <f t="array" aca="1" ref="F113" ca="1">_xll.BDP(E$81&amp;" "&amp;$C113&amp;" 50D VOL LME Comdty","PX_LAST")/100</f>
        <v>0.15670104026794435</v>
      </c>
      <c r="G113" s="58" cm="1">
        <f t="array" aca="1" ref="G113" ca="1">_xll.BDP(E$81&amp;" "&amp;$C113&amp;" 25DC VOL LME Comdty","PX_LAST")/100</f>
        <v>0.15689853668212891</v>
      </c>
      <c r="H113" s="58" cm="1">
        <f t="array" aca="1" ref="H113" ca="1">_xll.BDP(E$81&amp;" "&amp;$C113&amp;" 10DC VOL LME Comdty","PX_LAST")/100</f>
        <v>0.15899854660034179</v>
      </c>
      <c r="I113" s="49">
        <f t="shared" ca="1" si="10"/>
        <v>0.15670104026794435</v>
      </c>
      <c r="J113" s="50">
        <f t="shared" ca="1" si="11"/>
        <v>-1.7797279357910145E-2</v>
      </c>
      <c r="K113" s="50">
        <f t="shared" ca="1" si="12"/>
        <v>-2.8896770477294914E-2</v>
      </c>
      <c r="L113" s="50">
        <f t="shared" ca="1" si="13"/>
        <v>9.0961360931396396E-3</v>
      </c>
      <c r="M113" s="69">
        <f t="shared" ca="1" si="14"/>
        <v>1.6745891571044891E-2</v>
      </c>
      <c r="N113" s="50"/>
      <c r="O113" s="68" cm="1">
        <f t="array" aca="1" ref="O113" ca="1">_xll.BDP(P$81&amp;" "&amp;$C113&amp;" 10DP VOL LME Comdty","PX_LAST")/100</f>
        <v>0.23429513931274415</v>
      </c>
      <c r="P113" s="58" cm="1">
        <f t="array" aca="1" ref="P113" ca="1">_xll.BDP(P$81&amp;" "&amp;$C113&amp;" 25DP VOL LME Comdty","PX_LAST")/100</f>
        <v>0.21979604721069335</v>
      </c>
      <c r="Q113" s="45" cm="1">
        <f t="array" aca="1" ref="Q113" ca="1">_xll.BDP(P$81&amp;" "&amp;$C113&amp;" 50D VOL LME Comdty","PX_LAST")/100</f>
        <v>0.19840147018432616</v>
      </c>
      <c r="R113" s="58" cm="1">
        <f t="array" aca="1" ref="R113" ca="1">_xll.BDP(P$81&amp;" "&amp;$C113&amp;" 25DC VOL LME Comdty","PX_LAST")/100</f>
        <v>0.20129610061645509</v>
      </c>
      <c r="S113" s="58" cm="1">
        <f t="array" aca="1" ref="S113" ca="1">_xll.BDP(P$81&amp;" "&amp;$C113&amp;" 10DC VOL LME Comdty","PX_LAST")/100</f>
        <v>0.20669612884521485</v>
      </c>
      <c r="T113" s="49">
        <f t="shared" ca="1" si="15"/>
        <v>0.19840147018432616</v>
      </c>
      <c r="U113" s="50">
        <f t="shared" ca="1" si="16"/>
        <v>0</v>
      </c>
      <c r="V113" s="50">
        <f t="shared" ca="1" si="17"/>
        <v>0</v>
      </c>
      <c r="W113" s="50">
        <f t="shared" ca="1" si="18"/>
        <v>0</v>
      </c>
      <c r="X113" s="69">
        <f t="shared" ca="1" si="19"/>
        <v>0</v>
      </c>
      <c r="Y113" s="50"/>
      <c r="Z113" s="68"/>
      <c r="AA113" s="58"/>
      <c r="AB113" s="45"/>
      <c r="AC113" s="58"/>
      <c r="AD113" s="58"/>
      <c r="AE113" s="49"/>
      <c r="AF113" s="50"/>
      <c r="AG113" s="50"/>
      <c r="AH113" s="50"/>
      <c r="AI113" s="69"/>
      <c r="AJ113" s="50"/>
      <c r="AK113" s="68"/>
      <c r="AL113" s="58"/>
      <c r="AM113" s="45"/>
      <c r="AN113" s="58"/>
      <c r="AO113" s="58"/>
      <c r="AP113" s="49"/>
      <c r="AQ113" s="50"/>
      <c r="AR113" s="50"/>
      <c r="AS113" s="50"/>
      <c r="AT113" s="69"/>
    </row>
    <row r="114" spans="1:46" x14ac:dyDescent="0.25">
      <c r="B114" s="1" cm="1">
        <f t="array" aca="1" ref="B114" ca="1">_xll.QDates_SpecificWeekday(EDATE(B113,1),"Wednesday",1)</f>
        <v>45203</v>
      </c>
      <c r="C114" t="str">
        <f t="shared" ca="1" si="30"/>
        <v>OCT23</v>
      </c>
      <c r="D114" s="68" cm="1">
        <f t="array" aca="1" ref="D114" ca="1">_xll.BDP(E$81&amp;" "&amp;$C114&amp;" 10DP VOL LME Comdty","PX_LAST")/100</f>
        <v>0.18789539337158204</v>
      </c>
      <c r="E114" s="58" cm="1">
        <f t="array" aca="1" ref="E114" ca="1">_xll.BDP(E$81&amp;" "&amp;$C114&amp;" 25DP VOL LME Comdty","PX_LAST")/100</f>
        <v>0.17469583511352538</v>
      </c>
      <c r="F114" s="45" cm="1">
        <f t="array" aca="1" ref="F114" ca="1">_xll.BDP(E$81&amp;" "&amp;$C114&amp;" 50D VOL LME Comdty","PX_LAST")/100</f>
        <v>0.15670104980468749</v>
      </c>
      <c r="G114" s="58" cm="1">
        <f t="array" aca="1" ref="G114" ca="1">_xll.BDP(E$81&amp;" "&amp;$C114&amp;" 25DC VOL LME Comdty","PX_LAST")/100</f>
        <v>0.15689854621887206</v>
      </c>
      <c r="H114" s="58" cm="1">
        <f t="array" aca="1" ref="H114" ca="1">_xll.BDP(E$81&amp;" "&amp;$C114&amp;" 10DC VOL LME Comdty","PX_LAST")/100</f>
        <v>0.15889862060546875</v>
      </c>
      <c r="I114" s="49">
        <f t="shared" ca="1" si="10"/>
        <v>0.15670104980468749</v>
      </c>
      <c r="J114" s="50">
        <f t="shared" ca="1" si="11"/>
        <v>-1.7797288894653318E-2</v>
      </c>
      <c r="K114" s="50">
        <f t="shared" ca="1" si="12"/>
        <v>-2.8996772766113288E-2</v>
      </c>
      <c r="L114" s="50">
        <f t="shared" ca="1" si="13"/>
        <v>9.096140861511226E-3</v>
      </c>
      <c r="M114" s="69">
        <f t="shared" ca="1" si="14"/>
        <v>1.6695957183837901E-2</v>
      </c>
      <c r="N114" s="50"/>
      <c r="O114" s="68" cm="1">
        <f t="array" aca="1" ref="O114" ca="1">_xll.BDP(P$81&amp;" "&amp;$C114&amp;" 10DP VOL LME Comdty","PX_LAST")/100</f>
        <v>0.2337952423095703</v>
      </c>
      <c r="P114" s="58" cm="1">
        <f t="array" aca="1" ref="P114" ca="1">_xll.BDP(P$81&amp;" "&amp;$C114&amp;" 25DP VOL LME Comdty","PX_LAST")/100</f>
        <v>0.21929611206054689</v>
      </c>
      <c r="Q114" s="45" cm="1">
        <f t="array" aca="1" ref="Q114" ca="1">_xll.BDP(P$81&amp;" "&amp;$C114&amp;" 50D VOL LME Comdty","PX_LAST")/100</f>
        <v>0.19780149459838867</v>
      </c>
      <c r="R114" s="58" cm="1">
        <f t="array" aca="1" ref="R114" ca="1">_xll.BDP(P$81&amp;" "&amp;$C114&amp;" 25DC VOL LME Comdty","PX_LAST")/100</f>
        <v>0.20069614410400391</v>
      </c>
      <c r="S114" s="58" cm="1">
        <f t="array" aca="1" ref="S114" ca="1">_xll.BDP(P$81&amp;" "&amp;$C114&amp;" 10DC VOL LME Comdty","PX_LAST")/100</f>
        <v>0.20609619140624999</v>
      </c>
      <c r="T114" s="49">
        <f t="shared" ca="1" si="15"/>
        <v>0.19780149459838867</v>
      </c>
      <c r="U114" s="50">
        <f t="shared" ca="1" si="16"/>
        <v>0</v>
      </c>
      <c r="V114" s="50">
        <f t="shared" ca="1" si="17"/>
        <v>0</v>
      </c>
      <c r="W114" s="50">
        <f t="shared" ca="1" si="18"/>
        <v>0</v>
      </c>
      <c r="X114" s="69">
        <f t="shared" ca="1" si="19"/>
        <v>0</v>
      </c>
      <c r="Y114" s="50"/>
      <c r="Z114" s="68"/>
      <c r="AA114" s="58"/>
      <c r="AB114" s="45"/>
      <c r="AC114" s="58"/>
      <c r="AD114" s="58"/>
      <c r="AE114" s="49"/>
      <c r="AF114" s="50"/>
      <c r="AG114" s="50"/>
      <c r="AH114" s="50"/>
      <c r="AI114" s="69"/>
      <c r="AJ114" s="50"/>
      <c r="AK114" s="68"/>
      <c r="AL114" s="58"/>
      <c r="AM114" s="45"/>
      <c r="AN114" s="58"/>
      <c r="AO114" s="58"/>
      <c r="AP114" s="49"/>
      <c r="AQ114" s="50"/>
      <c r="AR114" s="50"/>
      <c r="AS114" s="50"/>
      <c r="AT114" s="69"/>
    </row>
    <row r="115" spans="1:46" x14ac:dyDescent="0.25">
      <c r="B115" s="1" cm="1">
        <f t="array" aca="1" ref="B115" ca="1">_xll.QDates_SpecificWeekday(EDATE(B114,1),"Wednesday",1)</f>
        <v>45231</v>
      </c>
      <c r="C115" t="str">
        <f t="shared" ca="1" si="30"/>
        <v>NOV23</v>
      </c>
      <c r="D115" s="68" cm="1">
        <f t="array" aca="1" ref="D115" ca="1">_xll.BDP(E$81&amp;" "&amp;$C115&amp;" 10DP VOL LME Comdty","PX_LAST")/100</f>
        <v>0.1878955078125</v>
      </c>
      <c r="E115" s="58" cm="1">
        <f t="array" aca="1" ref="E115" ca="1">_xll.BDP(E$81&amp;" "&amp;$C115&amp;" 25DP VOL LME Comdty","PX_LAST")/100</f>
        <v>0.17479585647583007</v>
      </c>
      <c r="F115" s="45" cm="1">
        <f t="array" aca="1" ref="F115" ca="1">_xll.BDP(E$81&amp;" "&amp;$C115&amp;" 50D VOL LME Comdty","PX_LAST")/100</f>
        <v>0.15670106887817384</v>
      </c>
      <c r="G115" s="58" cm="1">
        <f t="array" aca="1" ref="G115" ca="1">_xll.BDP(E$81&amp;" "&amp;$C115&amp;" 25DC VOL LME Comdty","PX_LAST")/100</f>
        <v>0.15689852714538574</v>
      </c>
      <c r="H115" s="58" cm="1">
        <f t="array" aca="1" ref="H115" ca="1">_xll.BDP(E$81&amp;" "&amp;$C115&amp;" 10DC VOL LME Comdty","PX_LAST")/100</f>
        <v>0.15899868965148925</v>
      </c>
      <c r="I115" s="49">
        <f t="shared" ca="1" si="10"/>
        <v>0.15670106887817384</v>
      </c>
      <c r="J115" s="50">
        <f t="shared" ca="1" si="11"/>
        <v>-1.7897329330444328E-2</v>
      </c>
      <c r="K115" s="50">
        <f t="shared" ca="1" si="12"/>
        <v>-2.8896818161010751E-2</v>
      </c>
      <c r="L115" s="50">
        <f t="shared" ca="1" si="13"/>
        <v>9.1461229324340809E-3</v>
      </c>
      <c r="M115" s="69">
        <f t="shared" ca="1" si="14"/>
        <v>1.6746029853820787E-2</v>
      </c>
      <c r="N115" s="50"/>
      <c r="O115" s="68" cm="1">
        <f t="array" aca="1" ref="O115" ca="1">_xll.BDP(P$81&amp;" "&amp;$C115&amp;" 10DP VOL LME Comdty","PX_LAST")/100</f>
        <v>0.23309528350830078</v>
      </c>
      <c r="P115" s="58" cm="1">
        <f t="array" aca="1" ref="P115" ca="1">_xll.BDP(P$81&amp;" "&amp;$C115&amp;" 25DP VOL LME Comdty","PX_LAST")/100</f>
        <v>0.21859613418579102</v>
      </c>
      <c r="Q115" s="45" cm="1">
        <f t="array" aca="1" ref="Q115" ca="1">_xll.BDP(P$81&amp;" "&amp;$C115&amp;" 50D VOL LME Comdty","PX_LAST")/100</f>
        <v>0.19710149765014648</v>
      </c>
      <c r="R115" s="58" cm="1">
        <f t="array" aca="1" ref="R115" ca="1">_xll.BDP(P$81&amp;" "&amp;$C115&amp;" 25DC VOL LME Comdty","PX_LAST")/100</f>
        <v>0.1999961280822754</v>
      </c>
      <c r="S115" s="58" cm="1">
        <f t="array" aca="1" ref="S115" ca="1">_xll.BDP(P$81&amp;" "&amp;$C115&amp;" 10DC VOL LME Comdty","PX_LAST")/100</f>
        <v>0.20539621353149415</v>
      </c>
      <c r="T115" s="49">
        <f t="shared" ca="1" si="15"/>
        <v>0.19710149765014648</v>
      </c>
      <c r="U115" s="50">
        <f t="shared" ca="1" si="16"/>
        <v>0</v>
      </c>
      <c r="V115" s="50">
        <f t="shared" ca="1" si="17"/>
        <v>0</v>
      </c>
      <c r="W115" s="50">
        <f t="shared" ca="1" si="18"/>
        <v>0</v>
      </c>
      <c r="X115" s="69">
        <f t="shared" ca="1" si="19"/>
        <v>0</v>
      </c>
      <c r="Y115" s="50"/>
      <c r="Z115" s="68"/>
      <c r="AA115" s="58"/>
      <c r="AB115" s="45"/>
      <c r="AC115" s="58"/>
      <c r="AD115" s="58"/>
      <c r="AE115" s="49"/>
      <c r="AF115" s="50"/>
      <c r="AG115" s="50"/>
      <c r="AH115" s="50"/>
      <c r="AI115" s="69"/>
      <c r="AJ115" s="50"/>
      <c r="AK115" s="68"/>
      <c r="AL115" s="58"/>
      <c r="AM115" s="45"/>
      <c r="AN115" s="58"/>
      <c r="AO115" s="58"/>
      <c r="AP115" s="49"/>
      <c r="AQ115" s="50"/>
      <c r="AR115" s="50"/>
      <c r="AS115" s="50"/>
      <c r="AT115" s="69"/>
    </row>
    <row r="116" spans="1:46" x14ac:dyDescent="0.25">
      <c r="B116" s="1" cm="1">
        <f t="array" aca="1" ref="B116" ca="1">_xll.QDates_SpecificWeekday(EDATE(B115,1),"Wednesday",1)</f>
        <v>45266</v>
      </c>
      <c r="C116" t="str">
        <f t="shared" ca="1" si="30"/>
        <v>DEC23</v>
      </c>
      <c r="D116" s="68" cm="1">
        <f t="array" aca="1" ref="D116" ca="1">_xll.BDP(E$81&amp;" "&amp;$C116&amp;" 10DP VOL LME Comdty","PX_LAST")/100</f>
        <v>0.1878955841064453</v>
      </c>
      <c r="E116" s="58" cm="1">
        <f t="array" aca="1" ref="E116" ca="1">_xll.BDP(E$81&amp;" "&amp;$C116&amp;" 25DP VOL LME Comdty","PX_LAST")/100</f>
        <v>0.17479589462280273</v>
      </c>
      <c r="F116" s="45" cm="1">
        <f t="array" aca="1" ref="F116" ca="1">_xll.BDP(E$81&amp;" "&amp;$C116&amp;" 50D VOL LME Comdty","PX_LAST")/100</f>
        <v>0.15670107841491698</v>
      </c>
      <c r="G116" s="58" cm="1">
        <f t="array" aca="1" ref="G116" ca="1">_xll.BDP(E$81&amp;" "&amp;$C116&amp;" 25DC VOL LME Comdty","PX_LAST")/100</f>
        <v>0.15689853668212891</v>
      </c>
      <c r="H116" s="58" cm="1">
        <f t="array" aca="1" ref="H116" ca="1">_xll.BDP(E$81&amp;" "&amp;$C116&amp;" 10DC VOL LME Comdty","PX_LAST")/100</f>
        <v>0.1588987636566162</v>
      </c>
      <c r="I116" s="49">
        <f t="shared" ca="1" si="10"/>
        <v>0.15670107841491698</v>
      </c>
      <c r="J116" s="50">
        <f t="shared" ca="1" si="11"/>
        <v>-1.7897357940673819E-2</v>
      </c>
      <c r="K116" s="50">
        <f t="shared" ca="1" si="12"/>
        <v>-2.8996820449829097E-2</v>
      </c>
      <c r="L116" s="50">
        <f t="shared" ca="1" si="13"/>
        <v>9.1461372375488403E-3</v>
      </c>
      <c r="M116" s="69">
        <f t="shared" ca="1" si="14"/>
        <v>1.669609546661377E-2</v>
      </c>
      <c r="N116" s="50"/>
      <c r="O116" s="68" cm="1">
        <f t="array" aca="1" ref="O116" ca="1">_xll.BDP(P$81&amp;" "&amp;$C116&amp;" 10DP VOL LME Comdty","PX_LAST")/100</f>
        <v>0.23229536056518554</v>
      </c>
      <c r="P116" s="58" cm="1">
        <f t="array" aca="1" ref="P116" ca="1">_xll.BDP(P$81&amp;" "&amp;$C116&amp;" 25DP VOL LME Comdty","PX_LAST")/100</f>
        <v>0.21779619216918944</v>
      </c>
      <c r="Q116" s="45" cm="1">
        <f t="array" aca="1" ref="Q116" ca="1">_xll.BDP(P$81&amp;" "&amp;$C116&amp;" 50D VOL LME Comdty","PX_LAST")/100</f>
        <v>0.19630151748657226</v>
      </c>
      <c r="R116" s="58" cm="1">
        <f t="array" aca="1" ref="R116" ca="1">_xll.BDP(P$81&amp;" "&amp;$C116&amp;" 25DC VOL LME Comdty","PX_LAST")/100</f>
        <v>0.19919612884521484</v>
      </c>
      <c r="S116" s="58" cm="1">
        <f t="array" aca="1" ref="S116" ca="1">_xll.BDP(P$81&amp;" "&amp;$C116&amp;" 10DC VOL LME Comdty","PX_LAST")/100</f>
        <v>0.20449625015258788</v>
      </c>
      <c r="T116" s="49">
        <f t="shared" ca="1" si="15"/>
        <v>0.19630151748657226</v>
      </c>
      <c r="U116" s="50">
        <f t="shared" ca="1" si="16"/>
        <v>0</v>
      </c>
      <c r="V116" s="50">
        <f t="shared" ca="1" si="17"/>
        <v>0</v>
      </c>
      <c r="W116" s="50">
        <f t="shared" ca="1" si="18"/>
        <v>0</v>
      </c>
      <c r="X116" s="69">
        <f t="shared" ca="1" si="19"/>
        <v>0</v>
      </c>
      <c r="Y116" s="50"/>
      <c r="Z116" s="68"/>
      <c r="AA116" s="58"/>
      <c r="AB116" s="45"/>
      <c r="AC116" s="58"/>
      <c r="AD116" s="58"/>
      <c r="AE116" s="49"/>
      <c r="AF116" s="50"/>
      <c r="AG116" s="50"/>
      <c r="AH116" s="50"/>
      <c r="AI116" s="69"/>
      <c r="AJ116" s="50"/>
      <c r="AK116" s="68"/>
      <c r="AL116" s="58"/>
      <c r="AM116" s="45"/>
      <c r="AN116" s="58"/>
      <c r="AO116" s="58"/>
      <c r="AP116" s="49"/>
      <c r="AQ116" s="50"/>
      <c r="AR116" s="50"/>
      <c r="AS116" s="50"/>
      <c r="AT116" s="69"/>
    </row>
    <row r="117" spans="1:46" x14ac:dyDescent="0.25">
      <c r="B117" s="1" cm="1">
        <f t="array" aca="1" ref="B117" ca="1">_xll.QDates_SpecificWeekday(EDATE(B116,1),"Wednesday",1)</f>
        <v>45294</v>
      </c>
      <c r="C117" t="str">
        <f t="shared" ca="1" si="30"/>
        <v>JAN24</v>
      </c>
      <c r="D117" s="68" cm="1">
        <f t="array" aca="1" ref="D117" ca="1">_xll.BDP(E$81&amp;" "&amp;$C117&amp;" 10DP VOL LME Comdty","PX_LAST")/100</f>
        <v>0.18779560089111327</v>
      </c>
      <c r="E117" s="58" cm="1">
        <f t="array" aca="1" ref="E117" ca="1">_xll.BDP(E$81&amp;" "&amp;$C117&amp;" 25DP VOL LME Comdty","PX_LAST")/100</f>
        <v>0.1744959259033203</v>
      </c>
      <c r="F117" s="45" cm="1">
        <f t="array" aca="1" ref="F117" ca="1">_xll.BDP(E$81&amp;" "&amp;$C117&amp;" 50D VOL LME Comdty","PX_LAST")/100</f>
        <v>0.15660107612609864</v>
      </c>
      <c r="G117" s="58" cm="1">
        <f t="array" aca="1" ref="G117" ca="1">_xll.BDP(E$81&amp;" "&amp;$C117&amp;" 25DC VOL LME Comdty","PX_LAST")/100</f>
        <v>0.15679854393005371</v>
      </c>
      <c r="H117" s="58" cm="1">
        <f t="array" aca="1" ref="H117" ca="1">_xll.BDP(E$81&amp;" "&amp;$C117&amp;" 10DC VOL LME Comdty","PX_LAST")/100</f>
        <v>0.15879880905151367</v>
      </c>
      <c r="I117" s="49">
        <f t="shared" ca="1" si="10"/>
        <v>0.15660107612609864</v>
      </c>
      <c r="J117" s="50">
        <f t="shared" ca="1" si="11"/>
        <v>-1.769738197326659E-2</v>
      </c>
      <c r="K117" s="50">
        <f t="shared" ca="1" si="12"/>
        <v>-2.8996791839599606E-2</v>
      </c>
      <c r="L117" s="50">
        <f t="shared" ca="1" si="13"/>
        <v>9.0461587905883711E-3</v>
      </c>
      <c r="M117" s="69">
        <f t="shared" ca="1" si="14"/>
        <v>1.6696128845214819E-2</v>
      </c>
      <c r="N117" s="50"/>
      <c r="O117" s="68" cm="1">
        <f t="array" aca="1" ref="O117" ca="1">_xll.BDP(P$81&amp;" "&amp;$C117&amp;" 10DP VOL LME Comdty","PX_LAST")/100</f>
        <v>0.23149541854858399</v>
      </c>
      <c r="P117" s="58" cm="1">
        <f t="array" aca="1" ref="P117" ca="1">_xll.BDP(P$81&amp;" "&amp;$C117&amp;" 25DP VOL LME Comdty","PX_LAST")/100</f>
        <v>0.21699621200561522</v>
      </c>
      <c r="Q117" s="45" cm="1">
        <f t="array" aca="1" ref="Q117" ca="1">_xll.BDP(P$81&amp;" "&amp;$C117&amp;" 50D VOL LME Comdty","PX_LAST")/100</f>
        <v>0.19550151824951173</v>
      </c>
      <c r="R117" s="58" cm="1">
        <f t="array" aca="1" ref="R117" ca="1">_xll.BDP(P$81&amp;" "&amp;$C117&amp;" 25DC VOL LME Comdty","PX_LAST")/100</f>
        <v>0.19839612960815431</v>
      </c>
      <c r="S117" s="58" cm="1">
        <f t="array" aca="1" ref="S117" ca="1">_xll.BDP(P$81&amp;" "&amp;$C117&amp;" 10DC VOL LME Comdty","PX_LAST")/100</f>
        <v>0.20369628906250001</v>
      </c>
      <c r="T117" s="49">
        <f t="shared" ca="1" si="15"/>
        <v>0.19550151824951173</v>
      </c>
      <c r="U117" s="50">
        <f t="shared" ca="1" si="16"/>
        <v>0</v>
      </c>
      <c r="V117" s="50">
        <f t="shared" ca="1" si="17"/>
        <v>0</v>
      </c>
      <c r="W117" s="50">
        <f t="shared" ca="1" si="18"/>
        <v>0</v>
      </c>
      <c r="X117" s="69">
        <f t="shared" ca="1" si="19"/>
        <v>0</v>
      </c>
      <c r="Y117" s="50"/>
      <c r="Z117" s="68"/>
      <c r="AA117" s="58"/>
      <c r="AB117" s="45"/>
      <c r="AC117" s="58"/>
      <c r="AD117" s="58"/>
      <c r="AE117" s="49"/>
      <c r="AF117" s="50"/>
      <c r="AG117" s="50"/>
      <c r="AH117" s="50"/>
      <c r="AI117" s="69"/>
      <c r="AJ117" s="50"/>
      <c r="AK117" s="68"/>
      <c r="AL117" s="58"/>
      <c r="AM117" s="45"/>
      <c r="AN117" s="58"/>
      <c r="AO117" s="58"/>
      <c r="AP117" s="49"/>
      <c r="AQ117" s="50"/>
      <c r="AR117" s="50"/>
      <c r="AS117" s="50"/>
      <c r="AT117" s="69"/>
    </row>
    <row r="118" spans="1:46" x14ac:dyDescent="0.25">
      <c r="B118" s="1" cm="1">
        <f t="array" aca="1" ref="B118" ca="1">_xll.QDates_SpecificWeekday(EDATE(B117,1),"Wednesday",1)</f>
        <v>45329</v>
      </c>
      <c r="C118" t="str">
        <f t="shared" ca="1" si="30"/>
        <v>FEB24</v>
      </c>
      <c r="D118" s="68" cm="1">
        <f t="array" aca="1" ref="D118" ca="1">_xll.BDP(E$81&amp;" "&amp;$C118&amp;" 10DP VOL LME Comdty","PX_LAST")/100</f>
        <v>0.18779563903808594</v>
      </c>
      <c r="E118" s="58" cm="1">
        <f t="array" aca="1" ref="E118" ca="1">_xll.BDP(E$81&amp;" "&amp;$C118&amp;" 25DP VOL LME Comdty","PX_LAST")/100</f>
        <v>0.17449598312377929</v>
      </c>
      <c r="F118" s="45" cm="1">
        <f t="array" aca="1" ref="F118" ca="1">_xll.BDP(E$81&amp;" "&amp;$C118&amp;" 50D VOL LME Comdty","PX_LAST")/100</f>
        <v>0.15660108566284181</v>
      </c>
      <c r="G118" s="58" cm="1">
        <f t="array" aca="1" ref="G118" ca="1">_xll.BDP(E$81&amp;" "&amp;$C118&amp;" 25DC VOL LME Comdty","PX_LAST")/100</f>
        <v>0.15679854393005371</v>
      </c>
      <c r="H118" s="58" cm="1">
        <f t="array" aca="1" ref="H118" ca="1">_xll.BDP(E$81&amp;" "&amp;$C118&amp;" 10DC VOL LME Comdty","PX_LAST")/100</f>
        <v>0.15879883766174316</v>
      </c>
      <c r="I118" s="49">
        <f t="shared" ca="1" si="10"/>
        <v>0.15660108566284181</v>
      </c>
      <c r="J118" s="50">
        <f t="shared" ca="1" si="11"/>
        <v>-1.7697439193725573E-2</v>
      </c>
      <c r="K118" s="50">
        <f t="shared" ca="1" si="12"/>
        <v>-2.8996801376342779E-2</v>
      </c>
      <c r="L118" s="50">
        <f t="shared" ca="1" si="13"/>
        <v>9.0461778640746893E-3</v>
      </c>
      <c r="M118" s="69">
        <f t="shared" ca="1" si="14"/>
        <v>1.6696152687072752E-2</v>
      </c>
      <c r="N118" s="50"/>
      <c r="O118" s="68" cm="1">
        <f t="array" aca="1" ref="O118" ca="1">_xll.BDP(P$81&amp;" "&amp;$C118&amp;" 10DP VOL LME Comdty","PX_LAST")/100</f>
        <v>0.23079547882080079</v>
      </c>
      <c r="P118" s="58" cm="1">
        <f t="array" aca="1" ref="P118" ca="1">_xll.BDP(P$81&amp;" "&amp;$C118&amp;" 25DP VOL LME Comdty","PX_LAST")/100</f>
        <v>0.2162962532043457</v>
      </c>
      <c r="Q118" s="45" cm="1">
        <f t="array" aca="1" ref="Q118" ca="1">_xll.BDP(P$81&amp;" "&amp;$C118&amp;" 50D VOL LME Comdty","PX_LAST")/100</f>
        <v>0.19470153808593749</v>
      </c>
      <c r="R118" s="58" cm="1">
        <f t="array" aca="1" ref="R118" ca="1">_xll.BDP(P$81&amp;" "&amp;$C118&amp;" 25DC VOL LME Comdty","PX_LAST")/100</f>
        <v>0.19769611358642578</v>
      </c>
      <c r="S118" s="58" cm="1">
        <f t="array" aca="1" ref="S118" ca="1">_xll.BDP(P$81&amp;" "&amp;$C118&amp;" 10DC VOL LME Comdty","PX_LAST")/100</f>
        <v>0.20289634704589843</v>
      </c>
      <c r="T118" s="49">
        <f t="shared" ca="1" si="15"/>
        <v>0.19470153808593749</v>
      </c>
      <c r="U118" s="50">
        <f t="shared" ca="1" si="16"/>
        <v>0</v>
      </c>
      <c r="V118" s="50">
        <f t="shared" ca="1" si="17"/>
        <v>0</v>
      </c>
      <c r="W118" s="50">
        <f t="shared" ca="1" si="18"/>
        <v>0</v>
      </c>
      <c r="X118" s="69">
        <f t="shared" ca="1" si="19"/>
        <v>0</v>
      </c>
      <c r="Y118" s="50"/>
      <c r="Z118" s="68"/>
      <c r="AA118" s="58"/>
      <c r="AB118" s="45"/>
      <c r="AC118" s="58"/>
      <c r="AD118" s="58"/>
      <c r="AE118" s="49"/>
      <c r="AF118" s="50"/>
      <c r="AG118" s="50"/>
      <c r="AH118" s="50"/>
      <c r="AI118" s="69"/>
      <c r="AJ118" s="50"/>
      <c r="AK118" s="68"/>
      <c r="AL118" s="58"/>
      <c r="AM118" s="45"/>
      <c r="AN118" s="58"/>
      <c r="AO118" s="58"/>
      <c r="AP118" s="49"/>
      <c r="AQ118" s="50"/>
      <c r="AR118" s="50"/>
      <c r="AS118" s="50"/>
      <c r="AT118" s="69"/>
    </row>
    <row r="119" spans="1:46" x14ac:dyDescent="0.25">
      <c r="B119" s="1" cm="1">
        <f t="array" aca="1" ref="B119" ca="1">_xll.QDates_SpecificWeekday(EDATE(B118,1),"Wednesday",1)</f>
        <v>45357</v>
      </c>
      <c r="C119" t="str">
        <f t="shared" ca="1" si="30"/>
        <v>MAR24</v>
      </c>
      <c r="D119" s="68" cm="1">
        <f t="array" aca="1" ref="D119" ca="1">_xll.BDP(E$81&amp;" "&amp;$C119&amp;" 10DP VOL LME Comdty","PX_LAST")/100</f>
        <v>0.18779565811157226</v>
      </c>
      <c r="E119" s="58" cm="1">
        <f t="array" aca="1" ref="E119" ca="1">_xll.BDP(E$81&amp;" "&amp;$C119&amp;" 25DP VOL LME Comdty","PX_LAST")/100</f>
        <v>0.17449602127075195</v>
      </c>
      <c r="F119" s="45" cm="1">
        <f t="array" aca="1" ref="F119" ca="1">_xll.BDP(E$81&amp;" "&amp;$C119&amp;" 50D VOL LME Comdty","PX_LAST")/100</f>
        <v>0.15660110473632813</v>
      </c>
      <c r="G119" s="58" cm="1">
        <f t="array" aca="1" ref="G119" ca="1">_xll.BDP(E$81&amp;" "&amp;$C119&amp;" 25DC VOL LME Comdty","PX_LAST")/100</f>
        <v>0.15679854393005371</v>
      </c>
      <c r="H119" s="58" cm="1">
        <f t="array" aca="1" ref="H119" ca="1">_xll.BDP(E$81&amp;" "&amp;$C119&amp;" 10DC VOL LME Comdty","PX_LAST")/100</f>
        <v>0.15879884719848633</v>
      </c>
      <c r="I119" s="49">
        <f t="shared" ca="1" si="10"/>
        <v>0.15660110473632813</v>
      </c>
      <c r="J119" s="50">
        <f t="shared" ca="1" si="11"/>
        <v>-1.7697477340698237E-2</v>
      </c>
      <c r="K119" s="50">
        <f t="shared" ca="1" si="12"/>
        <v>-2.8996810913085924E-2</v>
      </c>
      <c r="L119" s="50">
        <f t="shared" ca="1" si="13"/>
        <v>9.046177864074717E-3</v>
      </c>
      <c r="M119" s="69">
        <f t="shared" ca="1" si="14"/>
        <v>1.6696147918701165E-2</v>
      </c>
      <c r="N119" s="50"/>
      <c r="O119" s="68" cm="1">
        <f t="array" aca="1" ref="O119" ca="1">_xll.BDP(P$81&amp;" "&amp;$C119&amp;" 10DP VOL LME Comdty","PX_LAST")/100</f>
        <v>0.23029552459716796</v>
      </c>
      <c r="P119" s="58" cm="1">
        <f t="array" aca="1" ref="P119" ca="1">_xll.BDP(P$81&amp;" "&amp;$C119&amp;" 25DP VOL LME Comdty","PX_LAST")/100</f>
        <v>0.21569629669189452</v>
      </c>
      <c r="Q119" s="45" cm="1">
        <f t="array" aca="1" ref="Q119" ca="1">_xll.BDP(P$81&amp;" "&amp;$C119&amp;" 50D VOL LME Comdty","PX_LAST")/100</f>
        <v>0.19410156249999999</v>
      </c>
      <c r="R119" s="58" cm="1">
        <f t="array" aca="1" ref="R119" ca="1">_xll.BDP(P$81&amp;" "&amp;$C119&amp;" 25DC VOL LME Comdty","PX_LAST")/100</f>
        <v>0.19699613571166993</v>
      </c>
      <c r="S119" s="58" cm="1">
        <f t="array" aca="1" ref="S119" ca="1">_xll.BDP(P$81&amp;" "&amp;$C119&amp;" 10DC VOL LME Comdty","PX_LAST")/100</f>
        <v>0.20219636917114259</v>
      </c>
      <c r="T119" s="49">
        <f t="shared" ca="1" si="15"/>
        <v>0.19410156249999999</v>
      </c>
      <c r="U119" s="50">
        <f t="shared" ca="1" si="16"/>
        <v>0</v>
      </c>
      <c r="V119" s="50">
        <f t="shared" ca="1" si="17"/>
        <v>0</v>
      </c>
      <c r="W119" s="50">
        <f t="shared" ca="1" si="18"/>
        <v>0</v>
      </c>
      <c r="X119" s="69">
        <f t="shared" ca="1" si="19"/>
        <v>0</v>
      </c>
      <c r="Y119" s="50"/>
      <c r="Z119" s="68"/>
      <c r="AA119" s="58"/>
      <c r="AB119" s="45"/>
      <c r="AC119" s="58"/>
      <c r="AD119" s="58"/>
      <c r="AE119" s="49"/>
      <c r="AF119" s="50"/>
      <c r="AG119" s="50"/>
      <c r="AH119" s="50"/>
      <c r="AI119" s="69"/>
      <c r="AJ119" s="50"/>
      <c r="AK119" s="68"/>
      <c r="AL119" s="58"/>
      <c r="AM119" s="45"/>
      <c r="AN119" s="58"/>
      <c r="AO119" s="58"/>
      <c r="AP119" s="49"/>
      <c r="AQ119" s="50"/>
      <c r="AR119" s="50"/>
      <c r="AS119" s="50"/>
      <c r="AT119" s="69"/>
    </row>
    <row r="120" spans="1:46" x14ac:dyDescent="0.25">
      <c r="B120" s="1" cm="1">
        <f t="array" aca="1" ref="B120" ca="1">_xll.QDates_SpecificWeekday(EDATE(B119,1),"Wednesday",1)</f>
        <v>45385</v>
      </c>
      <c r="C120" t="str">
        <f t="shared" ca="1" si="30"/>
        <v>APR24</v>
      </c>
      <c r="D120" s="68" cm="1">
        <f t="array" aca="1" ref="D120" ca="1">_xll.BDP(E$81&amp;" "&amp;$C120&amp;" 10DP VOL LME Comdty","PX_LAST")/100</f>
        <v>0.18779569625854492</v>
      </c>
      <c r="E120" s="58" cm="1">
        <f t="array" aca="1" ref="E120" ca="1">_xll.BDP(E$81&amp;" "&amp;$C120&amp;" 25DP VOL LME Comdty","PX_LAST")/100</f>
        <v>0.17459604263305664</v>
      </c>
      <c r="F120" s="45" cm="1">
        <f t="array" aca="1" ref="F120" ca="1">_xll.BDP(E$81&amp;" "&amp;$C120&amp;" 50D VOL LME Comdty","PX_LAST")/100</f>
        <v>0.1566011142730713</v>
      </c>
      <c r="G120" s="58" cm="1">
        <f t="array" aca="1" ref="G120" ca="1">_xll.BDP(E$81&amp;" "&amp;$C120&amp;" 25DC VOL LME Comdty","PX_LAST")/100</f>
        <v>0.15679854393005371</v>
      </c>
      <c r="H120" s="58" cm="1">
        <f t="array" aca="1" ref="H120" ca="1">_xll.BDP(E$81&amp;" "&amp;$C120&amp;" 10DC VOL LME Comdty","PX_LAST")/100</f>
        <v>0.1587988567352295</v>
      </c>
      <c r="I120" s="49">
        <f t="shared" ca="1" si="10"/>
        <v>0.1566011142730713</v>
      </c>
      <c r="J120" s="50">
        <f t="shared" ca="1" si="11"/>
        <v>-1.7797498703002929E-2</v>
      </c>
      <c r="K120" s="50">
        <f t="shared" ca="1" si="12"/>
        <v>-2.8996839523315415E-2</v>
      </c>
      <c r="L120" s="50">
        <f t="shared" ca="1" si="13"/>
        <v>9.09617900848389E-3</v>
      </c>
      <c r="M120" s="69">
        <f t="shared" ca="1" si="14"/>
        <v>1.6696162223815897E-2</v>
      </c>
      <c r="N120" s="50"/>
      <c r="O120" s="68" cm="1">
        <f t="array" aca="1" ref="O120" ca="1">_xll.BDP(P$81&amp;" "&amp;$C120&amp;" 10DP VOL LME Comdty","PX_LAST")/100</f>
        <v>0.22969556808471681</v>
      </c>
      <c r="P120" s="58" cm="1">
        <f t="array" aca="1" ref="P120" ca="1">_xll.BDP(P$81&amp;" "&amp;$C120&amp;" 25DP VOL LME Comdty","PX_LAST")/100</f>
        <v>0.21519634246826172</v>
      </c>
      <c r="Q120" s="45" cm="1">
        <f t="array" aca="1" ref="Q120" ca="1">_xll.BDP(P$81&amp;" "&amp;$C120&amp;" 50D VOL LME Comdty","PX_LAST")/100</f>
        <v>0.1935015869140625</v>
      </c>
      <c r="R120" s="58" cm="1">
        <f t="array" aca="1" ref="R120" ca="1">_xll.BDP(P$81&amp;" "&amp;$C120&amp;" 25DC VOL LME Comdty","PX_LAST")/100</f>
        <v>0.19649614334106447</v>
      </c>
      <c r="S120" s="58" cm="1">
        <f t="array" aca="1" ref="S120" ca="1">_xll.BDP(P$81&amp;" "&amp;$C120&amp;" 10DC VOL LME Comdty","PX_LAST")/100</f>
        <v>0.20159639358520509</v>
      </c>
      <c r="T120" s="49">
        <f t="shared" ca="1" si="15"/>
        <v>0.1935015869140625</v>
      </c>
      <c r="U120" s="50">
        <f t="shared" ca="1" si="16"/>
        <v>0</v>
      </c>
      <c r="V120" s="50">
        <f t="shared" ca="1" si="17"/>
        <v>0</v>
      </c>
      <c r="W120" s="50">
        <f t="shared" ca="1" si="18"/>
        <v>0</v>
      </c>
      <c r="X120" s="69">
        <f t="shared" ca="1" si="19"/>
        <v>0</v>
      </c>
      <c r="Y120" s="50"/>
      <c r="Z120" s="68"/>
      <c r="AA120" s="58"/>
      <c r="AB120" s="45"/>
      <c r="AC120" s="58"/>
      <c r="AD120" s="58"/>
      <c r="AE120" s="49"/>
      <c r="AF120" s="50"/>
      <c r="AG120" s="50"/>
      <c r="AH120" s="50"/>
      <c r="AI120" s="69"/>
      <c r="AJ120" s="50"/>
      <c r="AK120" s="68"/>
      <c r="AL120" s="58"/>
      <c r="AM120" s="45"/>
      <c r="AN120" s="58"/>
      <c r="AO120" s="58"/>
      <c r="AP120" s="49"/>
      <c r="AQ120" s="50"/>
      <c r="AR120" s="50"/>
      <c r="AS120" s="50"/>
      <c r="AT120" s="69"/>
    </row>
    <row r="121" spans="1:46" x14ac:dyDescent="0.25">
      <c r="B121" s="1" cm="1">
        <f t="array" aca="1" ref="B121" ca="1">_xll.QDates_SpecificWeekday(EDATE(B120,1),"Wednesday",1)</f>
        <v>45413</v>
      </c>
      <c r="C121" t="str">
        <f t="shared" ca="1" si="30"/>
        <v>MAY24</v>
      </c>
      <c r="D121" s="68" cm="1">
        <f t="array" aca="1" ref="D121" ca="1">_xll.BDP(E$81&amp;" "&amp;$C121&amp;" 10DP VOL LME Comdty","PX_LAST")/100</f>
        <v>0.18779571533203124</v>
      </c>
      <c r="E121" s="58" cm="1">
        <f t="array" aca="1" ref="E121" ca="1">_xll.BDP(E$81&amp;" "&amp;$C121&amp;" 25DP VOL LME Comdty","PX_LAST")/100</f>
        <v>0.17459608078002931</v>
      </c>
      <c r="F121" s="45" cm="1">
        <f t="array" aca="1" ref="F121" ca="1">_xll.BDP(E$81&amp;" "&amp;$C121&amp;" 50D VOL LME Comdty","PX_LAST")/100</f>
        <v>0.15660113334655762</v>
      </c>
      <c r="G121" s="58" cm="1">
        <f t="array" aca="1" ref="G121" ca="1">_xll.BDP(E$81&amp;" "&amp;$C121&amp;" 25DC VOL LME Comdty","PX_LAST")/100</f>
        <v>0.15679853439331054</v>
      </c>
      <c r="H121" s="58" cm="1">
        <f t="array" aca="1" ref="H121" ca="1">_xll.BDP(E$81&amp;" "&amp;$C121&amp;" 10DC VOL LME Comdty","PX_LAST")/100</f>
        <v>0.1587988567352295</v>
      </c>
      <c r="I121" s="49">
        <f t="shared" ca="1" si="10"/>
        <v>0.15660113334655762</v>
      </c>
      <c r="J121" s="50">
        <f t="shared" ca="1" si="11"/>
        <v>-1.7797546386718766E-2</v>
      </c>
      <c r="K121" s="50">
        <f t="shared" ca="1" si="12"/>
        <v>-2.8996858596801733E-2</v>
      </c>
      <c r="L121" s="50">
        <f t="shared" ca="1" si="13"/>
        <v>9.0961742401123036E-3</v>
      </c>
      <c r="M121" s="69">
        <f t="shared" ca="1" si="14"/>
        <v>1.6696152687072752E-2</v>
      </c>
      <c r="N121" s="50"/>
      <c r="O121" s="68" cm="1">
        <f t="array" aca="1" ref="O121" ca="1">_xll.BDP(P$81&amp;" "&amp;$C121&amp;" 10DP VOL LME Comdty","PX_LAST")/100</f>
        <v>0.22909561157226563</v>
      </c>
      <c r="P121" s="58" cm="1">
        <f t="array" aca="1" ref="P121" ca="1">_xll.BDP(P$81&amp;" "&amp;$C121&amp;" 25DP VOL LME Comdty","PX_LAST")/100</f>
        <v>0.21459640502929689</v>
      </c>
      <c r="Q121" s="45" cm="1">
        <f t="array" aca="1" ref="Q121" ca="1">_xll.BDP(P$81&amp;" "&amp;$C121&amp;" 50D VOL LME Comdty","PX_LAST")/100</f>
        <v>0.19290159225463868</v>
      </c>
      <c r="R121" s="58" cm="1">
        <f t="array" aca="1" ref="R121" ca="1">_xll.BDP(P$81&amp;" "&amp;$C121&amp;" 25DC VOL LME Comdty","PX_LAST")/100</f>
        <v>0.19589612960815431</v>
      </c>
      <c r="S121" s="58" cm="1">
        <f t="array" aca="1" ref="S121" ca="1">_xll.BDP(P$81&amp;" "&amp;$C121&amp;" 10DC VOL LME Comdty","PX_LAST")/100</f>
        <v>0.20099641799926757</v>
      </c>
      <c r="T121" s="49">
        <f t="shared" ca="1" si="15"/>
        <v>0.19290159225463868</v>
      </c>
      <c r="U121" s="50">
        <f t="shared" ca="1" si="16"/>
        <v>0</v>
      </c>
      <c r="V121" s="50">
        <f t="shared" ca="1" si="17"/>
        <v>0</v>
      </c>
      <c r="W121" s="50">
        <f t="shared" ca="1" si="18"/>
        <v>0</v>
      </c>
      <c r="X121" s="69">
        <f t="shared" ca="1" si="19"/>
        <v>0</v>
      </c>
      <c r="Y121" s="50"/>
      <c r="Z121" s="68"/>
      <c r="AA121" s="58"/>
      <c r="AB121" s="45"/>
      <c r="AC121" s="58"/>
      <c r="AD121" s="58"/>
      <c r="AE121" s="49"/>
      <c r="AF121" s="50"/>
      <c r="AG121" s="50"/>
      <c r="AH121" s="50"/>
      <c r="AI121" s="69"/>
      <c r="AJ121" s="50"/>
      <c r="AK121" s="68"/>
      <c r="AL121" s="58"/>
      <c r="AM121" s="45"/>
      <c r="AN121" s="58"/>
      <c r="AO121" s="58"/>
      <c r="AP121" s="49"/>
      <c r="AQ121" s="50"/>
      <c r="AR121" s="50"/>
      <c r="AS121" s="50"/>
      <c r="AT121" s="69"/>
    </row>
    <row r="122" spans="1:46" x14ac:dyDescent="0.25">
      <c r="B122" s="1" cm="1">
        <f t="array" aca="1" ref="B122" ca="1">_xll.QDates_SpecificWeekday(EDATE(B121,1),"Wednesday",1)</f>
        <v>45448</v>
      </c>
      <c r="C122" t="str">
        <f t="shared" ca="1" si="30"/>
        <v>JUN24</v>
      </c>
      <c r="D122" s="68" cm="1">
        <f t="array" aca="1" ref="D122" ca="1">_xll.BDP(E$81&amp;" "&amp;$C122&amp;" 10DP VOL LME Comdty","PX_LAST")/100</f>
        <v>0.18779573440551758</v>
      </c>
      <c r="E122" s="58" cm="1">
        <f t="array" aca="1" ref="E122" ca="1">_xll.BDP(E$81&amp;" "&amp;$C122&amp;" 25DP VOL LME Comdty","PX_LAST")/100</f>
        <v>0.1744961166381836</v>
      </c>
      <c r="F122" s="45" cm="1">
        <f t="array" aca="1" ref="F122" ca="1">_xll.BDP(E$81&amp;" "&amp;$C122&amp;" 50D VOL LME Comdty","PX_LAST")/100</f>
        <v>0.15650114059448242</v>
      </c>
      <c r="G122" s="58" cm="1">
        <f t="array" aca="1" ref="G122" ca="1">_xll.BDP(E$81&amp;" "&amp;$C122&amp;" 25DC VOL LME Comdty","PX_LAST")/100</f>
        <v>0.15669852256774902</v>
      </c>
      <c r="H122" s="58" cm="1">
        <f t="array" aca="1" ref="H122" ca="1">_xll.BDP(E$81&amp;" "&amp;$C122&amp;" 10DC VOL LME Comdty","PX_LAST")/100</f>
        <v>0.15869884490966796</v>
      </c>
      <c r="I122" s="49">
        <f t="shared" ca="1" si="10"/>
        <v>0.15650114059448242</v>
      </c>
      <c r="J122" s="50">
        <f t="shared" ca="1" si="11"/>
        <v>-1.7797594070434575E-2</v>
      </c>
      <c r="K122" s="50">
        <f t="shared" ca="1" si="12"/>
        <v>-2.9096889495849626E-2</v>
      </c>
      <c r="L122" s="50">
        <f t="shared" ca="1" si="13"/>
        <v>9.09617900848389E-3</v>
      </c>
      <c r="M122" s="69">
        <f t="shared" ca="1" si="14"/>
        <v>1.6746149063110366E-2</v>
      </c>
      <c r="N122" s="50"/>
      <c r="O122" s="68" cm="1">
        <f t="array" aca="1" ref="O122" ca="1">_xll.BDP(P$81&amp;" "&amp;$C122&amp;" 10DP VOL LME Comdty","PX_LAST")/100</f>
        <v>0.22829563140869141</v>
      </c>
      <c r="P122" s="58" cm="1">
        <f t="array" aca="1" ref="P122" ca="1">_xll.BDP(P$81&amp;" "&amp;$C122&amp;" 25DP VOL LME Comdty","PX_LAST")/100</f>
        <v>0.21389642715454102</v>
      </c>
      <c r="Q122" s="45" cm="1">
        <f t="array" aca="1" ref="Q122" ca="1">_xll.BDP(P$81&amp;" "&amp;$C122&amp;" 50D VOL LME Comdty","PX_LAST")/100</f>
        <v>0.19210159301757812</v>
      </c>
      <c r="R122" s="58" cm="1">
        <f t="array" aca="1" ref="R122" ca="1">_xll.BDP(P$81&amp;" "&amp;$C122&amp;" 25DC VOL LME Comdty","PX_LAST")/100</f>
        <v>0.19509611129760743</v>
      </c>
      <c r="S122" s="58" cm="1">
        <f t="array" aca="1" ref="S122" ca="1">_xll.BDP(P$81&amp;" "&amp;$C122&amp;" 10DC VOL LME Comdty","PX_LAST")/100</f>
        <v>0.20019639968872072</v>
      </c>
      <c r="T122" s="49">
        <f t="shared" ca="1" si="15"/>
        <v>0.19210159301757812</v>
      </c>
      <c r="U122" s="50">
        <f t="shared" ca="1" si="16"/>
        <v>0</v>
      </c>
      <c r="V122" s="50">
        <f t="shared" ca="1" si="17"/>
        <v>0</v>
      </c>
      <c r="W122" s="50">
        <f t="shared" ca="1" si="18"/>
        <v>0</v>
      </c>
      <c r="X122" s="69">
        <f t="shared" ca="1" si="19"/>
        <v>0</v>
      </c>
      <c r="Y122" s="50"/>
      <c r="Z122" s="68"/>
      <c r="AA122" s="58"/>
      <c r="AB122" s="45"/>
      <c r="AC122" s="58"/>
      <c r="AD122" s="58"/>
      <c r="AE122" s="49"/>
      <c r="AF122" s="50"/>
      <c r="AG122" s="50"/>
      <c r="AH122" s="50"/>
      <c r="AI122" s="69"/>
      <c r="AJ122" s="50"/>
      <c r="AK122" s="68"/>
      <c r="AL122" s="58"/>
      <c r="AM122" s="45"/>
      <c r="AN122" s="58"/>
      <c r="AO122" s="58"/>
      <c r="AP122" s="49"/>
      <c r="AQ122" s="50"/>
      <c r="AR122" s="50"/>
      <c r="AS122" s="50"/>
      <c r="AT122" s="69"/>
    </row>
    <row r="123" spans="1:46" x14ac:dyDescent="0.25">
      <c r="B123" s="1" cm="1">
        <f t="array" aca="1" ref="B123" ca="1">_xll.QDates_SpecificWeekday(EDATE(B122,1),"Wednesday",1)</f>
        <v>45476</v>
      </c>
      <c r="C123" t="str">
        <f t="shared" ca="1" si="30"/>
        <v>JUL24</v>
      </c>
      <c r="D123" s="68" cm="1">
        <f t="array" aca="1" ref="D123" ca="1">_xll.BDP(E$81&amp;" "&amp;$C123&amp;" 10DP VOL LME Comdty","PX_LAST")/100</f>
        <v>0.1877957534790039</v>
      </c>
      <c r="E123" s="58" cm="1">
        <f t="array" aca="1" ref="E123" ca="1">_xll.BDP(E$81&amp;" "&amp;$C123&amp;" 25DP VOL LME Comdty","PX_LAST")/100</f>
        <v>0.17449615478515626</v>
      </c>
      <c r="F123" s="45" cm="1">
        <f t="array" aca="1" ref="F123" ca="1">_xll.BDP(E$81&amp;" "&amp;$C123&amp;" 50D VOL LME Comdty","PX_LAST")/100</f>
        <v>0.15650115966796874</v>
      </c>
      <c r="G123" s="58" cm="1">
        <f t="array" aca="1" ref="G123" ca="1">_xll.BDP(E$81&amp;" "&amp;$C123&amp;" 25DC VOL LME Comdty","PX_LAST")/100</f>
        <v>0.15669851303100585</v>
      </c>
      <c r="H123" s="58" cm="1">
        <f t="array" aca="1" ref="H123" ca="1">_xll.BDP(E$81&amp;" "&amp;$C123&amp;" 10DC VOL LME Comdty","PX_LAST")/100</f>
        <v>0.15869883537292481</v>
      </c>
      <c r="I123" s="49">
        <f t="shared" ca="1" si="10"/>
        <v>0.15650115966796874</v>
      </c>
      <c r="J123" s="50">
        <f t="shared" ca="1" si="11"/>
        <v>-1.7797641754150412E-2</v>
      </c>
      <c r="K123" s="50">
        <f t="shared" ca="1" si="12"/>
        <v>-2.9096918106079089E-2</v>
      </c>
      <c r="L123" s="50">
        <f t="shared" ca="1" si="13"/>
        <v>9.0961742401123313E-3</v>
      </c>
      <c r="M123" s="69">
        <f t="shared" ca="1" si="14"/>
        <v>1.6746134757995634E-2</v>
      </c>
      <c r="N123" s="50"/>
      <c r="O123" s="68" cm="1">
        <f t="array" aca="1" ref="O123" ca="1">_xll.BDP(P$81&amp;" "&amp;$C123&amp;" 10DP VOL LME Comdty","PX_LAST")/100</f>
        <v>0.22789566040039064</v>
      </c>
      <c r="P123" s="58" cm="1">
        <f t="array" aca="1" ref="P123" ca="1">_xll.BDP(P$81&amp;" "&amp;$C123&amp;" 25DP VOL LME Comdty","PX_LAST")/100</f>
        <v>0.21349647521972656</v>
      </c>
      <c r="Q123" s="45" cm="1">
        <f t="array" aca="1" ref="Q123" ca="1">_xll.BDP(P$81&amp;" "&amp;$C123&amp;" 50D VOL LME Comdty","PX_LAST")/100</f>
        <v>0.19170162200927734</v>
      </c>
      <c r="R123" s="58" cm="1">
        <f t="array" aca="1" ref="R123" ca="1">_xll.BDP(P$81&amp;" "&amp;$C123&amp;" 25DC VOL LME Comdty","PX_LAST")/100</f>
        <v>0.19469610214233399</v>
      </c>
      <c r="S123" s="58" cm="1">
        <f t="array" aca="1" ref="S123" ca="1">_xll.BDP(P$81&amp;" "&amp;$C123&amp;" 10DC VOL LME Comdty","PX_LAST")/100</f>
        <v>0.19979640960693359</v>
      </c>
      <c r="T123" s="49">
        <f t="shared" ca="1" si="15"/>
        <v>0.19170162200927734</v>
      </c>
      <c r="U123" s="50">
        <f t="shared" ca="1" si="16"/>
        <v>0</v>
      </c>
      <c r="V123" s="50">
        <f t="shared" ca="1" si="17"/>
        <v>0</v>
      </c>
      <c r="W123" s="50">
        <f t="shared" ca="1" si="18"/>
        <v>0</v>
      </c>
      <c r="X123" s="69">
        <f t="shared" ca="1" si="19"/>
        <v>0</v>
      </c>
      <c r="Y123" s="50"/>
      <c r="Z123" s="68"/>
      <c r="AA123" s="58"/>
      <c r="AB123" s="45"/>
      <c r="AC123" s="58"/>
      <c r="AD123" s="58"/>
      <c r="AE123" s="49"/>
      <c r="AF123" s="50"/>
      <c r="AG123" s="50"/>
      <c r="AH123" s="50"/>
      <c r="AI123" s="69"/>
      <c r="AJ123" s="50"/>
      <c r="AK123" s="68"/>
      <c r="AL123" s="58"/>
      <c r="AM123" s="45"/>
      <c r="AN123" s="58"/>
      <c r="AO123" s="58"/>
      <c r="AP123" s="49"/>
      <c r="AQ123" s="50"/>
      <c r="AR123" s="50"/>
      <c r="AS123" s="50"/>
      <c r="AT123" s="69"/>
    </row>
    <row r="124" spans="1:46" x14ac:dyDescent="0.25">
      <c r="B124" s="1" cm="1">
        <f t="array" aca="1" ref="B124" ca="1">_xll.QDates_SpecificWeekday(EDATE(B123,1),"Wednesday",1)</f>
        <v>45511</v>
      </c>
      <c r="C124" t="str">
        <f t="shared" ca="1" si="30"/>
        <v>AUG24</v>
      </c>
      <c r="D124" s="68" cm="1">
        <f t="array" aca="1" ref="D124" ca="1">_xll.BDP(E$81&amp;" "&amp;$C124&amp;" 10DP VOL LME Comdty","PX_LAST")/100</f>
        <v>0.18779579162597657</v>
      </c>
      <c r="E124" s="58" cm="1">
        <f t="array" aca="1" ref="E124" ca="1">_xll.BDP(E$81&amp;" "&amp;$C124&amp;" 25DP VOL LME Comdty","PX_LAST")/100</f>
        <v>0.17449621200561524</v>
      </c>
      <c r="F124" s="45" cm="1">
        <f t="array" aca="1" ref="F124" ca="1">_xll.BDP(E$81&amp;" "&amp;$C124&amp;" 50D VOL LME Comdty","PX_LAST")/100</f>
        <v>0.15650117874145508</v>
      </c>
      <c r="G124" s="58" cm="1">
        <f t="array" aca="1" ref="G124" ca="1">_xll.BDP(E$81&amp;" "&amp;$C124&amp;" 25DC VOL LME Comdty","PX_LAST")/100</f>
        <v>0.15669848442077636</v>
      </c>
      <c r="H124" s="58" cm="1">
        <f t="array" aca="1" ref="H124" ca="1">_xll.BDP(E$81&amp;" "&amp;$C124&amp;" 10DC VOL LME Comdty","PX_LAST")/100</f>
        <v>0.15879880905151367</v>
      </c>
      <c r="I124" s="49">
        <f t="shared" ca="1" si="10"/>
        <v>0.15650117874145508</v>
      </c>
      <c r="J124" s="50">
        <f t="shared" ca="1" si="11"/>
        <v>-1.7797727584838885E-2</v>
      </c>
      <c r="K124" s="50">
        <f t="shared" ca="1" si="12"/>
        <v>-2.8996982574462898E-2</v>
      </c>
      <c r="L124" s="50">
        <f t="shared" ca="1" si="13"/>
        <v>9.0961694717407171E-3</v>
      </c>
      <c r="M124" s="69">
        <f t="shared" ca="1" si="14"/>
        <v>1.6796121597290048E-2</v>
      </c>
      <c r="N124" s="50"/>
      <c r="O124" s="68" cm="1">
        <f t="array" aca="1" ref="O124" ca="1">_xll.BDP(P$81&amp;" "&amp;$C124&amp;" 10DP VOL LME Comdty","PX_LAST")/100</f>
        <v>0.22739568710327149</v>
      </c>
      <c r="P124" s="58" cm="1">
        <f t="array" aca="1" ref="P124" ca="1">_xll.BDP(P$81&amp;" "&amp;$C124&amp;" 25DP VOL LME Comdty","PX_LAST")/100</f>
        <v>0.21289653778076173</v>
      </c>
      <c r="Q124" s="45" cm="1">
        <f t="array" aca="1" ref="Q124" ca="1">_xll.BDP(P$81&amp;" "&amp;$C124&amp;" 50D VOL LME Comdty","PX_LAST")/100</f>
        <v>0.1911016273498535</v>
      </c>
      <c r="R124" s="58" cm="1">
        <f t="array" aca="1" ref="R124" ca="1">_xll.BDP(P$81&amp;" "&amp;$C124&amp;" 25DC VOL LME Comdty","PX_LAST")/100</f>
        <v>0.19419610977172852</v>
      </c>
      <c r="S124" s="58" cm="1">
        <f t="array" aca="1" ref="S124" ca="1">_xll.BDP(P$81&amp;" "&amp;$C124&amp;" 10DC VOL LME Comdty","PX_LAST")/100</f>
        <v>0.1991964340209961</v>
      </c>
      <c r="T124" s="49">
        <f t="shared" ca="1" si="15"/>
        <v>0.1911016273498535</v>
      </c>
      <c r="U124" s="50">
        <f t="shared" ca="1" si="16"/>
        <v>0</v>
      </c>
      <c r="V124" s="50">
        <f t="shared" ca="1" si="17"/>
        <v>0</v>
      </c>
      <c r="W124" s="50">
        <f t="shared" ca="1" si="18"/>
        <v>0</v>
      </c>
      <c r="X124" s="69">
        <f t="shared" ca="1" si="19"/>
        <v>0</v>
      </c>
      <c r="Y124" s="50"/>
      <c r="Z124" s="68"/>
      <c r="AA124" s="58"/>
      <c r="AB124" s="45"/>
      <c r="AC124" s="58"/>
      <c r="AD124" s="58"/>
      <c r="AE124" s="49"/>
      <c r="AF124" s="50"/>
      <c r="AG124" s="50"/>
      <c r="AH124" s="50"/>
      <c r="AI124" s="69"/>
      <c r="AJ124" s="50"/>
      <c r="AK124" s="68"/>
      <c r="AL124" s="58"/>
      <c r="AM124" s="45"/>
      <c r="AN124" s="58"/>
      <c r="AO124" s="58"/>
      <c r="AP124" s="49"/>
      <c r="AQ124" s="50"/>
      <c r="AR124" s="50"/>
      <c r="AS124" s="50"/>
      <c r="AT124" s="69"/>
    </row>
    <row r="125" spans="1:46" s="185" customFormat="1" x14ac:dyDescent="0.25">
      <c r="A125" s="3"/>
      <c r="B125" s="1" cm="1">
        <f t="array" aca="1" ref="B125" ca="1">_xll.QDates_SpecificWeekday(EDATE(B124,1),"Wednesday",1)</f>
        <v>45539</v>
      </c>
      <c r="C125" s="185" t="str">
        <f t="shared" ref="C125:C139" ca="1" si="31">UPPER(TEXT(B125,"MMMYY"))</f>
        <v>SEP24</v>
      </c>
      <c r="D125" s="68" cm="1">
        <f t="array" aca="1" ref="D125" ca="1">_xll.BDP(E$81&amp;" "&amp;$C125&amp;" 10DP VOL LME Comdty","PX_LAST")/100</f>
        <v>0.18779582977294923</v>
      </c>
      <c r="E125" s="58" cm="1">
        <f t="array" aca="1" ref="E125" ca="1">_xll.BDP(E$81&amp;" "&amp;$C125&amp;" 25DP VOL LME Comdty","PX_LAST")/100</f>
        <v>0.17459625244140625</v>
      </c>
      <c r="F125" s="45" cm="1">
        <f t="array" aca="1" ref="F125" ca="1">_xll.BDP(E$81&amp;" "&amp;$C125&amp;" 50D VOL LME Comdty","PX_LAST")/100</f>
        <v>0.15650118827819826</v>
      </c>
      <c r="G125" s="58" cm="1">
        <f t="array" aca="1" ref="G125" ca="1">_xll.BDP(E$81&amp;" "&amp;$C125&amp;" 25DC VOL LME Comdty","PX_LAST")/100</f>
        <v>0.15669847488403321</v>
      </c>
      <c r="H125" s="58" cm="1">
        <f t="array" aca="1" ref="H125" ca="1">_xll.BDP(E$81&amp;" "&amp;$C125&amp;" 10DC VOL LME Comdty","PX_LAST")/100</f>
        <v>0.15879879951477049</v>
      </c>
      <c r="I125" s="49">
        <f t="shared" ref="I125:I139" ca="1" si="32">F125+H$80</f>
        <v>0.15650118827819826</v>
      </c>
      <c r="J125" s="50">
        <f t="shared" ref="J125:J139" ca="1" si="33">(G125-E125)*H$81</f>
        <v>-1.789777755737304E-2</v>
      </c>
      <c r="K125" s="50">
        <f t="shared" ref="K125:K139" ca="1" si="34">(H125-D125)*H$81</f>
        <v>-2.8997030258178735E-2</v>
      </c>
      <c r="L125" s="50">
        <f t="shared" ref="L125:L139" ca="1" si="35">(AVERAGE(E125,G125)-F125)*H$81</f>
        <v>9.1461753845214766E-3</v>
      </c>
      <c r="M125" s="69">
        <f t="shared" ref="M125:M139" ca="1" si="36">(AVERAGE(D125,H125)-F125)*H$81</f>
        <v>1.6796126365661607E-2</v>
      </c>
      <c r="N125" s="50"/>
      <c r="O125" s="68" cm="1">
        <f t="array" aca="1" ref="O125" ca="1">_xll.BDP(P$81&amp;" "&amp;$C125&amp;" 10DP VOL LME Comdty","PX_LAST")/100</f>
        <v>0.22689569473266602</v>
      </c>
      <c r="P125" s="58" cm="1">
        <f t="array" aca="1" ref="P125" ca="1">_xll.BDP(P$81&amp;" "&amp;$C125&amp;" 25DP VOL LME Comdty","PX_LAST")/100</f>
        <v>0.21249658584594727</v>
      </c>
      <c r="Q125" s="45" cm="1">
        <f t="array" aca="1" ref="Q125" ca="1">_xll.BDP(P$81&amp;" "&amp;$C125&amp;" 50D VOL LME Comdty","PX_LAST")/100</f>
        <v>0.19070163726806641</v>
      </c>
      <c r="R125" s="58" cm="1">
        <f t="array" aca="1" ref="R125" ca="1">_xll.BDP(P$81&amp;" "&amp;$C125&amp;" 25DC VOL LME Comdty","PX_LAST")/100</f>
        <v>0.19379610061645508</v>
      </c>
      <c r="S125" s="58" cm="1">
        <f t="array" aca="1" ref="S125" ca="1">_xll.BDP(P$81&amp;" "&amp;$C125&amp;" 10DC VOL LME Comdty","PX_LAST")/100</f>
        <v>0.19879644393920898</v>
      </c>
      <c r="T125" s="49">
        <f t="shared" ref="T125:T139" ca="1" si="37">Q125+S$80</f>
        <v>0.19070163726806641</v>
      </c>
      <c r="U125" s="50">
        <f t="shared" ref="U125:U139" ca="1" si="38">(R125-P125)*S$81</f>
        <v>0</v>
      </c>
      <c r="V125" s="50">
        <f t="shared" ref="V125:V139" ca="1" si="39">(S125-O125)*S$81</f>
        <v>0</v>
      </c>
      <c r="W125" s="50">
        <f t="shared" ref="W125:W139" ca="1" si="40">(AVERAGE(P125,R125)-Q125)*S$81</f>
        <v>0</v>
      </c>
      <c r="X125" s="69">
        <f t="shared" ref="X125:X139" ca="1" si="41">(AVERAGE(O125,S125)-Q125)*S$81</f>
        <v>0</v>
      </c>
      <c r="Y125" s="50"/>
      <c r="Z125" s="68"/>
      <c r="AA125" s="58"/>
      <c r="AB125" s="45"/>
      <c r="AC125" s="58"/>
      <c r="AD125" s="58"/>
      <c r="AE125" s="49"/>
      <c r="AF125" s="50"/>
      <c r="AG125" s="50"/>
      <c r="AH125" s="50"/>
      <c r="AI125" s="69"/>
      <c r="AJ125" s="50"/>
      <c r="AK125" s="68"/>
      <c r="AL125" s="58"/>
      <c r="AM125" s="45"/>
      <c r="AN125" s="58"/>
      <c r="AO125" s="58"/>
      <c r="AP125" s="49"/>
      <c r="AQ125" s="50"/>
      <c r="AR125" s="50"/>
      <c r="AS125" s="50"/>
      <c r="AT125" s="69"/>
    </row>
    <row r="126" spans="1:46" s="185" customFormat="1" x14ac:dyDescent="0.25">
      <c r="A126" s="3"/>
      <c r="B126" s="1" cm="1">
        <f t="array" aca="1" ref="B126" ca="1">_xll.QDates_SpecificWeekday(EDATE(B125,1),"Wednesday",1)</f>
        <v>45567</v>
      </c>
      <c r="C126" s="185" t="str">
        <f t="shared" ca="1" si="31"/>
        <v>OCT24</v>
      </c>
      <c r="D126" s="68" cm="1">
        <f t="array" aca="1" ref="D126" ca="1">_xll.BDP(E$81&amp;" "&amp;$C126&amp;" 10DP VOL LME Comdty","PX_LAST")/100</f>
        <v>0.18769586563110352</v>
      </c>
      <c r="E126" s="58" cm="1">
        <f t="array" aca="1" ref="E126" ca="1">_xll.BDP(E$81&amp;" "&amp;$C126&amp;" 25DP VOL LME Comdty","PX_LAST")/100</f>
        <v>0.17449628829956054</v>
      </c>
      <c r="F126" s="45" cm="1">
        <f t="array" aca="1" ref="F126" ca="1">_xll.BDP(E$81&amp;" "&amp;$C126&amp;" 50D VOL LME Comdty","PX_LAST")/100</f>
        <v>0.1564012050628662</v>
      </c>
      <c r="G126" s="58" cm="1">
        <f t="array" aca="1" ref="G126" ca="1">_xll.BDP(E$81&amp;" "&amp;$C126&amp;" 25DC VOL LME Comdty","PX_LAST")/100</f>
        <v>0.15669847488403321</v>
      </c>
      <c r="H126" s="58" cm="1">
        <f t="array" aca="1" ref="H126" ca="1">_xll.BDP(E$81&amp;" "&amp;$C126&amp;" 10DC VOL LME Comdty","PX_LAST")/100</f>
        <v>0.15869879722595215</v>
      </c>
      <c r="I126" s="49">
        <f t="shared" ca="1" si="32"/>
        <v>0.1564012050628662</v>
      </c>
      <c r="J126" s="50">
        <f t="shared" ca="1" si="33"/>
        <v>-1.779781341552733E-2</v>
      </c>
      <c r="K126" s="50">
        <f t="shared" ca="1" si="34"/>
        <v>-2.8997068405151372E-2</v>
      </c>
      <c r="L126" s="50">
        <f t="shared" ca="1" si="35"/>
        <v>9.1961765289306774E-3</v>
      </c>
      <c r="M126" s="69">
        <f t="shared" ca="1" si="36"/>
        <v>1.6796126365661634E-2</v>
      </c>
      <c r="N126" s="50"/>
      <c r="O126" s="68" cm="1">
        <f t="array" aca="1" ref="O126" ca="1">_xll.BDP(P$81&amp;" "&amp;$C126&amp;" 10DP VOL LME Comdty","PX_LAST")/100</f>
        <v>0.22649574279785156</v>
      </c>
      <c r="P126" s="58" cm="1">
        <f t="array" aca="1" ref="P126" ca="1">_xll.BDP(P$81&amp;" "&amp;$C126&amp;" 25DP VOL LME Comdty","PX_LAST")/100</f>
        <v>0.21209663391113281</v>
      </c>
      <c r="Q126" s="45" cm="1">
        <f t="array" aca="1" ref="Q126" ca="1">_xll.BDP(P$81&amp;" "&amp;$C126&amp;" 50D VOL LME Comdty","PX_LAST")/100</f>
        <v>0.19030166625976563</v>
      </c>
      <c r="R126" s="58" cm="1">
        <f t="array" aca="1" ref="R126" ca="1">_xll.BDP(P$81&amp;" "&amp;$C126&amp;" 25DC VOL LME Comdty","PX_LAST")/100</f>
        <v>0.1933961296081543</v>
      </c>
      <c r="S126" s="58" cm="1">
        <f t="array" aca="1" ref="S126" ca="1">_xll.BDP(P$81&amp;" "&amp;$C126&amp;" 10DC VOL LME Comdty","PX_LAST")/100</f>
        <v>0.19829647064208986</v>
      </c>
      <c r="T126" s="49">
        <f t="shared" ca="1" si="37"/>
        <v>0.19030166625976563</v>
      </c>
      <c r="U126" s="50">
        <f t="shared" ca="1" si="38"/>
        <v>0</v>
      </c>
      <c r="V126" s="50">
        <f t="shared" ca="1" si="39"/>
        <v>0</v>
      </c>
      <c r="W126" s="50">
        <f t="shared" ca="1" si="40"/>
        <v>0</v>
      </c>
      <c r="X126" s="69">
        <f t="shared" ca="1" si="41"/>
        <v>0</v>
      </c>
      <c r="Y126" s="50"/>
      <c r="Z126" s="68"/>
      <c r="AA126" s="58"/>
      <c r="AB126" s="45"/>
      <c r="AC126" s="58"/>
      <c r="AD126" s="58"/>
      <c r="AE126" s="49"/>
      <c r="AF126" s="50"/>
      <c r="AG126" s="50"/>
      <c r="AH126" s="50"/>
      <c r="AI126" s="69"/>
      <c r="AJ126" s="50"/>
      <c r="AK126" s="68"/>
      <c r="AL126" s="58"/>
      <c r="AM126" s="45"/>
      <c r="AN126" s="58"/>
      <c r="AO126" s="58"/>
      <c r="AP126" s="49"/>
      <c r="AQ126" s="50"/>
      <c r="AR126" s="50"/>
      <c r="AS126" s="50"/>
      <c r="AT126" s="69"/>
    </row>
    <row r="127" spans="1:46" s="185" customFormat="1" x14ac:dyDescent="0.25">
      <c r="A127" s="3"/>
      <c r="B127" s="1" cm="1">
        <f t="array" aca="1" ref="B127" ca="1">_xll.QDates_SpecificWeekday(EDATE(B126,1),"Wednesday",1)</f>
        <v>45602</v>
      </c>
      <c r="C127" s="185" t="str">
        <f t="shared" ca="1" si="31"/>
        <v>NOV24</v>
      </c>
      <c r="D127" s="68" cm="1">
        <f t="array" aca="1" ref="D127" ca="1">_xll.BDP(E$81&amp;" "&amp;$C127&amp;" 10DP VOL LME Comdty","PX_LAST")/100</f>
        <v>0.18769588470458984</v>
      </c>
      <c r="E127" s="58" cm="1">
        <f t="array" aca="1" ref="E127" ca="1">_xll.BDP(E$81&amp;" "&amp;$C127&amp;" 25DP VOL LME Comdty","PX_LAST")/100</f>
        <v>0.17449632644653321</v>
      </c>
      <c r="F127" s="45" cm="1">
        <f t="array" aca="1" ref="F127" ca="1">_xll.BDP(E$81&amp;" "&amp;$C127&amp;" 50D VOL LME Comdty","PX_LAST")/100</f>
        <v>0.15640122413635255</v>
      </c>
      <c r="G127" s="58" cm="1">
        <f t="array" aca="1" ref="G127" ca="1">_xll.BDP(E$81&amp;" "&amp;$C127&amp;" 25DC VOL LME Comdty","PX_LAST")/100</f>
        <v>0.15669844627380372</v>
      </c>
      <c r="H127" s="58" cm="1">
        <f t="array" aca="1" ref="H127" ca="1">_xll.BDP(E$81&amp;" "&amp;$C127&amp;" 10DC VOL LME Comdty","PX_LAST")/100</f>
        <v>0.158798770904541</v>
      </c>
      <c r="I127" s="49">
        <f t="shared" ca="1" si="32"/>
        <v>0.15640122413635255</v>
      </c>
      <c r="J127" s="50">
        <f t="shared" ca="1" si="33"/>
        <v>-1.7797880172729486E-2</v>
      </c>
      <c r="K127" s="50">
        <f t="shared" ca="1" si="34"/>
        <v>-2.8897113800048835E-2</v>
      </c>
      <c r="L127" s="50">
        <f t="shared" ca="1" si="35"/>
        <v>9.196162223815918E-3</v>
      </c>
      <c r="M127" s="69">
        <f t="shared" ca="1" si="36"/>
        <v>1.6846103668212875E-2</v>
      </c>
      <c r="N127" s="50"/>
      <c r="O127" s="68" cm="1">
        <f t="array" aca="1" ref="O127" ca="1">_xll.BDP(P$81&amp;" "&amp;$C127&amp;" 10DP VOL LME Comdty","PX_LAST")/100</f>
        <v>0.22589574813842772</v>
      </c>
      <c r="P127" s="58" cm="1">
        <f t="array" aca="1" ref="P127" ca="1">_xll.BDP(P$81&amp;" "&amp;$C127&amp;" 25DP VOL LME Comdty","PX_LAST")/100</f>
        <v>0.21149667739868164</v>
      </c>
      <c r="Q127" s="45" cm="1">
        <f t="array" aca="1" ref="Q127" ca="1">_xll.BDP(P$81&amp;" "&amp;$C127&amp;" 50D VOL LME Comdty","PX_LAST")/100</f>
        <v>0.18970165252685547</v>
      </c>
      <c r="R127" s="58" cm="1">
        <f t="array" aca="1" ref="R127" ca="1">_xll.BDP(P$81&amp;" "&amp;$C127&amp;" 25DC VOL LME Comdty","PX_LAST")/100</f>
        <v>0.19279611587524415</v>
      </c>
      <c r="S127" s="58" cm="1">
        <f t="array" aca="1" ref="S127" ca="1">_xll.BDP(P$81&amp;" "&amp;$C127&amp;" 10DC VOL LME Comdty","PX_LAST")/100</f>
        <v>0.19769647598266601</v>
      </c>
      <c r="T127" s="49">
        <f t="shared" ca="1" si="37"/>
        <v>0.18970165252685547</v>
      </c>
      <c r="U127" s="50">
        <f t="shared" ca="1" si="38"/>
        <v>0</v>
      </c>
      <c r="V127" s="50">
        <f t="shared" ca="1" si="39"/>
        <v>0</v>
      </c>
      <c r="W127" s="50">
        <f t="shared" ca="1" si="40"/>
        <v>0</v>
      </c>
      <c r="X127" s="69">
        <f t="shared" ca="1" si="41"/>
        <v>0</v>
      </c>
      <c r="Y127" s="50"/>
      <c r="Z127" s="68"/>
      <c r="AA127" s="58"/>
      <c r="AB127" s="45"/>
      <c r="AC127" s="58"/>
      <c r="AD127" s="58"/>
      <c r="AE127" s="49"/>
      <c r="AF127" s="50"/>
      <c r="AG127" s="50"/>
      <c r="AH127" s="50"/>
      <c r="AI127" s="69"/>
      <c r="AJ127" s="50"/>
      <c r="AK127" s="68"/>
      <c r="AL127" s="58"/>
      <c r="AM127" s="45"/>
      <c r="AN127" s="58"/>
      <c r="AO127" s="58"/>
      <c r="AP127" s="49"/>
      <c r="AQ127" s="50"/>
      <c r="AR127" s="50"/>
      <c r="AS127" s="50"/>
      <c r="AT127" s="69"/>
    </row>
    <row r="128" spans="1:46" s="185" customFormat="1" x14ac:dyDescent="0.25">
      <c r="A128" s="3"/>
      <c r="B128" s="1" cm="1">
        <f t="array" aca="1" ref="B128" ca="1">_xll.QDates_SpecificWeekday(EDATE(B127,1),"Wednesday",1)</f>
        <v>45630</v>
      </c>
      <c r="C128" s="185" t="str">
        <f t="shared" ca="1" si="31"/>
        <v>DEC24</v>
      </c>
      <c r="D128" s="68" cm="1">
        <f t="array" aca="1" ref="D128" ca="1">_xll.BDP(E$81&amp;" "&amp;$C128&amp;" 10DP VOL LME Comdty","PX_LAST")/100</f>
        <v>0.18769588470458984</v>
      </c>
      <c r="E128" s="58" cm="1">
        <f t="array" aca="1" ref="E128" ca="1">_xll.BDP(E$81&amp;" "&amp;$C128&amp;" 25DP VOL LME Comdty","PX_LAST")/100</f>
        <v>0.17449638366699219</v>
      </c>
      <c r="F128" s="45" cm="1">
        <f t="array" aca="1" ref="F128" ca="1">_xll.BDP(E$81&amp;" "&amp;$C128&amp;" 50D VOL LME Comdty","PX_LAST")/100</f>
        <v>0.15640123367309569</v>
      </c>
      <c r="G128" s="58" cm="1">
        <f t="array" aca="1" ref="G128" ca="1">_xll.BDP(E$81&amp;" "&amp;$C128&amp;" 25DC VOL LME Comdty","PX_LAST")/100</f>
        <v>0.15669843673706055</v>
      </c>
      <c r="H128" s="58" cm="1">
        <f t="array" aca="1" ref="H128" ca="1">_xll.BDP(E$81&amp;" "&amp;$C128&amp;" 10DC VOL LME Comdty","PX_LAST")/100</f>
        <v>0.15879875183105469</v>
      </c>
      <c r="I128" s="49">
        <f t="shared" ca="1" si="32"/>
        <v>0.15640123367309569</v>
      </c>
      <c r="J128" s="50">
        <f t="shared" ca="1" si="33"/>
        <v>-1.7797946929931641E-2</v>
      </c>
      <c r="K128" s="50">
        <f t="shared" ca="1" si="34"/>
        <v>-2.8897132873535153E-2</v>
      </c>
      <c r="L128" s="50">
        <f t="shared" ca="1" si="35"/>
        <v>9.1961765289306774E-3</v>
      </c>
      <c r="M128" s="69">
        <f t="shared" ca="1" si="36"/>
        <v>1.6846084594726557E-2</v>
      </c>
      <c r="N128" s="50"/>
      <c r="O128" s="68" cm="1">
        <f t="array" aca="1" ref="O128" ca="1">_xll.BDP(P$81&amp;" "&amp;$C128&amp;" 10DP VOL LME Comdty","PX_LAST")/100</f>
        <v>0.22589576721191407</v>
      </c>
      <c r="P128" s="58" cm="1">
        <f t="array" aca="1" ref="P128" ca="1">_xll.BDP(P$81&amp;" "&amp;$C128&amp;" 25DP VOL LME Comdty","PX_LAST")/100</f>
        <v>0.2114967155456543</v>
      </c>
      <c r="Q128" s="45" cm="1">
        <f t="array" aca="1" ref="Q128" ca="1">_xll.BDP(P$81&amp;" "&amp;$C128&amp;" 50D VOL LME Comdty","PX_LAST")/100</f>
        <v>0.18970167160034179</v>
      </c>
      <c r="R128" s="58" cm="1">
        <f t="array" aca="1" ref="R128" ca="1">_xll.BDP(P$81&amp;" "&amp;$C128&amp;" 25DC VOL LME Comdty","PX_LAST")/100</f>
        <v>0.19289609909057617</v>
      </c>
      <c r="S128" s="58" cm="1">
        <f t="array" aca="1" ref="S128" ca="1">_xll.BDP(P$81&amp;" "&amp;$C128&amp;" 10DC VOL LME Comdty","PX_LAST")/100</f>
        <v>0.19769647598266601</v>
      </c>
      <c r="T128" s="49">
        <f t="shared" ca="1" si="37"/>
        <v>0.18970167160034179</v>
      </c>
      <c r="U128" s="50">
        <f t="shared" ca="1" si="38"/>
        <v>0</v>
      </c>
      <c r="V128" s="50">
        <f t="shared" ca="1" si="39"/>
        <v>0</v>
      </c>
      <c r="W128" s="50">
        <f t="shared" ca="1" si="40"/>
        <v>0</v>
      </c>
      <c r="X128" s="69">
        <f t="shared" ca="1" si="41"/>
        <v>0</v>
      </c>
      <c r="Y128" s="50"/>
      <c r="Z128" s="68"/>
      <c r="AA128" s="58"/>
      <c r="AB128" s="45"/>
      <c r="AC128" s="58"/>
      <c r="AD128" s="58"/>
      <c r="AE128" s="49"/>
      <c r="AF128" s="50"/>
      <c r="AG128" s="50"/>
      <c r="AH128" s="50"/>
      <c r="AI128" s="69"/>
      <c r="AJ128" s="50"/>
      <c r="AK128" s="68"/>
      <c r="AL128" s="58"/>
      <c r="AM128" s="45"/>
      <c r="AN128" s="58"/>
      <c r="AO128" s="58"/>
      <c r="AP128" s="49"/>
      <c r="AQ128" s="50"/>
      <c r="AR128" s="50"/>
      <c r="AS128" s="50"/>
      <c r="AT128" s="69"/>
    </row>
    <row r="129" spans="1:46" s="185" customFormat="1" x14ac:dyDescent="0.25">
      <c r="A129" s="3"/>
      <c r="B129" s="1" cm="1">
        <f t="array" aca="1" ref="B129" ca="1">_xll.QDates_SpecificWeekday(EDATE(B128,1),"Wednesday",1)</f>
        <v>45658</v>
      </c>
      <c r="C129" s="185" t="str">
        <f t="shared" ca="1" si="31"/>
        <v>JAN25</v>
      </c>
      <c r="D129" s="68" cm="1">
        <f t="array" aca="1" ref="D129" ca="1">_xll.BDP(E$81&amp;" "&amp;$C129&amp;" 10DP VOL LME Comdty","PX_LAST")/100</f>
        <v>0.18759588241577149</v>
      </c>
      <c r="E129" s="58" cm="1">
        <f t="array" aca="1" ref="E129" ca="1">_xll.BDP(E$81&amp;" "&amp;$C129&amp;" 25DP VOL LME Comdty","PX_LAST")/100</f>
        <v>0.17439641952514648</v>
      </c>
      <c r="F129" s="45" cm="1">
        <f t="array" aca="1" ref="F129" ca="1">_xll.BDP(E$81&amp;" "&amp;$C129&amp;" 50D VOL LME Comdty","PX_LAST")/100</f>
        <v>0.15640124320983886</v>
      </c>
      <c r="G129" s="58" cm="1">
        <f t="array" aca="1" ref="G129" ca="1">_xll.BDP(E$81&amp;" "&amp;$C129&amp;" 25DC VOL LME Comdty","PX_LAST")/100</f>
        <v>0.15669842720031738</v>
      </c>
      <c r="H129" s="58" cm="1">
        <f t="array" aca="1" ref="H129" ca="1">_xll.BDP(E$81&amp;" "&amp;$C129&amp;" 10DC VOL LME Comdty","PX_LAST")/100</f>
        <v>0.15879872322082519</v>
      </c>
      <c r="I129" s="49">
        <f t="shared" ca="1" si="32"/>
        <v>0.15640124320983886</v>
      </c>
      <c r="J129" s="50">
        <f t="shared" ca="1" si="33"/>
        <v>-1.7697992324829104E-2</v>
      </c>
      <c r="K129" s="50">
        <f t="shared" ca="1" si="34"/>
        <v>-2.8797159194946298E-2</v>
      </c>
      <c r="L129" s="50">
        <f t="shared" ca="1" si="35"/>
        <v>9.1461801528930631E-3</v>
      </c>
      <c r="M129" s="69">
        <f t="shared" ca="1" si="36"/>
        <v>1.6796059608459479E-2</v>
      </c>
      <c r="N129" s="50"/>
      <c r="O129" s="68" cm="1">
        <f t="array" aca="1" ref="O129" ca="1">_xll.BDP(P$81&amp;" "&amp;$C129&amp;" 10DP VOL LME Comdty","PX_LAST")/100</f>
        <v>0.22419580459594726</v>
      </c>
      <c r="P129" s="58" cm="1">
        <f t="array" aca="1" ref="P129" ca="1">_xll.BDP(P$81&amp;" "&amp;$C129&amp;" 25DP VOL LME Comdty","PX_LAST")/100</f>
        <v>0.20989675521850587</v>
      </c>
      <c r="Q129" s="45" cm="1">
        <f t="array" aca="1" ref="Q129" ca="1">_xll.BDP(P$81&amp;" "&amp;$C129&amp;" 50D VOL LME Comdty","PX_LAST")/100</f>
        <v>0.1881016731262207</v>
      </c>
      <c r="R129" s="58" cm="1">
        <f t="array" aca="1" ref="R129" ca="1">_xll.BDP(P$81&amp;" "&amp;$C129&amp;" 25DC VOL LME Comdty","PX_LAST")/100</f>
        <v>0.19129610061645508</v>
      </c>
      <c r="S129" s="58" cm="1">
        <f t="array" aca="1" ref="S129" ca="1">_xll.BDP(P$81&amp;" "&amp;$C129&amp;" 10DC VOL LME Comdty","PX_LAST")/100</f>
        <v>0.19609647750854492</v>
      </c>
      <c r="T129" s="49">
        <f t="shared" ca="1" si="37"/>
        <v>0.1881016731262207</v>
      </c>
      <c r="U129" s="50">
        <f t="shared" ca="1" si="38"/>
        <v>0</v>
      </c>
      <c r="V129" s="50">
        <f t="shared" ca="1" si="39"/>
        <v>0</v>
      </c>
      <c r="W129" s="50">
        <f t="shared" ca="1" si="40"/>
        <v>0</v>
      </c>
      <c r="X129" s="69">
        <f t="shared" ca="1" si="41"/>
        <v>0</v>
      </c>
      <c r="Y129" s="50"/>
      <c r="Z129" s="68"/>
      <c r="AA129" s="58"/>
      <c r="AB129" s="45"/>
      <c r="AC129" s="58"/>
      <c r="AD129" s="58"/>
      <c r="AE129" s="49"/>
      <c r="AF129" s="50"/>
      <c r="AG129" s="50"/>
      <c r="AH129" s="50"/>
      <c r="AI129" s="69"/>
      <c r="AJ129" s="50"/>
      <c r="AK129" s="68"/>
      <c r="AL129" s="58"/>
      <c r="AM129" s="45"/>
      <c r="AN129" s="58"/>
      <c r="AO129" s="58"/>
      <c r="AP129" s="49"/>
      <c r="AQ129" s="50"/>
      <c r="AR129" s="50"/>
      <c r="AS129" s="50"/>
      <c r="AT129" s="69"/>
    </row>
    <row r="130" spans="1:46" s="185" customFormat="1" x14ac:dyDescent="0.25">
      <c r="A130" s="3"/>
      <c r="B130" s="1" cm="1">
        <f t="array" aca="1" ref="B130" ca="1">_xll.QDates_SpecificWeekday(EDATE(B129,1),"Wednesday",1)</f>
        <v>45693</v>
      </c>
      <c r="C130" s="185" t="str">
        <f t="shared" ca="1" si="31"/>
        <v>FEB25</v>
      </c>
      <c r="D130" s="68" cm="1">
        <f t="array" aca="1" ref="D130" ca="1">_xll.BDP(E$81&amp;" "&amp;$C130&amp;" 10DP VOL LME Comdty","PX_LAST")/100</f>
        <v>0.18759584426879883</v>
      </c>
      <c r="E130" s="58" cm="1">
        <f t="array" aca="1" ref="E130" ca="1">_xll.BDP(E$81&amp;" "&amp;$C130&amp;" 25DP VOL LME Comdty","PX_LAST")/100</f>
        <v>0.17429645538330077</v>
      </c>
      <c r="F130" s="45" cm="1">
        <f t="array" aca="1" ref="F130" ca="1">_xll.BDP(E$81&amp;" "&amp;$C130&amp;" 50D VOL LME Comdty","PX_LAST")/100</f>
        <v>0.15630125045776366</v>
      </c>
      <c r="G130" s="58" cm="1">
        <f t="array" aca="1" ref="G130" ca="1">_xll.BDP(E$81&amp;" "&amp;$C130&amp;" 25DC VOL LME Comdty","PX_LAST")/100</f>
        <v>0.15669839859008788</v>
      </c>
      <c r="H130" s="58" cm="1">
        <f t="array" aca="1" ref="H130" ca="1">_xll.BDP(E$81&amp;" "&amp;$C130&amp;" 10DC VOL LME Comdty","PX_LAST")/100</f>
        <v>0.15879867553710938</v>
      </c>
      <c r="I130" s="49">
        <f t="shared" ca="1" si="32"/>
        <v>0.15630125045776366</v>
      </c>
      <c r="J130" s="50">
        <f t="shared" ca="1" si="33"/>
        <v>-1.7598056793212885E-2</v>
      </c>
      <c r="K130" s="50">
        <f t="shared" ca="1" si="34"/>
        <v>-2.8797168731689443E-2</v>
      </c>
      <c r="L130" s="50">
        <f t="shared" ca="1" si="35"/>
        <v>9.1961765289306774E-3</v>
      </c>
      <c r="M130" s="69">
        <f t="shared" ca="1" si="36"/>
        <v>1.689600944519043E-2</v>
      </c>
      <c r="N130" s="50"/>
      <c r="O130" s="68" cm="1">
        <f t="array" aca="1" ref="O130" ca="1">_xll.BDP(P$81&amp;" "&amp;$C130&amp;" 10DP VOL LME Comdty","PX_LAST")/100</f>
        <v>0.22429582595825195</v>
      </c>
      <c r="P130" s="58" cm="1">
        <f t="array" aca="1" ref="P130" ca="1">_xll.BDP(P$81&amp;" "&amp;$C130&amp;" 25DP VOL LME Comdty","PX_LAST")/100</f>
        <v>0.2099968147277832</v>
      </c>
      <c r="Q130" s="45" cm="1">
        <f t="array" aca="1" ref="Q130" ca="1">_xll.BDP(P$81&amp;" "&amp;$C130&amp;" 50D VOL LME Comdty","PX_LAST")/100</f>
        <v>0.18820169448852539</v>
      </c>
      <c r="R130" s="58" cm="1">
        <f t="array" aca="1" ref="R130" ca="1">_xll.BDP(P$81&amp;" "&amp;$C130&amp;" 25DC VOL LME Comdty","PX_LAST")/100</f>
        <v>0.19139608383178711</v>
      </c>
      <c r="S130" s="58" cm="1">
        <f t="array" aca="1" ref="S130" ca="1">_xll.BDP(P$81&amp;" "&amp;$C130&amp;" 10DC VOL LME Comdty","PX_LAST")/100</f>
        <v>0.19619647979736329</v>
      </c>
      <c r="T130" s="49">
        <f t="shared" ca="1" si="37"/>
        <v>0.18820169448852539</v>
      </c>
      <c r="U130" s="50">
        <f t="shared" ca="1" si="38"/>
        <v>0</v>
      </c>
      <c r="V130" s="50">
        <f t="shared" ca="1" si="39"/>
        <v>0</v>
      </c>
      <c r="W130" s="50">
        <f t="shared" ca="1" si="40"/>
        <v>0</v>
      </c>
      <c r="X130" s="69">
        <f t="shared" ca="1" si="41"/>
        <v>0</v>
      </c>
      <c r="Y130" s="50"/>
      <c r="Z130" s="68"/>
      <c r="AA130" s="58"/>
      <c r="AB130" s="45"/>
      <c r="AC130" s="58"/>
      <c r="AD130" s="58"/>
      <c r="AE130" s="49"/>
      <c r="AF130" s="50"/>
      <c r="AG130" s="50"/>
      <c r="AH130" s="50"/>
      <c r="AI130" s="69"/>
      <c r="AJ130" s="50"/>
      <c r="AK130" s="68"/>
      <c r="AL130" s="58"/>
      <c r="AM130" s="45"/>
      <c r="AN130" s="58"/>
      <c r="AO130" s="58"/>
      <c r="AP130" s="49"/>
      <c r="AQ130" s="50"/>
      <c r="AR130" s="50"/>
      <c r="AS130" s="50"/>
      <c r="AT130" s="69"/>
    </row>
    <row r="131" spans="1:46" s="185" customFormat="1" x14ac:dyDescent="0.25">
      <c r="A131" s="3"/>
      <c r="B131" s="1" cm="1">
        <f t="array" aca="1" ref="B131" ca="1">_xll.QDates_SpecificWeekday(EDATE(B130,1),"Wednesday",1)</f>
        <v>45721</v>
      </c>
      <c r="C131" s="185" t="str">
        <f t="shared" ca="1" si="31"/>
        <v>MAR25</v>
      </c>
      <c r="D131" s="68" cm="1">
        <f t="array" aca="1" ref="D131" ca="1">_xll.BDP(E$81&amp;" "&amp;$C131&amp;" 10DP VOL LME Comdty","PX_LAST")/100</f>
        <v>0.18759580612182616</v>
      </c>
      <c r="E131" s="58" cm="1">
        <f t="array" aca="1" ref="E131" ca="1">_xll.BDP(E$81&amp;" "&amp;$C131&amp;" 25DP VOL LME Comdty","PX_LAST")/100</f>
        <v>0.17439651489257813</v>
      </c>
      <c r="F131" s="45" cm="1">
        <f t="array" aca="1" ref="F131" ca="1">_xll.BDP(E$81&amp;" "&amp;$C131&amp;" 50D VOL LME Comdty","PX_LAST")/100</f>
        <v>0.15640127182006835</v>
      </c>
      <c r="G131" s="58" cm="1">
        <f t="array" aca="1" ref="G131" ca="1">_xll.BDP(E$81&amp;" "&amp;$C131&amp;" 25DC VOL LME Comdty","PX_LAST")/100</f>
        <v>0.15679839134216308</v>
      </c>
      <c r="H131" s="58" cm="1">
        <f t="array" aca="1" ref="H131" ca="1">_xll.BDP(E$81&amp;" "&amp;$C131&amp;" 10DC VOL LME Comdty","PX_LAST")/100</f>
        <v>0.15889862060546875</v>
      </c>
      <c r="I131" s="49">
        <f t="shared" ca="1" si="32"/>
        <v>0.15640127182006835</v>
      </c>
      <c r="J131" s="50">
        <f t="shared" ca="1" si="33"/>
        <v>-1.759812355041504E-2</v>
      </c>
      <c r="K131" s="50">
        <f t="shared" ca="1" si="34"/>
        <v>-2.8697185516357415E-2</v>
      </c>
      <c r="L131" s="50">
        <f t="shared" ca="1" si="35"/>
        <v>9.1961812973022639E-3</v>
      </c>
      <c r="M131" s="69">
        <f t="shared" ca="1" si="36"/>
        <v>1.6845941543579102E-2</v>
      </c>
      <c r="N131" s="50"/>
      <c r="O131" s="68" cm="1">
        <f t="array" aca="1" ref="O131" ca="1">_xll.BDP(P$81&amp;" "&amp;$C131&amp;" 10DP VOL LME Comdty","PX_LAST")/100</f>
        <v>0.22429584503173827</v>
      </c>
      <c r="P131" s="58" cm="1">
        <f t="array" aca="1" ref="P131" ca="1">_xll.BDP(P$81&amp;" "&amp;$C131&amp;" 25DP VOL LME Comdty","PX_LAST")/100</f>
        <v>0.20999687194824218</v>
      </c>
      <c r="Q131" s="45" cm="1">
        <f t="array" aca="1" ref="Q131" ca="1">_xll.BDP(P$81&amp;" "&amp;$C131&amp;" 50D VOL LME Comdty","PX_LAST")/100</f>
        <v>0.18820171356201171</v>
      </c>
      <c r="R131" s="58" cm="1">
        <f t="array" aca="1" ref="R131" ca="1">_xll.BDP(P$81&amp;" "&amp;$C131&amp;" 25DC VOL LME Comdty","PX_LAST")/100</f>
        <v>0.19139608383178711</v>
      </c>
      <c r="S131" s="58" cm="1">
        <f t="array" aca="1" ref="S131" ca="1">_xll.BDP(P$81&amp;" "&amp;$C131&amp;" 10DC VOL LME Comdty","PX_LAST")/100</f>
        <v>0.19619646072387695</v>
      </c>
      <c r="T131" s="49">
        <f t="shared" ca="1" si="37"/>
        <v>0.18820171356201171</v>
      </c>
      <c r="U131" s="50">
        <f t="shared" ca="1" si="38"/>
        <v>0</v>
      </c>
      <c r="V131" s="50">
        <f t="shared" ca="1" si="39"/>
        <v>0</v>
      </c>
      <c r="W131" s="50">
        <f t="shared" ca="1" si="40"/>
        <v>0</v>
      </c>
      <c r="X131" s="69">
        <f t="shared" ca="1" si="41"/>
        <v>0</v>
      </c>
      <c r="Y131" s="50"/>
      <c r="Z131" s="68"/>
      <c r="AA131" s="58"/>
      <c r="AB131" s="45"/>
      <c r="AC131" s="58"/>
      <c r="AD131" s="58"/>
      <c r="AE131" s="49"/>
      <c r="AF131" s="50"/>
      <c r="AG131" s="50"/>
      <c r="AH131" s="50"/>
      <c r="AI131" s="69"/>
      <c r="AJ131" s="50"/>
      <c r="AK131" s="68"/>
      <c r="AL131" s="58"/>
      <c r="AM131" s="45"/>
      <c r="AN131" s="58"/>
      <c r="AO131" s="58"/>
      <c r="AP131" s="49"/>
      <c r="AQ131" s="50"/>
      <c r="AR131" s="50"/>
      <c r="AS131" s="50"/>
      <c r="AT131" s="69"/>
    </row>
    <row r="132" spans="1:46" s="185" customFormat="1" x14ac:dyDescent="0.25">
      <c r="A132" s="3"/>
      <c r="B132" s="1" cm="1">
        <f t="array" aca="1" ref="B132" ca="1">_xll.QDates_SpecificWeekday(EDATE(B131,1),"Wednesday",1)</f>
        <v>45749</v>
      </c>
      <c r="C132" s="185" t="str">
        <f t="shared" ca="1" si="31"/>
        <v>APR25</v>
      </c>
      <c r="D132" s="68" cm="1">
        <f t="array" aca="1" ref="D132" ca="1">_xll.BDP(E$81&amp;" "&amp;$C132&amp;" 10DP VOL LME Comdty","PX_LAST")/100</f>
        <v>0.18749574661254884</v>
      </c>
      <c r="E132" s="58" cm="1">
        <f t="array" aca="1" ref="E132" ca="1">_xll.BDP(E$81&amp;" "&amp;$C132&amp;" 25DP VOL LME Comdty","PX_LAST")/100</f>
        <v>0.17429656982421876</v>
      </c>
      <c r="F132" s="45" cm="1">
        <f t="array" aca="1" ref="F132" ca="1">_xll.BDP(E$81&amp;" "&amp;$C132&amp;" 50D VOL LME Comdty","PX_LAST")/100</f>
        <v>0.15630127906799315</v>
      </c>
      <c r="G132" s="58" cm="1">
        <f t="array" aca="1" ref="G132" ca="1">_xll.BDP(E$81&amp;" "&amp;$C132&amp;" 25DC VOL LME Comdty","PX_LAST")/100</f>
        <v>0.15679839134216308</v>
      </c>
      <c r="H132" s="58" cm="1">
        <f t="array" aca="1" ref="H132" ca="1">_xll.BDP(E$81&amp;" "&amp;$C132&amp;" 10DC VOL LME Comdty","PX_LAST")/100</f>
        <v>0.15879854202270507</v>
      </c>
      <c r="I132" s="49">
        <f t="shared" ca="1" si="32"/>
        <v>0.15630127906799315</v>
      </c>
      <c r="J132" s="50">
        <f t="shared" ca="1" si="33"/>
        <v>-1.7498178482055676E-2</v>
      </c>
      <c r="K132" s="50">
        <f t="shared" ca="1" si="34"/>
        <v>-2.8697204589843761E-2</v>
      </c>
      <c r="L132" s="50">
        <f t="shared" ca="1" si="35"/>
        <v>9.246201515197755E-3</v>
      </c>
      <c r="M132" s="69">
        <f t="shared" ca="1" si="36"/>
        <v>1.6845865249633801E-2</v>
      </c>
      <c r="N132" s="50"/>
      <c r="O132" s="68" cm="1">
        <f t="array" aca="1" ref="O132" ca="1">_xll.BDP(P$81&amp;" "&amp;$C132&amp;" 10DP VOL LME Comdty","PX_LAST")/100</f>
        <v>0.22439584732055665</v>
      </c>
      <c r="P132" s="58" cm="1">
        <f t="array" aca="1" ref="P132" ca="1">_xll.BDP(P$81&amp;" "&amp;$C132&amp;" 25DP VOL LME Comdty","PX_LAST")/100</f>
        <v>0.21009691238403319</v>
      </c>
      <c r="Q132" s="45" cm="1">
        <f t="array" aca="1" ref="Q132" ca="1">_xll.BDP(P$81&amp;" "&amp;$C132&amp;" 50D VOL LME Comdty","PX_LAST")/100</f>
        <v>0.18830171585083008</v>
      </c>
      <c r="R132" s="58" cm="1">
        <f t="array" aca="1" ref="R132" ca="1">_xll.BDP(P$81&amp;" "&amp;$C132&amp;" 25DC VOL LME Comdty","PX_LAST")/100</f>
        <v>0.19149606704711913</v>
      </c>
      <c r="S132" s="58" cm="1">
        <f t="array" aca="1" ref="S132" ca="1">_xll.BDP(P$81&amp;" "&amp;$C132&amp;" 10DC VOL LME Comdty","PX_LAST")/100</f>
        <v>0.19629646301269532</v>
      </c>
      <c r="T132" s="49">
        <f t="shared" ca="1" si="37"/>
        <v>0.18830171585083008</v>
      </c>
      <c r="U132" s="50">
        <f t="shared" ca="1" si="38"/>
        <v>0</v>
      </c>
      <c r="V132" s="50">
        <f t="shared" ca="1" si="39"/>
        <v>0</v>
      </c>
      <c r="W132" s="50">
        <f t="shared" ca="1" si="40"/>
        <v>0</v>
      </c>
      <c r="X132" s="69">
        <f t="shared" ca="1" si="41"/>
        <v>0</v>
      </c>
      <c r="Y132" s="50"/>
      <c r="Z132" s="68"/>
      <c r="AA132" s="58"/>
      <c r="AB132" s="45"/>
      <c r="AC132" s="58"/>
      <c r="AD132" s="58"/>
      <c r="AE132" s="49"/>
      <c r="AF132" s="50"/>
      <c r="AG132" s="50"/>
      <c r="AH132" s="50"/>
      <c r="AI132" s="69"/>
      <c r="AJ132" s="50"/>
      <c r="AK132" s="68"/>
      <c r="AL132" s="58"/>
      <c r="AM132" s="45"/>
      <c r="AN132" s="58"/>
      <c r="AO132" s="58"/>
      <c r="AP132" s="49"/>
      <c r="AQ132" s="50"/>
      <c r="AR132" s="50"/>
      <c r="AS132" s="50"/>
      <c r="AT132" s="69"/>
    </row>
    <row r="133" spans="1:46" s="185" customFormat="1" x14ac:dyDescent="0.25">
      <c r="A133" s="3"/>
      <c r="B133" s="1" cm="1">
        <f t="array" aca="1" ref="B133" ca="1">_xll.QDates_SpecificWeekday(EDATE(B132,1),"Wednesday",1)</f>
        <v>45784</v>
      </c>
      <c r="C133" s="185" t="str">
        <f t="shared" ca="1" si="31"/>
        <v>MAY25</v>
      </c>
      <c r="D133" s="68" cm="1">
        <f t="array" aca="1" ref="D133" ca="1">_xll.BDP(E$81&amp;" "&amp;$C133&amp;" 10DP VOL LME Comdty","PX_LAST")/100</f>
        <v>0.18739572525024414</v>
      </c>
      <c r="E133" s="58" cm="1">
        <f t="array" aca="1" ref="E133" ca="1">_xll.BDP(E$81&amp;" "&amp;$C133&amp;" 25DP VOL LME Comdty","PX_LAST")/100</f>
        <v>0.17419662475585937</v>
      </c>
      <c r="F133" s="45" cm="1">
        <f t="array" aca="1" ref="F133" ca="1">_xll.BDP(E$81&amp;" "&amp;$C133&amp;" 50D VOL LME Comdty","PX_LAST")/100</f>
        <v>0.15620129585266113</v>
      </c>
      <c r="G133" s="58" cm="1">
        <f t="array" aca="1" ref="G133" ca="1">_xll.BDP(E$81&amp;" "&amp;$C133&amp;" 25DC VOL LME Comdty","PX_LAST")/100</f>
        <v>0.15669836044311525</v>
      </c>
      <c r="H133" s="58" cm="1">
        <f t="array" aca="1" ref="H133" ca="1">_xll.BDP(E$81&amp;" "&amp;$C133&amp;" 10DC VOL LME Comdty","PX_LAST")/100</f>
        <v>0.15879847526550292</v>
      </c>
      <c r="I133" s="49">
        <f t="shared" ca="1" si="32"/>
        <v>0.15620129585266113</v>
      </c>
      <c r="J133" s="50">
        <f t="shared" ca="1" si="33"/>
        <v>-1.7498264312744122E-2</v>
      </c>
      <c r="K133" s="50">
        <f t="shared" ca="1" si="34"/>
        <v>-2.8597249984741224E-2</v>
      </c>
      <c r="L133" s="50">
        <f t="shared" ca="1" si="35"/>
        <v>9.2461967468261963E-3</v>
      </c>
      <c r="M133" s="69">
        <f t="shared" ca="1" si="36"/>
        <v>1.6895804405212406E-2</v>
      </c>
      <c r="N133" s="50"/>
      <c r="O133" s="68" cm="1">
        <f t="array" aca="1" ref="O133" ca="1">_xll.BDP(P$81&amp;" "&amp;$C133&amp;" 10DP VOL LME Comdty","PX_LAST")/100</f>
        <v>0.22439586639404296</v>
      </c>
      <c r="P133" s="58" cm="1">
        <f t="array" aca="1" ref="P133" ca="1">_xll.BDP(P$81&amp;" "&amp;$C133&amp;" 25DP VOL LME Comdty","PX_LAST")/100</f>
        <v>0.21009698867797852</v>
      </c>
      <c r="Q133" s="45" cm="1">
        <f t="array" aca="1" ref="Q133" ca="1">_xll.BDP(P$81&amp;" "&amp;$C133&amp;" 50D VOL LME Comdty","PX_LAST")/100</f>
        <v>0.1883017349243164</v>
      </c>
      <c r="R133" s="58" cm="1">
        <f t="array" aca="1" ref="R133" ca="1">_xll.BDP(P$81&amp;" "&amp;$C133&amp;" 25DC VOL LME Comdty","PX_LAST")/100</f>
        <v>0.19159605026245116</v>
      </c>
      <c r="S133" s="58" cm="1">
        <f t="array" aca="1" ref="S133" ca="1">_xll.BDP(P$81&amp;" "&amp;$C133&amp;" 10DC VOL LME Comdty","PX_LAST")/100</f>
        <v>0.19629646301269532</v>
      </c>
      <c r="T133" s="49">
        <f t="shared" ca="1" si="37"/>
        <v>0.1883017349243164</v>
      </c>
      <c r="U133" s="50">
        <f t="shared" ca="1" si="38"/>
        <v>0</v>
      </c>
      <c r="V133" s="50">
        <f t="shared" ca="1" si="39"/>
        <v>0</v>
      </c>
      <c r="W133" s="50">
        <f t="shared" ca="1" si="40"/>
        <v>0</v>
      </c>
      <c r="X133" s="69">
        <f t="shared" ca="1" si="41"/>
        <v>0</v>
      </c>
      <c r="Y133" s="50"/>
      <c r="Z133" s="68"/>
      <c r="AA133" s="58"/>
      <c r="AB133" s="45"/>
      <c r="AC133" s="58"/>
      <c r="AD133" s="58"/>
      <c r="AE133" s="49"/>
      <c r="AF133" s="50"/>
      <c r="AG133" s="50"/>
      <c r="AH133" s="50"/>
      <c r="AI133" s="69"/>
      <c r="AJ133" s="50"/>
      <c r="AK133" s="68"/>
      <c r="AL133" s="58"/>
      <c r="AM133" s="45"/>
      <c r="AN133" s="58"/>
      <c r="AO133" s="58"/>
      <c r="AP133" s="49"/>
      <c r="AQ133" s="50"/>
      <c r="AR133" s="50"/>
      <c r="AS133" s="50"/>
      <c r="AT133" s="69"/>
    </row>
    <row r="134" spans="1:46" s="185" customFormat="1" x14ac:dyDescent="0.25">
      <c r="A134" s="3"/>
      <c r="B134" s="1" cm="1">
        <f t="array" aca="1" ref="B134" ca="1">_xll.QDates_SpecificWeekday(EDATE(B133,1),"Wednesday",1)</f>
        <v>45812</v>
      </c>
      <c r="C134" s="185" t="str">
        <f t="shared" ca="1" si="31"/>
        <v>JUN25</v>
      </c>
      <c r="D134" s="68" cm="1">
        <f t="array" aca="1" ref="D134" ca="1">_xll.BDP(E$81&amp;" "&amp;$C134&amp;" 10DP VOL LME Comdty","PX_LAST")/100</f>
        <v>0.18749572753906249</v>
      </c>
      <c r="E134" s="58" cm="1">
        <f t="array" aca="1" ref="E134" ca="1">_xll.BDP(E$81&amp;" "&amp;$C134&amp;" 25DP VOL LME Comdty","PX_LAST")/100</f>
        <v>0.17439666748046875</v>
      </c>
      <c r="F134" s="45" cm="1">
        <f t="array" aca="1" ref="F134" ca="1">_xll.BDP(E$81&amp;" "&amp;$C134&amp;" 50D VOL LME Comdty","PX_LAST")/100</f>
        <v>0.15630131721496582</v>
      </c>
      <c r="G134" s="58" cm="1">
        <f t="array" aca="1" ref="G134" ca="1">_xll.BDP(E$81&amp;" "&amp;$C134&amp;" 25DC VOL LME Comdty","PX_LAST")/100</f>
        <v>0.15679834365844728</v>
      </c>
      <c r="H134" s="58" cm="1">
        <f t="array" aca="1" ref="H134" ca="1">_xll.BDP(E$81&amp;" "&amp;$C134&amp;" 10DC VOL LME Comdty","PX_LAST")/100</f>
        <v>0.15889843940734863</v>
      </c>
      <c r="I134" s="49">
        <f t="shared" ca="1" si="32"/>
        <v>0.15630131721496582</v>
      </c>
      <c r="J134" s="50">
        <f t="shared" ca="1" si="33"/>
        <v>-1.7598323822021478E-2</v>
      </c>
      <c r="K134" s="50">
        <f t="shared" ca="1" si="34"/>
        <v>-2.8597288131713861E-2</v>
      </c>
      <c r="L134" s="50">
        <f t="shared" ca="1" si="35"/>
        <v>9.2961883544921964E-3</v>
      </c>
      <c r="M134" s="69">
        <f t="shared" ca="1" si="36"/>
        <v>1.6895766258239742E-2</v>
      </c>
      <c r="N134" s="50"/>
      <c r="O134" s="68" cm="1">
        <f t="array" aca="1" ref="O134" ca="1">_xll.BDP(P$81&amp;" "&amp;$C134&amp;" 10DP VOL LME Comdty","PX_LAST")/100</f>
        <v>0.22449586868286134</v>
      </c>
      <c r="P134" s="58" cm="1">
        <f t="array" aca="1" ref="P134" ca="1">_xll.BDP(P$81&amp;" "&amp;$C134&amp;" 25DP VOL LME Comdty","PX_LAST")/100</f>
        <v>0.21009702682495118</v>
      </c>
      <c r="Q134" s="45" cm="1">
        <f t="array" aca="1" ref="Q134" ca="1">_xll.BDP(P$81&amp;" "&amp;$C134&amp;" 50D VOL LME Comdty","PX_LAST")/100</f>
        <v>0.18840173721313477</v>
      </c>
      <c r="R134" s="58" cm="1">
        <f t="array" aca="1" ref="R134" ca="1">_xll.BDP(P$81&amp;" "&amp;$C134&amp;" 25DC VOL LME Comdty","PX_LAST")/100</f>
        <v>0.19169603347778319</v>
      </c>
      <c r="S134" s="58" cm="1">
        <f t="array" aca="1" ref="S134" ca="1">_xll.BDP(P$81&amp;" "&amp;$C134&amp;" 10DC VOL LME Comdty","PX_LAST")/100</f>
        <v>0.19639644622802735</v>
      </c>
      <c r="T134" s="49">
        <f t="shared" ca="1" si="37"/>
        <v>0.18840173721313477</v>
      </c>
      <c r="U134" s="50">
        <f t="shared" ca="1" si="38"/>
        <v>0</v>
      </c>
      <c r="V134" s="50">
        <f t="shared" ca="1" si="39"/>
        <v>0</v>
      </c>
      <c r="W134" s="50">
        <f t="shared" ca="1" si="40"/>
        <v>0</v>
      </c>
      <c r="X134" s="69">
        <f t="shared" ca="1" si="41"/>
        <v>0</v>
      </c>
      <c r="Y134" s="50"/>
      <c r="Z134" s="68"/>
      <c r="AA134" s="58"/>
      <c r="AB134" s="45"/>
      <c r="AC134" s="58"/>
      <c r="AD134" s="58"/>
      <c r="AE134" s="49"/>
      <c r="AF134" s="50"/>
      <c r="AG134" s="50"/>
      <c r="AH134" s="50"/>
      <c r="AI134" s="69"/>
      <c r="AJ134" s="50"/>
      <c r="AK134" s="68"/>
      <c r="AL134" s="58"/>
      <c r="AM134" s="45"/>
      <c r="AN134" s="58"/>
      <c r="AO134" s="58"/>
      <c r="AP134" s="49"/>
      <c r="AQ134" s="50"/>
      <c r="AR134" s="50"/>
      <c r="AS134" s="50"/>
      <c r="AT134" s="69"/>
    </row>
    <row r="135" spans="1:46" s="185" customFormat="1" x14ac:dyDescent="0.25">
      <c r="A135" s="3"/>
      <c r="B135" s="1" cm="1">
        <f t="array" aca="1" ref="B135" ca="1">_xll.QDates_SpecificWeekday(EDATE(B134,1),"Wednesday",1)</f>
        <v>45840</v>
      </c>
      <c r="C135" s="185" t="str">
        <f t="shared" ca="1" si="31"/>
        <v>JUL25</v>
      </c>
      <c r="D135" s="68" cm="1">
        <f t="array" aca="1" ref="D135" ca="1">_xll.BDP(E$81&amp;" "&amp;$C135&amp;" 10DP VOL LME Comdty","PX_LAST")/100</f>
        <v>0.18739572525024414</v>
      </c>
      <c r="E135" s="58" cm="1">
        <f t="array" aca="1" ref="E135" ca="1">_xll.BDP(E$81&amp;" "&amp;$C135&amp;" 25DP VOL LME Comdty","PX_LAST")/100</f>
        <v>0.17429670333862304</v>
      </c>
      <c r="F135" s="45" cm="1">
        <f t="array" aca="1" ref="F135" ca="1">_xll.BDP(E$81&amp;" "&amp;$C135&amp;" 50D VOL LME Comdty","PX_LAST")/100</f>
        <v>0.15620132446289062</v>
      </c>
      <c r="G135" s="58" cm="1">
        <f t="array" aca="1" ref="G135" ca="1">_xll.BDP(E$81&amp;" "&amp;$C135&amp;" 25DC VOL LME Comdty","PX_LAST")/100</f>
        <v>0.1567983341217041</v>
      </c>
      <c r="H135" s="58" cm="1">
        <f t="array" aca="1" ref="H135" ca="1">_xll.BDP(E$81&amp;" "&amp;$C135&amp;" 10DC VOL LME Comdty","PX_LAST")/100</f>
        <v>0.15879841804504394</v>
      </c>
      <c r="I135" s="49">
        <f t="shared" ca="1" si="32"/>
        <v>0.15620132446289062</v>
      </c>
      <c r="J135" s="50">
        <f t="shared" ca="1" si="33"/>
        <v>-1.7498369216918941E-2</v>
      </c>
      <c r="K135" s="50">
        <f t="shared" ca="1" si="34"/>
        <v>-2.8597307205200206E-2</v>
      </c>
      <c r="L135" s="50">
        <f t="shared" ca="1" si="35"/>
        <v>9.3461942672729559E-3</v>
      </c>
      <c r="M135" s="69">
        <f t="shared" ca="1" si="36"/>
        <v>1.6895747184753424E-2</v>
      </c>
      <c r="N135" s="50"/>
      <c r="O135" s="68" cm="1">
        <f t="array" aca="1" ref="O135" ca="1">_xll.BDP(P$81&amp;" "&amp;$C135&amp;" 10DP VOL LME Comdty","PX_LAST")/100</f>
        <v>0.22409587860107422</v>
      </c>
      <c r="P135" s="58" cm="1">
        <f t="array" aca="1" ref="P135" ca="1">_xll.BDP(P$81&amp;" "&amp;$C135&amp;" 25DP VOL LME Comdty","PX_LAST")/100</f>
        <v>0.20969705581665038</v>
      </c>
      <c r="Q135" s="45" cm="1">
        <f t="array" aca="1" ref="Q135" ca="1">_xll.BDP(P$81&amp;" "&amp;$C135&amp;" 50D VOL LME Comdty","PX_LAST")/100</f>
        <v>0.18800172805786133</v>
      </c>
      <c r="R135" s="58" cm="1">
        <f t="array" aca="1" ref="R135" ca="1">_xll.BDP(P$81&amp;" "&amp;$C135&amp;" 25DC VOL LME Comdty","PX_LAST")/100</f>
        <v>0.19129600524902343</v>
      </c>
      <c r="S135" s="58" cm="1">
        <f t="array" aca="1" ref="S135" ca="1">_xll.BDP(P$81&amp;" "&amp;$C135&amp;" 10DC VOL LME Comdty","PX_LAST")/100</f>
        <v>0.19609643936157226</v>
      </c>
      <c r="T135" s="49">
        <f t="shared" ca="1" si="37"/>
        <v>0.18800172805786133</v>
      </c>
      <c r="U135" s="50">
        <f t="shared" ca="1" si="38"/>
        <v>0</v>
      </c>
      <c r="V135" s="50">
        <f t="shared" ca="1" si="39"/>
        <v>0</v>
      </c>
      <c r="W135" s="50">
        <f t="shared" ca="1" si="40"/>
        <v>0</v>
      </c>
      <c r="X135" s="69">
        <f t="shared" ca="1" si="41"/>
        <v>0</v>
      </c>
      <c r="Y135" s="50"/>
      <c r="Z135" s="68"/>
      <c r="AA135" s="58"/>
      <c r="AB135" s="45"/>
      <c r="AC135" s="58"/>
      <c r="AD135" s="58"/>
      <c r="AE135" s="49"/>
      <c r="AF135" s="50"/>
      <c r="AG135" s="50"/>
      <c r="AH135" s="50"/>
      <c r="AI135" s="69"/>
      <c r="AJ135" s="50"/>
      <c r="AK135" s="68"/>
      <c r="AL135" s="58"/>
      <c r="AM135" s="45"/>
      <c r="AN135" s="58"/>
      <c r="AO135" s="58"/>
      <c r="AP135" s="49"/>
      <c r="AQ135" s="50"/>
      <c r="AR135" s="50"/>
      <c r="AS135" s="50"/>
      <c r="AT135" s="69"/>
    </row>
    <row r="136" spans="1:46" s="185" customFormat="1" x14ac:dyDescent="0.25">
      <c r="A136" s="3"/>
      <c r="B136" s="1" cm="1">
        <f t="array" aca="1" ref="B136" ca="1">_xll.QDates_SpecificWeekday(EDATE(B135,1),"Wednesday",1)</f>
        <v>45875</v>
      </c>
      <c r="C136" s="185" t="str">
        <f t="shared" ca="1" si="31"/>
        <v>AUG25</v>
      </c>
      <c r="D136" s="68" cm="1">
        <f t="array" aca="1" ref="D136" ca="1">_xll.BDP(E$81&amp;" "&amp;$C136&amp;" 10DP VOL LME Comdty","PX_LAST")/100</f>
        <v>0.18739572525024414</v>
      </c>
      <c r="E136" s="58" cm="1">
        <f t="array" aca="1" ref="E136" ca="1">_xll.BDP(E$81&amp;" "&amp;$C136&amp;" 25DP VOL LME Comdty","PX_LAST")/100</f>
        <v>0.17419673919677733</v>
      </c>
      <c r="F136" s="45" cm="1">
        <f t="array" aca="1" ref="F136" ca="1">_xll.BDP(E$81&amp;" "&amp;$C136&amp;" 50D VOL LME Comdty","PX_LAST")/100</f>
        <v>0.15620133399963379</v>
      </c>
      <c r="G136" s="58" cm="1">
        <f t="array" aca="1" ref="G136" ca="1">_xll.BDP(E$81&amp;" "&amp;$C136&amp;" 25DC VOL LME Comdty","PX_LAST")/100</f>
        <v>0.15679830551147461</v>
      </c>
      <c r="H136" s="58" cm="1">
        <f t="array" aca="1" ref="H136" ca="1">_xll.BDP(E$81&amp;" "&amp;$C136&amp;" 10DC VOL LME Comdty","PX_LAST")/100</f>
        <v>0.15889840126037597</v>
      </c>
      <c r="I136" s="49">
        <f t="shared" ca="1" si="32"/>
        <v>0.15620133399963379</v>
      </c>
      <c r="J136" s="50">
        <f t="shared" ca="1" si="33"/>
        <v>-1.7398433685302722E-2</v>
      </c>
      <c r="K136" s="50">
        <f t="shared" ca="1" si="34"/>
        <v>-2.8497323989868178E-2</v>
      </c>
      <c r="L136" s="50">
        <f t="shared" ca="1" si="35"/>
        <v>9.2961883544921686E-3</v>
      </c>
      <c r="M136" s="69">
        <f t="shared" ca="1" si="36"/>
        <v>1.6945729255676251E-2</v>
      </c>
      <c r="N136" s="50"/>
      <c r="O136" s="68" cm="1">
        <f t="array" aca="1" ref="O136" ca="1">_xll.BDP(P$81&amp;" "&amp;$C136&amp;" 10DP VOL LME Comdty","PX_LAST")/100</f>
        <v>0.22359594345092773</v>
      </c>
      <c r="P136" s="58" cm="1">
        <f t="array" aca="1" ref="P136" ca="1">_xll.BDP(P$81&amp;" "&amp;$C136&amp;" 25DP VOL LME Comdty","PX_LAST")/100</f>
        <v>0.20929712295532227</v>
      </c>
      <c r="Q136" s="45" cm="1">
        <f t="array" aca="1" ref="Q136" ca="1">_xll.BDP(P$81&amp;" "&amp;$C136&amp;" 50D VOL LME Comdty","PX_LAST")/100</f>
        <v>0.18760175704956056</v>
      </c>
      <c r="R136" s="58" cm="1">
        <f t="array" aca="1" ref="R136" ca="1">_xll.BDP(P$81&amp;" "&amp;$C136&amp;" 25DC VOL LME Comdty","PX_LAST")/100</f>
        <v>0.19089601516723634</v>
      </c>
      <c r="S136" s="58" cm="1">
        <f t="array" aca="1" ref="S136" ca="1">_xll.BDP(P$81&amp;" "&amp;$C136&amp;" 10DC VOL LME Comdty","PX_LAST")/100</f>
        <v>0.19569644927978516</v>
      </c>
      <c r="T136" s="49">
        <f t="shared" ca="1" si="37"/>
        <v>0.18760175704956056</v>
      </c>
      <c r="U136" s="50">
        <f t="shared" ca="1" si="38"/>
        <v>0</v>
      </c>
      <c r="V136" s="50">
        <f t="shared" ca="1" si="39"/>
        <v>0</v>
      </c>
      <c r="W136" s="50">
        <f t="shared" ca="1" si="40"/>
        <v>0</v>
      </c>
      <c r="X136" s="69">
        <f t="shared" ca="1" si="41"/>
        <v>0</v>
      </c>
      <c r="Y136" s="50"/>
      <c r="Z136" s="68"/>
      <c r="AA136" s="58"/>
      <c r="AB136" s="45"/>
      <c r="AC136" s="58"/>
      <c r="AD136" s="58"/>
      <c r="AE136" s="49"/>
      <c r="AF136" s="50"/>
      <c r="AG136" s="50"/>
      <c r="AH136" s="50"/>
      <c r="AI136" s="69"/>
      <c r="AJ136" s="50"/>
      <c r="AK136" s="68"/>
      <c r="AL136" s="58"/>
      <c r="AM136" s="45"/>
      <c r="AN136" s="58"/>
      <c r="AO136" s="58"/>
      <c r="AP136" s="49"/>
      <c r="AQ136" s="50"/>
      <c r="AR136" s="50"/>
      <c r="AS136" s="50"/>
      <c r="AT136" s="69"/>
    </row>
    <row r="137" spans="1:46" s="185" customFormat="1" x14ac:dyDescent="0.25">
      <c r="A137" s="3"/>
      <c r="B137" s="1" cm="1">
        <f t="array" aca="1" ref="B137" ca="1">_xll.QDates_SpecificWeekday(EDATE(B136,1),"Wednesday",1)</f>
        <v>45903</v>
      </c>
      <c r="C137" s="185" t="str">
        <f t="shared" ca="1" si="31"/>
        <v>SEP25</v>
      </c>
      <c r="D137" s="68" cm="1">
        <f t="array" aca="1" ref="D137" ca="1">_xll.BDP(E$81&amp;" "&amp;$C137&amp;" 10DP VOL LME Comdty","PX_LAST")/100</f>
        <v>0.18739574432373046</v>
      </c>
      <c r="E137" s="58" cm="1">
        <f t="array" aca="1" ref="E137" ca="1">_xll.BDP(E$81&amp;" "&amp;$C137&amp;" 25DP VOL LME Comdty","PX_LAST")/100</f>
        <v>0.17429677963256837</v>
      </c>
      <c r="F137" s="45" cm="1">
        <f t="array" aca="1" ref="F137" ca="1">_xll.BDP(E$81&amp;" "&amp;$C137&amp;" 50D VOL LME Comdty","PX_LAST")/100</f>
        <v>0.15620134353637696</v>
      </c>
      <c r="G137" s="58" cm="1">
        <f t="array" aca="1" ref="G137" ca="1">_xll.BDP(E$81&amp;" "&amp;$C137&amp;" 25DC VOL LME Comdty","PX_LAST")/100</f>
        <v>0.15689829826354981</v>
      </c>
      <c r="H137" s="58" cm="1">
        <f t="array" aca="1" ref="H137" ca="1">_xll.BDP(E$81&amp;" "&amp;$C137&amp;" 10DC VOL LME Comdty","PX_LAST")/100</f>
        <v>0.15889839172363282</v>
      </c>
      <c r="I137" s="49">
        <f t="shared" ca="1" si="32"/>
        <v>0.15620134353637696</v>
      </c>
      <c r="J137" s="50">
        <f t="shared" ca="1" si="33"/>
        <v>-1.7398481369018559E-2</v>
      </c>
      <c r="K137" s="50">
        <f t="shared" ca="1" si="34"/>
        <v>-2.8497352600097642E-2</v>
      </c>
      <c r="L137" s="50">
        <f t="shared" ca="1" si="35"/>
        <v>9.3961954116821289E-3</v>
      </c>
      <c r="M137" s="69">
        <f t="shared" ca="1" si="36"/>
        <v>1.6945724487304664E-2</v>
      </c>
      <c r="N137" s="50"/>
      <c r="O137" s="68" cm="1">
        <f t="array" aca="1" ref="O137" ca="1">_xll.BDP(P$81&amp;" "&amp;$C137&amp;" 10DP VOL LME Comdty","PX_LAST")/100</f>
        <v>0.22339599609374999</v>
      </c>
      <c r="P137" s="58" cm="1">
        <f t="array" aca="1" ref="P137" ca="1">_xll.BDP(P$81&amp;" "&amp;$C137&amp;" 25DP VOL LME Comdty","PX_LAST")/100</f>
        <v>0.20909715652465821</v>
      </c>
      <c r="Q137" s="45" cm="1">
        <f t="array" aca="1" ref="Q137" ca="1">_xll.BDP(P$81&amp;" "&amp;$C137&amp;" 50D VOL LME Comdty","PX_LAST")/100</f>
        <v>0.18740177154541016</v>
      </c>
      <c r="R137" s="58" cm="1">
        <f t="array" aca="1" ref="R137" ca="1">_xll.BDP(P$81&amp;" "&amp;$C137&amp;" 25DC VOL LME Comdty","PX_LAST")/100</f>
        <v>0.19069599151611327</v>
      </c>
      <c r="S137" s="58" cm="1">
        <f t="array" aca="1" ref="S137" ca="1">_xll.BDP(P$81&amp;" "&amp;$C137&amp;" 10DC VOL LME Comdty","PX_LAST")/100</f>
        <v>0.19549646377563476</v>
      </c>
      <c r="T137" s="49">
        <f t="shared" ca="1" si="37"/>
        <v>0.18740177154541016</v>
      </c>
      <c r="U137" s="50">
        <f t="shared" ca="1" si="38"/>
        <v>0</v>
      </c>
      <c r="V137" s="50">
        <f t="shared" ca="1" si="39"/>
        <v>0</v>
      </c>
      <c r="W137" s="50">
        <f t="shared" ca="1" si="40"/>
        <v>0</v>
      </c>
      <c r="X137" s="69">
        <f t="shared" ca="1" si="41"/>
        <v>0</v>
      </c>
      <c r="Y137" s="50"/>
      <c r="Z137" s="68"/>
      <c r="AA137" s="58"/>
      <c r="AB137" s="45"/>
      <c r="AC137" s="58"/>
      <c r="AD137" s="58"/>
      <c r="AE137" s="49"/>
      <c r="AF137" s="50"/>
      <c r="AG137" s="50"/>
      <c r="AH137" s="50"/>
      <c r="AI137" s="69"/>
      <c r="AJ137" s="50"/>
      <c r="AK137" s="68"/>
      <c r="AL137" s="58"/>
      <c r="AM137" s="45"/>
      <c r="AN137" s="58"/>
      <c r="AO137" s="58"/>
      <c r="AP137" s="49"/>
      <c r="AQ137" s="50"/>
      <c r="AR137" s="50"/>
      <c r="AS137" s="50"/>
      <c r="AT137" s="69"/>
    </row>
    <row r="138" spans="1:46" s="185" customFormat="1" x14ac:dyDescent="0.25">
      <c r="A138" s="3"/>
      <c r="B138" s="1" cm="1">
        <f t="array" aca="1" ref="B138" ca="1">_xll.QDates_SpecificWeekday(EDATE(B137,1),"Wednesday",1)</f>
        <v>45931</v>
      </c>
      <c r="C138" s="185" t="str">
        <f t="shared" ca="1" si="31"/>
        <v>OCT25</v>
      </c>
      <c r="D138" s="68" cm="1">
        <f t="array" aca="1" ref="D138" ca="1">_xll.BDP(E$81&amp;" "&amp;$C138&amp;" 10DP VOL LME Comdty","PX_LAST")/100</f>
        <v>0.18739578247070313</v>
      </c>
      <c r="E138" s="58" cm="1">
        <f t="array" aca="1" ref="E138" ca="1">_xll.BDP(E$81&amp;" "&amp;$C138&amp;" 25DP VOL LME Comdty","PX_LAST")/100</f>
        <v>0.17429679870605469</v>
      </c>
      <c r="F138" s="45" cm="1">
        <f t="array" aca="1" ref="F138" ca="1">_xll.BDP(E$81&amp;" "&amp;$C138&amp;" 50D VOL LME Comdty","PX_LAST")/100</f>
        <v>0.15620135307312011</v>
      </c>
      <c r="G138" s="58" cm="1">
        <f t="array" aca="1" ref="G138" ca="1">_xll.BDP(E$81&amp;" "&amp;$C138&amp;" 25DC VOL LME Comdty","PX_LAST")/100</f>
        <v>0.15689827919006347</v>
      </c>
      <c r="H138" s="58" cm="1">
        <f t="array" aca="1" ref="H138" ca="1">_xll.BDP(E$81&amp;" "&amp;$C138&amp;" 10DC VOL LME Comdty","PX_LAST")/100</f>
        <v>0.15899838447570802</v>
      </c>
      <c r="I138" s="49">
        <f t="shared" ca="1" si="32"/>
        <v>0.15620135307312011</v>
      </c>
      <c r="J138" s="50">
        <f t="shared" ca="1" si="33"/>
        <v>-1.7398519515991223E-2</v>
      </c>
      <c r="K138" s="50">
        <f t="shared" ca="1" si="34"/>
        <v>-2.8397397994995105E-2</v>
      </c>
      <c r="L138" s="50">
        <f t="shared" ca="1" si="35"/>
        <v>9.396185874938956E-3</v>
      </c>
      <c r="M138" s="69">
        <f t="shared" ca="1" si="36"/>
        <v>1.6995730400085451E-2</v>
      </c>
      <c r="N138" s="50"/>
      <c r="O138" s="68" cm="1">
        <f t="array" aca="1" ref="O138" ca="1">_xll.BDP(P$81&amp;" "&amp;$C138&amp;" 10DP VOL LME Comdty","PX_LAST")/100</f>
        <v>0.2229960823059082</v>
      </c>
      <c r="P138" s="58" cm="1">
        <f t="array" aca="1" ref="P138" ca="1">_xll.BDP(P$81&amp;" "&amp;$C138&amp;" 25DP VOL LME Comdty","PX_LAST")/100</f>
        <v>0.20869720458984375</v>
      </c>
      <c r="Q138" s="45" cm="1">
        <f t="array" aca="1" ref="Q138" ca="1">_xll.BDP(P$81&amp;" "&amp;$C138&amp;" 50D VOL LME Comdty","PX_LAST")/100</f>
        <v>0.18700178146362303</v>
      </c>
      <c r="R138" s="58" cm="1">
        <f t="array" aca="1" ref="R138" ca="1">_xll.BDP(P$81&amp;" "&amp;$C138&amp;" 25DC VOL LME Comdty","PX_LAST")/100</f>
        <v>0.19039598464965821</v>
      </c>
      <c r="S138" s="58" cm="1">
        <f t="array" aca="1" ref="S138" ca="1">_xll.BDP(P$81&amp;" "&amp;$C138&amp;" 10DC VOL LME Comdty","PX_LAST")/100</f>
        <v>0.1950965118408203</v>
      </c>
      <c r="T138" s="49">
        <f t="shared" ca="1" si="37"/>
        <v>0.18700178146362303</v>
      </c>
      <c r="U138" s="50">
        <f t="shared" ca="1" si="38"/>
        <v>0</v>
      </c>
      <c r="V138" s="50">
        <f t="shared" ca="1" si="39"/>
        <v>0</v>
      </c>
      <c r="W138" s="50">
        <f t="shared" ca="1" si="40"/>
        <v>0</v>
      </c>
      <c r="X138" s="69">
        <f t="shared" ca="1" si="41"/>
        <v>0</v>
      </c>
      <c r="Y138" s="50"/>
      <c r="Z138" s="68"/>
      <c r="AA138" s="58"/>
      <c r="AB138" s="45"/>
      <c r="AC138" s="58"/>
      <c r="AD138" s="58"/>
      <c r="AE138" s="49"/>
      <c r="AF138" s="50"/>
      <c r="AG138" s="50"/>
      <c r="AH138" s="50"/>
      <c r="AI138" s="69"/>
      <c r="AJ138" s="50"/>
      <c r="AK138" s="68"/>
      <c r="AL138" s="58"/>
      <c r="AM138" s="45"/>
      <c r="AN138" s="58"/>
      <c r="AO138" s="58"/>
      <c r="AP138" s="49"/>
      <c r="AQ138" s="50"/>
      <c r="AR138" s="50"/>
      <c r="AS138" s="50"/>
      <c r="AT138" s="69"/>
    </row>
    <row r="139" spans="1:46" s="185" customFormat="1" x14ac:dyDescent="0.25">
      <c r="A139" s="3"/>
      <c r="B139" s="1" cm="1">
        <f t="array" aca="1" ref="B139" ca="1">_xll.QDates_SpecificWeekday(EDATE(B138,1),"Wednesday",1)</f>
        <v>45966</v>
      </c>
      <c r="C139" s="185" t="str">
        <f t="shared" ca="1" si="31"/>
        <v>NOV25</v>
      </c>
      <c r="D139" s="68" cm="1">
        <f t="array" aca="1" ref="D139" ca="1">_xll.BDP(E$81&amp;" "&amp;$C139&amp;" 10DP VOL LME Comdty","PX_LAST")/100</f>
        <v>0.18729585647583008</v>
      </c>
      <c r="E139" s="58" cm="1">
        <f t="array" aca="1" ref="E139" ca="1">_xll.BDP(E$81&amp;" "&amp;$C139&amp;" 25DP VOL LME Comdty","PX_LAST")/100</f>
        <v>0.17419685363769533</v>
      </c>
      <c r="F139" s="45" cm="1">
        <f t="array" aca="1" ref="F139" ca="1">_xll.BDP(E$81&amp;" "&amp;$C139&amp;" 50D VOL LME Comdty","PX_LAST")/100</f>
        <v>0.15620135307312011</v>
      </c>
      <c r="G139" s="58" cm="1">
        <f t="array" aca="1" ref="G139" ca="1">_xll.BDP(E$81&amp;" "&amp;$C139&amp;" 25DC VOL LME Comdty","PX_LAST")/100</f>
        <v>0.15699825286865235</v>
      </c>
      <c r="H139" s="58" cm="1">
        <f t="array" aca="1" ref="H139" ca="1">_xll.BDP(E$81&amp;" "&amp;$C139&amp;" 10DC VOL LME Comdty","PX_LAST")/100</f>
        <v>0.15899841308593751</v>
      </c>
      <c r="I139" s="49">
        <f t="shared" ca="1" si="32"/>
        <v>0.15620135307312011</v>
      </c>
      <c r="J139" s="50">
        <f t="shared" ca="1" si="33"/>
        <v>-1.7198600769042977E-2</v>
      </c>
      <c r="K139" s="50">
        <f t="shared" ca="1" si="34"/>
        <v>-2.8297443389892568E-2</v>
      </c>
      <c r="L139" s="50">
        <f t="shared" ca="1" si="35"/>
        <v>9.3962001800537154E-3</v>
      </c>
      <c r="M139" s="69">
        <f t="shared" ca="1" si="36"/>
        <v>1.6945781707763674E-2</v>
      </c>
      <c r="N139" s="50"/>
      <c r="O139" s="68" cm="1">
        <f t="array" aca="1" ref="O139" ca="1">_xll.BDP(P$81&amp;" "&amp;$C139&amp;" 10DP VOL LME Comdty","PX_LAST")/100</f>
        <v>0.22249614715576171</v>
      </c>
      <c r="P139" s="58" cm="1">
        <f t="array" aca="1" ref="P139" ca="1">_xll.BDP(P$81&amp;" "&amp;$C139&amp;" 25DP VOL LME Comdty","PX_LAST")/100</f>
        <v>0.20829723358154298</v>
      </c>
      <c r="Q139" s="45" cm="1">
        <f t="array" aca="1" ref="Q139" ca="1">_xll.BDP(P$81&amp;" "&amp;$C139&amp;" 50D VOL LME Comdty","PX_LAST")/100</f>
        <v>0.18660177230834962</v>
      </c>
      <c r="R139" s="58" cm="1">
        <f t="array" aca="1" ref="R139" ca="1">_xll.BDP(P$81&amp;" "&amp;$C139&amp;" 25DC VOL LME Comdty","PX_LAST")/100</f>
        <v>0.18999597549438477</v>
      </c>
      <c r="S139" s="58" cm="1">
        <f t="array" aca="1" ref="S139" ca="1">_xll.BDP(P$81&amp;" "&amp;$C139&amp;" 10DC VOL LME Comdty","PX_LAST")/100</f>
        <v>0.19469654083251953</v>
      </c>
      <c r="T139" s="49">
        <f t="shared" ca="1" si="37"/>
        <v>0.18660177230834962</v>
      </c>
      <c r="U139" s="50">
        <f t="shared" ca="1" si="38"/>
        <v>0</v>
      </c>
      <c r="V139" s="50">
        <f t="shared" ca="1" si="39"/>
        <v>0</v>
      </c>
      <c r="W139" s="50">
        <f t="shared" ca="1" si="40"/>
        <v>0</v>
      </c>
      <c r="X139" s="69">
        <f t="shared" ca="1" si="41"/>
        <v>0</v>
      </c>
      <c r="Y139" s="50"/>
      <c r="Z139" s="68"/>
      <c r="AA139" s="58"/>
      <c r="AB139" s="45"/>
      <c r="AC139" s="58"/>
      <c r="AD139" s="58"/>
      <c r="AE139" s="49"/>
      <c r="AF139" s="50"/>
      <c r="AG139" s="50"/>
      <c r="AH139" s="50"/>
      <c r="AI139" s="69"/>
      <c r="AJ139" s="50"/>
      <c r="AK139" s="68"/>
      <c r="AL139" s="58"/>
      <c r="AM139" s="45"/>
      <c r="AN139" s="58"/>
      <c r="AO139" s="58"/>
      <c r="AP139" s="49"/>
      <c r="AQ139" s="50"/>
      <c r="AR139" s="50"/>
      <c r="AS139" s="50"/>
      <c r="AT139" s="69"/>
    </row>
    <row r="140" spans="1:46" s="185" customFormat="1" x14ac:dyDescent="0.25">
      <c r="A140" s="3"/>
      <c r="B140" s="1" cm="1">
        <f t="array" aca="1" ref="B140" ca="1">_xll.QDates_SpecificWeekday(EDATE(B139,1),"Wednesday",1)</f>
        <v>45994</v>
      </c>
      <c r="C140" s="185" t="str">
        <f t="shared" ref="C140:C144" ca="1" si="42">UPPER(TEXT(B140,"MMMYY"))</f>
        <v>DEC25</v>
      </c>
      <c r="D140" s="68" cm="1">
        <f t="array" aca="1" ref="D140" ca="1">_xll.BDP(E$81&amp;" "&amp;$C140&amp;" 10DP VOL LME Comdty","PX_LAST")/100</f>
        <v>0.18729593276977538</v>
      </c>
      <c r="E140" s="58" cm="1">
        <f t="array" aca="1" ref="E140" ca="1">_xll.BDP(E$81&amp;" "&amp;$C140&amp;" 25DP VOL LME Comdty","PX_LAST")/100</f>
        <v>0.17419689178466796</v>
      </c>
      <c r="F140" s="45" cm="1">
        <f t="array" aca="1" ref="F140" ca="1">_xll.BDP(E$81&amp;" "&amp;$C140&amp;" 50D VOL LME Comdty","PX_LAST")/100</f>
        <v>0.15620136260986328</v>
      </c>
      <c r="G140" s="58" cm="1">
        <f t="array" aca="1" ref="G140" ca="1">_xll.BDP(E$81&amp;" "&amp;$C140&amp;" 25DC VOL LME Comdty","PX_LAST")/100</f>
        <v>0.156998233795166</v>
      </c>
      <c r="H140" s="58" cm="1">
        <f t="array" aca="1" ref="H140" ca="1">_xll.BDP(E$81&amp;" "&amp;$C140&amp;" 10DC VOL LME Comdty","PX_LAST")/100</f>
        <v>0.15899841308593751</v>
      </c>
      <c r="I140" s="49">
        <f t="shared" ref="I140:I144" ca="1" si="43">F140+H$80</f>
        <v>0.15620136260986328</v>
      </c>
      <c r="J140" s="50">
        <f t="shared" ref="J140:J144" ca="1" si="44">(G140-E140)*H$81</f>
        <v>-1.7198657989501959E-2</v>
      </c>
      <c r="K140" s="50">
        <f t="shared" ref="K140:K144" ca="1" si="45">(H140-D140)*H$81</f>
        <v>-2.8297519683837868E-2</v>
      </c>
      <c r="L140" s="50">
        <f t="shared" ref="L140:L144" ca="1" si="46">(AVERAGE(E140,G140)-F140)*H$81</f>
        <v>9.3962001800537154E-3</v>
      </c>
      <c r="M140" s="69">
        <f t="shared" ref="M140:M144" ca="1" si="47">(AVERAGE(D140,H140)-F140)*H$81</f>
        <v>1.6945810317993165E-2</v>
      </c>
      <c r="N140" s="50"/>
      <c r="O140" s="68" cm="1">
        <f t="array" aca="1" ref="O140" ca="1">_xll.BDP(P$81&amp;" "&amp;$C140&amp;" 10DP VOL LME Comdty","PX_LAST")/100</f>
        <v>0.22349617004394531</v>
      </c>
      <c r="P140" s="58" cm="1">
        <f t="array" aca="1" ref="P140" ca="1">_xll.BDP(P$81&amp;" "&amp;$C140&amp;" 25DP VOL LME Comdty","PX_LAST")/100</f>
        <v>0.20929729461669921</v>
      </c>
      <c r="Q140" s="45" cm="1">
        <f t="array" aca="1" ref="Q140" ca="1">_xll.BDP(P$81&amp;" "&amp;$C140&amp;" 50D VOL LME Comdty","PX_LAST")/100</f>
        <v>0.18760177612304688</v>
      </c>
      <c r="R140" s="58" cm="1">
        <f t="array" aca="1" ref="R140" ca="1">_xll.BDP(P$81&amp;" "&amp;$C140&amp;" 25DC VOL LME Comdty","PX_LAST")/100</f>
        <v>0.19109596252441408</v>
      </c>
      <c r="S140" s="58" cm="1">
        <f t="array" aca="1" ref="S140" ca="1">_xll.BDP(P$81&amp;" "&amp;$C140&amp;" 10DC VOL LME Comdty","PX_LAST")/100</f>
        <v>0.19569658279418944</v>
      </c>
      <c r="T140" s="49">
        <f t="shared" ref="T140:T144" ca="1" si="48">Q140+S$80</f>
        <v>0.18760177612304688</v>
      </c>
      <c r="U140" s="50">
        <f t="shared" ref="U140:U144" ca="1" si="49">(R140-P140)*S$81</f>
        <v>0</v>
      </c>
      <c r="V140" s="50">
        <f t="shared" ref="V140:V144" ca="1" si="50">(S140-O140)*S$81</f>
        <v>0</v>
      </c>
      <c r="W140" s="50">
        <f t="shared" ref="W140:W144" ca="1" si="51">(AVERAGE(P140,R140)-Q140)*S$81</f>
        <v>0</v>
      </c>
      <c r="X140" s="69">
        <f t="shared" ref="X140:X144" ca="1" si="52">(AVERAGE(O140,S140)-Q140)*S$81</f>
        <v>0</v>
      </c>
      <c r="Y140" s="50"/>
      <c r="Z140" s="68"/>
      <c r="AA140" s="58"/>
      <c r="AB140" s="45"/>
      <c r="AC140" s="58"/>
      <c r="AD140" s="58"/>
      <c r="AE140" s="49"/>
      <c r="AF140" s="50"/>
      <c r="AG140" s="50"/>
      <c r="AH140" s="50"/>
      <c r="AI140" s="69"/>
      <c r="AJ140" s="50"/>
      <c r="AK140" s="68"/>
      <c r="AL140" s="58"/>
      <c r="AM140" s="45"/>
      <c r="AN140" s="58"/>
      <c r="AO140" s="58"/>
      <c r="AP140" s="49"/>
      <c r="AQ140" s="50"/>
      <c r="AR140" s="50"/>
      <c r="AS140" s="50"/>
      <c r="AT140" s="69"/>
    </row>
    <row r="141" spans="1:46" s="185" customFormat="1" x14ac:dyDescent="0.25">
      <c r="A141" s="3"/>
      <c r="B141" s="1" cm="1">
        <f t="array" aca="1" ref="B141" ca="1">_xll.QDates_SpecificWeekday(EDATE(B140,1),"Wednesday",1)</f>
        <v>46029</v>
      </c>
      <c r="C141" s="185" t="str">
        <f t="shared" ca="1" si="42"/>
        <v>JAN26</v>
      </c>
      <c r="D141" s="68" cm="1">
        <f t="array" aca="1" ref="D141" ca="1">_xll.BDP(E$81&amp;" "&amp;$C141&amp;" 10DP VOL LME Comdty","PX_LAST")/100</f>
        <v>0.18689605712890625</v>
      </c>
      <c r="E141" s="58" cm="1">
        <f t="array" aca="1" ref="E141" ca="1">_xll.BDP(E$81&amp;" "&amp;$C141&amp;" 25DP VOL LME Comdty","PX_LAST")/100</f>
        <v>0.17429695129394532</v>
      </c>
      <c r="F141" s="45" cm="1">
        <f t="array" aca="1" ref="F141" ca="1">_xll.BDP(E$81&amp;" "&amp;$C141&amp;" 50D VOL LME Comdty","PX_LAST")/100</f>
        <v>0.15630138397216797</v>
      </c>
      <c r="G141" s="58" cm="1">
        <f t="array" aca="1" ref="G141" ca="1">_xll.BDP(E$81&amp;" "&amp;$C141&amp;" 25DC VOL LME Comdty","PX_LAST")/100</f>
        <v>0.15709821701049806</v>
      </c>
      <c r="H141" s="58" cm="1">
        <f t="array" aca="1" ref="H141" ca="1">_xll.BDP(E$81&amp;" "&amp;$C141&amp;" 10DC VOL LME Comdty","PX_LAST")/100</f>
        <v>0.15919839859008789</v>
      </c>
      <c r="I141" s="49">
        <f t="shared" ca="1" si="43"/>
        <v>0.15630138397216797</v>
      </c>
      <c r="J141" s="50">
        <f t="shared" ca="1" si="44"/>
        <v>-1.7198734283447259E-2</v>
      </c>
      <c r="K141" s="50">
        <f t="shared" ca="1" si="45"/>
        <v>-2.7697658538818365E-2</v>
      </c>
      <c r="L141" s="50">
        <f t="shared" ca="1" si="46"/>
        <v>9.3962001800537154E-3</v>
      </c>
      <c r="M141" s="69">
        <f t="shared" ca="1" si="47"/>
        <v>1.6745843887329082E-2</v>
      </c>
      <c r="N141" s="50"/>
      <c r="O141" s="68" cm="1">
        <f t="array" aca="1" ref="O141" ca="1">_xll.BDP(P$81&amp;" "&amp;$C141&amp;" 10DP VOL LME Comdty","PX_LAST")/100</f>
        <v>0.2224962043762207</v>
      </c>
      <c r="P141" s="58" cm="1">
        <f t="array" aca="1" ref="P141" ca="1">_xll.BDP(P$81&amp;" "&amp;$C141&amp;" 25DP VOL LME Comdty","PX_LAST")/100</f>
        <v>0.2082973289489746</v>
      </c>
      <c r="Q141" s="45" cm="1">
        <f t="array" aca="1" ref="Q141" ca="1">_xll.BDP(P$81&amp;" "&amp;$C141&amp;" 50D VOL LME Comdty","PX_LAST")/100</f>
        <v>0.18660179138183594</v>
      </c>
      <c r="R141" s="58" cm="1">
        <f t="array" aca="1" ref="R141" ca="1">_xll.BDP(P$81&amp;" "&amp;$C141&amp;" 25DC VOL LME Comdty","PX_LAST")/100</f>
        <v>0.19009595870971679</v>
      </c>
      <c r="S141" s="58" cm="1">
        <f t="array" aca="1" ref="S141" ca="1">_xll.BDP(P$81&amp;" "&amp;$C141&amp;" 10DC VOL LME Comdty","PX_LAST")/100</f>
        <v>0.19469659805297851</v>
      </c>
      <c r="T141" s="49">
        <f t="shared" ca="1" si="48"/>
        <v>0.18660179138183594</v>
      </c>
      <c r="U141" s="50">
        <f t="shared" ca="1" si="49"/>
        <v>0</v>
      </c>
      <c r="V141" s="50">
        <f t="shared" ca="1" si="50"/>
        <v>0</v>
      </c>
      <c r="W141" s="50">
        <f t="shared" ca="1" si="51"/>
        <v>0</v>
      </c>
      <c r="X141" s="69">
        <f t="shared" ca="1" si="52"/>
        <v>0</v>
      </c>
      <c r="Y141" s="50"/>
      <c r="Z141" s="68"/>
      <c r="AA141" s="58"/>
      <c r="AB141" s="45"/>
      <c r="AC141" s="58"/>
      <c r="AD141" s="58"/>
      <c r="AE141" s="49"/>
      <c r="AF141" s="50"/>
      <c r="AG141" s="50"/>
      <c r="AH141" s="50"/>
      <c r="AI141" s="69"/>
      <c r="AJ141" s="50"/>
      <c r="AK141" s="68"/>
      <c r="AL141" s="58"/>
      <c r="AM141" s="45"/>
      <c r="AN141" s="58"/>
      <c r="AO141" s="58"/>
      <c r="AP141" s="49"/>
      <c r="AQ141" s="50"/>
      <c r="AR141" s="50"/>
      <c r="AS141" s="50"/>
      <c r="AT141" s="69"/>
    </row>
    <row r="142" spans="1:46" s="185" customFormat="1" x14ac:dyDescent="0.25">
      <c r="A142" s="3"/>
      <c r="B142" s="1" cm="1">
        <f t="array" aca="1" ref="B142" ca="1">_xll.QDates_SpecificWeekday(EDATE(B141,1),"Wednesday",1)</f>
        <v>46057</v>
      </c>
      <c r="C142" s="185" t="str">
        <f t="shared" ca="1" si="42"/>
        <v>FEB26</v>
      </c>
      <c r="D142" s="68" cm="1">
        <f t="array" aca="1" ref="D142" ca="1">_xll.BDP(E$81&amp;" "&amp;$C142&amp;" 10DP VOL LME Comdty","PX_LAST")/100</f>
        <v>0.18709615707397462</v>
      </c>
      <c r="E142" s="58" cm="1">
        <f t="array" aca="1" ref="E142" ca="1">_xll.BDP(E$81&amp;" "&amp;$C142&amp;" 25DP VOL LME Comdty","PX_LAST")/100</f>
        <v>0.17439699172973633</v>
      </c>
      <c r="F142" s="45" cm="1">
        <f t="array" aca="1" ref="F142" ca="1">_xll.BDP(E$81&amp;" "&amp;$C142&amp;" 50D VOL LME Comdty","PX_LAST")/100</f>
        <v>0.15640142440795898</v>
      </c>
      <c r="G142" s="58" cm="1">
        <f t="array" aca="1" ref="G142" ca="1">_xll.BDP(E$81&amp;" "&amp;$C142&amp;" 25DC VOL LME Comdty","PX_LAST")/100</f>
        <v>0.15729819297790526</v>
      </c>
      <c r="H142" s="58" cm="1">
        <f t="array" aca="1" ref="H142" ca="1">_xll.BDP(E$81&amp;" "&amp;$C142&amp;" 10DC VOL LME Comdty","PX_LAST")/100</f>
        <v>0.1592983627319336</v>
      </c>
      <c r="I142" s="49">
        <f t="shared" ca="1" si="43"/>
        <v>0.15640142440795898</v>
      </c>
      <c r="J142" s="50">
        <f t="shared" ca="1" si="44"/>
        <v>-1.7098798751831068E-2</v>
      </c>
      <c r="K142" s="50">
        <f t="shared" ca="1" si="45"/>
        <v>-2.7797794342041021E-2</v>
      </c>
      <c r="L142" s="50">
        <f t="shared" ca="1" si="46"/>
        <v>9.4461679458618109E-3</v>
      </c>
      <c r="M142" s="69">
        <f t="shared" ca="1" si="47"/>
        <v>1.6795835494995109E-2</v>
      </c>
      <c r="N142" s="50"/>
      <c r="O142" s="68" cm="1">
        <f t="array" aca="1" ref="O142" ca="1">_xll.BDP(P$81&amp;" "&amp;$C142&amp;" 10DP VOL LME Comdty","PX_LAST")/100</f>
        <v>0.22239620208740235</v>
      </c>
      <c r="P142" s="58" cm="1">
        <f t="array" aca="1" ref="P142" ca="1">_xll.BDP(P$81&amp;" "&amp;$C142&amp;" 25DP VOL LME Comdty","PX_LAST")/100</f>
        <v>0.20819736480712892</v>
      </c>
      <c r="Q142" s="45" cm="1">
        <f t="array" aca="1" ref="Q142" ca="1">_xll.BDP(P$81&amp;" "&amp;$C142&amp;" 50D VOL LME Comdty","PX_LAST")/100</f>
        <v>0.18650178909301757</v>
      </c>
      <c r="R142" s="58" cm="1">
        <f t="array" aca="1" ref="R142" ca="1">_xll.BDP(P$81&amp;" "&amp;$C142&amp;" 25DC VOL LME Comdty","PX_LAST")/100</f>
        <v>0.18999595642089845</v>
      </c>
      <c r="S142" s="58" cm="1">
        <f t="array" aca="1" ref="S142" ca="1">_xll.BDP(P$81&amp;" "&amp;$C142&amp;" 10DC VOL LME Comdty","PX_LAST")/100</f>
        <v>0.19459659576416016</v>
      </c>
      <c r="T142" s="49">
        <f t="shared" ca="1" si="48"/>
        <v>0.18650178909301757</v>
      </c>
      <c r="U142" s="50">
        <f t="shared" ca="1" si="49"/>
        <v>0</v>
      </c>
      <c r="V142" s="50">
        <f t="shared" ca="1" si="50"/>
        <v>0</v>
      </c>
      <c r="W142" s="50">
        <f t="shared" ca="1" si="51"/>
        <v>0</v>
      </c>
      <c r="X142" s="69">
        <f t="shared" ca="1" si="52"/>
        <v>0</v>
      </c>
      <c r="Y142" s="50"/>
      <c r="Z142" s="68"/>
      <c r="AA142" s="58"/>
      <c r="AB142" s="45"/>
      <c r="AC142" s="58"/>
      <c r="AD142" s="58"/>
      <c r="AE142" s="49"/>
      <c r="AF142" s="50"/>
      <c r="AG142" s="50"/>
      <c r="AH142" s="50"/>
      <c r="AI142" s="69"/>
      <c r="AJ142" s="50"/>
      <c r="AK142" s="68"/>
      <c r="AL142" s="58"/>
      <c r="AM142" s="45"/>
      <c r="AN142" s="58"/>
      <c r="AO142" s="58"/>
      <c r="AP142" s="49"/>
      <c r="AQ142" s="50"/>
      <c r="AR142" s="50"/>
      <c r="AS142" s="50"/>
      <c r="AT142" s="69"/>
    </row>
    <row r="143" spans="1:46" s="185" customFormat="1" x14ac:dyDescent="0.25">
      <c r="A143" s="3"/>
      <c r="B143" s="1" cm="1">
        <f t="array" aca="1" ref="B143" ca="1">_xll.QDates_SpecificWeekday(EDATE(B142,1),"Wednesday",1)</f>
        <v>46085</v>
      </c>
      <c r="C143" s="185" t="str">
        <f t="shared" ca="1" si="42"/>
        <v>MAR26</v>
      </c>
      <c r="D143" s="68" cm="1">
        <f t="array" aca="1" ref="D143" ca="1">_xll.BDP(E$81&amp;" "&amp;$C143&amp;" 10DP VOL LME Comdty","PX_LAST")/100</f>
        <v>0.18539634704589844</v>
      </c>
      <c r="E143" s="58" cm="1">
        <f t="array" aca="1" ref="E143" ca="1">_xll.BDP(E$81&amp;" "&amp;$C143&amp;" 25DP VOL LME Comdty","PX_LAST")/100</f>
        <v>0.17349700927734374</v>
      </c>
      <c r="F143" s="45" cm="1">
        <f t="array" aca="1" ref="F143" ca="1">_xll.BDP(E$81&amp;" "&amp;$C143&amp;" 50D VOL LME Comdty","PX_LAST")/100</f>
        <v>0.15450148582458495</v>
      </c>
      <c r="G143" s="58" cm="1">
        <f t="array" aca="1" ref="G143" ca="1">_xll.BDP(E$81&amp;" "&amp;$C143&amp;" 25DC VOL LME Comdty","PX_LAST")/100</f>
        <v>0.15519817352294921</v>
      </c>
      <c r="H143" s="58" cm="1">
        <f t="array" aca="1" ref="H143" ca="1">_xll.BDP(E$81&amp;" "&amp;$C143&amp;" 10DC VOL LME Comdty","PX_LAST")/100</f>
        <v>0.15739825248718262</v>
      </c>
      <c r="I143" s="49">
        <f t="shared" ca="1" si="43"/>
        <v>0.15450148582458495</v>
      </c>
      <c r="J143" s="50">
        <f t="shared" ca="1" si="44"/>
        <v>-1.8298835754394532E-2</v>
      </c>
      <c r="K143" s="50">
        <f t="shared" ca="1" si="45"/>
        <v>-2.7998094558715825E-2</v>
      </c>
      <c r="L143" s="50">
        <f t="shared" ca="1" si="46"/>
        <v>9.8461055755615368E-3</v>
      </c>
      <c r="M143" s="69">
        <f t="shared" ca="1" si="47"/>
        <v>1.6895813941955579E-2</v>
      </c>
      <c r="N143" s="50"/>
      <c r="O143" s="68" cm="1">
        <f t="array" aca="1" ref="O143" ca="1">_xll.BDP(P$81&amp;" "&amp;$C143&amp;" 10DP VOL LME Comdty","PX_LAST")/100</f>
        <v>0.22139623641967773</v>
      </c>
      <c r="P143" s="58" cm="1">
        <f t="array" aca="1" ref="P143" ca="1">_xll.BDP(P$81&amp;" "&amp;$C143&amp;" 25DP VOL LME Comdty","PX_LAST")/100</f>
        <v>0.20709739685058592</v>
      </c>
      <c r="Q143" s="45" cm="1">
        <f t="array" aca="1" ref="Q143" ca="1">_xll.BDP(P$81&amp;" "&amp;$C143&amp;" 50D VOL LME Comdty","PX_LAST")/100</f>
        <v>0.18530181884765626</v>
      </c>
      <c r="R143" s="58" cm="1">
        <f t="array" aca="1" ref="R143" ca="1">_xll.BDP(P$81&amp;" "&amp;$C143&amp;" 25DC VOL LME Comdty","PX_LAST")/100</f>
        <v>0.18869598388671874</v>
      </c>
      <c r="S143" s="58" cm="1">
        <f t="array" aca="1" ref="S143" ca="1">_xll.BDP(P$81&amp;" "&amp;$C143&amp;" 10DC VOL LME Comdty","PX_LAST")/100</f>
        <v>0.19329658508300782</v>
      </c>
      <c r="T143" s="49">
        <f t="shared" ca="1" si="48"/>
        <v>0.18530181884765626</v>
      </c>
      <c r="U143" s="50">
        <f t="shared" ca="1" si="49"/>
        <v>0</v>
      </c>
      <c r="V143" s="50">
        <f t="shared" ca="1" si="50"/>
        <v>0</v>
      </c>
      <c r="W143" s="50">
        <f t="shared" ca="1" si="51"/>
        <v>0</v>
      </c>
      <c r="X143" s="69">
        <f t="shared" ca="1" si="52"/>
        <v>0</v>
      </c>
      <c r="Y143" s="50"/>
      <c r="Z143" s="68"/>
      <c r="AA143" s="58"/>
      <c r="AB143" s="45"/>
      <c r="AC143" s="58"/>
      <c r="AD143" s="58"/>
      <c r="AE143" s="49"/>
      <c r="AF143" s="50"/>
      <c r="AG143" s="50"/>
      <c r="AH143" s="50"/>
      <c r="AI143" s="69"/>
      <c r="AJ143" s="50"/>
      <c r="AK143" s="68"/>
      <c r="AL143" s="58"/>
      <c r="AM143" s="45"/>
      <c r="AN143" s="58"/>
      <c r="AO143" s="58"/>
      <c r="AP143" s="49"/>
      <c r="AQ143" s="50"/>
      <c r="AR143" s="50"/>
      <c r="AS143" s="50"/>
      <c r="AT143" s="69"/>
    </row>
    <row r="144" spans="1:46" s="185" customFormat="1" x14ac:dyDescent="0.25">
      <c r="A144" s="3"/>
      <c r="B144" s="1" cm="1">
        <f t="array" aca="1" ref="B144" ca="1">_xll.QDates_SpecificWeekday(EDATE(B143,1),"Wednesday",1)</f>
        <v>46113</v>
      </c>
      <c r="C144" s="185" t="str">
        <f t="shared" ca="1" si="42"/>
        <v>APR26</v>
      </c>
      <c r="D144" s="68" cm="1">
        <f t="array" aca="1" ref="D144" ca="1">_xll.BDP(E$81&amp;" "&amp;$C144&amp;" 10DP VOL LME Comdty","PX_LAST")/100</f>
        <v>0.18539640426635742</v>
      </c>
      <c r="E144" s="58" cm="1">
        <f t="array" aca="1" ref="E144" ca="1">_xll.BDP(E$81&amp;" "&amp;$C144&amp;" 25DP VOL LME Comdty","PX_LAST")/100</f>
        <v>0.17359703063964843</v>
      </c>
      <c r="F144" s="45" cm="1">
        <f t="array" aca="1" ref="F144" ca="1">_xll.BDP(E$81&amp;" "&amp;$C144&amp;" 50D VOL LME Comdty","PX_LAST")/100</f>
        <v>0.15460152626037599</v>
      </c>
      <c r="G144" s="58" cm="1">
        <f t="array" aca="1" ref="G144" ca="1">_xll.BDP(E$81&amp;" "&amp;$C144&amp;" 25DC VOL LME Comdty","PX_LAST")/100</f>
        <v>0.15529814720153809</v>
      </c>
      <c r="H144" s="58" cm="1">
        <f t="array" aca="1" ref="H144" ca="1">_xll.BDP(E$81&amp;" "&amp;$C144&amp;" 10DC VOL LME Comdty","PX_LAST")/100</f>
        <v>0.15749821662902833</v>
      </c>
      <c r="I144" s="49">
        <f t="shared" ca="1" si="43"/>
        <v>0.15460152626037599</v>
      </c>
      <c r="J144" s="50">
        <f t="shared" ca="1" si="44"/>
        <v>-1.8298883438110342E-2</v>
      </c>
      <c r="K144" s="50">
        <f t="shared" ca="1" si="45"/>
        <v>-2.7898187637329097E-2</v>
      </c>
      <c r="L144" s="50">
        <f t="shared" ca="1" si="46"/>
        <v>9.8460626602172585E-3</v>
      </c>
      <c r="M144" s="69">
        <f t="shared" ca="1" si="47"/>
        <v>1.6845784187316887E-2</v>
      </c>
      <c r="N144" s="50"/>
      <c r="O144" s="68" cm="1">
        <f t="array" aca="1" ref="O144" ca="1">_xll.BDP(P$81&amp;" "&amp;$C144&amp;" 10DP VOL LME Comdty","PX_LAST")/100</f>
        <v>0.22129623413085939</v>
      </c>
      <c r="P144" s="58" cm="1">
        <f t="array" aca="1" ref="P144" ca="1">_xll.BDP(P$81&amp;" "&amp;$C144&amp;" 25DP VOL LME Comdty","PX_LAST")/100</f>
        <v>0.20699743270874024</v>
      </c>
      <c r="Q144" s="45" cm="1">
        <f t="array" aca="1" ref="Q144" ca="1">_xll.BDP(P$81&amp;" "&amp;$C144&amp;" 50D VOL LME Comdty","PX_LAST")/100</f>
        <v>0.18530181884765626</v>
      </c>
      <c r="R144" s="58" cm="1">
        <f t="array" aca="1" ref="R144" ca="1">_xll.BDP(P$81&amp;" "&amp;$C144&amp;" 25DC VOL LME Comdty","PX_LAST")/100</f>
        <v>0.18869598388671874</v>
      </c>
      <c r="S144" s="58" cm="1">
        <f t="array" aca="1" ref="S144" ca="1">_xll.BDP(P$81&amp;" "&amp;$C144&amp;" 10DC VOL LME Comdty","PX_LAST")/100</f>
        <v>0.19329660415649413</v>
      </c>
      <c r="T144" s="49">
        <f t="shared" ca="1" si="48"/>
        <v>0.18530181884765626</v>
      </c>
      <c r="U144" s="50">
        <f t="shared" ca="1" si="49"/>
        <v>0</v>
      </c>
      <c r="V144" s="50">
        <f t="shared" ca="1" si="50"/>
        <v>0</v>
      </c>
      <c r="W144" s="50">
        <f t="shared" ca="1" si="51"/>
        <v>0</v>
      </c>
      <c r="X144" s="69">
        <f t="shared" ca="1" si="52"/>
        <v>0</v>
      </c>
      <c r="Y144" s="50"/>
      <c r="Z144" s="68"/>
      <c r="AA144" s="58"/>
      <c r="AB144" s="45"/>
      <c r="AC144" s="58"/>
      <c r="AD144" s="58"/>
      <c r="AE144" s="49"/>
      <c r="AF144" s="50"/>
      <c r="AG144" s="50"/>
      <c r="AH144" s="50"/>
      <c r="AI144" s="69"/>
      <c r="AJ144" s="50"/>
      <c r="AK144" s="68"/>
      <c r="AL144" s="58"/>
      <c r="AM144" s="45"/>
      <c r="AN144" s="58"/>
      <c r="AO144" s="58"/>
      <c r="AP144" s="49"/>
      <c r="AQ144" s="50"/>
      <c r="AR144" s="50"/>
      <c r="AS144" s="50"/>
      <c r="AT144" s="69"/>
    </row>
    <row r="145" spans="1:3" x14ac:dyDescent="0.25">
      <c r="B145" s="1"/>
    </row>
    <row r="146" spans="1:3" x14ac:dyDescent="0.25">
      <c r="A146" s="3" t="s">
        <v>121</v>
      </c>
      <c r="B146" s="1"/>
    </row>
    <row r="147" spans="1:3" x14ac:dyDescent="0.25">
      <c r="B147" s="12" t="s">
        <v>122</v>
      </c>
      <c r="C147" s="71">
        <f ca="1">C148-365</f>
        <v>43873</v>
      </c>
    </row>
    <row r="148" spans="1:3" x14ac:dyDescent="0.25">
      <c r="B148" s="12" t="s">
        <v>123</v>
      </c>
      <c r="C148" s="71">
        <f ca="1">valDate</f>
        <v>44238</v>
      </c>
    </row>
    <row r="149" spans="1:3" x14ac:dyDescent="0.25">
      <c r="B149" s="8" t="s">
        <v>104</v>
      </c>
      <c r="C149" t="str">
        <f ca="1">_xll.QCurves_CreateFixingDictionary("Fixings."&amp;B149,B149,_xll.BDH("LO"&amp;B149&amp;"DY Comdty","PX_SETTLE",$C$147,$C$148,"Array=true"))</f>
        <v>Fixings.AH¬7</v>
      </c>
    </row>
    <row r="150" spans="1:3" x14ac:dyDescent="0.25">
      <c r="B150" s="8" t="s">
        <v>108</v>
      </c>
      <c r="C150" t="str">
        <f ca="1">_xll.QCurves_CreateFixingDictionary("Fixings."&amp;B150,B150,_xll.BDH("LO"&amp;B150&amp;"DY Comdty","PX_SETTLE",$C$147,$C$148,"Array=true"))</f>
        <v>Fixings.CA¬7</v>
      </c>
    </row>
    <row r="151" spans="1:3" x14ac:dyDescent="0.25">
      <c r="B151" s="8" t="s">
        <v>109</v>
      </c>
      <c r="C151" t="str">
        <f ca="1">_xll.QCurves_CreateFixingDictionary("Fixings."&amp;B151,B151,_xll.BDH("LO"&amp;B151&amp;"DY Comdty","PX_SETTLE",$C$147,$C$148,"Array=true"))</f>
        <v>Fixings.ZS¬7</v>
      </c>
    </row>
    <row r="152" spans="1:3" x14ac:dyDescent="0.25">
      <c r="B152" s="8" t="s">
        <v>110</v>
      </c>
      <c r="C152" t="str">
        <f ca="1">_xll.QCurves_CreateFixingDictionary("Fixings."&amp;B152,B152,_xll.BDH("LO"&amp;B152&amp;"DY Comdty","PX_SETTLE",$C$147,$C$148,"Array=true"))</f>
        <v>Fixings.NI¬7</v>
      </c>
    </row>
    <row r="153" spans="1:3" x14ac:dyDescent="0.25">
      <c r="B153" s="8" t="s">
        <v>111</v>
      </c>
      <c r="C153" t="str">
        <f ca="1">_xll.QCurves_CreateFixingDictionary("Fixings."&amp;B153,B153,_xll.BDH("LO"&amp;B153&amp;"DY Comdty","PX_SETTLE",$C$147,$C$148,"Array=true"))</f>
        <v>Fixings.PB¬7</v>
      </c>
    </row>
    <row r="154" spans="1:3" x14ac:dyDescent="0.25">
      <c r="B154" s="8" t="s">
        <v>112</v>
      </c>
      <c r="C154" t="str">
        <f ca="1">_xll.QCurves_CreateFixingDictionary("Fixings."&amp;B154,B154,_xll.BDH("LO"&amp;B154&amp;"DY Comdty","PX_SETTLE",$C$147,$C$148,"Array=true"))</f>
        <v>Fixings.SN¬7</v>
      </c>
    </row>
  </sheetData>
  <mergeCells count="14">
    <mergeCell ref="Y14:AA14"/>
    <mergeCell ref="E14:G14"/>
    <mergeCell ref="I14:K14"/>
    <mergeCell ref="M14:O14"/>
    <mergeCell ref="Q14:S14"/>
    <mergeCell ref="U14:W14"/>
    <mergeCell ref="AQ81:AR81"/>
    <mergeCell ref="AS81:AT81"/>
    <mergeCell ref="J81:K81"/>
    <mergeCell ref="L81:M81"/>
    <mergeCell ref="U81:V81"/>
    <mergeCell ref="W81:X81"/>
    <mergeCell ref="AF81:AG81"/>
    <mergeCell ref="AH81:AI81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E5D94-5C1B-40CC-9C11-20679389605C}">
  <sheetPr codeName="Sheet3">
    <tabColor theme="4"/>
  </sheetPr>
  <dimension ref="A1:AJ364"/>
  <sheetViews>
    <sheetView topLeftCell="D1" workbookViewId="0">
      <selection activeCell="K7" sqref="K7"/>
    </sheetView>
  </sheetViews>
  <sheetFormatPr defaultRowHeight="15" x14ac:dyDescent="0.25"/>
  <cols>
    <col min="1" max="1" width="11.85546875" bestFit="1" customWidth="1"/>
    <col min="2" max="2" width="10.42578125" bestFit="1" customWidth="1"/>
    <col min="3" max="3" width="12.28515625" bestFit="1" customWidth="1"/>
    <col min="4" max="4" width="10.140625" bestFit="1" customWidth="1"/>
    <col min="5" max="5" width="10.7109375" bestFit="1" customWidth="1"/>
    <col min="6" max="6" width="11" bestFit="1" customWidth="1"/>
    <col min="7" max="7" width="14.85546875" customWidth="1"/>
    <col min="8" max="8" width="10.5703125" bestFit="1" customWidth="1"/>
    <col min="9" max="9" width="10.140625" customWidth="1"/>
    <col min="10" max="10" width="11.28515625" bestFit="1" customWidth="1"/>
    <col min="11" max="11" width="10.85546875" bestFit="1" customWidth="1"/>
    <col min="12" max="13" width="10.140625" bestFit="1" customWidth="1"/>
    <col min="14" max="14" width="13.42578125" bestFit="1" customWidth="1"/>
    <col min="15" max="15" width="14" bestFit="1" customWidth="1"/>
    <col min="16" max="16" width="10.5703125" bestFit="1" customWidth="1"/>
    <col min="19" max="19" width="11.42578125" bestFit="1" customWidth="1"/>
    <col min="20" max="21" width="10.140625" bestFit="1" customWidth="1"/>
    <col min="23" max="23" width="15" bestFit="1" customWidth="1"/>
    <col min="24" max="24" width="10.5703125" bestFit="1" customWidth="1"/>
    <col min="30" max="30" width="10.140625" bestFit="1" customWidth="1"/>
  </cols>
  <sheetData>
    <row r="1" spans="1:36" x14ac:dyDescent="0.25">
      <c r="A1" s="3" t="s">
        <v>20</v>
      </c>
      <c r="C1" s="2" t="s">
        <v>131</v>
      </c>
      <c r="D1" s="34" t="s">
        <v>289</v>
      </c>
    </row>
    <row r="3" spans="1:36" x14ac:dyDescent="0.25">
      <c r="D3" s="24" t="s">
        <v>137</v>
      </c>
      <c r="E3" s="24" t="s">
        <v>139</v>
      </c>
      <c r="F3" s="24" t="s">
        <v>140</v>
      </c>
      <c r="G3" s="24" t="s">
        <v>138</v>
      </c>
    </row>
    <row r="4" spans="1:36" x14ac:dyDescent="0.25">
      <c r="C4" s="8" t="s">
        <v>129</v>
      </c>
      <c r="D4">
        <f ca="1">OFFSET($A$11,0,MATCH(C4,$10:$10,0)+2)</f>
        <v>61.32</v>
      </c>
      <c r="E4" s="34">
        <v>-0.01</v>
      </c>
      <c r="F4" s="6">
        <v>0</v>
      </c>
      <c r="G4" s="73">
        <v>1</v>
      </c>
    </row>
    <row r="5" spans="1:36" x14ac:dyDescent="0.25">
      <c r="C5" s="8" t="s">
        <v>134</v>
      </c>
      <c r="D5">
        <f ca="1">OFFSET($A$11,0,MATCH(C5,$10:$10,0)+2)</f>
        <v>501.75</v>
      </c>
      <c r="E5" s="34">
        <v>2</v>
      </c>
      <c r="F5" s="6">
        <v>10</v>
      </c>
      <c r="G5" s="73">
        <v>1</v>
      </c>
    </row>
    <row r="6" spans="1:36" x14ac:dyDescent="0.25">
      <c r="C6" s="8" t="s">
        <v>135</v>
      </c>
      <c r="D6">
        <f ca="1">OFFSET($A$11,0,MATCH(C6,$10:$10,0)+2)</f>
        <v>165.61</v>
      </c>
      <c r="E6" s="34">
        <v>-3</v>
      </c>
      <c r="F6" s="6"/>
      <c r="G6" s="73">
        <v>100</v>
      </c>
      <c r="K6" s="21"/>
    </row>
    <row r="7" spans="1:36" x14ac:dyDescent="0.25">
      <c r="C7" s="8" t="s">
        <v>136</v>
      </c>
      <c r="D7">
        <f ca="1">OFFSET($A$11,0,MATCH(C7,$10:$10,0)+2)</f>
        <v>58.56</v>
      </c>
      <c r="E7" s="34">
        <v>-0.25</v>
      </c>
      <c r="F7" s="6"/>
      <c r="G7" s="73">
        <v>1</v>
      </c>
    </row>
    <row r="8" spans="1:36" x14ac:dyDescent="0.25">
      <c r="C8" s="8"/>
      <c r="E8" s="34"/>
      <c r="F8" s="6"/>
      <c r="G8" s="73"/>
    </row>
    <row r="9" spans="1:36" x14ac:dyDescent="0.25">
      <c r="A9" s="74" t="s">
        <v>141</v>
      </c>
    </row>
    <row r="10" spans="1:36" x14ac:dyDescent="0.25">
      <c r="B10" s="20" t="s">
        <v>129</v>
      </c>
      <c r="C10" s="24" t="s">
        <v>130</v>
      </c>
      <c r="D10" s="24" t="s">
        <v>105</v>
      </c>
      <c r="E10" s="24" t="s">
        <v>106</v>
      </c>
      <c r="F10" s="24" t="s">
        <v>132</v>
      </c>
      <c r="G10" s="24" t="s">
        <v>133</v>
      </c>
      <c r="H10" s="24" t="s">
        <v>17</v>
      </c>
      <c r="I10" s="24" t="str" cm="1">
        <f t="array" aca="1" ref="I10" ca="1">_xll.QCurves_CreatePriceCurve("fwd_"&amp;B10,B10,valDate,C11:C67,I11:I67,"ICE",B11:B67,"USD",,"0b","ICE")</f>
        <v>fwd_CO¬5</v>
      </c>
      <c r="K10" s="20" t="s">
        <v>134</v>
      </c>
      <c r="L10" s="24" t="s">
        <v>130</v>
      </c>
      <c r="M10" s="24" t="s">
        <v>105</v>
      </c>
      <c r="N10" s="24" t="s">
        <v>106</v>
      </c>
      <c r="O10" s="24" t="s">
        <v>132</v>
      </c>
      <c r="P10" s="24" t="s">
        <v>133</v>
      </c>
      <c r="Q10" s="24" t="s">
        <v>17</v>
      </c>
      <c r="R10" s="24" t="str" cm="1">
        <f t="array" aca="1" ref="R10" ca="1">_xll.QCurves_CreatePriceCurve("fwd_"&amp;K10,K10,valDate,L11:L67,R11:R67,"ICE",K11:K67,"USD","LIBOR.3M","0b","ICE")</f>
        <v>fwd_QS¬5</v>
      </c>
      <c r="T10" s="20" t="s">
        <v>135</v>
      </c>
      <c r="U10" s="24" t="s">
        <v>130</v>
      </c>
      <c r="V10" s="24" t="s">
        <v>105</v>
      </c>
      <c r="W10" s="24" t="s">
        <v>106</v>
      </c>
      <c r="X10" s="24" t="s">
        <v>132</v>
      </c>
      <c r="Y10" s="24" t="s">
        <v>133</v>
      </c>
      <c r="Z10" s="24" t="s">
        <v>17</v>
      </c>
      <c r="AA10" s="24" t="str" cm="1">
        <f t="array" aca="1" ref="AA10" ca="1">_xll.QCurves_CreatePriceCurve("fwd_"&amp;T10,T10,valDate,U11:U54,AA11:AA54,"ICE",T11:T54,"USD",,"0b","ICE")</f>
        <v>fwd_XB¬5</v>
      </c>
      <c r="AC10" s="20" t="s">
        <v>136</v>
      </c>
      <c r="AD10" s="24" t="s">
        <v>130</v>
      </c>
      <c r="AE10" s="24" t="s">
        <v>105</v>
      </c>
      <c r="AF10" s="24" t="s">
        <v>106</v>
      </c>
      <c r="AG10" s="24" t="s">
        <v>132</v>
      </c>
      <c r="AH10" s="24" t="s">
        <v>133</v>
      </c>
      <c r="AI10" s="24" t="s">
        <v>17</v>
      </c>
      <c r="AJ10" s="24" t="str" cm="1">
        <f t="array" aca="1" ref="AJ10" ca="1">_xll.QCurves_CreatePriceCurve("fwd_"&amp;AC10,AC10,valDate,AD11:AD67,AJ11:AJ67,"ICE",AC11:AC67,"USD",,"0b","ICE")</f>
        <v>fwd_CL¬2</v>
      </c>
    </row>
    <row r="11" spans="1:36" x14ac:dyDescent="0.25">
      <c r="B11" s="8" t="str" cm="1">
        <f t="array" aca="1" ref="B11" ca="1">_xll.QDates_FuturesGetFrontMonth(valDate,B10)</f>
        <v>COJ1</v>
      </c>
      <c r="C11" s="1" cm="1">
        <f t="array" aca="1" ref="C11" ca="1">_xll.QDates_FuturesExpiryFromCode(B11)</f>
        <v>44253</v>
      </c>
      <c r="D11" cm="1">
        <f t="array" aca="1" ref="D11" ca="1">_xll.BDP(B11&amp;" Comdty","PX_SETTLE")</f>
        <v>61.47</v>
      </c>
      <c r="E11" cm="1">
        <f t="array" aca="1" ref="E11" ca="1">_xll.BDP(B11&amp;" Comdty",BidMidASK)</f>
        <v>61.32</v>
      </c>
      <c r="F11" s="72">
        <f ca="1">$D$11-D11</f>
        <v>0</v>
      </c>
      <c r="G11" s="72">
        <f ca="1">IF(ISNUMBER(E11),$E$11-E11,"")</f>
        <v>0</v>
      </c>
      <c r="H11" s="72">
        <f t="array" aca="1" ref="H11:H67" ca="1">_xll.QCurves_BendCurve($F$11:$F$67,$G$11:$G$67)</f>
        <v>0</v>
      </c>
      <c r="I11" s="13" cm="1">
        <f t="array" aca="1" ref="I11" ca="1">(E$11-H11+VLOOKUP(B$10,$C$4:$E$7,3,FALSE)+VLOOKUP(B$10,$C$4:$F$7,4,FALSE)*_xll.QDates_YearFraction(valDate,C11,"ACT365F"))/VLOOKUP(B$10,$C$4:$G$7,5,FALSE)</f>
        <v>61.31</v>
      </c>
      <c r="K11" s="8" t="str" cm="1">
        <f t="array" aca="1" ref="K11" ca="1">_xll.QDates_FuturesGetFrontMonth(valDate,K10)</f>
        <v>QSH1</v>
      </c>
      <c r="L11" s="1" cm="1">
        <f t="array" aca="1" ref="L11" ca="1">_xll.QDates_FuturesExpiryFromCode(K11)</f>
        <v>44266</v>
      </c>
      <c r="M11" cm="1">
        <f t="array" aca="1" ref="M11" ca="1">_xll.BDP(K11&amp;" Comdty","PX_SETTLE")</f>
        <v>502.75</v>
      </c>
      <c r="N11" cm="1">
        <f t="array" aca="1" ref="N11" ca="1">_xll.BDP(K11&amp;" Comdty",BidMidASK)</f>
        <v>501.75</v>
      </c>
      <c r="O11" s="72">
        <f ca="1">M$11-M11</f>
        <v>0</v>
      </c>
      <c r="P11" s="72">
        <f ca="1">IF(ISNUMBER(N11),N$11-N11,"")</f>
        <v>0</v>
      </c>
      <c r="Q11" s="72">
        <f t="array" aca="1" ref="Q11:Q67" ca="1">_xll.QCurves_BendCurve(O11:O67,P11:P67)</f>
        <v>0</v>
      </c>
      <c r="R11" s="13" cm="1">
        <f t="array" aca="1" ref="R11" ca="1">(N$11-Q11+VLOOKUP(K$10,$C$4:$E$7,3,FALSE)+VLOOKUP(K$10,$C$4:$F$7,4,FALSE)*_xll.QDates_YearFraction(valDate,L11,"ACT365F"))/VLOOKUP(K$10,$C$4:$G$7,5,FALSE)</f>
        <v>504.51712328767121</v>
      </c>
      <c r="T11" s="8" t="str" cm="1">
        <f t="array" aca="1" ref="T11" ca="1">_xll.QDates_FuturesGetFrontMonth(valDate,T10)</f>
        <v>XBH1</v>
      </c>
      <c r="U11" s="1" cm="1">
        <f t="array" aca="1" ref="U11" ca="1">_xll.QDates_FuturesExpiryFromCode(T11)</f>
        <v>44253</v>
      </c>
      <c r="V11" cm="1">
        <f t="array" aca="1" ref="V11" ca="1">_xll.BDP(T11&amp;" Comdty","PX_SETTLE")</f>
        <v>165.34</v>
      </c>
      <c r="W11" cm="1">
        <f t="array" aca="1" ref="W11" ca="1">_xll.BDP(T11&amp;" Comdty",BidMidASK)</f>
        <v>165.61</v>
      </c>
      <c r="X11" s="72">
        <f t="shared" ref="X11:X54" ca="1" si="0">V$11-V11</f>
        <v>0</v>
      </c>
      <c r="Y11" s="72">
        <f ca="1">IF(ISNUMBER(W11),W$11-W11,"")</f>
        <v>0</v>
      </c>
      <c r="Z11" s="72">
        <f t="array" aca="1" ref="Z11:Z54" ca="1">_xll.QCurves_BendCurve(X11:X54,Y11:Y54)</f>
        <v>0</v>
      </c>
      <c r="AA11" s="13" cm="1">
        <f t="array" aca="1" ref="AA11" ca="1">(W$11-Z11+VLOOKUP(T$10,$C$4:$E$7,3,FALSE)+VLOOKUP(T$10,$C$4:$F$7,4,FALSE)*_xll.QDates_YearFraction(valDate,U11,"ACT365F"))/VLOOKUP(T$10,$C$4:$G$7,5,FALSE)</f>
        <v>1.6261000000000001</v>
      </c>
      <c r="AC11" s="8" t="str" cm="1">
        <f t="array" aca="1" ref="AC11" ca="1">_xll.QDates_FuturesGetFrontMonth(valDate,AC10)</f>
        <v>CLH1</v>
      </c>
      <c r="AD11" s="1" cm="1">
        <f t="array" aca="1" ref="AD11" ca="1">_xll.QDates_FuturesExpiryFromCode(AC11)</f>
        <v>44249</v>
      </c>
      <c r="AE11" cm="1">
        <f t="array" aca="1" ref="AE11" ca="1">_xll.BDP(AC11&amp;" Comdty","PX_SETTLE")</f>
        <v>58.68</v>
      </c>
      <c r="AF11" cm="1">
        <f t="array" aca="1" ref="AF11" ca="1">_xll.BDP(AC11&amp;" Comdty",BidMidASK)</f>
        <v>58.56</v>
      </c>
      <c r="AG11" s="72">
        <f ca="1">AE$11-AE11</f>
        <v>0</v>
      </c>
      <c r="AH11" s="72">
        <f ca="1">IF(ISNUMBER(AF11),AF$11-AF11,"")</f>
        <v>0</v>
      </c>
      <c r="AI11" s="72">
        <f t="array" aca="1" ref="AI11:AI67" ca="1">_xll.QCurves_BendCurve(AG11:AG67,AH11:AH67)</f>
        <v>0</v>
      </c>
      <c r="AJ11" s="13" cm="1">
        <f t="array" aca="1" ref="AJ11" ca="1">(AF$11-AI11+VLOOKUP(AC$10,$C$4:$E$7,3,FALSE)+VLOOKUP(AC$10,$C$4:$F$7,4,FALSE)*_xll.QDates_YearFraction(valDate,AD11,"ACT365F"))/VLOOKUP(AC$10,$C$4:$G$7,5,FALSE)</f>
        <v>58.31</v>
      </c>
    </row>
    <row r="12" spans="1:36" x14ac:dyDescent="0.25">
      <c r="B12" s="8" t="str" cm="1">
        <f t="array" aca="1" ref="B12" ca="1">_xll.QDates_FuturesNextCode(B11)</f>
        <v>COK1</v>
      </c>
      <c r="C12" s="1" cm="1">
        <f t="array" aca="1" ref="C12" ca="1">_xll.QDates_FuturesExpiryFromCode(B12)</f>
        <v>44286</v>
      </c>
      <c r="D12" cm="1">
        <f t="array" aca="1" ref="D12" ca="1">_xll.BDP(B12&amp;" Comdty","PX_SETTLE")</f>
        <v>61.07</v>
      </c>
      <c r="E12" cm="1">
        <f t="array" aca="1" ref="E12" ca="1">_xll.BDP(B12&amp;" Comdty",BidMidASK)</f>
        <v>60.93</v>
      </c>
      <c r="F12" s="72">
        <f t="shared" ref="F12:F67" ca="1" si="1">$D$11-D12</f>
        <v>0.39999999999999858</v>
      </c>
      <c r="G12" s="72">
        <f t="shared" ref="G12:G67" ca="1" si="2">IF(ISNUMBER(E12),$E$11-E12,"")</f>
        <v>0.39000000000000057</v>
      </c>
      <c r="H12" s="72">
        <f ca="1"/>
        <v>0.39000000000000057</v>
      </c>
      <c r="I12" s="13" cm="1">
        <f t="array" aca="1" ref="I12" ca="1">(E$11-H12+VLOOKUP(B$10,$C$4:$E$7,3,FALSE)+VLOOKUP(B$10,$C$4:$F$7,4,FALSE)*_xll.QDates_YearFraction(valDate,C12,"ACT365F"))/VLOOKUP(B$10,$C$4:$G$7,5,FALSE)</f>
        <v>60.92</v>
      </c>
      <c r="K12" s="8" t="str" cm="1">
        <f t="array" aca="1" ref="K12" ca="1">_xll.QDates_FuturesNextCode(K11)</f>
        <v>QSJ1</v>
      </c>
      <c r="L12" s="1" cm="1">
        <f t="array" aca="1" ref="L12" ca="1">_xll.QDates_FuturesExpiryFromCode(K12)</f>
        <v>44298</v>
      </c>
      <c r="M12" cm="1">
        <f t="array" aca="1" ref="M12" ca="1">_xll.BDP(K12&amp;" Comdty","PX_SETTLE")</f>
        <v>503.75</v>
      </c>
      <c r="N12" cm="1">
        <f t="array" aca="1" ref="N12" ca="1">_xll.BDP(K12&amp;" Comdty",BidMidASK)</f>
        <v>502.75</v>
      </c>
      <c r="O12" s="72">
        <f t="shared" ref="O12:O67" ca="1" si="3">M$11-M12</f>
        <v>-1</v>
      </c>
      <c r="P12" s="72">
        <f t="shared" ref="P12:P67" ca="1" si="4">IF(ISNUMBER(N12),N$11-N12,"")</f>
        <v>-1</v>
      </c>
      <c r="Q12" s="72">
        <f ca="1"/>
        <v>-1</v>
      </c>
      <c r="R12" s="13" cm="1">
        <f t="array" aca="1" ref="R12" ca="1">(N$11-Q12+VLOOKUP(K$10,$C$4:$E$7,3,FALSE)+VLOOKUP(K$10,$C$4:$F$7,4,FALSE)*_xll.QDates_YearFraction(valDate,L12,"ACT365F"))/VLOOKUP(K$10,$C$4:$G$7,5,FALSE)</f>
        <v>506.39383561643837</v>
      </c>
      <c r="T12" s="8" t="str" cm="1">
        <f t="array" aca="1" ref="T12" ca="1">_xll.QDates_FuturesNextCode(T11)</f>
        <v>XBJ1</v>
      </c>
      <c r="U12" s="1" cm="1">
        <f t="array" aca="1" ref="U12" ca="1">_xll.QDates_FuturesExpiryFromCode(T12)</f>
        <v>44286</v>
      </c>
      <c r="V12" cm="1">
        <f t="array" aca="1" ref="V12" ca="1">_xll.BDP(T12&amp;" Comdty","PX_SETTLE")</f>
        <v>178.41</v>
      </c>
      <c r="W12" cm="1">
        <f t="array" aca="1" ref="W12" ca="1">_xll.BDP(T12&amp;" Comdty",BidMidASK)</f>
        <v>178.39000000000001</v>
      </c>
      <c r="X12" s="72">
        <f t="shared" ca="1" si="0"/>
        <v>-13.069999999999993</v>
      </c>
      <c r="Y12" s="72">
        <f t="shared" ref="Y12:Y67" ca="1" si="5">IF(ISNUMBER(W12),W$11-W12,"")</f>
        <v>-12.780000000000001</v>
      </c>
      <c r="Z12" s="72">
        <f ca="1"/>
        <v>-12.780000000000001</v>
      </c>
      <c r="AA12" s="13" cm="1">
        <f t="array" aca="1" ref="AA12" ca="1">(W$11-Z12+VLOOKUP(T$10,$C$4:$E$7,3,FALSE)+VLOOKUP(T$10,$C$4:$F$7,4,FALSE)*_xll.QDates_YearFraction(valDate,U12,"ACT365F"))/VLOOKUP(T$10,$C$4:$G$7,5,FALSE)</f>
        <v>1.7539000000000002</v>
      </c>
      <c r="AC12" s="8" t="str" cm="1">
        <f t="array" aca="1" ref="AC12" ca="1">_xll.QDates_FuturesNextCode(AC11)</f>
        <v>CLJ1</v>
      </c>
      <c r="AD12" s="1" cm="1">
        <f t="array" aca="1" ref="AD12" ca="1">_xll.QDates_FuturesExpiryFromCode(AC12)</f>
        <v>44277</v>
      </c>
      <c r="AE12" cm="1">
        <f t="array" aca="1" ref="AE12" ca="1">_xll.BDP(AC12&amp;" Comdty","PX_SETTLE")</f>
        <v>58.57</v>
      </c>
      <c r="AF12" cm="1">
        <f t="array" aca="1" ref="AF12" ca="1">_xll.BDP(AC12&amp;" Comdty",BidMidASK)</f>
        <v>58.43</v>
      </c>
      <c r="AG12" s="72">
        <f t="shared" ref="AG12:AG67" ca="1" si="6">AE$11-AE12</f>
        <v>0.10999999999999943</v>
      </c>
      <c r="AH12" s="72">
        <f t="shared" ref="AH12:AH67" ca="1" si="7">IF(ISNUMBER(AF12),AF$11-AF12,"")</f>
        <v>0.13000000000000256</v>
      </c>
      <c r="AI12" s="72">
        <f ca="1"/>
        <v>0.13000000000000256</v>
      </c>
      <c r="AJ12" s="13" cm="1">
        <f t="array" aca="1" ref="AJ12" ca="1">(AF$11-AI12+VLOOKUP(AC$10,$C$4:$E$7,3,FALSE)+VLOOKUP(AC$10,$C$4:$F$7,4,FALSE)*_xll.QDates_YearFraction(valDate,AD12,"ACT365F"))/VLOOKUP(AC$10,$C$4:$G$7,5,FALSE)</f>
        <v>58.18</v>
      </c>
    </row>
    <row r="13" spans="1:36" x14ac:dyDescent="0.25">
      <c r="B13" s="8" t="str" cm="1">
        <f t="array" aca="1" ref="B13" ca="1">_xll.QDates_FuturesNextCode(B12)</f>
        <v>COM1</v>
      </c>
      <c r="C13" s="1" cm="1">
        <f t="array" aca="1" ref="C13" ca="1">_xll.QDates_FuturesExpiryFromCode(B13)</f>
        <v>44316</v>
      </c>
      <c r="D13" cm="1">
        <f t="array" aca="1" ref="D13" ca="1">_xll.BDP(B13&amp;" Comdty","PX_SETTLE")</f>
        <v>60.6</v>
      </c>
      <c r="E13" cm="1">
        <f t="array" aca="1" ref="E13" ca="1">_xll.BDP(B13&amp;" Comdty",BidMidASK)</f>
        <v>60.49</v>
      </c>
      <c r="F13" s="72">
        <f t="shared" ca="1" si="1"/>
        <v>0.86999999999999744</v>
      </c>
      <c r="G13" s="72">
        <f t="shared" ca="1" si="2"/>
        <v>0.82999999999999829</v>
      </c>
      <c r="H13" s="72">
        <f ca="1"/>
        <v>0.82999999999999829</v>
      </c>
      <c r="I13" s="13" cm="1">
        <f t="array" aca="1" ref="I13" ca="1">(E$11-H13+VLOOKUP(B$10,$C$4:$E$7,3,FALSE)+VLOOKUP(B$10,$C$4:$F$7,4,FALSE)*_xll.QDates_YearFraction(valDate,C13,"ACT365F"))/VLOOKUP(B$10,$C$4:$G$7,5,FALSE)</f>
        <v>60.480000000000004</v>
      </c>
      <c r="K13" s="8" t="str" cm="1">
        <f t="array" aca="1" ref="K13" ca="1">_xll.QDates_FuturesNextCode(K12)</f>
        <v>QSK1</v>
      </c>
      <c r="L13" s="1" cm="1">
        <f t="array" aca="1" ref="L13" ca="1">_xll.QDates_FuturesExpiryFromCode(K13)</f>
        <v>44328</v>
      </c>
      <c r="M13" cm="1">
        <f t="array" aca="1" ref="M13" ca="1">_xll.BDP(K13&amp;" Comdty","PX_SETTLE")</f>
        <v>504</v>
      </c>
      <c r="N13" cm="1">
        <f t="array" aca="1" ref="N13" ca="1">_xll.BDP(K13&amp;" Comdty",BidMidASK)</f>
        <v>503.25</v>
      </c>
      <c r="O13" s="72">
        <f t="shared" ca="1" si="3"/>
        <v>-1.25</v>
      </c>
      <c r="P13" s="72">
        <f t="shared" ca="1" si="4"/>
        <v>-1.5</v>
      </c>
      <c r="Q13" s="72">
        <f ca="1"/>
        <v>-1.5</v>
      </c>
      <c r="R13" s="13" cm="1">
        <f t="array" aca="1" ref="R13" ca="1">(N$11-Q13+VLOOKUP(K$10,$C$4:$E$7,3,FALSE)+VLOOKUP(K$10,$C$4:$F$7,4,FALSE)*_xll.QDates_YearFraction(valDate,L13,"ACT365F"))/VLOOKUP(K$10,$C$4:$G$7,5,FALSE)</f>
        <v>507.71575342465752</v>
      </c>
      <c r="T13" s="8" t="str" cm="1">
        <f t="array" aca="1" ref="T13" ca="1">_xll.QDates_FuturesNextCode(T12)</f>
        <v>XBK1</v>
      </c>
      <c r="U13" s="1" cm="1">
        <f t="array" aca="1" ref="U13" ca="1">_xll.QDates_FuturesExpiryFromCode(T13)</f>
        <v>44316</v>
      </c>
      <c r="V13" cm="1">
        <f t="array" aca="1" ref="V13" ca="1">_xll.BDP(T13&amp;" Comdty","PX_SETTLE")</f>
        <v>179.13</v>
      </c>
      <c r="W13" cm="1">
        <f t="array" aca="1" ref="W13" ca="1">_xll.BDP(T13&amp;" Comdty",BidMidASK)</f>
        <v>179.01</v>
      </c>
      <c r="X13" s="72">
        <f t="shared" ca="1" si="0"/>
        <v>-13.789999999999992</v>
      </c>
      <c r="Y13" s="72">
        <f t="shared" ca="1" si="5"/>
        <v>-13.399999999999977</v>
      </c>
      <c r="Z13" s="72">
        <f ca="1"/>
        <v>-13.399999999999977</v>
      </c>
      <c r="AA13" s="13" cm="1">
        <f t="array" aca="1" ref="AA13" ca="1">(W$11-Z13+VLOOKUP(T$10,$C$4:$E$7,3,FALSE)+VLOOKUP(T$10,$C$4:$F$7,4,FALSE)*_xll.QDates_YearFraction(valDate,U13,"ACT365F"))/VLOOKUP(T$10,$C$4:$G$7,5,FALSE)</f>
        <v>1.7601</v>
      </c>
      <c r="AC13" s="8" t="str" cm="1">
        <f t="array" aca="1" ref="AC13" ca="1">_xll.QDates_FuturesNextCode(AC12)</f>
        <v>CLK1</v>
      </c>
      <c r="AD13" s="1" cm="1">
        <f t="array" aca="1" ref="AD13" ca="1">_xll.QDates_FuturesExpiryFromCode(AC13)</f>
        <v>44306</v>
      </c>
      <c r="AE13" cm="1">
        <f t="array" aca="1" ref="AE13" ca="1">_xll.BDP(AC13&amp;" Comdty","PX_SETTLE")</f>
        <v>58.31</v>
      </c>
      <c r="AF13" cm="1">
        <f t="array" aca="1" ref="AF13" ca="1">_xll.BDP(AC13&amp;" Comdty",BidMidASK)</f>
        <v>58.17</v>
      </c>
      <c r="AG13" s="72">
        <f t="shared" ca="1" si="6"/>
        <v>0.36999999999999744</v>
      </c>
      <c r="AH13" s="72">
        <f t="shared" ca="1" si="7"/>
        <v>0.39000000000000057</v>
      </c>
      <c r="AI13" s="72">
        <f ca="1"/>
        <v>0.39000000000000057</v>
      </c>
      <c r="AJ13" s="13" cm="1">
        <f t="array" aca="1" ref="AJ13" ca="1">(AF$11-AI13+VLOOKUP(AC$10,$C$4:$E$7,3,FALSE)+VLOOKUP(AC$10,$C$4:$F$7,4,FALSE)*_xll.QDates_YearFraction(valDate,AD13,"ACT365F"))/VLOOKUP(AC$10,$C$4:$G$7,5,FALSE)</f>
        <v>57.92</v>
      </c>
    </row>
    <row r="14" spans="1:36" x14ac:dyDescent="0.25">
      <c r="B14" s="8" t="str" cm="1">
        <f t="array" aca="1" ref="B14" ca="1">_xll.QDates_FuturesNextCode(B13)</f>
        <v>CON1</v>
      </c>
      <c r="C14" s="1" cm="1">
        <f t="array" aca="1" ref="C14" ca="1">_xll.QDates_FuturesExpiryFromCode(B14)</f>
        <v>44344</v>
      </c>
      <c r="D14" cm="1">
        <f t="array" aca="1" ref="D14" ca="1">_xll.BDP(B14&amp;" Comdty","PX_SETTLE")</f>
        <v>60.1</v>
      </c>
      <c r="E14" cm="1">
        <f t="array" aca="1" ref="E14" ca="1">_xll.BDP(B14&amp;" Comdty",BidMidASK)</f>
        <v>60</v>
      </c>
      <c r="F14" s="72">
        <f t="shared" ca="1" si="1"/>
        <v>1.3699999999999974</v>
      </c>
      <c r="G14" s="72">
        <f t="shared" ca="1" si="2"/>
        <v>1.3200000000000003</v>
      </c>
      <c r="H14" s="72">
        <f ca="1"/>
        <v>1.3200000000000003</v>
      </c>
      <c r="I14" s="13" cm="1">
        <f t="array" aca="1" ref="I14" ca="1">(E$11-H14+VLOOKUP(B$10,$C$4:$E$7,3,FALSE)+VLOOKUP(B$10,$C$4:$F$7,4,FALSE)*_xll.QDates_YearFraction(valDate,C14,"ACT365F"))/VLOOKUP(B$10,$C$4:$G$7,5,FALSE)</f>
        <v>59.99</v>
      </c>
      <c r="K14" s="8" t="str" cm="1">
        <f t="array" aca="1" ref="K14" ca="1">_xll.QDates_FuturesNextCode(K13)</f>
        <v>QSM1</v>
      </c>
      <c r="L14" s="1" cm="1">
        <f t="array" aca="1" ref="L14" ca="1">_xll.QDates_FuturesExpiryFromCode(K14)</f>
        <v>44357</v>
      </c>
      <c r="M14" cm="1">
        <f t="array" aca="1" ref="M14" ca="1">_xll.BDP(K14&amp;" Comdty","PX_SETTLE")</f>
        <v>503.75</v>
      </c>
      <c r="N14" cm="1">
        <f t="array" aca="1" ref="N14" ca="1">_xll.BDP(K14&amp;" Comdty",BidMidASK)</f>
        <v>503</v>
      </c>
      <c r="O14" s="72">
        <f t="shared" ca="1" si="3"/>
        <v>-1</v>
      </c>
      <c r="P14" s="72">
        <f t="shared" ca="1" si="4"/>
        <v>-1.25</v>
      </c>
      <c r="Q14" s="72">
        <f ca="1"/>
        <v>-1.25</v>
      </c>
      <c r="R14" s="13" cm="1">
        <f t="array" aca="1" ref="R14" ca="1">(N$11-Q14+VLOOKUP(K$10,$C$4:$E$7,3,FALSE)+VLOOKUP(K$10,$C$4:$F$7,4,FALSE)*_xll.QDates_YearFraction(valDate,L14,"ACT365F"))/VLOOKUP(K$10,$C$4:$G$7,5,FALSE)</f>
        <v>508.26027397260276</v>
      </c>
      <c r="T14" s="8" t="str" cm="1">
        <f t="array" aca="1" ref="T14" ca="1">_xll.QDates_FuturesNextCode(T13)</f>
        <v>XBM1</v>
      </c>
      <c r="U14" s="1" cm="1">
        <f t="array" aca="1" ref="U14" ca="1">_xll.QDates_FuturesExpiryFromCode(T14)</f>
        <v>44344</v>
      </c>
      <c r="V14" cm="1">
        <f t="array" aca="1" ref="V14" ca="1">_xll.BDP(T14&amp;" Comdty","PX_SETTLE")</f>
        <v>178.78</v>
      </c>
      <c r="W14" cm="1">
        <f t="array" aca="1" ref="W14" ca="1">_xll.BDP(T14&amp;" Comdty",BidMidASK)</f>
        <v>178.6</v>
      </c>
      <c r="X14" s="72">
        <f t="shared" ca="1" si="0"/>
        <v>-13.439999999999998</v>
      </c>
      <c r="Y14" s="72">
        <f t="shared" ca="1" si="5"/>
        <v>-12.989999999999981</v>
      </c>
      <c r="Z14" s="72">
        <f ca="1"/>
        <v>-12.989999999999981</v>
      </c>
      <c r="AA14" s="13" cm="1">
        <f t="array" aca="1" ref="AA14" ca="1">(W$11-Z14+VLOOKUP(T$10,$C$4:$E$7,3,FALSE)+VLOOKUP(T$10,$C$4:$F$7,4,FALSE)*_xll.QDates_YearFraction(valDate,U14,"ACT365F"))/VLOOKUP(T$10,$C$4:$G$7,5,FALSE)</f>
        <v>1.756</v>
      </c>
      <c r="AC14" s="8" t="str" cm="1">
        <f t="array" aca="1" ref="AC14" ca="1">_xll.QDates_FuturesNextCode(AC13)</f>
        <v>CLM1</v>
      </c>
      <c r="AD14" s="1" cm="1">
        <f t="array" aca="1" ref="AD14" ca="1">_xll.QDates_FuturesExpiryFromCode(AC14)</f>
        <v>44336</v>
      </c>
      <c r="AE14" cm="1">
        <f t="array" aca="1" ref="AE14" ca="1">_xll.BDP(AC14&amp;" Comdty","PX_SETTLE")</f>
        <v>57.910000000000004</v>
      </c>
      <c r="AF14" cm="1">
        <f t="array" aca="1" ref="AF14" ca="1">_xll.BDP(AC14&amp;" Comdty",BidMidASK)</f>
        <v>57.78</v>
      </c>
      <c r="AG14" s="72">
        <f t="shared" ca="1" si="6"/>
        <v>0.76999999999999602</v>
      </c>
      <c r="AH14" s="72">
        <f t="shared" ca="1" si="7"/>
        <v>0.78000000000000114</v>
      </c>
      <c r="AI14" s="72">
        <f ca="1"/>
        <v>0.78000000000000114</v>
      </c>
      <c r="AJ14" s="13" cm="1">
        <f t="array" aca="1" ref="AJ14" ca="1">(AF$11-AI14+VLOOKUP(AC$10,$C$4:$E$7,3,FALSE)+VLOOKUP(AC$10,$C$4:$F$7,4,FALSE)*_xll.QDates_YearFraction(valDate,AD14,"ACT365F"))/VLOOKUP(AC$10,$C$4:$G$7,5,FALSE)</f>
        <v>57.53</v>
      </c>
    </row>
    <row r="15" spans="1:36" x14ac:dyDescent="0.25">
      <c r="B15" s="8" t="str" cm="1">
        <f t="array" aca="1" ref="B15" ca="1">_xll.QDates_FuturesNextCode(B14)</f>
        <v>COQ1</v>
      </c>
      <c r="C15" s="1" cm="1">
        <f t="array" aca="1" ref="C15" ca="1">_xll.QDates_FuturesExpiryFromCode(B15)</f>
        <v>44377</v>
      </c>
      <c r="D15" cm="1">
        <f t="array" aca="1" ref="D15" ca="1">_xll.BDP(B15&amp;" Comdty","PX_SETTLE")</f>
        <v>59.64</v>
      </c>
      <c r="E15" cm="1">
        <f t="array" aca="1" ref="E15" ca="1">_xll.BDP(B15&amp;" Comdty",BidMidASK)</f>
        <v>59.56</v>
      </c>
      <c r="F15" s="72">
        <f t="shared" ca="1" si="1"/>
        <v>1.8299999999999983</v>
      </c>
      <c r="G15" s="72">
        <f t="shared" ca="1" si="2"/>
        <v>1.759999999999998</v>
      </c>
      <c r="H15" s="72">
        <f ca="1"/>
        <v>1.759999999999998</v>
      </c>
      <c r="I15" s="13" cm="1">
        <f t="array" aca="1" ref="I15" ca="1">(E$11-H15+VLOOKUP(B$10,$C$4:$E$7,3,FALSE)+VLOOKUP(B$10,$C$4:$F$7,4,FALSE)*_xll.QDates_YearFraction(valDate,C15,"ACT365F"))/VLOOKUP(B$10,$C$4:$G$7,5,FALSE)</f>
        <v>59.550000000000004</v>
      </c>
      <c r="K15" s="8" t="str" cm="1">
        <f t="array" aca="1" ref="K15" ca="1">_xll.QDates_FuturesNextCode(K14)</f>
        <v>QSN1</v>
      </c>
      <c r="L15" s="1" cm="1">
        <f t="array" aca="1" ref="L15" ca="1">_xll.QDates_FuturesExpiryFromCode(K15)</f>
        <v>44389</v>
      </c>
      <c r="M15" cm="1">
        <f t="array" aca="1" ref="M15" ca="1">_xll.BDP(K15&amp;" Comdty","PX_SETTLE")</f>
        <v>503.75</v>
      </c>
      <c r="N15" cm="1">
        <f t="array" aca="1" ref="N15" ca="1">_xll.BDP(K15&amp;" Comdty",BidMidASK)</f>
        <v>502.75</v>
      </c>
      <c r="O15" s="72">
        <f t="shared" ca="1" si="3"/>
        <v>-1</v>
      </c>
      <c r="P15" s="72">
        <f t="shared" ca="1" si="4"/>
        <v>-1</v>
      </c>
      <c r="Q15" s="72">
        <f ca="1"/>
        <v>-1</v>
      </c>
      <c r="R15" s="13" cm="1">
        <f t="array" aca="1" ref="R15" ca="1">(N$11-Q15+VLOOKUP(K$10,$C$4:$E$7,3,FALSE)+VLOOKUP(K$10,$C$4:$F$7,4,FALSE)*_xll.QDates_YearFraction(valDate,L15,"ACT365F"))/VLOOKUP(K$10,$C$4:$G$7,5,FALSE)</f>
        <v>508.88698630136986</v>
      </c>
      <c r="T15" s="8" t="str" cm="1">
        <f t="array" aca="1" ref="T15" ca="1">_xll.QDates_FuturesNextCode(T14)</f>
        <v>XBN1</v>
      </c>
      <c r="U15" s="1" cm="1">
        <f t="array" aca="1" ref="U15" ca="1">_xll.QDates_FuturesExpiryFromCode(T15)</f>
        <v>44377</v>
      </c>
      <c r="V15" cm="1">
        <f t="array" aca="1" ref="V15" ca="1">_xll.BDP(T15&amp;" Comdty","PX_SETTLE")</f>
        <v>177.49</v>
      </c>
      <c r="W15" cm="1">
        <f t="array" aca="1" ref="W15" ca="1">_xll.BDP(T15&amp;" Comdty",BidMidASK)</f>
        <v>177.29</v>
      </c>
      <c r="X15" s="72">
        <f t="shared" ca="1" si="0"/>
        <v>-12.150000000000006</v>
      </c>
      <c r="Y15" s="72">
        <f t="shared" ca="1" si="5"/>
        <v>-11.679999999999978</v>
      </c>
      <c r="Z15" s="72">
        <f ca="1"/>
        <v>-11.679999999999978</v>
      </c>
      <c r="AA15" s="13" cm="1">
        <f t="array" aca="1" ref="AA15" ca="1">(W$11-Z15+VLOOKUP(T$10,$C$4:$E$7,3,FALSE)+VLOOKUP(T$10,$C$4:$F$7,4,FALSE)*_xll.QDates_YearFraction(valDate,U15,"ACT365F"))/VLOOKUP(T$10,$C$4:$G$7,5,FALSE)</f>
        <v>1.7428999999999999</v>
      </c>
      <c r="AC15" s="8" t="str" cm="1">
        <f t="array" aca="1" ref="AC15" ca="1">_xll.QDates_FuturesNextCode(AC14)</f>
        <v>CLN1</v>
      </c>
      <c r="AD15" s="1" cm="1">
        <f t="array" aca="1" ref="AD15" ca="1">_xll.QDates_FuturesExpiryFromCode(AC15)</f>
        <v>44369</v>
      </c>
      <c r="AE15" cm="1">
        <f t="array" aca="1" ref="AE15" ca="1">_xll.BDP(AC15&amp;" Comdty","PX_SETTLE")</f>
        <v>57.42</v>
      </c>
      <c r="AF15" cm="1">
        <f t="array" aca="1" ref="AF15" ca="1">_xll.BDP(AC15&amp;" Comdty",BidMidASK)</f>
        <v>57.31</v>
      </c>
      <c r="AG15" s="72">
        <f t="shared" ca="1" si="6"/>
        <v>1.259999999999998</v>
      </c>
      <c r="AH15" s="72">
        <f t="shared" ca="1" si="7"/>
        <v>1.25</v>
      </c>
      <c r="AI15" s="72">
        <f ca="1"/>
        <v>1.25</v>
      </c>
      <c r="AJ15" s="13" cm="1">
        <f t="array" aca="1" ref="AJ15" ca="1">(AF$11-AI15+VLOOKUP(AC$10,$C$4:$E$7,3,FALSE)+VLOOKUP(AC$10,$C$4:$F$7,4,FALSE)*_xll.QDates_YearFraction(valDate,AD15,"ACT365F"))/VLOOKUP(AC$10,$C$4:$G$7,5,FALSE)</f>
        <v>57.06</v>
      </c>
    </row>
    <row r="16" spans="1:36" x14ac:dyDescent="0.25">
      <c r="B16" s="8" t="str" cm="1">
        <f t="array" aca="1" ref="B16" ca="1">_xll.QDates_FuturesNextCode(B15)</f>
        <v>COU1</v>
      </c>
      <c r="C16" s="1" cm="1">
        <f t="array" aca="1" ref="C16" ca="1">_xll.QDates_FuturesExpiryFromCode(B16)</f>
        <v>44407</v>
      </c>
      <c r="D16" cm="1">
        <f t="array" aca="1" ref="D16" ca="1">_xll.BDP(B16&amp;" Comdty","PX_SETTLE")</f>
        <v>59.18</v>
      </c>
      <c r="E16" cm="1">
        <f t="array" aca="1" ref="E16" ca="1">_xll.BDP(B16&amp;" Comdty",BidMidASK)</f>
        <v>59.120000000000005</v>
      </c>
      <c r="F16" s="72">
        <f t="shared" ca="1" si="1"/>
        <v>2.2899999999999991</v>
      </c>
      <c r="G16" s="72">
        <f t="shared" ca="1" si="2"/>
        <v>2.1999999999999957</v>
      </c>
      <c r="H16" s="72">
        <f ca="1"/>
        <v>2.1999999999999957</v>
      </c>
      <c r="I16" s="13" cm="1">
        <f t="array" aca="1" ref="I16" ca="1">(E$11-H16+VLOOKUP(B$10,$C$4:$E$7,3,FALSE)+VLOOKUP(B$10,$C$4:$F$7,4,FALSE)*_xll.QDates_YearFraction(valDate,C16,"ACT365F"))/VLOOKUP(B$10,$C$4:$G$7,5,FALSE)</f>
        <v>59.110000000000007</v>
      </c>
      <c r="K16" s="8" t="str" cm="1">
        <f t="array" aca="1" ref="K16" ca="1">_xll.QDates_FuturesNextCode(K15)</f>
        <v>QSQ1</v>
      </c>
      <c r="L16" s="1" cm="1">
        <f t="array" aca="1" ref="L16" ca="1">_xll.QDates_FuturesExpiryFromCode(K16)</f>
        <v>44420</v>
      </c>
      <c r="M16" cm="1">
        <f t="array" aca="1" ref="M16" ca="1">_xll.BDP(K16&amp;" Comdty","PX_SETTLE")</f>
        <v>503.5</v>
      </c>
      <c r="N16" cm="1">
        <f t="array" aca="1" ref="N16" ca="1">_xll.BDP(K16&amp;" Comdty",BidMidASK)</f>
        <v>502.75</v>
      </c>
      <c r="O16" s="72">
        <f t="shared" ca="1" si="3"/>
        <v>-0.75</v>
      </c>
      <c r="P16" s="72">
        <f t="shared" ca="1" si="4"/>
        <v>-1</v>
      </c>
      <c r="Q16" s="72">
        <f ca="1"/>
        <v>-1</v>
      </c>
      <c r="R16" s="13" cm="1">
        <f t="array" aca="1" ref="R16" ca="1">(N$11-Q16+VLOOKUP(K$10,$C$4:$E$7,3,FALSE)+VLOOKUP(K$10,$C$4:$F$7,4,FALSE)*_xll.QDates_YearFraction(valDate,L16,"ACT365F"))/VLOOKUP(K$10,$C$4:$G$7,5,FALSE)</f>
        <v>509.73630136986299</v>
      </c>
      <c r="T16" s="8" t="str" cm="1">
        <f t="array" aca="1" ref="T16" ca="1">_xll.QDates_FuturesNextCode(T15)</f>
        <v>XBQ1</v>
      </c>
      <c r="U16" s="1" cm="1">
        <f t="array" aca="1" ref="U16" ca="1">_xll.QDates_FuturesExpiryFromCode(T16)</f>
        <v>44407</v>
      </c>
      <c r="V16" cm="1">
        <f t="array" aca="1" ref="V16" ca="1">_xll.BDP(T16&amp;" Comdty","PX_SETTLE")</f>
        <v>175.43</v>
      </c>
      <c r="W16" cm="1">
        <f t="array" aca="1" ref="W16" ca="1">_xll.BDP(T16&amp;" Comdty",BidMidASK)</f>
        <v>175.22</v>
      </c>
      <c r="X16" s="72">
        <f t="shared" ca="1" si="0"/>
        <v>-10.090000000000003</v>
      </c>
      <c r="Y16" s="72">
        <f t="shared" ca="1" si="5"/>
        <v>-9.6099999999999852</v>
      </c>
      <c r="Z16" s="72">
        <f ca="1"/>
        <v>-9.6099999999999852</v>
      </c>
      <c r="AA16" s="13" cm="1">
        <f t="array" aca="1" ref="AA16" ca="1">(W$11-Z16+VLOOKUP(T$10,$C$4:$E$7,3,FALSE)+VLOOKUP(T$10,$C$4:$F$7,4,FALSE)*_xll.QDates_YearFraction(valDate,U16,"ACT365F"))/VLOOKUP(T$10,$C$4:$G$7,5,FALSE)</f>
        <v>1.7222</v>
      </c>
      <c r="AC16" s="8" t="str" cm="1">
        <f t="array" aca="1" ref="AC16" ca="1">_xll.QDates_FuturesNextCode(AC15)</f>
        <v>CLQ1</v>
      </c>
      <c r="AD16" s="1" cm="1">
        <f t="array" aca="1" ref="AD16" ca="1">_xll.QDates_FuturesExpiryFromCode(AC16)</f>
        <v>44397</v>
      </c>
      <c r="AE16" cm="1">
        <f t="array" aca="1" ref="AE16" ca="1">_xll.BDP(AC16&amp;" Comdty","PX_SETTLE")</f>
        <v>56.86</v>
      </c>
      <c r="AF16" cm="1">
        <f t="array" aca="1" ref="AF16" ca="1">_xll.BDP(AC16&amp;" Comdty",BidMidASK)</f>
        <v>56.78</v>
      </c>
      <c r="AG16" s="72">
        <f t="shared" ca="1" si="6"/>
        <v>1.8200000000000003</v>
      </c>
      <c r="AH16" s="72">
        <f t="shared" ca="1" si="7"/>
        <v>1.7800000000000011</v>
      </c>
      <c r="AI16" s="72">
        <f ca="1"/>
        <v>1.7800000000000011</v>
      </c>
      <c r="AJ16" s="13" cm="1">
        <f t="array" aca="1" ref="AJ16" ca="1">(AF$11-AI16+VLOOKUP(AC$10,$C$4:$E$7,3,FALSE)+VLOOKUP(AC$10,$C$4:$F$7,4,FALSE)*_xll.QDates_YearFraction(valDate,AD16,"ACT365F"))/VLOOKUP(AC$10,$C$4:$G$7,5,FALSE)</f>
        <v>56.53</v>
      </c>
    </row>
    <row r="17" spans="2:36" x14ac:dyDescent="0.25">
      <c r="B17" s="8" t="str" cm="1">
        <f t="array" aca="1" ref="B17" ca="1">_xll.QDates_FuturesNextCode(B16)</f>
        <v>COV1</v>
      </c>
      <c r="C17" s="1" cm="1">
        <f t="array" aca="1" ref="C17" ca="1">_xll.QDates_FuturesExpiryFromCode(B17)</f>
        <v>44439</v>
      </c>
      <c r="D17" cm="1">
        <f t="array" aca="1" ref="D17" ca="1">_xll.BDP(B17&amp;" Comdty","PX_SETTLE")</f>
        <v>58.730000000000004</v>
      </c>
      <c r="E17" cm="1">
        <f t="array" aca="1" ref="E17" ca="1">_xll.BDP(B17&amp;" Comdty",BidMidASK)</f>
        <v>58.69</v>
      </c>
      <c r="F17" s="72">
        <f t="shared" ca="1" si="1"/>
        <v>2.7399999999999949</v>
      </c>
      <c r="G17" s="72">
        <f t="shared" ca="1" si="2"/>
        <v>2.6300000000000026</v>
      </c>
      <c r="H17" s="72">
        <f ca="1"/>
        <v>2.6300000000000026</v>
      </c>
      <c r="I17" s="13" cm="1">
        <f t="array" aca="1" ref="I17" ca="1">(E$11-H17+VLOOKUP(B$10,$C$4:$E$7,3,FALSE)+VLOOKUP(B$10,$C$4:$F$7,4,FALSE)*_xll.QDates_YearFraction(valDate,C17,"ACT365F"))/VLOOKUP(B$10,$C$4:$G$7,5,FALSE)</f>
        <v>58.68</v>
      </c>
      <c r="K17" s="8" t="str" cm="1">
        <f t="array" aca="1" ref="K17" ca="1">_xll.QDates_FuturesNextCode(K16)</f>
        <v>QSU1</v>
      </c>
      <c r="L17" s="1" cm="1">
        <f t="array" aca="1" ref="L17" ca="1">_xll.QDates_FuturesExpiryFromCode(K17)</f>
        <v>44449</v>
      </c>
      <c r="M17" cm="1">
        <f t="array" aca="1" ref="M17" ca="1">_xll.BDP(K17&amp;" Comdty","PX_SETTLE")</f>
        <v>503.25</v>
      </c>
      <c r="N17" cm="1">
        <f t="array" aca="1" ref="N17" ca="1">_xll.BDP(K17&amp;" Comdty",BidMidASK)</f>
        <v>502.5</v>
      </c>
      <c r="O17" s="72">
        <f t="shared" ca="1" si="3"/>
        <v>-0.5</v>
      </c>
      <c r="P17" s="72">
        <f t="shared" ca="1" si="4"/>
        <v>-0.75</v>
      </c>
      <c r="Q17" s="72">
        <f ca="1"/>
        <v>-0.75</v>
      </c>
      <c r="R17" s="13" cm="1">
        <f t="array" aca="1" ref="R17" ca="1">(N$11-Q17+VLOOKUP(K$10,$C$4:$E$7,3,FALSE)+VLOOKUP(K$10,$C$4:$F$7,4,FALSE)*_xll.QDates_YearFraction(valDate,L17,"ACT365F"))/VLOOKUP(K$10,$C$4:$G$7,5,FALSE)</f>
        <v>510.28082191780823</v>
      </c>
      <c r="T17" s="8" t="str" cm="1">
        <f t="array" aca="1" ref="T17" ca="1">_xll.QDates_FuturesNextCode(T16)</f>
        <v>XBU1</v>
      </c>
      <c r="U17" s="1" cm="1">
        <f t="array" aca="1" ref="U17" ca="1">_xll.QDates_FuturesExpiryFromCode(T17)</f>
        <v>44439</v>
      </c>
      <c r="V17" cm="1">
        <f t="array" aca="1" ref="V17" ca="1">_xll.BDP(T17&amp;" Comdty","PX_SETTLE")</f>
        <v>172.46</v>
      </c>
      <c r="W17" cm="1">
        <f t="array" aca="1" ref="W17" ca="1">_xll.BDP(T17&amp;" Comdty",BidMidASK)</f>
        <v>172.29</v>
      </c>
      <c r="X17" s="72">
        <f t="shared" ca="1" si="0"/>
        <v>-7.1200000000000045</v>
      </c>
      <c r="Y17" s="72">
        <f t="shared" ca="1" si="5"/>
        <v>-6.6799999999999784</v>
      </c>
      <c r="Z17" s="72">
        <f ca="1"/>
        <v>-6.6799999999999784</v>
      </c>
      <c r="AA17" s="13" cm="1">
        <f t="array" aca="1" ref="AA17" ca="1">(W$11-Z17+VLOOKUP(T$10,$C$4:$E$7,3,FALSE)+VLOOKUP(T$10,$C$4:$F$7,4,FALSE)*_xll.QDates_YearFraction(valDate,U17,"ACT365F"))/VLOOKUP(T$10,$C$4:$G$7,5,FALSE)</f>
        <v>1.6928999999999998</v>
      </c>
      <c r="AC17" s="8" t="str" cm="1">
        <f t="array" aca="1" ref="AC17" ca="1">_xll.QDates_FuturesNextCode(AC16)</f>
        <v>CLU1</v>
      </c>
      <c r="AD17" s="1" cm="1">
        <f t="array" aca="1" ref="AD17" ca="1">_xll.QDates_FuturesExpiryFromCode(AC17)</f>
        <v>44428</v>
      </c>
      <c r="AE17" cm="1">
        <f t="array" aca="1" ref="AE17" ca="1">_xll.BDP(AC17&amp;" Comdty","PX_SETTLE")</f>
        <v>56.28</v>
      </c>
      <c r="AF17" cm="1">
        <f t="array" aca="1" ref="AF17" ca="1">_xll.BDP(AC17&amp;" Comdty",BidMidASK)</f>
        <v>56.230000000000004</v>
      </c>
      <c r="AG17" s="72">
        <f t="shared" ca="1" si="6"/>
        <v>2.3999999999999986</v>
      </c>
      <c r="AH17" s="72">
        <f t="shared" ca="1" si="7"/>
        <v>2.3299999999999983</v>
      </c>
      <c r="AI17" s="72">
        <f ca="1"/>
        <v>2.3299999999999983</v>
      </c>
      <c r="AJ17" s="13" cm="1">
        <f t="array" aca="1" ref="AJ17" ca="1">(AF$11-AI17+VLOOKUP(AC$10,$C$4:$E$7,3,FALSE)+VLOOKUP(AC$10,$C$4:$F$7,4,FALSE)*_xll.QDates_YearFraction(valDate,AD17,"ACT365F"))/VLOOKUP(AC$10,$C$4:$G$7,5,FALSE)</f>
        <v>55.980000000000004</v>
      </c>
    </row>
    <row r="18" spans="2:36" x14ac:dyDescent="0.25">
      <c r="B18" s="8" t="str" cm="1">
        <f t="array" aca="1" ref="B18" ca="1">_xll.QDates_FuturesNextCode(B17)</f>
        <v>COX1</v>
      </c>
      <c r="C18" s="1" cm="1">
        <f t="array" aca="1" ref="C18" ca="1">_xll.QDates_FuturesExpiryFromCode(B18)</f>
        <v>44469</v>
      </c>
      <c r="D18" cm="1">
        <f t="array" aca="1" ref="D18" ca="1">_xll.BDP(B18&amp;" Comdty","PX_SETTLE")</f>
        <v>58.32</v>
      </c>
      <c r="E18" cm="1">
        <f t="array" aca="1" ref="E18" ca="1">_xll.BDP(B18&amp;" Comdty",BidMidASK)</f>
        <v>58.29</v>
      </c>
      <c r="F18" s="72">
        <f t="shared" ca="1" si="1"/>
        <v>3.1499999999999986</v>
      </c>
      <c r="G18" s="72">
        <f t="shared" ca="1" si="2"/>
        <v>3.0300000000000011</v>
      </c>
      <c r="H18" s="72">
        <f ca="1"/>
        <v>3.0300000000000011</v>
      </c>
      <c r="I18" s="13" cm="1">
        <f t="array" aca="1" ref="I18" ca="1">(E$11-H18+VLOOKUP(B$10,$C$4:$E$7,3,FALSE)+VLOOKUP(B$10,$C$4:$F$7,4,FALSE)*_xll.QDates_YearFraction(valDate,C18,"ACT365F"))/VLOOKUP(B$10,$C$4:$G$7,5,FALSE)</f>
        <v>58.28</v>
      </c>
      <c r="K18" s="8" t="str" cm="1">
        <f t="array" aca="1" ref="K18" ca="1">_xll.QDates_FuturesNextCode(K17)</f>
        <v>QSV1</v>
      </c>
      <c r="L18" s="1" cm="1">
        <f t="array" aca="1" ref="L18" ca="1">_xll.QDates_FuturesExpiryFromCode(K18)</f>
        <v>44481</v>
      </c>
      <c r="M18" cm="1">
        <f t="array" aca="1" ref="M18" ca="1">_xll.BDP(K18&amp;" Comdty","PX_SETTLE")</f>
        <v>503.5</v>
      </c>
      <c r="N18" cm="1">
        <f t="array" aca="1" ref="N18" ca="1">_xll.BDP(K18&amp;" Comdty",BidMidASK)</f>
        <v>502.75</v>
      </c>
      <c r="O18" s="72">
        <f t="shared" ca="1" si="3"/>
        <v>-0.75</v>
      </c>
      <c r="P18" s="72">
        <f t="shared" ca="1" si="4"/>
        <v>-1</v>
      </c>
      <c r="Q18" s="72">
        <f ca="1"/>
        <v>-1</v>
      </c>
      <c r="R18" s="13" cm="1">
        <f t="array" aca="1" ref="R18" ca="1">(N$11-Q18+VLOOKUP(K$10,$C$4:$E$7,3,FALSE)+VLOOKUP(K$10,$C$4:$F$7,4,FALSE)*_xll.QDates_YearFraction(valDate,L18,"ACT365F"))/VLOOKUP(K$10,$C$4:$G$7,5,FALSE)</f>
        <v>511.40753424657532</v>
      </c>
      <c r="T18" s="8" t="str" cm="1">
        <f t="array" aca="1" ref="T18" ca="1">_xll.QDates_FuturesNextCode(T17)</f>
        <v>XBV1</v>
      </c>
      <c r="U18" s="1" cm="1">
        <f t="array" aca="1" ref="U18" ca="1">_xll.QDates_FuturesExpiryFromCode(T18)</f>
        <v>44469</v>
      </c>
      <c r="V18" cm="1">
        <f t="array" aca="1" ref="V18" ca="1">_xll.BDP(T18&amp;" Comdty","PX_SETTLE")</f>
        <v>161.18</v>
      </c>
      <c r="W18" cm="1">
        <f t="array" aca="1" ref="W18" ca="1">_xll.BDP(T18&amp;" Comdty",BidMidASK)</f>
        <v>160.77000000000001</v>
      </c>
      <c r="X18" s="72">
        <f t="shared" ca="1" si="0"/>
        <v>4.1599999999999966</v>
      </c>
      <c r="Y18" s="72">
        <f t="shared" ca="1" si="5"/>
        <v>4.8400000000000034</v>
      </c>
      <c r="Z18" s="72">
        <f ca="1"/>
        <v>4.8400000000000034</v>
      </c>
      <c r="AA18" s="13" cm="1">
        <f t="array" aca="1" ref="AA18" ca="1">(W$11-Z18+VLOOKUP(T$10,$C$4:$E$7,3,FALSE)+VLOOKUP(T$10,$C$4:$F$7,4,FALSE)*_xll.QDates_YearFraction(valDate,U18,"ACT365F"))/VLOOKUP(T$10,$C$4:$G$7,5,FALSE)</f>
        <v>1.5777000000000001</v>
      </c>
      <c r="AC18" s="8" t="str" cm="1">
        <f t="array" aca="1" ref="AC18" ca="1">_xll.QDates_FuturesNextCode(AC17)</f>
        <v>CLV1</v>
      </c>
      <c r="AD18" s="1" cm="1">
        <f t="array" aca="1" ref="AD18" ca="1">_xll.QDates_FuturesExpiryFromCode(AC18)</f>
        <v>44460</v>
      </c>
      <c r="AE18" cm="1">
        <f t="array" aca="1" ref="AE18" ca="1">_xll.BDP(AC18&amp;" Comdty","PX_SETTLE")</f>
        <v>55.730000000000004</v>
      </c>
      <c r="AF18" cm="1">
        <f t="array" aca="1" ref="AF18" ca="1">_xll.BDP(AC18&amp;" Comdty",BidMidASK)</f>
        <v>55.7</v>
      </c>
      <c r="AG18" s="72">
        <f t="shared" ca="1" si="6"/>
        <v>2.9499999999999957</v>
      </c>
      <c r="AH18" s="72">
        <f t="shared" ca="1" si="7"/>
        <v>2.8599999999999994</v>
      </c>
      <c r="AI18" s="72">
        <f ca="1"/>
        <v>2.8599999999999994</v>
      </c>
      <c r="AJ18" s="13" cm="1">
        <f t="array" aca="1" ref="AJ18" ca="1">(AF$11-AI18+VLOOKUP(AC$10,$C$4:$E$7,3,FALSE)+VLOOKUP(AC$10,$C$4:$F$7,4,FALSE)*_xll.QDates_YearFraction(valDate,AD18,"ACT365F"))/VLOOKUP(AC$10,$C$4:$G$7,5,FALSE)</f>
        <v>55.45</v>
      </c>
    </row>
    <row r="19" spans="2:36" x14ac:dyDescent="0.25">
      <c r="B19" s="8" t="str" cm="1">
        <f t="array" aca="1" ref="B19" ca="1">_xll.QDates_FuturesNextCode(B18)</f>
        <v>COZ1</v>
      </c>
      <c r="C19" s="1" cm="1">
        <f t="array" aca="1" ref="C19" ca="1">_xll.QDates_FuturesExpiryFromCode(B19)</f>
        <v>44498</v>
      </c>
      <c r="D19" cm="1">
        <f t="array" aca="1" ref="D19" ca="1">_xll.BDP(B19&amp;" Comdty","PX_SETTLE")</f>
        <v>57.95</v>
      </c>
      <c r="E19" cm="1">
        <f t="array" aca="1" ref="E19" ca="1">_xll.BDP(B19&amp;" Comdty",BidMidASK)</f>
        <v>57.910000000000004</v>
      </c>
      <c r="F19" s="72">
        <f t="shared" ca="1" si="1"/>
        <v>3.519999999999996</v>
      </c>
      <c r="G19" s="72">
        <f t="shared" ca="1" si="2"/>
        <v>3.4099999999999966</v>
      </c>
      <c r="H19" s="72">
        <f ca="1"/>
        <v>3.4099999999999966</v>
      </c>
      <c r="I19" s="13" cm="1">
        <f t="array" aca="1" ref="I19" ca="1">(E$11-H19+VLOOKUP(B$10,$C$4:$E$7,3,FALSE)+VLOOKUP(B$10,$C$4:$F$7,4,FALSE)*_xll.QDates_YearFraction(valDate,C19,"ACT365F"))/VLOOKUP(B$10,$C$4:$G$7,5,FALSE)</f>
        <v>57.900000000000006</v>
      </c>
      <c r="K19" s="8" t="str" cm="1">
        <f t="array" aca="1" ref="K19" ca="1">_xll.QDates_FuturesNextCode(K18)</f>
        <v>QSX1</v>
      </c>
      <c r="L19" s="1" cm="1">
        <f t="array" aca="1" ref="L19" ca="1">_xll.QDates_FuturesExpiryFromCode(K19)</f>
        <v>44511</v>
      </c>
      <c r="M19" cm="1">
        <f t="array" aca="1" ref="M19" ca="1">_xll.BDP(K19&amp;" Comdty","PX_SETTLE")</f>
        <v>502.25</v>
      </c>
      <c r="N19" cm="1">
        <f t="array" aca="1" ref="N19" ca="1">_xll.BDP(K19&amp;" Comdty",BidMidASK)</f>
        <v>501.5</v>
      </c>
      <c r="O19" s="72">
        <f t="shared" ca="1" si="3"/>
        <v>0.5</v>
      </c>
      <c r="P19" s="72">
        <f t="shared" ca="1" si="4"/>
        <v>0.25</v>
      </c>
      <c r="Q19" s="72">
        <f ca="1"/>
        <v>0.25</v>
      </c>
      <c r="R19" s="13" cm="1">
        <f t="array" aca="1" ref="R19" ca="1">(N$11-Q19+VLOOKUP(K$10,$C$4:$E$7,3,FALSE)+VLOOKUP(K$10,$C$4:$F$7,4,FALSE)*_xll.QDates_YearFraction(valDate,L19,"ACT365F"))/VLOOKUP(K$10,$C$4:$G$7,5,FALSE)</f>
        <v>510.97945205479454</v>
      </c>
      <c r="T19" s="8" t="str" cm="1">
        <f t="array" aca="1" ref="T19" ca="1">_xll.QDates_FuturesNextCode(T18)</f>
        <v>XBX1</v>
      </c>
      <c r="U19" s="1" cm="1">
        <f t="array" aca="1" ref="U19" ca="1">_xll.QDates_FuturesExpiryFromCode(T19)</f>
        <v>44498</v>
      </c>
      <c r="V19" cm="1">
        <f t="array" aca="1" ref="V19" ca="1">_xll.BDP(T19&amp;" Comdty","PX_SETTLE")</f>
        <v>157.86000000000001</v>
      </c>
      <c r="W19" cm="1">
        <f t="array" aca="1" ref="W19" ca="1">_xll.BDP(T19&amp;" Comdty",BidMidASK)</f>
        <v>157.41</v>
      </c>
      <c r="X19" s="72">
        <f t="shared" ca="1" si="0"/>
        <v>7.4799999999999898</v>
      </c>
      <c r="Y19" s="72">
        <f t="shared" ca="1" si="5"/>
        <v>8.2000000000000171</v>
      </c>
      <c r="Z19" s="72">
        <f ca="1"/>
        <v>8.2000000000000171</v>
      </c>
      <c r="AA19" s="13" cm="1">
        <f t="array" aca="1" ref="AA19" ca="1">(W$11-Z19+VLOOKUP(T$10,$C$4:$E$7,3,FALSE)+VLOOKUP(T$10,$C$4:$F$7,4,FALSE)*_xll.QDates_YearFraction(valDate,U19,"ACT365F"))/VLOOKUP(T$10,$C$4:$G$7,5,FALSE)</f>
        <v>1.5441</v>
      </c>
      <c r="AC19" s="8" t="str" cm="1">
        <f t="array" aca="1" ref="AC19" ca="1">_xll.QDates_FuturesNextCode(AC18)</f>
        <v>CLX1</v>
      </c>
      <c r="AD19" s="1" cm="1">
        <f t="array" aca="1" ref="AD19" ca="1">_xll.QDates_FuturesExpiryFromCode(AC19)</f>
        <v>44489</v>
      </c>
      <c r="AE19" cm="1">
        <f t="array" aca="1" ref="AE19" ca="1">_xll.BDP(AC19&amp;" Comdty","PX_SETTLE")</f>
        <v>55.24</v>
      </c>
      <c r="AF19" cm="1">
        <f t="array" aca="1" ref="AF19" ca="1">_xll.BDP(AC19&amp;" Comdty",BidMidASK)</f>
        <v>55.22</v>
      </c>
      <c r="AG19" s="72">
        <f t="shared" ca="1" si="6"/>
        <v>3.4399999999999977</v>
      </c>
      <c r="AH19" s="72">
        <f t="shared" ca="1" si="7"/>
        <v>3.3400000000000034</v>
      </c>
      <c r="AI19" s="72">
        <f ca="1"/>
        <v>3.3400000000000034</v>
      </c>
      <c r="AJ19" s="13" cm="1">
        <f t="array" aca="1" ref="AJ19" ca="1">(AF$11-AI19+VLOOKUP(AC$10,$C$4:$E$7,3,FALSE)+VLOOKUP(AC$10,$C$4:$F$7,4,FALSE)*_xll.QDates_YearFraction(valDate,AD19,"ACT365F"))/VLOOKUP(AC$10,$C$4:$G$7,5,FALSE)</f>
        <v>54.97</v>
      </c>
    </row>
    <row r="20" spans="2:36" x14ac:dyDescent="0.25">
      <c r="B20" s="8" t="str" cm="1">
        <f t="array" aca="1" ref="B20" ca="1">_xll.QDates_FuturesNextCode(B19)</f>
        <v>COF2</v>
      </c>
      <c r="C20" s="1" cm="1">
        <f t="array" aca="1" ref="C20" ca="1">_xll.QDates_FuturesExpiryFromCode(B20)</f>
        <v>44530</v>
      </c>
      <c r="D20" cm="1">
        <f t="array" aca="1" ref="D20" ca="1">_xll.BDP(B20&amp;" Comdty","PX_SETTLE")</f>
        <v>57.6</v>
      </c>
      <c r="E20" cm="1">
        <f t="array" aca="1" ref="E20" ca="1">_xll.BDP(B20&amp;" Comdty",BidMidASK)</f>
        <v>58.02</v>
      </c>
      <c r="F20" s="72">
        <f t="shared" ca="1" si="1"/>
        <v>3.8699999999999974</v>
      </c>
      <c r="G20" s="72">
        <f t="shared" ca="1" si="2"/>
        <v>3.2999999999999972</v>
      </c>
      <c r="H20" s="72">
        <f ca="1"/>
        <v>3.2999999999999972</v>
      </c>
      <c r="I20" s="13" cm="1">
        <f t="array" aca="1" ref="I20" ca="1">(E$11-H20+VLOOKUP(B$10,$C$4:$E$7,3,FALSE)+VLOOKUP(B$10,$C$4:$F$7,4,FALSE)*_xll.QDates_YearFraction(valDate,C20,"ACT365F"))/VLOOKUP(B$10,$C$4:$G$7,5,FALSE)</f>
        <v>58.010000000000005</v>
      </c>
      <c r="K20" s="8" t="str" cm="1">
        <f t="array" aca="1" ref="K20" ca="1">_xll.QDates_FuturesNextCode(K19)</f>
        <v>QSZ1</v>
      </c>
      <c r="L20" s="1" cm="1">
        <f t="array" aca="1" ref="L20" ca="1">_xll.QDates_FuturesExpiryFromCode(K20)</f>
        <v>44540</v>
      </c>
      <c r="M20" cm="1">
        <f t="array" aca="1" ref="M20" ca="1">_xll.BDP(K20&amp;" Comdty","PX_SETTLE")</f>
        <v>500.25</v>
      </c>
      <c r="N20" cm="1">
        <f t="array" aca="1" ref="N20" ca="1">_xll.BDP(K20&amp;" Comdty",BidMidASK)</f>
        <v>499.5</v>
      </c>
      <c r="O20" s="72">
        <f t="shared" ca="1" si="3"/>
        <v>2.5</v>
      </c>
      <c r="P20" s="72">
        <f t="shared" ca="1" si="4"/>
        <v>2.25</v>
      </c>
      <c r="Q20" s="72">
        <f ca="1"/>
        <v>2.25</v>
      </c>
      <c r="R20" s="13" cm="1">
        <f t="array" aca="1" ref="R20" ca="1">(N$11-Q20+VLOOKUP(K$10,$C$4:$E$7,3,FALSE)+VLOOKUP(K$10,$C$4:$F$7,4,FALSE)*_xll.QDates_YearFraction(valDate,L20,"ACT365F"))/VLOOKUP(K$10,$C$4:$G$7,5,FALSE)</f>
        <v>509.77397260273972</v>
      </c>
      <c r="T20" s="8" t="str" cm="1">
        <f t="array" aca="1" ref="T20" ca="1">_xll.QDates_FuturesNextCode(T19)</f>
        <v>XBZ1</v>
      </c>
      <c r="U20" s="1" cm="1">
        <f t="array" aca="1" ref="U20" ca="1">_xll.QDates_FuturesExpiryFromCode(T20)</f>
        <v>44530</v>
      </c>
      <c r="V20" cm="1">
        <f t="array" aca="1" ref="V20" ca="1">_xll.BDP(T20&amp;" Comdty","PX_SETTLE")</f>
        <v>155.42000000000002</v>
      </c>
      <c r="W20" cm="1">
        <f t="array" aca="1" ref="W20" ca="1">_xll.BDP(T20&amp;" Comdty",BidMidASK)</f>
        <v>155.02000000000001</v>
      </c>
      <c r="X20" s="72">
        <f t="shared" ca="1" si="0"/>
        <v>9.9199999999999875</v>
      </c>
      <c r="Y20" s="72">
        <f t="shared" ca="1" si="5"/>
        <v>10.590000000000003</v>
      </c>
      <c r="Z20" s="72">
        <f ca="1"/>
        <v>10.590000000000003</v>
      </c>
      <c r="AA20" s="13" cm="1">
        <f t="array" aca="1" ref="AA20" ca="1">(W$11-Z20+VLOOKUP(T$10,$C$4:$E$7,3,FALSE)+VLOOKUP(T$10,$C$4:$F$7,4,FALSE)*_xll.QDates_YearFraction(valDate,U20,"ACT365F"))/VLOOKUP(T$10,$C$4:$G$7,5,FALSE)</f>
        <v>1.5202</v>
      </c>
      <c r="AC20" s="8" t="str" cm="1">
        <f t="array" aca="1" ref="AC20" ca="1">_xll.QDates_FuturesNextCode(AC19)</f>
        <v>CLZ1</v>
      </c>
      <c r="AD20" s="1" cm="1">
        <f t="array" aca="1" ref="AD20" ca="1">_xll.QDates_FuturesExpiryFromCode(AC20)</f>
        <v>44519</v>
      </c>
      <c r="AE20" cm="1">
        <f t="array" aca="1" ref="AE20" ca="1">_xll.BDP(AC20&amp;" Comdty","PX_SETTLE")</f>
        <v>54.79</v>
      </c>
      <c r="AF20" cm="1">
        <f t="array" aca="1" ref="AF20" ca="1">_xll.BDP(AC20&amp;" Comdty",BidMidASK)</f>
        <v>54.78</v>
      </c>
      <c r="AG20" s="72">
        <f t="shared" ca="1" si="6"/>
        <v>3.8900000000000006</v>
      </c>
      <c r="AH20" s="72">
        <f t="shared" ca="1" si="7"/>
        <v>3.7800000000000011</v>
      </c>
      <c r="AI20" s="72">
        <f ca="1"/>
        <v>3.7800000000000011</v>
      </c>
      <c r="AJ20" s="13" cm="1">
        <f t="array" aca="1" ref="AJ20" ca="1">(AF$11-AI20+VLOOKUP(AC$10,$C$4:$E$7,3,FALSE)+VLOOKUP(AC$10,$C$4:$F$7,4,FALSE)*_xll.QDates_YearFraction(valDate,AD20,"ACT365F"))/VLOOKUP(AC$10,$C$4:$G$7,5,FALSE)</f>
        <v>54.53</v>
      </c>
    </row>
    <row r="21" spans="2:36" x14ac:dyDescent="0.25">
      <c r="B21" s="8" t="str" cm="1">
        <f t="array" aca="1" ref="B21" ca="1">_xll.QDates_FuturesNextCode(B20)</f>
        <v>COG2</v>
      </c>
      <c r="C21" s="1" cm="1">
        <f t="array" aca="1" ref="C21" ca="1">_xll.QDates_FuturesExpiryFromCode(B21)</f>
        <v>44561</v>
      </c>
      <c r="D21" cm="1">
        <f t="array" aca="1" ref="D21" ca="1">_xll.BDP(B21&amp;" Comdty","PX_SETTLE")</f>
        <v>57.28</v>
      </c>
      <c r="E21" cm="1">
        <f t="array" aca="1" ref="E21" ca="1">_xll.BDP(B21&amp;" Comdty",BidMidASK)</f>
        <v>57.7</v>
      </c>
      <c r="F21" s="72">
        <f t="shared" ca="1" si="1"/>
        <v>4.1899999999999977</v>
      </c>
      <c r="G21" s="72">
        <f t="shared" ca="1" si="2"/>
        <v>3.6199999999999974</v>
      </c>
      <c r="H21" s="72">
        <f ca="1"/>
        <v>3.6199999999999974</v>
      </c>
      <c r="I21" s="13" cm="1">
        <f t="array" aca="1" ref="I21" ca="1">(E$11-H21+VLOOKUP(B$10,$C$4:$E$7,3,FALSE)+VLOOKUP(B$10,$C$4:$F$7,4,FALSE)*_xll.QDates_YearFraction(valDate,C21,"ACT365F"))/VLOOKUP(B$10,$C$4:$G$7,5,FALSE)</f>
        <v>57.690000000000005</v>
      </c>
      <c r="K21" s="8" t="str" cm="1">
        <f t="array" aca="1" ref="K21" ca="1">_xll.QDates_FuturesNextCode(K20)</f>
        <v>QSF2</v>
      </c>
      <c r="L21" s="1" cm="1">
        <f t="array" aca="1" ref="L21" ca="1">_xll.QDates_FuturesExpiryFromCode(K21)</f>
        <v>44573</v>
      </c>
      <c r="M21" cm="1">
        <f t="array" aca="1" ref="M21" ca="1">_xll.BDP(K21&amp;" Comdty","PX_SETTLE")</f>
        <v>500</v>
      </c>
      <c r="N21" cm="1">
        <f t="array" aca="1" ref="N21" ca="1">_xll.BDP(K21&amp;" Comdty",BidMidASK)</f>
        <v>499.25</v>
      </c>
      <c r="O21" s="72">
        <f t="shared" ca="1" si="3"/>
        <v>2.75</v>
      </c>
      <c r="P21" s="72">
        <f t="shared" ca="1" si="4"/>
        <v>2.5</v>
      </c>
      <c r="Q21" s="72">
        <f ca="1"/>
        <v>2.5</v>
      </c>
      <c r="R21" s="13" cm="1">
        <f t="array" aca="1" ref="R21" ca="1">(N$11-Q21+VLOOKUP(K$10,$C$4:$E$7,3,FALSE)+VLOOKUP(K$10,$C$4:$F$7,4,FALSE)*_xll.QDates_YearFraction(valDate,L21,"ACT365F"))/VLOOKUP(K$10,$C$4:$G$7,5,FALSE)</f>
        <v>510.42808219178085</v>
      </c>
      <c r="T21" s="8" t="str" cm="1">
        <f t="array" aca="1" ref="T21" ca="1">_xll.QDates_FuturesNextCode(T20)</f>
        <v>XBF2</v>
      </c>
      <c r="U21" s="1" cm="1">
        <f t="array" aca="1" ref="U21" ca="1">_xll.QDates_FuturesExpiryFromCode(T21)</f>
        <v>44560</v>
      </c>
      <c r="V21" cm="1">
        <f t="array" aca="1" ref="V21" ca="1">_xll.BDP(T21&amp;" Comdty","PX_SETTLE")</f>
        <v>154.61000000000001</v>
      </c>
      <c r="W21" cm="1">
        <f t="array" aca="1" ref="W21" ca="1">_xll.BDP(T21&amp;" Comdty",BidMidASK)</f>
        <v>154.26</v>
      </c>
      <c r="X21" s="72">
        <f t="shared" ca="1" si="0"/>
        <v>10.72999999999999</v>
      </c>
      <c r="Y21" s="72">
        <f t="shared" ca="1" si="5"/>
        <v>11.350000000000023</v>
      </c>
      <c r="Z21" s="72">
        <f ca="1"/>
        <v>11.350000000000023</v>
      </c>
      <c r="AA21" s="13" cm="1">
        <f t="array" aca="1" ref="AA21" ca="1">(W$11-Z21+VLOOKUP(T$10,$C$4:$E$7,3,FALSE)+VLOOKUP(T$10,$C$4:$F$7,4,FALSE)*_xll.QDates_YearFraction(valDate,U21,"ACT365F"))/VLOOKUP(T$10,$C$4:$G$7,5,FALSE)</f>
        <v>1.5125999999999999</v>
      </c>
      <c r="AC21" s="8" t="str" cm="1">
        <f t="array" aca="1" ref="AC21" ca="1">_xll.QDates_FuturesNextCode(AC20)</f>
        <v>CLF2</v>
      </c>
      <c r="AD21" s="1" cm="1">
        <f t="array" aca="1" ref="AD21" ca="1">_xll.QDates_FuturesExpiryFromCode(AC21)</f>
        <v>44550</v>
      </c>
      <c r="AE21" cm="1">
        <f t="array" aca="1" ref="AE21" ca="1">_xll.BDP(AC21&amp;" Comdty","PX_SETTLE")</f>
        <v>54.35</v>
      </c>
      <c r="AF21" cm="1">
        <f t="array" aca="1" ref="AF21" ca="1">_xll.BDP(AC21&amp;" Comdty",BidMidASK)</f>
        <v>54.36</v>
      </c>
      <c r="AG21" s="72">
        <f t="shared" ca="1" si="6"/>
        <v>4.3299999999999983</v>
      </c>
      <c r="AH21" s="72">
        <f t="shared" ca="1" si="7"/>
        <v>4.2000000000000028</v>
      </c>
      <c r="AI21" s="72">
        <f ca="1"/>
        <v>4.2000000000000028</v>
      </c>
      <c r="AJ21" s="13" cm="1">
        <f t="array" aca="1" ref="AJ21" ca="1">(AF$11-AI21+VLOOKUP(AC$10,$C$4:$E$7,3,FALSE)+VLOOKUP(AC$10,$C$4:$F$7,4,FALSE)*_xll.QDates_YearFraction(valDate,AD21,"ACT365F"))/VLOOKUP(AC$10,$C$4:$G$7,5,FALSE)</f>
        <v>54.11</v>
      </c>
    </row>
    <row r="22" spans="2:36" x14ac:dyDescent="0.25">
      <c r="B22" s="8" t="str" cm="1">
        <f t="array" aca="1" ref="B22" ca="1">_xll.QDates_FuturesNextCode(B21)</f>
        <v>COH2</v>
      </c>
      <c r="C22" s="1" cm="1">
        <f t="array" aca="1" ref="C22" ca="1">_xll.QDates_FuturesExpiryFromCode(B22)</f>
        <v>44592</v>
      </c>
      <c r="D22" cm="1">
        <f t="array" aca="1" ref="D22" ca="1">_xll.BDP(B22&amp;" Comdty","PX_SETTLE")</f>
        <v>57</v>
      </c>
      <c r="E22" cm="1">
        <f t="array" aca="1" ref="E22" ca="1">_xll.BDP(B22&amp;" Comdty",BidMidASK)</f>
        <v>57.45</v>
      </c>
      <c r="F22" s="72">
        <f t="shared" ca="1" si="1"/>
        <v>4.4699999999999989</v>
      </c>
      <c r="G22" s="72">
        <f t="shared" ca="1" si="2"/>
        <v>3.8699999999999974</v>
      </c>
      <c r="H22" s="72">
        <f ca="1"/>
        <v>3.8699999999999974</v>
      </c>
      <c r="I22" s="13" cm="1">
        <f t="array" aca="1" ref="I22" ca="1">(E$11-H22+VLOOKUP(B$10,$C$4:$E$7,3,FALSE)+VLOOKUP(B$10,$C$4:$F$7,4,FALSE)*_xll.QDates_YearFraction(valDate,C22,"ACT365F"))/VLOOKUP(B$10,$C$4:$G$7,5,FALSE)</f>
        <v>57.440000000000005</v>
      </c>
      <c r="K22" s="8" t="str" cm="1">
        <f t="array" aca="1" ref="K22" ca="1">_xll.QDates_FuturesNextCode(K21)</f>
        <v>QSG2</v>
      </c>
      <c r="L22" s="1" cm="1">
        <f t="array" aca="1" ref="L22" ca="1">_xll.QDates_FuturesExpiryFromCode(K22)</f>
        <v>44602</v>
      </c>
      <c r="M22" cm="1">
        <f t="array" aca="1" ref="M22" ca="1">_xll.BDP(K22&amp;" Comdty","PX_SETTLE")</f>
        <v>499.5</v>
      </c>
      <c r="N22" cm="1">
        <f t="array" aca="1" ref="N22" ca="1">_xll.BDP(K22&amp;" Comdty",BidMidASK)</f>
        <v>502.5</v>
      </c>
      <c r="O22" s="72">
        <f t="shared" ca="1" si="3"/>
        <v>3.25</v>
      </c>
      <c r="P22" s="72">
        <f t="shared" ca="1" si="4"/>
        <v>-0.75</v>
      </c>
      <c r="Q22" s="72">
        <f ca="1"/>
        <v>-0.75</v>
      </c>
      <c r="R22" s="13" cm="1">
        <f t="array" aca="1" ref="R22" ca="1">(N$11-Q22+VLOOKUP(K$10,$C$4:$E$7,3,FALSE)+VLOOKUP(K$10,$C$4:$F$7,4,FALSE)*_xll.QDates_YearFraction(valDate,L22,"ACT365F"))/VLOOKUP(K$10,$C$4:$G$7,5,FALSE)</f>
        <v>514.47260273972597</v>
      </c>
      <c r="T22" s="8" t="str" cm="1">
        <f t="array" aca="1" ref="T22" ca="1">_xll.QDates_FuturesNextCode(T21)</f>
        <v>XBG2</v>
      </c>
      <c r="U22" s="1" cm="1">
        <f t="array" aca="1" ref="U22" ca="1">_xll.QDates_FuturesExpiryFromCode(T22)</f>
        <v>44592</v>
      </c>
      <c r="V22" cm="1">
        <f t="array" aca="1" ref="V22" ca="1">_xll.BDP(T22&amp;" Comdty","PX_SETTLE")</f>
        <v>154.86000000000001</v>
      </c>
      <c r="W22" t="str" cm="1">
        <f t="array" aca="1" ref="W22" ca="1">_xll.BDP(T22&amp;" Comdty",BidMidASK)</f>
        <v>#N/A N/A</v>
      </c>
      <c r="X22" s="72">
        <f t="shared" ca="1" si="0"/>
        <v>10.47999999999999</v>
      </c>
      <c r="Y22" s="72" t="str">
        <f t="shared" ca="1" si="5"/>
        <v/>
      </c>
      <c r="Z22" s="72">
        <f ca="1"/>
        <v>9.7800000000000153</v>
      </c>
      <c r="AA22" s="13" cm="1">
        <f t="array" aca="1" ref="AA22" ca="1">(W$11-Z22+VLOOKUP(T$10,$C$4:$E$7,3,FALSE)+VLOOKUP(T$10,$C$4:$F$7,4,FALSE)*_xll.QDates_YearFraction(valDate,U22,"ACT365F"))/VLOOKUP(T$10,$C$4:$G$7,5,FALSE)</f>
        <v>1.5282999999999998</v>
      </c>
      <c r="AC22" s="8" t="str" cm="1">
        <f t="array" aca="1" ref="AC22" ca="1">_xll.QDates_FuturesNextCode(AC21)</f>
        <v>CLG2</v>
      </c>
      <c r="AD22" s="1" cm="1">
        <f t="array" aca="1" ref="AD22" ca="1">_xll.QDates_FuturesExpiryFromCode(AC22)</f>
        <v>44581</v>
      </c>
      <c r="AE22" cm="1">
        <f t="array" aca="1" ref="AE22" ca="1">_xll.BDP(AC22&amp;" Comdty","PX_SETTLE")</f>
        <v>53.95</v>
      </c>
      <c r="AF22" cm="1">
        <f t="array" aca="1" ref="AF22" ca="1">_xll.BDP(AC22&amp;" Comdty",BidMidASK)</f>
        <v>53.97</v>
      </c>
      <c r="AG22" s="72">
        <f t="shared" ca="1" si="6"/>
        <v>4.7299999999999969</v>
      </c>
      <c r="AH22" s="72">
        <f t="shared" ca="1" si="7"/>
        <v>4.5900000000000034</v>
      </c>
      <c r="AI22" s="72">
        <f ca="1"/>
        <v>4.5900000000000034</v>
      </c>
      <c r="AJ22" s="13" cm="1">
        <f t="array" aca="1" ref="AJ22" ca="1">(AF$11-AI22+VLOOKUP(AC$10,$C$4:$E$7,3,FALSE)+VLOOKUP(AC$10,$C$4:$F$7,4,FALSE)*_xll.QDates_YearFraction(valDate,AD22,"ACT365F"))/VLOOKUP(AC$10,$C$4:$G$7,5,FALSE)</f>
        <v>53.72</v>
      </c>
    </row>
    <row r="23" spans="2:36" x14ac:dyDescent="0.25">
      <c r="B23" s="8" t="str" cm="1">
        <f t="array" aca="1" ref="B23" ca="1">_xll.QDates_FuturesNextCode(B22)</f>
        <v>COJ2</v>
      </c>
      <c r="C23" s="1" cm="1">
        <f t="array" aca="1" ref="C23" ca="1">_xll.QDates_FuturesExpiryFromCode(B23)</f>
        <v>44620</v>
      </c>
      <c r="D23" cm="1">
        <f t="array" aca="1" ref="D23" ca="1">_xll.BDP(B23&amp;" Comdty","PX_SETTLE")</f>
        <v>56.74</v>
      </c>
      <c r="E23" cm="1">
        <f t="array" aca="1" ref="E23" ca="1">_xll.BDP(B23&amp;" Comdty",BidMidASK)</f>
        <v>57.19</v>
      </c>
      <c r="F23" s="72">
        <f t="shared" ca="1" si="1"/>
        <v>4.7299999999999969</v>
      </c>
      <c r="G23" s="72">
        <f t="shared" ca="1" si="2"/>
        <v>4.1300000000000026</v>
      </c>
      <c r="H23" s="72">
        <f ca="1"/>
        <v>4.1300000000000026</v>
      </c>
      <c r="I23" s="13" cm="1">
        <f t="array" aca="1" ref="I23" ca="1">(E$11-H23+VLOOKUP(B$10,$C$4:$E$7,3,FALSE)+VLOOKUP(B$10,$C$4:$F$7,4,FALSE)*_xll.QDates_YearFraction(valDate,C23,"ACT365F"))/VLOOKUP(B$10,$C$4:$G$7,5,FALSE)</f>
        <v>57.18</v>
      </c>
      <c r="K23" s="8" t="str" cm="1">
        <f t="array" aca="1" ref="K23" ca="1">_xll.QDates_FuturesNextCode(K22)</f>
        <v>QSH2</v>
      </c>
      <c r="L23" s="1" cm="1">
        <f t="array" aca="1" ref="L23" ca="1">_xll.QDates_FuturesExpiryFromCode(K23)</f>
        <v>44630</v>
      </c>
      <c r="M23" cm="1">
        <f t="array" aca="1" ref="M23" ca="1">_xll.BDP(K23&amp;" Comdty","PX_SETTLE")</f>
        <v>498.75</v>
      </c>
      <c r="N23" cm="1">
        <f t="array" aca="1" ref="N23" ca="1">_xll.BDP(K23&amp;" Comdty",BidMidASK)</f>
        <v>501.75</v>
      </c>
      <c r="O23" s="72">
        <f t="shared" ca="1" si="3"/>
        <v>4</v>
      </c>
      <c r="P23" s="72">
        <f t="shared" ca="1" si="4"/>
        <v>0</v>
      </c>
      <c r="Q23" s="72">
        <f ca="1"/>
        <v>0</v>
      </c>
      <c r="R23" s="13" cm="1">
        <f t="array" aca="1" ref="R23" ca="1">(N$11-Q23+VLOOKUP(K$10,$C$4:$E$7,3,FALSE)+VLOOKUP(K$10,$C$4:$F$7,4,FALSE)*_xll.QDates_YearFraction(valDate,L23,"ACT365F"))/VLOOKUP(K$10,$C$4:$G$7,5,FALSE)</f>
        <v>514.4897260273973</v>
      </c>
      <c r="T23" s="8" t="str" cm="1">
        <f t="array" aca="1" ref="T23" ca="1">_xll.QDates_FuturesNextCode(T22)</f>
        <v>XBH2</v>
      </c>
      <c r="U23" s="1" cm="1">
        <f t="array" aca="1" ref="U23" ca="1">_xll.QDates_FuturesExpiryFromCode(T23)</f>
        <v>44620</v>
      </c>
      <c r="V23" cm="1">
        <f t="array" aca="1" ref="V23" ca="1">_xll.BDP(T23&amp;" Comdty","PX_SETTLE")</f>
        <v>156.06</v>
      </c>
      <c r="W23" cm="1">
        <f t="array" aca="1" ref="W23" ca="1">_xll.BDP(T23&amp;" Comdty",BidMidASK)</f>
        <v>158.35</v>
      </c>
      <c r="X23" s="72">
        <f t="shared" ca="1" si="0"/>
        <v>9.2800000000000011</v>
      </c>
      <c r="Y23" s="72">
        <f t="shared" ca="1" si="5"/>
        <v>7.2600000000000193</v>
      </c>
      <c r="Z23" s="72">
        <f ca="1"/>
        <v>7.2600000000000193</v>
      </c>
      <c r="AA23" s="13" cm="1">
        <f t="array" aca="1" ref="AA23" ca="1">(W$11-Z23+VLOOKUP(T$10,$C$4:$E$7,3,FALSE)+VLOOKUP(T$10,$C$4:$F$7,4,FALSE)*_xll.QDates_YearFraction(valDate,U23,"ACT365F"))/VLOOKUP(T$10,$C$4:$G$7,5,FALSE)</f>
        <v>1.5534999999999999</v>
      </c>
      <c r="AC23" s="8" t="str" cm="1">
        <f t="array" aca="1" ref="AC23" ca="1">_xll.QDates_FuturesNextCode(AC22)</f>
        <v>CLH2</v>
      </c>
      <c r="AD23" s="1" cm="1">
        <f t="array" aca="1" ref="AD23" ca="1">_xll.QDates_FuturesExpiryFromCode(AC23)</f>
        <v>44614</v>
      </c>
      <c r="AE23" cm="1">
        <f t="array" aca="1" ref="AE23" ca="1">_xll.BDP(AC23&amp;" Comdty","PX_SETTLE")</f>
        <v>53.59</v>
      </c>
      <c r="AF23" cm="1">
        <f t="array" aca="1" ref="AF23" ca="1">_xll.BDP(AC23&amp;" Comdty",BidMidASK)</f>
        <v>53.95</v>
      </c>
      <c r="AG23" s="72">
        <f t="shared" ca="1" si="6"/>
        <v>5.0899999999999963</v>
      </c>
      <c r="AH23" s="72">
        <f t="shared" ca="1" si="7"/>
        <v>4.6099999999999994</v>
      </c>
      <c r="AI23" s="72">
        <f ca="1"/>
        <v>4.6099999999999994</v>
      </c>
      <c r="AJ23" s="13" cm="1">
        <f t="array" aca="1" ref="AJ23" ca="1">(AF$11-AI23+VLOOKUP(AC$10,$C$4:$E$7,3,FALSE)+VLOOKUP(AC$10,$C$4:$F$7,4,FALSE)*_xll.QDates_YearFraction(valDate,AD23,"ACT365F"))/VLOOKUP(AC$10,$C$4:$G$7,5,FALSE)</f>
        <v>53.7</v>
      </c>
    </row>
    <row r="24" spans="2:36" x14ac:dyDescent="0.25">
      <c r="B24" s="8" t="str" cm="1">
        <f t="array" aca="1" ref="B24" ca="1">_xll.QDates_FuturesNextCode(B23)</f>
        <v>COK2</v>
      </c>
      <c r="C24" s="1" cm="1">
        <f t="array" aca="1" ref="C24" ca="1">_xll.QDates_FuturesExpiryFromCode(B24)</f>
        <v>44651</v>
      </c>
      <c r="D24" cm="1">
        <f t="array" aca="1" ref="D24" ca="1">_xll.BDP(B24&amp;" Comdty","PX_SETTLE")</f>
        <v>56.49</v>
      </c>
      <c r="E24" cm="1">
        <f t="array" aca="1" ref="E24" ca="1">_xll.BDP(B24&amp;" Comdty",BidMidASK)</f>
        <v>56.980000000000004</v>
      </c>
      <c r="F24" s="72">
        <f t="shared" ca="1" si="1"/>
        <v>4.9799999999999969</v>
      </c>
      <c r="G24" s="72">
        <f t="shared" ca="1" si="2"/>
        <v>4.3399999999999963</v>
      </c>
      <c r="H24" s="72">
        <f ca="1"/>
        <v>4.3399999999999963</v>
      </c>
      <c r="I24" s="13" cm="1">
        <f t="array" aca="1" ref="I24" ca="1">(E$11-H24+VLOOKUP(B$10,$C$4:$E$7,3,FALSE)+VLOOKUP(B$10,$C$4:$F$7,4,FALSE)*_xll.QDates_YearFraction(valDate,C24,"ACT365F"))/VLOOKUP(B$10,$C$4:$G$7,5,FALSE)</f>
        <v>56.970000000000006</v>
      </c>
      <c r="K24" s="8" t="str" cm="1">
        <f t="array" aca="1" ref="K24" ca="1">_xll.QDates_FuturesNextCode(K23)</f>
        <v>QSJ2</v>
      </c>
      <c r="L24" s="1" cm="1">
        <f t="array" aca="1" ref="L24" ca="1">_xll.QDates_FuturesExpiryFromCode(K24)</f>
        <v>44663</v>
      </c>
      <c r="M24" cm="1">
        <f t="array" aca="1" ref="M24" ca="1">_xll.BDP(K24&amp;" Comdty","PX_SETTLE")</f>
        <v>497.5</v>
      </c>
      <c r="N24" cm="1">
        <f t="array" aca="1" ref="N24" ca="1">_xll.BDP(K24&amp;" Comdty",BidMidASK)</f>
        <v>501</v>
      </c>
      <c r="O24" s="72">
        <f t="shared" ca="1" si="3"/>
        <v>5.25</v>
      </c>
      <c r="P24" s="72">
        <f t="shared" ca="1" si="4"/>
        <v>0.75</v>
      </c>
      <c r="Q24" s="72">
        <f ca="1"/>
        <v>0.75</v>
      </c>
      <c r="R24" s="13" cm="1">
        <f t="array" aca="1" ref="R24" ca="1">(N$11-Q24+VLOOKUP(K$10,$C$4:$E$7,3,FALSE)+VLOOKUP(K$10,$C$4:$F$7,4,FALSE)*_xll.QDates_YearFraction(valDate,L24,"ACT365F"))/VLOOKUP(K$10,$C$4:$G$7,5,FALSE)</f>
        <v>514.64383561643831</v>
      </c>
      <c r="T24" s="8" t="str" cm="1">
        <f t="array" aca="1" ref="T24" ca="1">_xll.QDates_FuturesNextCode(T23)</f>
        <v>XBJ2</v>
      </c>
      <c r="U24" s="1" cm="1">
        <f t="array" aca="1" ref="U24" ca="1">_xll.QDates_FuturesExpiryFromCode(T24)</f>
        <v>44651</v>
      </c>
      <c r="V24" cm="1">
        <f t="array" aca="1" ref="V24" ca="1">_xll.BDP(T24&amp;" Comdty","PX_SETTLE")</f>
        <v>168.57</v>
      </c>
      <c r="W24" cm="1">
        <f t="array" aca="1" ref="W24" ca="1">_xll.BDP(T24&amp;" Comdty",BidMidASK)</f>
        <v>171.12</v>
      </c>
      <c r="X24" s="72">
        <f t="shared" ca="1" si="0"/>
        <v>-3.2299999999999898</v>
      </c>
      <c r="Y24" s="72">
        <f t="shared" ca="1" si="5"/>
        <v>-5.5099999999999909</v>
      </c>
      <c r="Z24" s="72">
        <f ca="1"/>
        <v>-5.5099999999999909</v>
      </c>
      <c r="AA24" s="13" cm="1">
        <f t="array" aca="1" ref="AA24" ca="1">(W$11-Z24+VLOOKUP(T$10,$C$4:$E$7,3,FALSE)+VLOOKUP(T$10,$C$4:$F$7,4,FALSE)*_xll.QDates_YearFraction(valDate,U24,"ACT365F"))/VLOOKUP(T$10,$C$4:$G$7,5,FALSE)</f>
        <v>1.6812</v>
      </c>
      <c r="AC24" s="8" t="str" cm="1">
        <f t="array" aca="1" ref="AC24" ca="1">_xll.QDates_FuturesNextCode(AC23)</f>
        <v>CLJ2</v>
      </c>
      <c r="AD24" s="1" cm="1">
        <f t="array" aca="1" ref="AD24" ca="1">_xll.QDates_FuturesExpiryFromCode(AC24)</f>
        <v>44642</v>
      </c>
      <c r="AE24" cm="1">
        <f t="array" aca="1" ref="AE24" ca="1">_xll.BDP(AC24&amp;" Comdty","PX_SETTLE")</f>
        <v>53.26</v>
      </c>
      <c r="AF24" cm="1">
        <f t="array" aca="1" ref="AF24" ca="1">_xll.BDP(AC24&amp;" Comdty",BidMidASK)</f>
        <v>53.63</v>
      </c>
      <c r="AG24" s="72">
        <f t="shared" ca="1" si="6"/>
        <v>5.4200000000000017</v>
      </c>
      <c r="AH24" s="72">
        <f t="shared" ca="1" si="7"/>
        <v>4.93</v>
      </c>
      <c r="AI24" s="72">
        <f ca="1"/>
        <v>4.93</v>
      </c>
      <c r="AJ24" s="13" cm="1">
        <f t="array" aca="1" ref="AJ24" ca="1">(AF$11-AI24+VLOOKUP(AC$10,$C$4:$E$7,3,FALSE)+VLOOKUP(AC$10,$C$4:$F$7,4,FALSE)*_xll.QDates_YearFraction(valDate,AD24,"ACT365F"))/VLOOKUP(AC$10,$C$4:$G$7,5,FALSE)</f>
        <v>53.38</v>
      </c>
    </row>
    <row r="25" spans="2:36" x14ac:dyDescent="0.25">
      <c r="B25" s="8" t="str" cm="1">
        <f t="array" aca="1" ref="B25" ca="1">_xll.QDates_FuturesNextCode(B24)</f>
        <v>COM2</v>
      </c>
      <c r="C25" s="1" cm="1">
        <f t="array" aca="1" ref="C25" ca="1">_xll.QDates_FuturesExpiryFromCode(B25)</f>
        <v>44680</v>
      </c>
      <c r="D25" cm="1">
        <f t="array" aca="1" ref="D25" ca="1">_xll.BDP(B25&amp;" Comdty","PX_SETTLE")</f>
        <v>56.24</v>
      </c>
      <c r="E25" cm="1">
        <f t="array" aca="1" ref="E25" ca="1">_xll.BDP(B25&amp;" Comdty",BidMidASK)</f>
        <v>56.230000000000004</v>
      </c>
      <c r="F25" s="72">
        <f t="shared" ca="1" si="1"/>
        <v>5.2299999999999969</v>
      </c>
      <c r="G25" s="72">
        <f t="shared" ca="1" si="2"/>
        <v>5.0899999999999963</v>
      </c>
      <c r="H25" s="72">
        <f ca="1"/>
        <v>5.0899999999999963</v>
      </c>
      <c r="I25" s="13" cm="1">
        <f t="array" aca="1" ref="I25" ca="1">(E$11-H25+VLOOKUP(B$10,$C$4:$E$7,3,FALSE)+VLOOKUP(B$10,$C$4:$F$7,4,FALSE)*_xll.QDates_YearFraction(valDate,C25,"ACT365F"))/VLOOKUP(B$10,$C$4:$G$7,5,FALSE)</f>
        <v>56.220000000000006</v>
      </c>
      <c r="K25" s="8" t="str" cm="1">
        <f t="array" aca="1" ref="K25" ca="1">_xll.QDates_FuturesNextCode(K24)</f>
        <v>QSK2</v>
      </c>
      <c r="L25" s="1" cm="1">
        <f t="array" aca="1" ref="L25" ca="1">_xll.QDates_FuturesExpiryFromCode(K25)</f>
        <v>44693</v>
      </c>
      <c r="M25" cm="1">
        <f t="array" aca="1" ref="M25" ca="1">_xll.BDP(K25&amp;" Comdty","PX_SETTLE")</f>
        <v>496.25</v>
      </c>
      <c r="N25" cm="1">
        <f t="array" aca="1" ref="N25" ca="1">_xll.BDP(K25&amp;" Comdty",BidMidASK)</f>
        <v>500</v>
      </c>
      <c r="O25" s="72">
        <f t="shared" ca="1" si="3"/>
        <v>6.5</v>
      </c>
      <c r="P25" s="72">
        <f t="shared" ca="1" si="4"/>
        <v>1.75</v>
      </c>
      <c r="Q25" s="72">
        <f ca="1"/>
        <v>1.75</v>
      </c>
      <c r="R25" s="13" cm="1">
        <f t="array" aca="1" ref="R25" ca="1">(N$11-Q25+VLOOKUP(K$10,$C$4:$E$7,3,FALSE)+VLOOKUP(K$10,$C$4:$F$7,4,FALSE)*_xll.QDates_YearFraction(valDate,L25,"ACT365F"))/VLOOKUP(K$10,$C$4:$G$7,5,FALSE)</f>
        <v>514.46575342465758</v>
      </c>
      <c r="T25" s="8" t="str" cm="1">
        <f t="array" aca="1" ref="T25" ca="1">_xll.QDates_FuturesNextCode(T24)</f>
        <v>XBK2</v>
      </c>
      <c r="U25" s="1" cm="1">
        <f t="array" aca="1" ref="U25" ca="1">_xll.QDates_FuturesExpiryFromCode(T25)</f>
        <v>44680</v>
      </c>
      <c r="V25" cm="1">
        <f t="array" aca="1" ref="V25" ca="1">_xll.BDP(T25&amp;" Comdty","PX_SETTLE")</f>
        <v>169.65</v>
      </c>
      <c r="W25" cm="1">
        <f t="array" aca="1" ref="W25" ca="1">_xll.BDP(T25&amp;" Comdty",BidMidASK)</f>
        <v>172.19</v>
      </c>
      <c r="X25" s="72">
        <f t="shared" ca="1" si="0"/>
        <v>-4.3100000000000023</v>
      </c>
      <c r="Y25" s="72">
        <f t="shared" ca="1" si="5"/>
        <v>-6.5799999999999841</v>
      </c>
      <c r="Z25" s="72">
        <f ca="1"/>
        <v>-6.5799999999999841</v>
      </c>
      <c r="AA25" s="13" cm="1">
        <f t="array" aca="1" ref="AA25" ca="1">(W$11-Z25+VLOOKUP(T$10,$C$4:$E$7,3,FALSE)+VLOOKUP(T$10,$C$4:$F$7,4,FALSE)*_xll.QDates_YearFraction(valDate,U25,"ACT365F"))/VLOOKUP(T$10,$C$4:$G$7,5,FALSE)</f>
        <v>1.6919</v>
      </c>
      <c r="AC25" s="8" t="str" cm="1">
        <f t="array" aca="1" ref="AC25" ca="1">_xll.QDates_FuturesNextCode(AC24)</f>
        <v>CLK2</v>
      </c>
      <c r="AD25" s="1" cm="1">
        <f t="array" aca="1" ref="AD25" ca="1">_xll.QDates_FuturesExpiryFromCode(AC25)</f>
        <v>44671</v>
      </c>
      <c r="AE25" cm="1">
        <f t="array" aca="1" ref="AE25" ca="1">_xll.BDP(AC25&amp;" Comdty","PX_SETTLE")</f>
        <v>52.95</v>
      </c>
      <c r="AF25" cm="1">
        <f t="array" aca="1" ref="AF25" ca="1">_xll.BDP(AC25&amp;" Comdty",BidMidASK)</f>
        <v>53.44</v>
      </c>
      <c r="AG25" s="72">
        <f t="shared" ca="1" si="6"/>
        <v>5.7299999999999969</v>
      </c>
      <c r="AH25" s="72">
        <f t="shared" ca="1" si="7"/>
        <v>5.1200000000000045</v>
      </c>
      <c r="AI25" s="72">
        <f ca="1"/>
        <v>5.1200000000000045</v>
      </c>
      <c r="AJ25" s="13" cm="1">
        <f t="array" aca="1" ref="AJ25" ca="1">(AF$11-AI25+VLOOKUP(AC$10,$C$4:$E$7,3,FALSE)+VLOOKUP(AC$10,$C$4:$F$7,4,FALSE)*_xll.QDates_YearFraction(valDate,AD25,"ACT365F"))/VLOOKUP(AC$10,$C$4:$G$7,5,FALSE)</f>
        <v>53.19</v>
      </c>
    </row>
    <row r="26" spans="2:36" x14ac:dyDescent="0.25">
      <c r="B26" s="8" t="str" cm="1">
        <f t="array" aca="1" ref="B26" ca="1">_xll.QDates_FuturesNextCode(B25)</f>
        <v>CON2</v>
      </c>
      <c r="C26" s="1" cm="1">
        <f t="array" aca="1" ref="C26" ca="1">_xll.QDates_FuturesExpiryFromCode(B26)</f>
        <v>44712</v>
      </c>
      <c r="D26" cm="1">
        <f t="array" aca="1" ref="D26" ca="1">_xll.BDP(B26&amp;" Comdty","PX_SETTLE")</f>
        <v>56.01</v>
      </c>
      <c r="E26" cm="1">
        <f t="array" aca="1" ref="E26" ca="1">_xll.BDP(B26&amp;" Comdty",BidMidASK)</f>
        <v>56.45</v>
      </c>
      <c r="F26" s="72">
        <f t="shared" ca="1" si="1"/>
        <v>5.4600000000000009</v>
      </c>
      <c r="G26" s="72">
        <f t="shared" ca="1" si="2"/>
        <v>4.8699999999999974</v>
      </c>
      <c r="H26" s="72">
        <f ca="1"/>
        <v>4.8699999999999974</v>
      </c>
      <c r="I26" s="13" cm="1">
        <f t="array" aca="1" ref="I26" ca="1">(E$11-H26+VLOOKUP(B$10,$C$4:$E$7,3,FALSE)+VLOOKUP(B$10,$C$4:$F$7,4,FALSE)*_xll.QDates_YearFraction(valDate,C26,"ACT365F"))/VLOOKUP(B$10,$C$4:$G$7,5,FALSE)</f>
        <v>56.440000000000005</v>
      </c>
      <c r="K26" s="8" t="str" cm="1">
        <f t="array" aca="1" ref="K26" ca="1">_xll.QDates_FuturesNextCode(K25)</f>
        <v>QSM2</v>
      </c>
      <c r="L26" s="1" cm="1">
        <f t="array" aca="1" ref="L26" ca="1">_xll.QDates_FuturesExpiryFromCode(K26)</f>
        <v>44722</v>
      </c>
      <c r="M26" cm="1">
        <f t="array" aca="1" ref="M26" ca="1">_xll.BDP(K26&amp;" Comdty","PX_SETTLE")</f>
        <v>494.75</v>
      </c>
      <c r="N26" cm="1">
        <f t="array" aca="1" ref="N26" ca="1">_xll.BDP(K26&amp;" Comdty",BidMidASK)</f>
        <v>494.25</v>
      </c>
      <c r="O26" s="72">
        <f t="shared" ca="1" si="3"/>
        <v>8</v>
      </c>
      <c r="P26" s="72">
        <f t="shared" ca="1" si="4"/>
        <v>7.5</v>
      </c>
      <c r="Q26" s="72">
        <f ca="1"/>
        <v>7.5</v>
      </c>
      <c r="R26" s="13" cm="1">
        <f t="array" aca="1" ref="R26" ca="1">(N$11-Q26+VLOOKUP(K$10,$C$4:$E$7,3,FALSE)+VLOOKUP(K$10,$C$4:$F$7,4,FALSE)*_xll.QDates_YearFraction(valDate,L26,"ACT365F"))/VLOOKUP(K$10,$C$4:$G$7,5,FALSE)</f>
        <v>509.51027397260276</v>
      </c>
      <c r="T26" s="8" t="str" cm="1">
        <f t="array" aca="1" ref="T26" ca="1">_xll.QDates_FuturesNextCode(T25)</f>
        <v>XBM2</v>
      </c>
      <c r="U26" s="1" cm="1">
        <f t="array" aca="1" ref="U26" ca="1">_xll.QDates_FuturesExpiryFromCode(T26)</f>
        <v>44712</v>
      </c>
      <c r="V26" cm="1">
        <f t="array" aca="1" ref="V26" ca="1">_xll.BDP(T26&amp;" Comdty","PX_SETTLE")</f>
        <v>169.72</v>
      </c>
      <c r="W26" cm="1">
        <f t="array" aca="1" ref="W26" ca="1">_xll.BDP(T26&amp;" Comdty",BidMidASK)</f>
        <v>169.78</v>
      </c>
      <c r="X26" s="72">
        <f t="shared" ca="1" si="0"/>
        <v>-4.3799999999999955</v>
      </c>
      <c r="Y26" s="72">
        <f t="shared" ca="1" si="5"/>
        <v>-4.1699999999999875</v>
      </c>
      <c r="Z26" s="72">
        <f ca="1"/>
        <v>-4.1699999999999875</v>
      </c>
      <c r="AA26" s="13" cm="1">
        <f t="array" aca="1" ref="AA26" ca="1">(W$11-Z26+VLOOKUP(T$10,$C$4:$E$7,3,FALSE)+VLOOKUP(T$10,$C$4:$F$7,4,FALSE)*_xll.QDates_YearFraction(valDate,U26,"ACT365F"))/VLOOKUP(T$10,$C$4:$G$7,5,FALSE)</f>
        <v>1.6677999999999999</v>
      </c>
      <c r="AC26" s="8" t="str" cm="1">
        <f t="array" aca="1" ref="AC26" ca="1">_xll.QDates_FuturesNextCode(AC25)</f>
        <v>CLM2</v>
      </c>
      <c r="AD26" s="1" cm="1">
        <f t="array" aca="1" ref="AD26" ca="1">_xll.QDates_FuturesExpiryFromCode(AC26)</f>
        <v>44701</v>
      </c>
      <c r="AE26" cm="1">
        <f t="array" aca="1" ref="AE26" ca="1">_xll.BDP(AC26&amp;" Comdty","PX_SETTLE")</f>
        <v>52.67</v>
      </c>
      <c r="AF26" cm="1">
        <f t="array" aca="1" ref="AF26" ca="1">_xll.BDP(AC26&amp;" Comdty",BidMidASK)</f>
        <v>52.7</v>
      </c>
      <c r="AG26" s="72">
        <f t="shared" ca="1" si="6"/>
        <v>6.009999999999998</v>
      </c>
      <c r="AH26" s="72">
        <f t="shared" ca="1" si="7"/>
        <v>5.8599999999999994</v>
      </c>
      <c r="AI26" s="72">
        <f ca="1"/>
        <v>5.8599999999999994</v>
      </c>
      <c r="AJ26" s="13" cm="1">
        <f t="array" aca="1" ref="AJ26" ca="1">(AF$11-AI26+VLOOKUP(AC$10,$C$4:$E$7,3,FALSE)+VLOOKUP(AC$10,$C$4:$F$7,4,FALSE)*_xll.QDates_YearFraction(valDate,AD26,"ACT365F"))/VLOOKUP(AC$10,$C$4:$G$7,5,FALSE)</f>
        <v>52.45</v>
      </c>
    </row>
    <row r="27" spans="2:36" x14ac:dyDescent="0.25">
      <c r="B27" s="8" t="str" cm="1">
        <f t="array" aca="1" ref="B27" ca="1">_xll.QDates_FuturesNextCode(B26)</f>
        <v>COQ2</v>
      </c>
      <c r="C27" s="1" cm="1">
        <f t="array" aca="1" ref="C27" ca="1">_xll.QDates_FuturesExpiryFromCode(B27)</f>
        <v>44742</v>
      </c>
      <c r="D27" cm="1">
        <f t="array" aca="1" ref="D27" ca="1">_xll.BDP(B27&amp;" Comdty","PX_SETTLE")</f>
        <v>55.78</v>
      </c>
      <c r="E27" cm="1">
        <f t="array" aca="1" ref="E27" ca="1">_xll.BDP(B27&amp;" Comdty",BidMidASK)</f>
        <v>56.25</v>
      </c>
      <c r="F27" s="72">
        <f t="shared" ca="1" si="1"/>
        <v>5.6899999999999977</v>
      </c>
      <c r="G27" s="72">
        <f t="shared" ca="1" si="2"/>
        <v>5.07</v>
      </c>
      <c r="H27" s="72">
        <f ca="1"/>
        <v>5.07</v>
      </c>
      <c r="I27" s="13" cm="1">
        <f t="array" aca="1" ref="I27" ca="1">(E$11-H27+VLOOKUP(B$10,$C$4:$E$7,3,FALSE)+VLOOKUP(B$10,$C$4:$F$7,4,FALSE)*_xll.QDates_YearFraction(valDate,C27,"ACT365F"))/VLOOKUP(B$10,$C$4:$G$7,5,FALSE)</f>
        <v>56.24</v>
      </c>
      <c r="K27" s="8" t="str" cm="1">
        <f t="array" aca="1" ref="K27" ca="1">_xll.QDates_FuturesNextCode(K26)</f>
        <v>QSN2</v>
      </c>
      <c r="L27" s="1" cm="1">
        <f t="array" aca="1" ref="L27" ca="1">_xll.QDates_FuturesExpiryFromCode(K27)</f>
        <v>44754</v>
      </c>
      <c r="M27" cm="1">
        <f t="array" aca="1" ref="M27" ca="1">_xll.BDP(K27&amp;" Comdty","PX_SETTLE")</f>
        <v>495</v>
      </c>
      <c r="N27" cm="1">
        <f t="array" aca="1" ref="N27" ca="1">_xll.BDP(K27&amp;" Comdty",BidMidASK)</f>
        <v>498.5</v>
      </c>
      <c r="O27" s="72">
        <f t="shared" ca="1" si="3"/>
        <v>7.75</v>
      </c>
      <c r="P27" s="72">
        <f t="shared" ca="1" si="4"/>
        <v>3.25</v>
      </c>
      <c r="Q27" s="72">
        <f ca="1"/>
        <v>3.25</v>
      </c>
      <c r="R27" s="13" cm="1">
        <f t="array" aca="1" ref="R27" ca="1">(N$11-Q27+VLOOKUP(K$10,$C$4:$E$7,3,FALSE)+VLOOKUP(K$10,$C$4:$F$7,4,FALSE)*_xll.QDates_YearFraction(valDate,L27,"ACT365F"))/VLOOKUP(K$10,$C$4:$G$7,5,FALSE)</f>
        <v>514.63698630136992</v>
      </c>
      <c r="T27" s="8" t="str" cm="1">
        <f t="array" aca="1" ref="T27" ca="1">_xll.QDates_FuturesNextCode(T26)</f>
        <v>XBN2</v>
      </c>
      <c r="U27" s="1" cm="1">
        <f t="array" aca="1" ref="U27" ca="1">_xll.QDates_FuturesExpiryFromCode(T27)</f>
        <v>44742</v>
      </c>
      <c r="V27" cm="1">
        <f t="array" aca="1" ref="V27" ca="1">_xll.BDP(T27&amp;" Comdty","PX_SETTLE")</f>
        <v>168.63</v>
      </c>
      <c r="W27" cm="1">
        <f t="array" aca="1" ref="W27" ca="1">_xll.BDP(T27&amp;" Comdty",BidMidASK)</f>
        <v>171.64000000000001</v>
      </c>
      <c r="X27" s="72">
        <f t="shared" ca="1" si="0"/>
        <v>-3.289999999999992</v>
      </c>
      <c r="Y27" s="72">
        <f t="shared" ca="1" si="5"/>
        <v>-6.0300000000000011</v>
      </c>
      <c r="Z27" s="72">
        <f ca="1"/>
        <v>-6.0300000000000011</v>
      </c>
      <c r="AA27" s="13" cm="1">
        <f t="array" aca="1" ref="AA27" ca="1">(W$11-Z27+VLOOKUP(T$10,$C$4:$E$7,3,FALSE)+VLOOKUP(T$10,$C$4:$F$7,4,FALSE)*_xll.QDates_YearFraction(valDate,U27,"ACT365F"))/VLOOKUP(T$10,$C$4:$G$7,5,FALSE)</f>
        <v>1.6864000000000001</v>
      </c>
      <c r="AC27" s="8" t="str" cm="1">
        <f t="array" aca="1" ref="AC27" ca="1">_xll.QDates_FuturesNextCode(AC26)</f>
        <v>CLN2</v>
      </c>
      <c r="AD27" s="1" cm="1">
        <f t="array" aca="1" ref="AD27" ca="1">_xll.QDates_FuturesExpiryFromCode(AC27)</f>
        <v>44733</v>
      </c>
      <c r="AE27" cm="1">
        <f t="array" aca="1" ref="AE27" ca="1">_xll.BDP(AC27&amp;" Comdty","PX_SETTLE")</f>
        <v>52.38</v>
      </c>
      <c r="AF27" cm="1">
        <f t="array" aca="1" ref="AF27" ca="1">_xll.BDP(AC27&amp;" Comdty",BidMidASK)</f>
        <v>52.9</v>
      </c>
      <c r="AG27" s="72">
        <f t="shared" ca="1" si="6"/>
        <v>6.2999999999999972</v>
      </c>
      <c r="AH27" s="72">
        <f t="shared" ca="1" si="7"/>
        <v>5.6600000000000037</v>
      </c>
      <c r="AI27" s="72">
        <f ca="1"/>
        <v>5.6600000000000037</v>
      </c>
      <c r="AJ27" s="13" cm="1">
        <f t="array" aca="1" ref="AJ27" ca="1">(AF$11-AI27+VLOOKUP(AC$10,$C$4:$E$7,3,FALSE)+VLOOKUP(AC$10,$C$4:$F$7,4,FALSE)*_xll.QDates_YearFraction(valDate,AD27,"ACT365F"))/VLOOKUP(AC$10,$C$4:$G$7,5,FALSE)</f>
        <v>52.65</v>
      </c>
    </row>
    <row r="28" spans="2:36" x14ac:dyDescent="0.25">
      <c r="B28" s="8" t="str" cm="1">
        <f t="array" aca="1" ref="B28" ca="1">_xll.QDates_FuturesNextCode(B27)</f>
        <v>COU2</v>
      </c>
      <c r="C28" s="1" cm="1">
        <f t="array" aca="1" ref="C28" ca="1">_xll.QDates_FuturesExpiryFromCode(B28)</f>
        <v>44771</v>
      </c>
      <c r="D28" cm="1">
        <f t="array" aca="1" ref="D28" ca="1">_xll.BDP(B28&amp;" Comdty","PX_SETTLE")</f>
        <v>55.57</v>
      </c>
      <c r="E28" cm="1">
        <f t="array" aca="1" ref="E28" ca="1">_xll.BDP(B28&amp;" Comdty",BidMidASK)</f>
        <v>56.1</v>
      </c>
      <c r="F28" s="72">
        <f t="shared" ca="1" si="1"/>
        <v>5.8999999999999986</v>
      </c>
      <c r="G28" s="72">
        <f t="shared" ca="1" si="2"/>
        <v>5.2199999999999989</v>
      </c>
      <c r="H28" s="72">
        <f ca="1"/>
        <v>5.2199999999999989</v>
      </c>
      <c r="I28" s="13" cm="1">
        <f t="array" aca="1" ref="I28" ca="1">(E$11-H28+VLOOKUP(B$10,$C$4:$E$7,3,FALSE)+VLOOKUP(B$10,$C$4:$F$7,4,FALSE)*_xll.QDates_YearFraction(valDate,C28,"ACT365F"))/VLOOKUP(B$10,$C$4:$G$7,5,FALSE)</f>
        <v>56.09</v>
      </c>
      <c r="K28" s="8" t="str" cm="1">
        <f t="array" aca="1" ref="K28" ca="1">_xll.QDates_FuturesNextCode(K27)</f>
        <v>QSQ2</v>
      </c>
      <c r="L28" s="1" cm="1">
        <f t="array" aca="1" ref="L28" ca="1">_xll.QDates_FuturesExpiryFromCode(K28)</f>
        <v>44784</v>
      </c>
      <c r="M28" cm="1">
        <f t="array" aca="1" ref="M28" ca="1">_xll.BDP(K28&amp;" Comdty","PX_SETTLE")</f>
        <v>495.25</v>
      </c>
      <c r="N28" cm="1">
        <f t="array" aca="1" ref="N28" ca="1">_xll.BDP(K28&amp;" Comdty",BidMidASK)</f>
        <v>499</v>
      </c>
      <c r="O28" s="72">
        <f t="shared" ca="1" si="3"/>
        <v>7.5</v>
      </c>
      <c r="P28" s="72">
        <f t="shared" ca="1" si="4"/>
        <v>2.75</v>
      </c>
      <c r="Q28" s="72">
        <f ca="1"/>
        <v>2.75</v>
      </c>
      <c r="R28" s="13" cm="1">
        <f t="array" aca="1" ref="R28" ca="1">(N$11-Q28+VLOOKUP(K$10,$C$4:$E$7,3,FALSE)+VLOOKUP(K$10,$C$4:$F$7,4,FALSE)*_xll.QDates_YearFraction(valDate,L28,"ACT365F"))/VLOOKUP(K$10,$C$4:$G$7,5,FALSE)</f>
        <v>515.95890410958907</v>
      </c>
      <c r="T28" s="8" t="str" cm="1">
        <f t="array" aca="1" ref="T28" ca="1">_xll.QDates_FuturesNextCode(T27)</f>
        <v>XBQ2</v>
      </c>
      <c r="U28" s="1" cm="1">
        <f t="array" aca="1" ref="U28" ca="1">_xll.QDates_FuturesExpiryFromCode(T28)</f>
        <v>44771</v>
      </c>
      <c r="V28" cm="1">
        <f t="array" aca="1" ref="V28" ca="1">_xll.BDP(T28&amp;" Comdty","PX_SETTLE")</f>
        <v>166.62</v>
      </c>
      <c r="W28" cm="1">
        <f t="array" aca="1" ref="W28" ca="1">_xll.BDP(T28&amp;" Comdty",BidMidASK)</f>
        <v>170.27</v>
      </c>
      <c r="X28" s="72">
        <f t="shared" ca="1" si="0"/>
        <v>-1.2800000000000011</v>
      </c>
      <c r="Y28" s="72">
        <f t="shared" ca="1" si="5"/>
        <v>-4.6599999999999966</v>
      </c>
      <c r="Z28" s="72">
        <f ca="1"/>
        <v>-4.6599999999999966</v>
      </c>
      <c r="AA28" s="13" cm="1">
        <f t="array" aca="1" ref="AA28" ca="1">(W$11-Z28+VLOOKUP(T$10,$C$4:$E$7,3,FALSE)+VLOOKUP(T$10,$C$4:$F$7,4,FALSE)*_xll.QDates_YearFraction(valDate,U28,"ACT365F"))/VLOOKUP(T$10,$C$4:$G$7,5,FALSE)</f>
        <v>1.6727000000000001</v>
      </c>
      <c r="AC28" s="8" t="str" cm="1">
        <f t="array" aca="1" ref="AC28" ca="1">_xll.QDates_FuturesNextCode(AC27)</f>
        <v>CLQ2</v>
      </c>
      <c r="AD28" s="1" cm="1">
        <f t="array" aca="1" ref="AD28" ca="1">_xll.QDates_FuturesExpiryFromCode(AC28)</f>
        <v>44762</v>
      </c>
      <c r="AE28" cm="1">
        <f t="array" aca="1" ref="AE28" ca="1">_xll.BDP(AC28&amp;" Comdty","PX_SETTLE")</f>
        <v>52.1</v>
      </c>
      <c r="AF28" cm="1">
        <f t="array" aca="1" ref="AF28" ca="1">_xll.BDP(AC28&amp;" Comdty",BidMidASK)</f>
        <v>52.67</v>
      </c>
      <c r="AG28" s="72">
        <f t="shared" ca="1" si="6"/>
        <v>6.5799999999999983</v>
      </c>
      <c r="AH28" s="72">
        <f t="shared" ca="1" si="7"/>
        <v>5.8900000000000006</v>
      </c>
      <c r="AI28" s="72">
        <f ca="1"/>
        <v>5.8900000000000006</v>
      </c>
      <c r="AJ28" s="13" cm="1">
        <f t="array" aca="1" ref="AJ28" ca="1">(AF$11-AI28+VLOOKUP(AC$10,$C$4:$E$7,3,FALSE)+VLOOKUP(AC$10,$C$4:$F$7,4,FALSE)*_xll.QDates_YearFraction(valDate,AD28,"ACT365F"))/VLOOKUP(AC$10,$C$4:$G$7,5,FALSE)</f>
        <v>52.42</v>
      </c>
    </row>
    <row r="29" spans="2:36" x14ac:dyDescent="0.25">
      <c r="B29" s="8" t="str" cm="1">
        <f t="array" aca="1" ref="B29" ca="1">_xll.QDates_FuturesNextCode(B28)</f>
        <v>COV2</v>
      </c>
      <c r="C29" s="1" cm="1">
        <f t="array" aca="1" ref="C29" ca="1">_xll.QDates_FuturesExpiryFromCode(B29)</f>
        <v>44804</v>
      </c>
      <c r="D29" cm="1">
        <f t="array" aca="1" ref="D29" ca="1">_xll.BDP(B29&amp;" Comdty","PX_SETTLE")</f>
        <v>55.370000000000005</v>
      </c>
      <c r="E29" cm="1">
        <f t="array" aca="1" ref="E29" ca="1">_xll.BDP(B29&amp;" Comdty",BidMidASK)</f>
        <v>55.870000000000005</v>
      </c>
      <c r="F29" s="72">
        <f t="shared" ca="1" si="1"/>
        <v>6.0999999999999943</v>
      </c>
      <c r="G29" s="72">
        <f t="shared" ca="1" si="2"/>
        <v>5.4499999999999957</v>
      </c>
      <c r="H29" s="72">
        <f ca="1"/>
        <v>5.4499999999999957</v>
      </c>
      <c r="I29" s="13" cm="1">
        <f t="array" aca="1" ref="I29" ca="1">(E$11-H29+VLOOKUP(B$10,$C$4:$E$7,3,FALSE)+VLOOKUP(B$10,$C$4:$F$7,4,FALSE)*_xll.QDates_YearFraction(valDate,C29,"ACT365F"))/VLOOKUP(B$10,$C$4:$G$7,5,FALSE)</f>
        <v>55.860000000000007</v>
      </c>
      <c r="K29" s="8" t="str" cm="1">
        <f t="array" aca="1" ref="K29" ca="1">_xll.QDates_FuturesNextCode(K28)</f>
        <v>QSU2</v>
      </c>
      <c r="L29" s="1" cm="1">
        <f t="array" aca="1" ref="L29" ca="1">_xll.QDates_FuturesExpiryFromCode(K29)</f>
        <v>44816</v>
      </c>
      <c r="M29" cm="1">
        <f t="array" aca="1" ref="M29" ca="1">_xll.BDP(K29&amp;" Comdty","PX_SETTLE")</f>
        <v>495</v>
      </c>
      <c r="N29" cm="1">
        <f t="array" aca="1" ref="N29" ca="1">_xll.BDP(K29&amp;" Comdty",BidMidASK)</f>
        <v>499</v>
      </c>
      <c r="O29" s="72">
        <f t="shared" ca="1" si="3"/>
        <v>7.75</v>
      </c>
      <c r="P29" s="72">
        <f t="shared" ca="1" si="4"/>
        <v>2.75</v>
      </c>
      <c r="Q29" s="72">
        <f ca="1"/>
        <v>2.75</v>
      </c>
      <c r="R29" s="13" cm="1">
        <f t="array" aca="1" ref="R29" ca="1">(N$11-Q29+VLOOKUP(K$10,$C$4:$E$7,3,FALSE)+VLOOKUP(K$10,$C$4:$F$7,4,FALSE)*_xll.QDates_YearFraction(valDate,L29,"ACT365F"))/VLOOKUP(K$10,$C$4:$G$7,5,FALSE)</f>
        <v>516.83561643835617</v>
      </c>
      <c r="T29" s="8" t="str" cm="1">
        <f t="array" aca="1" ref="T29" ca="1">_xll.QDates_FuturesNextCode(T28)</f>
        <v>XBU2</v>
      </c>
      <c r="U29" s="1" cm="1">
        <f t="array" aca="1" ref="U29" ca="1">_xll.QDates_FuturesExpiryFromCode(T29)</f>
        <v>44804</v>
      </c>
      <c r="V29" cm="1">
        <f t="array" aca="1" ref="V29" ca="1">_xll.BDP(T29&amp;" Comdty","PX_SETTLE")</f>
        <v>164.24</v>
      </c>
      <c r="W29" cm="1">
        <f t="array" aca="1" ref="W29" ca="1">_xll.BDP(T29&amp;" Comdty",BidMidASK)</f>
        <v>168.09</v>
      </c>
      <c r="X29" s="72">
        <f t="shared" ca="1" si="0"/>
        <v>1.0999999999999943</v>
      </c>
      <c r="Y29" s="72">
        <f t="shared" ca="1" si="5"/>
        <v>-2.4799999999999898</v>
      </c>
      <c r="Z29" s="72">
        <f ca="1"/>
        <v>-2.4799999999999898</v>
      </c>
      <c r="AA29" s="13" cm="1">
        <f t="array" aca="1" ref="AA29" ca="1">(W$11-Z29+VLOOKUP(T$10,$C$4:$E$7,3,FALSE)+VLOOKUP(T$10,$C$4:$F$7,4,FALSE)*_xll.QDates_YearFraction(valDate,U29,"ACT365F"))/VLOOKUP(T$10,$C$4:$G$7,5,FALSE)</f>
        <v>1.6509</v>
      </c>
      <c r="AC29" s="8" t="str" cm="1">
        <f t="array" aca="1" ref="AC29" ca="1">_xll.QDates_FuturesNextCode(AC28)</f>
        <v>CLU2</v>
      </c>
      <c r="AD29" s="1" cm="1">
        <f t="array" aca="1" ref="AD29" ca="1">_xll.QDates_FuturesExpiryFromCode(AC29)</f>
        <v>44795</v>
      </c>
      <c r="AE29" cm="1">
        <f t="array" aca="1" ref="AE29" ca="1">_xll.BDP(AC29&amp;" Comdty","PX_SETTLE")</f>
        <v>51.83</v>
      </c>
      <c r="AF29" cm="1">
        <f t="array" aca="1" ref="AF29" ca="1">_xll.BDP(AC29&amp;" Comdty",BidMidASK)</f>
        <v>52.43</v>
      </c>
      <c r="AG29" s="72">
        <f t="shared" ca="1" si="6"/>
        <v>6.8500000000000014</v>
      </c>
      <c r="AH29" s="72">
        <f t="shared" ca="1" si="7"/>
        <v>6.1300000000000026</v>
      </c>
      <c r="AI29" s="72">
        <f ca="1"/>
        <v>6.1300000000000026</v>
      </c>
      <c r="AJ29" s="13" cm="1">
        <f t="array" aca="1" ref="AJ29" ca="1">(AF$11-AI29+VLOOKUP(AC$10,$C$4:$E$7,3,FALSE)+VLOOKUP(AC$10,$C$4:$F$7,4,FALSE)*_xll.QDates_YearFraction(valDate,AD29,"ACT365F"))/VLOOKUP(AC$10,$C$4:$G$7,5,FALSE)</f>
        <v>52.18</v>
      </c>
    </row>
    <row r="30" spans="2:36" x14ac:dyDescent="0.25">
      <c r="B30" s="8" t="str" cm="1">
        <f t="array" aca="1" ref="B30" ca="1">_xll.QDates_FuturesNextCode(B29)</f>
        <v>COX2</v>
      </c>
      <c r="C30" s="1" cm="1">
        <f t="array" aca="1" ref="C30" ca="1">_xll.QDates_FuturesExpiryFromCode(B30)</f>
        <v>44834</v>
      </c>
      <c r="D30" cm="1">
        <f t="array" aca="1" ref="D30" ca="1">_xll.BDP(B30&amp;" Comdty","PX_SETTLE")</f>
        <v>55.17</v>
      </c>
      <c r="E30" cm="1">
        <f t="array" aca="1" ref="E30" ca="1">_xll.BDP(B30&amp;" Comdty",BidMidASK)</f>
        <v>55.65</v>
      </c>
      <c r="F30" s="72">
        <f t="shared" ca="1" si="1"/>
        <v>6.2999999999999972</v>
      </c>
      <c r="G30" s="72">
        <f t="shared" ca="1" si="2"/>
        <v>5.6700000000000017</v>
      </c>
      <c r="H30" s="72">
        <f ca="1"/>
        <v>5.6700000000000017</v>
      </c>
      <c r="I30" s="13" cm="1">
        <f t="array" aca="1" ref="I30" ca="1">(E$11-H30+VLOOKUP(B$10,$C$4:$E$7,3,FALSE)+VLOOKUP(B$10,$C$4:$F$7,4,FALSE)*_xll.QDates_YearFraction(valDate,C30,"ACT365F"))/VLOOKUP(B$10,$C$4:$G$7,5,FALSE)</f>
        <v>55.64</v>
      </c>
      <c r="K30" s="8" t="str" cm="1">
        <f t="array" aca="1" ref="K30" ca="1">_xll.QDates_FuturesNextCode(K29)</f>
        <v>QSV2</v>
      </c>
      <c r="L30" s="1" cm="1">
        <f t="array" aca="1" ref="L30" ca="1">_xll.QDates_FuturesExpiryFromCode(K30)</f>
        <v>44846</v>
      </c>
      <c r="M30" cm="1">
        <f t="array" aca="1" ref="M30" ca="1">_xll.BDP(K30&amp;" Comdty","PX_SETTLE")</f>
        <v>495</v>
      </c>
      <c r="N30" t="str" cm="1">
        <f t="array" aca="1" ref="N30" ca="1">_xll.BDP(K30&amp;" Comdty",BidMidASK)</f>
        <v>#N/A N/A</v>
      </c>
      <c r="O30" s="72">
        <f t="shared" ca="1" si="3"/>
        <v>7.75</v>
      </c>
      <c r="P30" s="72" t="str">
        <f t="shared" ca="1" si="4"/>
        <v/>
      </c>
      <c r="Q30" s="72">
        <f ca="1"/>
        <v>4</v>
      </c>
      <c r="R30" s="13" cm="1">
        <f t="array" aca="1" ref="R30" ca="1">(N$11-Q30+VLOOKUP(K$10,$C$4:$E$7,3,FALSE)+VLOOKUP(K$10,$C$4:$F$7,4,FALSE)*_xll.QDates_YearFraction(valDate,L30,"ACT365F"))/VLOOKUP(K$10,$C$4:$G$7,5,FALSE)</f>
        <v>516.40753424657532</v>
      </c>
      <c r="T30" s="8" t="str" cm="1">
        <f t="array" aca="1" ref="T30" ca="1">_xll.QDates_FuturesNextCode(T29)</f>
        <v>XBV2</v>
      </c>
      <c r="U30" s="1" cm="1">
        <f t="array" aca="1" ref="U30" ca="1">_xll.QDates_FuturesExpiryFromCode(T30)</f>
        <v>44834</v>
      </c>
      <c r="V30" cm="1">
        <f t="array" aca="1" ref="V30" ca="1">_xll.BDP(T30&amp;" Comdty","PX_SETTLE")</f>
        <v>153.15</v>
      </c>
      <c r="W30" cm="1">
        <f t="array" aca="1" ref="W30" ca="1">_xll.BDP(T30&amp;" Comdty",BidMidASK)</f>
        <v>157.62</v>
      </c>
      <c r="X30" s="72">
        <f t="shared" ca="1" si="0"/>
        <v>12.189999999999998</v>
      </c>
      <c r="Y30" s="72">
        <f t="shared" ca="1" si="5"/>
        <v>7.9900000000000091</v>
      </c>
      <c r="Z30" s="72">
        <f ca="1"/>
        <v>7.9900000000000091</v>
      </c>
      <c r="AA30" s="13" cm="1">
        <f t="array" aca="1" ref="AA30" ca="1">(W$11-Z30+VLOOKUP(T$10,$C$4:$E$7,3,FALSE)+VLOOKUP(T$10,$C$4:$F$7,4,FALSE)*_xll.QDates_YearFraction(valDate,U30,"ACT365F"))/VLOOKUP(T$10,$C$4:$G$7,5,FALSE)</f>
        <v>1.5462</v>
      </c>
      <c r="AC30" s="8" t="str" cm="1">
        <f t="array" aca="1" ref="AC30" ca="1">_xll.QDates_FuturesNextCode(AC29)</f>
        <v>CLV2</v>
      </c>
      <c r="AD30" s="1" cm="1">
        <f t="array" aca="1" ref="AD30" ca="1">_xll.QDates_FuturesExpiryFromCode(AC30)</f>
        <v>44824</v>
      </c>
      <c r="AE30" cm="1">
        <f t="array" aca="1" ref="AE30" ca="1">_xll.BDP(AC30&amp;" Comdty","PX_SETTLE")</f>
        <v>51.59</v>
      </c>
      <c r="AF30" cm="1">
        <f t="array" aca="1" ref="AF30" ca="1">_xll.BDP(AC30&amp;" Comdty",BidMidASK)</f>
        <v>51.89</v>
      </c>
      <c r="AG30" s="72">
        <f t="shared" ca="1" si="6"/>
        <v>7.0899999999999963</v>
      </c>
      <c r="AH30" s="72">
        <f t="shared" ca="1" si="7"/>
        <v>6.6700000000000017</v>
      </c>
      <c r="AI30" s="72">
        <f ca="1"/>
        <v>6.6700000000000017</v>
      </c>
      <c r="AJ30" s="13" cm="1">
        <f t="array" aca="1" ref="AJ30" ca="1">(AF$11-AI30+VLOOKUP(AC$10,$C$4:$E$7,3,FALSE)+VLOOKUP(AC$10,$C$4:$F$7,4,FALSE)*_xll.QDates_YearFraction(valDate,AD30,"ACT365F"))/VLOOKUP(AC$10,$C$4:$G$7,5,FALSE)</f>
        <v>51.64</v>
      </c>
    </row>
    <row r="31" spans="2:36" x14ac:dyDescent="0.25">
      <c r="B31" s="8" t="str" cm="1">
        <f t="array" aca="1" ref="B31" ca="1">_xll.QDates_FuturesNextCode(B30)</f>
        <v>COZ2</v>
      </c>
      <c r="C31" s="1" cm="1">
        <f t="array" aca="1" ref="C31" ca="1">_xll.QDates_FuturesExpiryFromCode(B31)</f>
        <v>44865</v>
      </c>
      <c r="D31" cm="1">
        <f t="array" aca="1" ref="D31" ca="1">_xll.BDP(B31&amp;" Comdty","PX_SETTLE")</f>
        <v>54.97</v>
      </c>
      <c r="E31" cm="1">
        <f t="array" aca="1" ref="E31" ca="1">_xll.BDP(B31&amp;" Comdty",BidMidASK)</f>
        <v>54.97</v>
      </c>
      <c r="F31" s="72">
        <f t="shared" ca="1" si="1"/>
        <v>6.5</v>
      </c>
      <c r="G31" s="72">
        <f t="shared" ca="1" si="2"/>
        <v>6.3500000000000014</v>
      </c>
      <c r="H31" s="72">
        <f ca="1"/>
        <v>6.3500000000000014</v>
      </c>
      <c r="I31" s="13" cm="1">
        <f t="array" aca="1" ref="I31" ca="1">(E$11-H31+VLOOKUP(B$10,$C$4:$E$7,3,FALSE)+VLOOKUP(B$10,$C$4:$F$7,4,FALSE)*_xll.QDates_YearFraction(valDate,C31,"ACT365F"))/VLOOKUP(B$10,$C$4:$G$7,5,FALSE)</f>
        <v>54.96</v>
      </c>
      <c r="K31" s="8" t="str" cm="1">
        <f t="array" aca="1" ref="K31" ca="1">_xll.QDates_FuturesNextCode(K30)</f>
        <v>QSX2</v>
      </c>
      <c r="L31" s="1" cm="1">
        <f t="array" aca="1" ref="L31" ca="1">_xll.QDates_FuturesExpiryFromCode(K31)</f>
        <v>44875</v>
      </c>
      <c r="M31" cm="1">
        <f t="array" aca="1" ref="M31" ca="1">_xll.BDP(K31&amp;" Comdty","PX_SETTLE")</f>
        <v>493</v>
      </c>
      <c r="N31" t="str" cm="1">
        <f t="array" aca="1" ref="N31" ca="1">_xll.BDP(K31&amp;" Comdty",BidMidASK)</f>
        <v>#N/A N/A</v>
      </c>
      <c r="O31" s="72">
        <f t="shared" ca="1" si="3"/>
        <v>9.75</v>
      </c>
      <c r="P31" s="72" t="str">
        <f t="shared" ca="1" si="4"/>
        <v/>
      </c>
      <c r="Q31" s="72">
        <f ca="1"/>
        <v>7.25</v>
      </c>
      <c r="R31" s="13" cm="1">
        <f t="array" aca="1" ref="R31" ca="1">(N$11-Q31+VLOOKUP(K$10,$C$4:$E$7,3,FALSE)+VLOOKUP(K$10,$C$4:$F$7,4,FALSE)*_xll.QDates_YearFraction(valDate,L31,"ACT365F"))/VLOOKUP(K$10,$C$4:$G$7,5,FALSE)</f>
        <v>513.95205479452056</v>
      </c>
      <c r="T31" s="8" t="str" cm="1">
        <f t="array" aca="1" ref="T31" ca="1">_xll.QDates_FuturesNextCode(T30)</f>
        <v>XBX2</v>
      </c>
      <c r="U31" s="1" cm="1">
        <f t="array" aca="1" ref="U31" ca="1">_xll.QDates_FuturesExpiryFromCode(T31)</f>
        <v>44865</v>
      </c>
      <c r="V31" cm="1">
        <f t="array" aca="1" ref="V31" ca="1">_xll.BDP(T31&amp;" Comdty","PX_SETTLE")</f>
        <v>149.82</v>
      </c>
      <c r="W31" cm="1">
        <f t="array" aca="1" ref="W31" ca="1">_xll.BDP(T31&amp;" Comdty",BidMidASK)</f>
        <v>152.70000000000002</v>
      </c>
      <c r="X31" s="72">
        <f t="shared" ca="1" si="0"/>
        <v>15.52000000000001</v>
      </c>
      <c r="Y31" s="72">
        <f t="shared" ca="1" si="5"/>
        <v>12.909999999999997</v>
      </c>
      <c r="Z31" s="72">
        <f ca="1"/>
        <v>12.909999999999997</v>
      </c>
      <c r="AA31" s="13" cm="1">
        <f t="array" aca="1" ref="AA31" ca="1">(W$11-Z31+VLOOKUP(T$10,$C$4:$E$7,3,FALSE)+VLOOKUP(T$10,$C$4:$F$7,4,FALSE)*_xll.QDates_YearFraction(valDate,U31,"ACT365F"))/VLOOKUP(T$10,$C$4:$G$7,5,FALSE)</f>
        <v>1.4970000000000001</v>
      </c>
      <c r="AC31" s="8" t="str" cm="1">
        <f t="array" aca="1" ref="AC31" ca="1">_xll.QDates_FuturesNextCode(AC30)</f>
        <v>CLX2</v>
      </c>
      <c r="AD31" s="1" cm="1">
        <f t="array" aca="1" ref="AD31" ca="1">_xll.QDates_FuturesExpiryFromCode(AC31)</f>
        <v>44854</v>
      </c>
      <c r="AE31" cm="1">
        <f t="array" aca="1" ref="AE31" ca="1">_xll.BDP(AC31&amp;" Comdty","PX_SETTLE")</f>
        <v>51.38</v>
      </c>
      <c r="AF31" cm="1">
        <f t="array" aca="1" ref="AF31" ca="1">_xll.BDP(AC31&amp;" Comdty",BidMidASK)</f>
        <v>51.92</v>
      </c>
      <c r="AG31" s="72">
        <f t="shared" ca="1" si="6"/>
        <v>7.2999999999999972</v>
      </c>
      <c r="AH31" s="72">
        <f t="shared" ca="1" si="7"/>
        <v>6.6400000000000006</v>
      </c>
      <c r="AI31" s="72">
        <f ca="1"/>
        <v>6.6400000000000006</v>
      </c>
      <c r="AJ31" s="13" cm="1">
        <f t="array" aca="1" ref="AJ31" ca="1">(AF$11-AI31+VLOOKUP(AC$10,$C$4:$E$7,3,FALSE)+VLOOKUP(AC$10,$C$4:$F$7,4,FALSE)*_xll.QDates_YearFraction(valDate,AD31,"ACT365F"))/VLOOKUP(AC$10,$C$4:$G$7,5,FALSE)</f>
        <v>51.67</v>
      </c>
    </row>
    <row r="32" spans="2:36" x14ac:dyDescent="0.25">
      <c r="B32" s="8" t="str" cm="1">
        <f t="array" aca="1" ref="B32" ca="1">_xll.QDates_FuturesNextCode(B31)</f>
        <v>COF3</v>
      </c>
      <c r="C32" s="1" cm="1">
        <f t="array" aca="1" ref="C32" ca="1">_xll.QDates_FuturesExpiryFromCode(B32)</f>
        <v>44895</v>
      </c>
      <c r="D32" cm="1">
        <f t="array" aca="1" ref="D32" ca="1">_xll.BDP(B32&amp;" Comdty","PX_SETTLE")</f>
        <v>54.79</v>
      </c>
      <c r="E32" cm="1">
        <f t="array" aca="1" ref="E32" ca="1">_xll.BDP(B32&amp;" Comdty",BidMidASK)</f>
        <v>55.28</v>
      </c>
      <c r="F32" s="72">
        <f t="shared" ca="1" si="1"/>
        <v>6.68</v>
      </c>
      <c r="G32" s="72">
        <f t="shared" ca="1" si="2"/>
        <v>6.0399999999999991</v>
      </c>
      <c r="H32" s="72">
        <f ca="1"/>
        <v>6.0399999999999991</v>
      </c>
      <c r="I32" s="13" cm="1">
        <f t="array" aca="1" ref="I32" ca="1">(E$11-H32+VLOOKUP(B$10,$C$4:$E$7,3,FALSE)+VLOOKUP(B$10,$C$4:$F$7,4,FALSE)*_xll.QDates_YearFraction(valDate,C32,"ACT365F"))/VLOOKUP(B$10,$C$4:$G$7,5,FALSE)</f>
        <v>55.27</v>
      </c>
      <c r="K32" s="8" t="str" cm="1">
        <f t="array" aca="1" ref="K32" ca="1">_xll.QDates_FuturesNextCode(K31)</f>
        <v>QSZ2</v>
      </c>
      <c r="L32" s="1" cm="1">
        <f t="array" aca="1" ref="L32" ca="1">_xll.QDates_FuturesExpiryFromCode(K32)</f>
        <v>44907</v>
      </c>
      <c r="M32" cm="1">
        <f t="array" aca="1" ref="M32" ca="1">_xll.BDP(K32&amp;" Comdty","PX_SETTLE")</f>
        <v>490.75</v>
      </c>
      <c r="N32" cm="1">
        <f t="array" aca="1" ref="N32" ca="1">_xll.BDP(K32&amp;" Comdty",BidMidASK)</f>
        <v>491</v>
      </c>
      <c r="O32" s="72">
        <f t="shared" ca="1" si="3"/>
        <v>12</v>
      </c>
      <c r="P32" s="72">
        <f t="shared" ca="1" si="4"/>
        <v>10.75</v>
      </c>
      <c r="Q32" s="72">
        <f ca="1"/>
        <v>10.75</v>
      </c>
      <c r="R32" s="13" cm="1">
        <f t="array" aca="1" ref="R32" ca="1">(N$11-Q32+VLOOKUP(K$10,$C$4:$E$7,3,FALSE)+VLOOKUP(K$10,$C$4:$F$7,4,FALSE)*_xll.QDates_YearFraction(valDate,L32,"ACT365F"))/VLOOKUP(K$10,$C$4:$G$7,5,FALSE)</f>
        <v>511.32876712328766</v>
      </c>
      <c r="T32" s="8" t="str" cm="1">
        <f t="array" aca="1" ref="T32" ca="1">_xll.QDates_FuturesNextCode(T31)</f>
        <v>XBZ2</v>
      </c>
      <c r="U32" s="1" cm="1">
        <f t="array" aca="1" ref="U32" ca="1">_xll.QDates_FuturesExpiryFromCode(T32)</f>
        <v>44895</v>
      </c>
      <c r="V32" cm="1">
        <f t="array" aca="1" ref="V32" ca="1">_xll.BDP(T32&amp;" Comdty","PX_SETTLE")</f>
        <v>147.82</v>
      </c>
      <c r="W32" cm="1">
        <f t="array" aca="1" ref="W32" ca="1">_xll.BDP(T32&amp;" Comdty",BidMidASK)</f>
        <v>147.71</v>
      </c>
      <c r="X32" s="72">
        <f t="shared" ca="1" si="0"/>
        <v>17.52000000000001</v>
      </c>
      <c r="Y32" s="72">
        <f t="shared" ca="1" si="5"/>
        <v>17.900000000000006</v>
      </c>
      <c r="Z32" s="72">
        <f ca="1"/>
        <v>17.900000000000006</v>
      </c>
      <c r="AA32" s="13" cm="1">
        <f t="array" aca="1" ref="AA32" ca="1">(W$11-Z32+VLOOKUP(T$10,$C$4:$E$7,3,FALSE)+VLOOKUP(T$10,$C$4:$F$7,4,FALSE)*_xll.QDates_YearFraction(valDate,U32,"ACT365F"))/VLOOKUP(T$10,$C$4:$G$7,5,FALSE)</f>
        <v>1.4471000000000001</v>
      </c>
      <c r="AC32" s="8" t="str" cm="1">
        <f t="array" aca="1" ref="AC32" ca="1">_xll.QDates_FuturesNextCode(AC31)</f>
        <v>CLZ2</v>
      </c>
      <c r="AD32" s="1" cm="1">
        <f t="array" aca="1" ref="AD32" ca="1">_xll.QDates_FuturesExpiryFromCode(AC32)</f>
        <v>44883</v>
      </c>
      <c r="AE32" cm="1">
        <f t="array" aca="1" ref="AE32" ca="1">_xll.BDP(AC32&amp;" Comdty","PX_SETTLE")</f>
        <v>51.2</v>
      </c>
      <c r="AF32" cm="1">
        <f t="array" aca="1" ref="AF32" ca="1">_xll.BDP(AC32&amp;" Comdty",BidMidASK)</f>
        <v>51.230000000000004</v>
      </c>
      <c r="AG32" s="72">
        <f t="shared" ca="1" si="6"/>
        <v>7.4799999999999969</v>
      </c>
      <c r="AH32" s="72">
        <f t="shared" ca="1" si="7"/>
        <v>7.3299999999999983</v>
      </c>
      <c r="AI32" s="72">
        <f ca="1"/>
        <v>7.3299999999999983</v>
      </c>
      <c r="AJ32" s="13" cm="1">
        <f t="array" aca="1" ref="AJ32" ca="1">(AF$11-AI32+VLOOKUP(AC$10,$C$4:$E$7,3,FALSE)+VLOOKUP(AC$10,$C$4:$F$7,4,FALSE)*_xll.QDates_YearFraction(valDate,AD32,"ACT365F"))/VLOOKUP(AC$10,$C$4:$G$7,5,FALSE)</f>
        <v>50.980000000000004</v>
      </c>
    </row>
    <row r="33" spans="2:36" x14ac:dyDescent="0.25">
      <c r="B33" s="8" t="str" cm="1">
        <f t="array" aca="1" ref="B33" ca="1">_xll.QDates_FuturesNextCode(B32)</f>
        <v>COG3</v>
      </c>
      <c r="C33" s="1" cm="1">
        <f t="array" aca="1" ref="C33" ca="1">_xll.QDates_FuturesExpiryFromCode(B33)</f>
        <v>44925</v>
      </c>
      <c r="D33" cm="1">
        <f t="array" aca="1" ref="D33" ca="1">_xll.BDP(B33&amp;" Comdty","PX_SETTLE")</f>
        <v>54.65</v>
      </c>
      <c r="E33" cm="1">
        <f t="array" aca="1" ref="E33" ca="1">_xll.BDP(B33&amp;" Comdty",BidMidASK)</f>
        <v>55.15</v>
      </c>
      <c r="F33" s="72">
        <f t="shared" ca="1" si="1"/>
        <v>6.82</v>
      </c>
      <c r="G33" s="72">
        <f t="shared" ca="1" si="2"/>
        <v>6.1700000000000017</v>
      </c>
      <c r="H33" s="72">
        <f ca="1"/>
        <v>6.1700000000000017</v>
      </c>
      <c r="I33" s="13" cm="1">
        <f t="array" aca="1" ref="I33" ca="1">(E$11-H33+VLOOKUP(B$10,$C$4:$E$7,3,FALSE)+VLOOKUP(B$10,$C$4:$F$7,4,FALSE)*_xll.QDates_YearFraction(valDate,C33,"ACT365F"))/VLOOKUP(B$10,$C$4:$G$7,5,FALSE)</f>
        <v>55.14</v>
      </c>
      <c r="K33" s="8" t="str" cm="1">
        <f t="array" aca="1" ref="K33" ca="1">_xll.QDates_FuturesNextCode(K32)</f>
        <v>QSF3</v>
      </c>
      <c r="L33" s="1" cm="1">
        <f t="array" aca="1" ref="L33" ca="1">_xll.QDates_FuturesExpiryFromCode(K33)</f>
        <v>44938</v>
      </c>
      <c r="M33" cm="1">
        <f t="array" aca="1" ref="M33" ca="1">_xll.BDP(K33&amp;" Comdty","PX_SETTLE")</f>
        <v>491.25</v>
      </c>
      <c r="N33" t="str" cm="1">
        <f t="array" aca="1" ref="N33" ca="1">_xll.BDP(K33&amp;" Comdty",BidMidASK)</f>
        <v>#N/A N/A</v>
      </c>
      <c r="O33" s="72">
        <f t="shared" ca="1" si="3"/>
        <v>11.5</v>
      </c>
      <c r="P33" s="72" t="str">
        <f t="shared" ca="1" si="4"/>
        <v/>
      </c>
      <c r="Q33" s="72">
        <f ca="1"/>
        <v>10.5</v>
      </c>
      <c r="R33" s="13" cm="1">
        <f t="array" aca="1" ref="R33" ca="1">(N$11-Q33+VLOOKUP(K$10,$C$4:$E$7,3,FALSE)+VLOOKUP(K$10,$C$4:$F$7,4,FALSE)*_xll.QDates_YearFraction(valDate,L33,"ACT365F"))/VLOOKUP(K$10,$C$4:$G$7,5,FALSE)</f>
        <v>512.42808219178085</v>
      </c>
      <c r="T33" s="8" t="str" cm="1">
        <f t="array" aca="1" ref="T33" ca="1">_xll.QDates_FuturesNextCode(T32)</f>
        <v>XBF3</v>
      </c>
      <c r="U33" s="1" cm="1">
        <f t="array" aca="1" ref="U33" ca="1">_xll.QDates_FuturesExpiryFromCode(T33)</f>
        <v>44925</v>
      </c>
      <c r="V33" cm="1">
        <f t="array" aca="1" ref="V33" ca="1">_xll.BDP(T33&amp;" Comdty","PX_SETTLE")</f>
        <v>147.75</v>
      </c>
      <c r="W33" cm="1">
        <f t="array" aca="1" ref="W33" ca="1">_xll.BDP(T33&amp;" Comdty",BidMidASK)</f>
        <v>150.37</v>
      </c>
      <c r="X33" s="72">
        <f t="shared" ca="1" si="0"/>
        <v>17.590000000000003</v>
      </c>
      <c r="Y33" s="72">
        <f t="shared" ca="1" si="5"/>
        <v>15.240000000000009</v>
      </c>
      <c r="Z33" s="72">
        <f ca="1"/>
        <v>15.240000000000009</v>
      </c>
      <c r="AA33" s="13" cm="1">
        <f t="array" aca="1" ref="AA33" ca="1">(W$11-Z33+VLOOKUP(T$10,$C$4:$E$7,3,FALSE)+VLOOKUP(T$10,$C$4:$F$7,4,FALSE)*_xll.QDates_YearFraction(valDate,U33,"ACT365F"))/VLOOKUP(T$10,$C$4:$G$7,5,FALSE)</f>
        <v>1.4737</v>
      </c>
      <c r="AC33" s="8" t="str" cm="1">
        <f t="array" aca="1" ref="AC33" ca="1">_xll.QDates_FuturesNextCode(AC32)</f>
        <v>CLF3</v>
      </c>
      <c r="AD33" s="1" cm="1">
        <f t="array" aca="1" ref="AD33" ca="1">_xll.QDates_FuturesExpiryFromCode(AC33)</f>
        <v>44915</v>
      </c>
      <c r="AE33" cm="1">
        <f t="array" aca="1" ref="AE33" ca="1">_xll.BDP(AC33&amp;" Comdty","PX_SETTLE")</f>
        <v>50.97</v>
      </c>
      <c r="AF33" cm="1">
        <f t="array" aca="1" ref="AF33" ca="1">_xll.BDP(AC33&amp;" Comdty",BidMidASK)</f>
        <v>51.36</v>
      </c>
      <c r="AG33" s="72">
        <f t="shared" ca="1" si="6"/>
        <v>7.7100000000000009</v>
      </c>
      <c r="AH33" s="72">
        <f t="shared" ca="1" si="7"/>
        <v>7.2000000000000028</v>
      </c>
      <c r="AI33" s="72">
        <f ca="1"/>
        <v>7.2000000000000028</v>
      </c>
      <c r="AJ33" s="13" cm="1">
        <f t="array" aca="1" ref="AJ33" ca="1">(AF$11-AI33+VLOOKUP(AC$10,$C$4:$E$7,3,FALSE)+VLOOKUP(AC$10,$C$4:$F$7,4,FALSE)*_xll.QDates_YearFraction(valDate,AD33,"ACT365F"))/VLOOKUP(AC$10,$C$4:$G$7,5,FALSE)</f>
        <v>51.11</v>
      </c>
    </row>
    <row r="34" spans="2:36" x14ac:dyDescent="0.25">
      <c r="B34" s="8" t="str" cm="1">
        <f t="array" aca="1" ref="B34" ca="1">_xll.QDates_FuturesNextCode(B33)</f>
        <v>COH3</v>
      </c>
      <c r="C34" s="1" cm="1">
        <f t="array" aca="1" ref="C34" ca="1">_xll.QDates_FuturesExpiryFromCode(B34)</f>
        <v>44957</v>
      </c>
      <c r="D34" cm="1">
        <f t="array" aca="1" ref="D34" ca="1">_xll.BDP(B34&amp;" Comdty","PX_SETTLE")</f>
        <v>54.52</v>
      </c>
      <c r="E34" cm="1">
        <f t="array" aca="1" ref="E34" ca="1">_xll.BDP(B34&amp;" Comdty",BidMidASK)</f>
        <v>55.03</v>
      </c>
      <c r="F34" s="72">
        <f t="shared" ca="1" si="1"/>
        <v>6.9499999999999957</v>
      </c>
      <c r="G34" s="72">
        <f t="shared" ca="1" si="2"/>
        <v>6.2899999999999991</v>
      </c>
      <c r="H34" s="72">
        <f ca="1"/>
        <v>6.2899999999999991</v>
      </c>
      <c r="I34" s="13" cm="1">
        <f t="array" aca="1" ref="I34" ca="1">(E$11-H34+VLOOKUP(B$10,$C$4:$E$7,3,FALSE)+VLOOKUP(B$10,$C$4:$F$7,4,FALSE)*_xll.QDates_YearFraction(valDate,C34,"ACT365F"))/VLOOKUP(B$10,$C$4:$G$7,5,FALSE)</f>
        <v>55.02</v>
      </c>
      <c r="K34" s="8" t="str" cm="1">
        <f t="array" aca="1" ref="K34" ca="1">_xll.QDates_FuturesNextCode(K33)</f>
        <v>QSG3</v>
      </c>
      <c r="L34" s="1" cm="1">
        <f t="array" aca="1" ref="L34" ca="1">_xll.QDates_FuturesExpiryFromCode(K34)</f>
        <v>44967</v>
      </c>
      <c r="M34" cm="1">
        <f t="array" aca="1" ref="M34" ca="1">_xll.BDP(K34&amp;" Comdty","PX_SETTLE")</f>
        <v>491.75</v>
      </c>
      <c r="N34" t="str" cm="1">
        <f t="array" aca="1" ref="N34" ca="1">_xll.BDP(K34&amp;" Comdty",BidMidASK)</f>
        <v>#N/A N/A</v>
      </c>
      <c r="O34" s="72">
        <f t="shared" ca="1" si="3"/>
        <v>11</v>
      </c>
      <c r="P34" s="72" t="str">
        <f t="shared" ca="1" si="4"/>
        <v/>
      </c>
      <c r="Q34" s="72">
        <f ca="1"/>
        <v>10.25</v>
      </c>
      <c r="R34" s="13" cm="1">
        <f t="array" aca="1" ref="R34" ca="1">(N$11-Q34+VLOOKUP(K$10,$C$4:$E$7,3,FALSE)+VLOOKUP(K$10,$C$4:$F$7,4,FALSE)*_xll.QDates_YearFraction(valDate,L34,"ACT365F"))/VLOOKUP(K$10,$C$4:$G$7,5,FALSE)</f>
        <v>513.47260273972597</v>
      </c>
      <c r="T34" s="8" t="str" cm="1">
        <f t="array" aca="1" ref="T34" ca="1">_xll.QDates_FuturesNextCode(T33)</f>
        <v>XBG3</v>
      </c>
      <c r="U34" s="1" cm="1">
        <f t="array" aca="1" ref="U34" ca="1">_xll.QDates_FuturesExpiryFromCode(T34)</f>
        <v>44957</v>
      </c>
      <c r="V34" cm="1">
        <f t="array" aca="1" ref="V34" ca="1">_xll.BDP(T34&amp;" Comdty","PX_SETTLE")</f>
        <v>148.87</v>
      </c>
      <c r="W34" t="str" cm="1">
        <f t="array" aca="1" ref="W34" ca="1">_xll.BDP(T34&amp;" Comdty",BidMidASK)</f>
        <v>#N/A N/A</v>
      </c>
      <c r="X34" s="72">
        <f t="shared" ca="1" si="0"/>
        <v>16.47</v>
      </c>
      <c r="Y34" s="72" t="str">
        <f t="shared" ca="1" si="5"/>
        <v/>
      </c>
      <c r="Z34" s="72">
        <f ca="1"/>
        <v>14.120000000000005</v>
      </c>
      <c r="AA34" s="13" cm="1">
        <f t="array" aca="1" ref="AA34" ca="1">(W$11-Z34+VLOOKUP(T$10,$C$4:$E$7,3,FALSE)+VLOOKUP(T$10,$C$4:$F$7,4,FALSE)*_xll.QDates_YearFraction(valDate,U34,"ACT365F"))/VLOOKUP(T$10,$C$4:$G$7,5,FALSE)</f>
        <v>1.4849000000000001</v>
      </c>
      <c r="AC34" s="8" t="str" cm="1">
        <f t="array" aca="1" ref="AC34" ca="1">_xll.QDates_FuturesNextCode(AC33)</f>
        <v>CLG3</v>
      </c>
      <c r="AD34" s="1" cm="1">
        <f t="array" aca="1" ref="AD34" ca="1">_xll.QDates_FuturesExpiryFromCode(AC34)</f>
        <v>44946</v>
      </c>
      <c r="AE34" cm="1">
        <f t="array" aca="1" ref="AE34" ca="1">_xll.BDP(AC34&amp;" Comdty","PX_SETTLE")</f>
        <v>50.75</v>
      </c>
      <c r="AF34" cm="1">
        <f t="array" aca="1" ref="AF34" ca="1">_xll.BDP(AC34&amp;" Comdty",BidMidASK)</f>
        <v>51.15</v>
      </c>
      <c r="AG34" s="72">
        <f t="shared" ca="1" si="6"/>
        <v>7.93</v>
      </c>
      <c r="AH34" s="72">
        <f t="shared" ca="1" si="7"/>
        <v>7.4100000000000037</v>
      </c>
      <c r="AI34" s="72">
        <f ca="1"/>
        <v>7.4100000000000037</v>
      </c>
      <c r="AJ34" s="13" cm="1">
        <f t="array" aca="1" ref="AJ34" ca="1">(AF$11-AI34+VLOOKUP(AC$10,$C$4:$E$7,3,FALSE)+VLOOKUP(AC$10,$C$4:$F$7,4,FALSE)*_xll.QDates_YearFraction(valDate,AD34,"ACT365F"))/VLOOKUP(AC$10,$C$4:$G$7,5,FALSE)</f>
        <v>50.9</v>
      </c>
    </row>
    <row r="35" spans="2:36" x14ac:dyDescent="0.25">
      <c r="B35" s="8" t="str" cm="1">
        <f t="array" aca="1" ref="B35" ca="1">_xll.QDates_FuturesNextCode(B34)</f>
        <v>COJ3</v>
      </c>
      <c r="C35" s="1" cm="1">
        <f t="array" aca="1" ref="C35" ca="1">_xll.QDates_FuturesExpiryFromCode(B35)</f>
        <v>44985</v>
      </c>
      <c r="D35" cm="1">
        <f t="array" aca="1" ref="D35" ca="1">_xll.BDP(B35&amp;" Comdty","PX_SETTLE")</f>
        <v>54.410000000000004</v>
      </c>
      <c r="E35" cm="1">
        <f t="array" aca="1" ref="E35" ca="1">_xll.BDP(B35&amp;" Comdty",BidMidASK)</f>
        <v>54.94</v>
      </c>
      <c r="F35" s="72">
        <f t="shared" ca="1" si="1"/>
        <v>7.0599999999999952</v>
      </c>
      <c r="G35" s="72">
        <f t="shared" ca="1" si="2"/>
        <v>6.3800000000000026</v>
      </c>
      <c r="H35" s="72">
        <f ca="1"/>
        <v>6.3800000000000026</v>
      </c>
      <c r="I35" s="13" cm="1">
        <f t="array" aca="1" ref="I35" ca="1">(E$11-H35+VLOOKUP(B$10,$C$4:$E$7,3,FALSE)+VLOOKUP(B$10,$C$4:$F$7,4,FALSE)*_xll.QDates_YearFraction(valDate,C35,"ACT365F"))/VLOOKUP(B$10,$C$4:$G$7,5,FALSE)</f>
        <v>54.93</v>
      </c>
      <c r="K35" s="8" t="str" cm="1">
        <f t="array" aca="1" ref="K35" ca="1">_xll.QDates_FuturesNextCode(K34)</f>
        <v>QSH3</v>
      </c>
      <c r="L35" s="1" cm="1">
        <f t="array" aca="1" ref="L35" ca="1">_xll.QDates_FuturesExpiryFromCode(K35)</f>
        <v>44995</v>
      </c>
      <c r="M35" cm="1">
        <f t="array" aca="1" ref="M35" ca="1">_xll.BDP(K35&amp;" Comdty","PX_SETTLE")</f>
        <v>491.75</v>
      </c>
      <c r="N35" t="str" cm="1">
        <f t="array" aca="1" ref="N35" ca="1">_xll.BDP(K35&amp;" Comdty",BidMidASK)</f>
        <v>#N/A N/A</v>
      </c>
      <c r="O35" s="72">
        <f t="shared" ca="1" si="3"/>
        <v>11</v>
      </c>
      <c r="P35" s="72" t="str">
        <f t="shared" ca="1" si="4"/>
        <v/>
      </c>
      <c r="Q35" s="72">
        <f ca="1"/>
        <v>10.5</v>
      </c>
      <c r="R35" s="13" cm="1">
        <f t="array" aca="1" ref="R35" ca="1">(N$11-Q35+VLOOKUP(K$10,$C$4:$E$7,3,FALSE)+VLOOKUP(K$10,$C$4:$F$7,4,FALSE)*_xll.QDates_YearFraction(valDate,L35,"ACT365F"))/VLOOKUP(K$10,$C$4:$G$7,5,FALSE)</f>
        <v>513.9897260273973</v>
      </c>
      <c r="T35" s="8" t="str" cm="1">
        <f t="array" aca="1" ref="T35" ca="1">_xll.QDates_FuturesNextCode(T34)</f>
        <v>XBH3</v>
      </c>
      <c r="U35" s="1" cm="1">
        <f t="array" aca="1" ref="U35" ca="1">_xll.QDates_FuturesExpiryFromCode(T35)</f>
        <v>44985</v>
      </c>
      <c r="V35" cm="1">
        <f t="array" aca="1" ref="V35" ca="1">_xll.BDP(T35&amp;" Comdty","PX_SETTLE")</f>
        <v>150.72999999999999</v>
      </c>
      <c r="W35" t="str" cm="1">
        <f t="array" aca="1" ref="W35" ca="1">_xll.BDP(T35&amp;" Comdty",BidMidASK)</f>
        <v>#N/A N/A</v>
      </c>
      <c r="X35" s="72">
        <f t="shared" ca="1" si="0"/>
        <v>14.610000000000014</v>
      </c>
      <c r="Y35" s="72" t="str">
        <f t="shared" ca="1" si="5"/>
        <v/>
      </c>
      <c r="Z35" s="72">
        <f ca="1"/>
        <v>12.260000000000019</v>
      </c>
      <c r="AA35" s="13" cm="1">
        <f t="array" aca="1" ref="AA35" ca="1">(W$11-Z35+VLOOKUP(T$10,$C$4:$E$7,3,FALSE)+VLOOKUP(T$10,$C$4:$F$7,4,FALSE)*_xll.QDates_YearFraction(valDate,U35,"ACT365F"))/VLOOKUP(T$10,$C$4:$G$7,5,FALSE)</f>
        <v>1.5034999999999998</v>
      </c>
      <c r="AC35" s="8" t="str" cm="1">
        <f t="array" aca="1" ref="AC35" ca="1">_xll.QDates_FuturesNextCode(AC34)</f>
        <v>CLH3</v>
      </c>
      <c r="AD35" s="1" cm="1">
        <f t="array" aca="1" ref="AD35" ca="1">_xll.QDates_FuturesExpiryFromCode(AC35)</f>
        <v>44978</v>
      </c>
      <c r="AE35" cm="1">
        <f t="array" aca="1" ref="AE35" ca="1">_xll.BDP(AC35&amp;" Comdty","PX_SETTLE")</f>
        <v>50.54</v>
      </c>
      <c r="AF35" cm="1">
        <f t="array" aca="1" ref="AF35" ca="1">_xll.BDP(AC35&amp;" Comdty",BidMidASK)</f>
        <v>50.92</v>
      </c>
      <c r="AG35" s="72">
        <f t="shared" ca="1" si="6"/>
        <v>8.14</v>
      </c>
      <c r="AH35" s="72">
        <f t="shared" ca="1" si="7"/>
        <v>7.6400000000000006</v>
      </c>
      <c r="AI35" s="72">
        <f ca="1"/>
        <v>7.6400000000000006</v>
      </c>
      <c r="AJ35" s="13" cm="1">
        <f t="array" aca="1" ref="AJ35" ca="1">(AF$11-AI35+VLOOKUP(AC$10,$C$4:$E$7,3,FALSE)+VLOOKUP(AC$10,$C$4:$F$7,4,FALSE)*_xll.QDates_YearFraction(valDate,AD35,"ACT365F"))/VLOOKUP(AC$10,$C$4:$G$7,5,FALSE)</f>
        <v>50.67</v>
      </c>
    </row>
    <row r="36" spans="2:36" x14ac:dyDescent="0.25">
      <c r="B36" s="8" t="str" cm="1">
        <f t="array" aca="1" ref="B36" ca="1">_xll.QDates_FuturesNextCode(B35)</f>
        <v>COK3</v>
      </c>
      <c r="C36" s="1" cm="1">
        <f t="array" aca="1" ref="C36" ca="1">_xll.QDates_FuturesExpiryFromCode(B36)</f>
        <v>45016</v>
      </c>
      <c r="D36" cm="1">
        <f t="array" aca="1" ref="D36" ca="1">_xll.BDP(B36&amp;" Comdty","PX_SETTLE")</f>
        <v>54.29</v>
      </c>
      <c r="E36" cm="1">
        <f t="array" aca="1" ref="E36" ca="1">_xll.BDP(B36&amp;" Comdty",BidMidASK)</f>
        <v>54.85</v>
      </c>
      <c r="F36" s="72">
        <f t="shared" ca="1" si="1"/>
        <v>7.18</v>
      </c>
      <c r="G36" s="72">
        <f t="shared" ca="1" si="2"/>
        <v>6.4699999999999989</v>
      </c>
      <c r="H36" s="72">
        <f ca="1"/>
        <v>6.4699999999999989</v>
      </c>
      <c r="I36" s="13" cm="1">
        <f t="array" aca="1" ref="I36" ca="1">(E$11-H36+VLOOKUP(B$10,$C$4:$E$7,3,FALSE)+VLOOKUP(B$10,$C$4:$F$7,4,FALSE)*_xll.QDates_YearFraction(valDate,C36,"ACT365F"))/VLOOKUP(B$10,$C$4:$G$7,5,FALSE)</f>
        <v>54.84</v>
      </c>
      <c r="K36" s="8" t="str" cm="1">
        <f t="array" aca="1" ref="K36" ca="1">_xll.QDates_FuturesNextCode(K35)</f>
        <v>QSJ3</v>
      </c>
      <c r="L36" s="1" cm="1">
        <f t="array" aca="1" ref="L36" ca="1">_xll.QDates_FuturesExpiryFromCode(K36)</f>
        <v>45028</v>
      </c>
      <c r="M36" cm="1">
        <f t="array" aca="1" ref="M36" ca="1">_xll.BDP(K36&amp;" Comdty","PX_SETTLE")</f>
        <v>491.5</v>
      </c>
      <c r="N36" t="str" cm="1">
        <f t="array" aca="1" ref="N36" ca="1">_xll.BDP(K36&amp;" Comdty",BidMidASK)</f>
        <v>#N/A N/A</v>
      </c>
      <c r="O36" s="72">
        <f t="shared" ca="1" si="3"/>
        <v>11.25</v>
      </c>
      <c r="P36" s="72" t="str">
        <f t="shared" ca="1" si="4"/>
        <v/>
      </c>
      <c r="Q36" s="72">
        <f ca="1"/>
        <v>11</v>
      </c>
      <c r="R36" s="13" cm="1">
        <f t="array" aca="1" ref="R36" ca="1">(N$11-Q36+VLOOKUP(K$10,$C$4:$E$7,3,FALSE)+VLOOKUP(K$10,$C$4:$F$7,4,FALSE)*_xll.QDates_YearFraction(valDate,L36,"ACT365F"))/VLOOKUP(K$10,$C$4:$G$7,5,FALSE)</f>
        <v>514.39383561643831</v>
      </c>
      <c r="T36" s="8" t="str" cm="1">
        <f t="array" aca="1" ref="T36" ca="1">_xll.QDates_FuturesNextCode(T35)</f>
        <v>XBJ3</v>
      </c>
      <c r="U36" s="1" cm="1">
        <f t="array" aca="1" ref="U36" ca="1">_xll.QDates_FuturesExpiryFromCode(T36)</f>
        <v>45016</v>
      </c>
      <c r="V36" cm="1">
        <f t="array" aca="1" ref="V36" ca="1">_xll.BDP(T36&amp;" Comdty","PX_SETTLE")</f>
        <v>168.72</v>
      </c>
      <c r="W36" t="str" cm="1">
        <f t="array" aca="1" ref="W36" ca="1">_xll.BDP(T36&amp;" Comdty",BidMidASK)</f>
        <v>#N/A N/A</v>
      </c>
      <c r="X36" s="72">
        <f t="shared" ca="1" si="0"/>
        <v>-3.3799999999999955</v>
      </c>
      <c r="Y36" s="72" t="str">
        <f t="shared" ca="1" si="5"/>
        <v/>
      </c>
      <c r="Z36" s="72">
        <f ca="1"/>
        <v>-5.7299999999999898</v>
      </c>
      <c r="AA36" s="13" cm="1">
        <f t="array" aca="1" ref="AA36" ca="1">(W$11-Z36+VLOOKUP(T$10,$C$4:$E$7,3,FALSE)+VLOOKUP(T$10,$C$4:$F$7,4,FALSE)*_xll.QDates_YearFraction(valDate,U36,"ACT365F"))/VLOOKUP(T$10,$C$4:$G$7,5,FALSE)</f>
        <v>1.6834</v>
      </c>
      <c r="AC36" s="8" t="str" cm="1">
        <f t="array" aca="1" ref="AC36" ca="1">_xll.QDates_FuturesNextCode(AC35)</f>
        <v>CLJ3</v>
      </c>
      <c r="AD36" s="1" cm="1">
        <f t="array" aca="1" ref="AD36" ca="1">_xll.QDates_FuturesExpiryFromCode(AC36)</f>
        <v>45006</v>
      </c>
      <c r="AE36" cm="1">
        <f t="array" aca="1" ref="AE36" ca="1">_xll.BDP(AC36&amp;" Comdty","PX_SETTLE")</f>
        <v>50.35</v>
      </c>
      <c r="AF36" cm="1">
        <f t="array" aca="1" ref="AF36" ca="1">_xll.BDP(AC36&amp;" Comdty",BidMidASK)</f>
        <v>50.870000000000005</v>
      </c>
      <c r="AG36" s="72">
        <f t="shared" ca="1" si="6"/>
        <v>8.3299999999999983</v>
      </c>
      <c r="AH36" s="72">
        <f t="shared" ca="1" si="7"/>
        <v>7.6899999999999977</v>
      </c>
      <c r="AI36" s="72">
        <f ca="1"/>
        <v>7.6899999999999977</v>
      </c>
      <c r="AJ36" s="13" cm="1">
        <f t="array" aca="1" ref="AJ36" ca="1">(AF$11-AI36+VLOOKUP(AC$10,$C$4:$E$7,3,FALSE)+VLOOKUP(AC$10,$C$4:$F$7,4,FALSE)*_xll.QDates_YearFraction(valDate,AD36,"ACT365F"))/VLOOKUP(AC$10,$C$4:$G$7,5,FALSE)</f>
        <v>50.620000000000005</v>
      </c>
    </row>
    <row r="37" spans="2:36" x14ac:dyDescent="0.25">
      <c r="B37" s="8" t="str" cm="1">
        <f t="array" aca="1" ref="B37" ca="1">_xll.QDates_FuturesNextCode(B36)</f>
        <v>COM3</v>
      </c>
      <c r="C37" s="1" cm="1">
        <f t="array" aca="1" ref="C37" ca="1">_xll.QDates_FuturesExpiryFromCode(B37)</f>
        <v>45044</v>
      </c>
      <c r="D37" cm="1">
        <f t="array" aca="1" ref="D37" ca="1">_xll.BDP(B37&amp;" Comdty","PX_SETTLE")</f>
        <v>54.160000000000004</v>
      </c>
      <c r="E37" cm="1">
        <f t="array" aca="1" ref="E37" ca="1">_xll.BDP(B37&amp;" Comdty",BidMidASK)</f>
        <v>54.18</v>
      </c>
      <c r="F37" s="72">
        <f t="shared" ca="1" si="1"/>
        <v>7.3099999999999952</v>
      </c>
      <c r="G37" s="72">
        <f t="shared" ca="1" si="2"/>
        <v>7.1400000000000006</v>
      </c>
      <c r="H37" s="72">
        <f ca="1"/>
        <v>7.1400000000000006</v>
      </c>
      <c r="I37" s="13" cm="1">
        <f t="array" aca="1" ref="I37" ca="1">(E$11-H37+VLOOKUP(B$10,$C$4:$E$7,3,FALSE)+VLOOKUP(B$10,$C$4:$F$7,4,FALSE)*_xll.QDates_YearFraction(valDate,C37,"ACT365F"))/VLOOKUP(B$10,$C$4:$G$7,5,FALSE)</f>
        <v>54.17</v>
      </c>
      <c r="K37" s="8" t="str" cm="1">
        <f t="array" aca="1" ref="K37" ca="1">_xll.QDates_FuturesNextCode(K36)</f>
        <v>QSK3</v>
      </c>
      <c r="L37" s="1" cm="1">
        <f t="array" aca="1" ref="L37" ca="1">_xll.QDates_FuturesExpiryFromCode(K37)</f>
        <v>45057</v>
      </c>
      <c r="M37" cm="1">
        <f t="array" aca="1" ref="M37" ca="1">_xll.BDP(K37&amp;" Comdty","PX_SETTLE")</f>
        <v>491</v>
      </c>
      <c r="N37" t="str" cm="1">
        <f t="array" aca="1" ref="N37" ca="1">_xll.BDP(K37&amp;" Comdty",BidMidASK)</f>
        <v>#N/A N/A</v>
      </c>
      <c r="O37" s="72">
        <f t="shared" ca="1" si="3"/>
        <v>11.75</v>
      </c>
      <c r="P37" s="72" t="str">
        <f t="shared" ca="1" si="4"/>
        <v/>
      </c>
      <c r="Q37" s="72">
        <f ca="1"/>
        <v>11.75</v>
      </c>
      <c r="R37" s="13" cm="1">
        <f t="array" aca="1" ref="R37" ca="1">(N$11-Q37+VLOOKUP(K$10,$C$4:$E$7,3,FALSE)+VLOOKUP(K$10,$C$4:$F$7,4,FALSE)*_xll.QDates_YearFraction(valDate,L37,"ACT365F"))/VLOOKUP(K$10,$C$4:$G$7,5,FALSE)</f>
        <v>514.43835616438355</v>
      </c>
      <c r="T37" s="8" t="str" cm="1">
        <f t="array" aca="1" ref="T37" ca="1">_xll.QDates_FuturesNextCode(T36)</f>
        <v>XBK3</v>
      </c>
      <c r="U37" s="1" cm="1">
        <f t="array" aca="1" ref="U37" ca="1">_xll.QDates_FuturesExpiryFromCode(T37)</f>
        <v>45044</v>
      </c>
      <c r="V37" cm="1">
        <f t="array" aca="1" ref="V37" ca="1">_xll.BDP(T37&amp;" Comdty","PX_SETTLE")</f>
        <v>171.01</v>
      </c>
      <c r="W37" t="str" cm="1">
        <f t="array" aca="1" ref="W37" ca="1">_xll.BDP(T37&amp;" Comdty",BidMidASK)</f>
        <v>#N/A N/A</v>
      </c>
      <c r="X37" s="72">
        <f t="shared" ca="1" si="0"/>
        <v>-5.6699999999999875</v>
      </c>
      <c r="Y37" s="72" t="str">
        <f t="shared" ca="1" si="5"/>
        <v/>
      </c>
      <c r="Z37" s="72">
        <f ca="1"/>
        <v>-8.0199999999999818</v>
      </c>
      <c r="AA37" s="13" cm="1">
        <f t="array" aca="1" ref="AA37" ca="1">(W$11-Z37+VLOOKUP(T$10,$C$4:$E$7,3,FALSE)+VLOOKUP(T$10,$C$4:$F$7,4,FALSE)*_xll.QDates_YearFraction(valDate,U37,"ACT365F"))/VLOOKUP(T$10,$C$4:$G$7,5,FALSE)</f>
        <v>1.7062999999999999</v>
      </c>
      <c r="AC37" s="8" t="str" cm="1">
        <f t="array" aca="1" ref="AC37" ca="1">_xll.QDates_FuturesNextCode(AC36)</f>
        <v>CLK3</v>
      </c>
      <c r="AD37" s="1" cm="1">
        <f t="array" aca="1" ref="AD37" ca="1">_xll.QDates_FuturesExpiryFromCode(AC37)</f>
        <v>45036</v>
      </c>
      <c r="AE37" cm="1">
        <f t="array" aca="1" ref="AE37" ca="1">_xll.BDP(AC37&amp;" Comdty","PX_SETTLE")</f>
        <v>50.17</v>
      </c>
      <c r="AF37" cm="1">
        <f t="array" aca="1" ref="AF37" ca="1">_xll.BDP(AC37&amp;" Comdty",BidMidASK)</f>
        <v>50.76</v>
      </c>
      <c r="AG37" s="72">
        <f t="shared" ca="1" si="6"/>
        <v>8.509999999999998</v>
      </c>
      <c r="AH37" s="72">
        <f t="shared" ca="1" si="7"/>
        <v>7.8000000000000043</v>
      </c>
      <c r="AI37" s="72">
        <f ca="1"/>
        <v>7.8000000000000043</v>
      </c>
      <c r="AJ37" s="13" cm="1">
        <f t="array" aca="1" ref="AJ37" ca="1">(AF$11-AI37+VLOOKUP(AC$10,$C$4:$E$7,3,FALSE)+VLOOKUP(AC$10,$C$4:$F$7,4,FALSE)*_xll.QDates_YearFraction(valDate,AD37,"ACT365F"))/VLOOKUP(AC$10,$C$4:$G$7,5,FALSE)</f>
        <v>50.51</v>
      </c>
    </row>
    <row r="38" spans="2:36" x14ac:dyDescent="0.25">
      <c r="B38" s="8" t="str" cm="1">
        <f t="array" aca="1" ref="B38" ca="1">_xll.QDates_FuturesNextCode(B37)</f>
        <v>CON3</v>
      </c>
      <c r="C38" s="1" cm="1">
        <f t="array" aca="1" ref="C38" ca="1">_xll.QDates_FuturesExpiryFromCode(B38)</f>
        <v>45077</v>
      </c>
      <c r="D38" cm="1">
        <f t="array" aca="1" ref="D38" ca="1">_xll.BDP(B38&amp;" Comdty","PX_SETTLE")</f>
        <v>54.03</v>
      </c>
      <c r="E38" t="str" cm="1">
        <f t="array" aca="1" ref="E38" ca="1">_xll.BDP(B38&amp;" Comdty",BidMidASK)</f>
        <v>#N/A N/A</v>
      </c>
      <c r="F38" s="72">
        <f t="shared" ca="1" si="1"/>
        <v>7.4399999999999977</v>
      </c>
      <c r="G38" s="72" t="str">
        <f t="shared" ca="1" si="2"/>
        <v/>
      </c>
      <c r="H38" s="72">
        <f ca="1"/>
        <v>7.2683333333333353</v>
      </c>
      <c r="I38" s="13" cm="1">
        <f t="array" aca="1" ref="I38" ca="1">(E$11-H38+VLOOKUP(B$10,$C$4:$E$7,3,FALSE)+VLOOKUP(B$10,$C$4:$F$7,4,FALSE)*_xll.QDates_YearFraction(valDate,C38,"ACT365F"))/VLOOKUP(B$10,$C$4:$G$7,5,FALSE)</f>
        <v>54.041666666666664</v>
      </c>
      <c r="K38" s="8" t="str" cm="1">
        <f t="array" aca="1" ref="K38" ca="1">_xll.QDates_FuturesNextCode(K37)</f>
        <v>QSM3</v>
      </c>
      <c r="L38" s="1" cm="1">
        <f t="array" aca="1" ref="L38" ca="1">_xll.QDates_FuturesExpiryFromCode(K38)</f>
        <v>45089</v>
      </c>
      <c r="M38" cm="1">
        <f t="array" aca="1" ref="M38" ca="1">_xll.BDP(K38&amp;" Comdty","PX_SETTLE")</f>
        <v>490.25</v>
      </c>
      <c r="N38" cm="1">
        <f t="array" aca="1" ref="N38" ca="1">_xll.BDP(K38&amp;" Comdty",BidMidASK)</f>
        <v>489</v>
      </c>
      <c r="O38" s="72">
        <f t="shared" ca="1" si="3"/>
        <v>12.5</v>
      </c>
      <c r="P38" s="72">
        <f t="shared" ca="1" si="4"/>
        <v>12.75</v>
      </c>
      <c r="Q38" s="72">
        <f ca="1"/>
        <v>12.75</v>
      </c>
      <c r="R38" s="13" cm="1">
        <f t="array" aca="1" ref="R38" ca="1">(N$11-Q38+VLOOKUP(K$10,$C$4:$E$7,3,FALSE)+VLOOKUP(K$10,$C$4:$F$7,4,FALSE)*_xll.QDates_YearFraction(valDate,L38,"ACT365F"))/VLOOKUP(K$10,$C$4:$G$7,5,FALSE)</f>
        <v>514.31506849315065</v>
      </c>
      <c r="T38" s="8" t="str" cm="1">
        <f t="array" aca="1" ref="T38" ca="1">_xll.QDates_FuturesNextCode(T37)</f>
        <v>XBM3</v>
      </c>
      <c r="U38" s="1" cm="1">
        <f t="array" aca="1" ref="U38" ca="1">_xll.QDates_FuturesExpiryFromCode(T38)</f>
        <v>45077</v>
      </c>
      <c r="V38" cm="1">
        <f t="array" aca="1" ref="V38" ca="1">_xll.BDP(T38&amp;" Comdty","PX_SETTLE")</f>
        <v>170.16</v>
      </c>
      <c r="W38" t="str" cm="1">
        <f t="array" aca="1" ref="W38" ca="1">_xll.BDP(T38&amp;" Comdty",BidMidASK)</f>
        <v>#N/A N/A</v>
      </c>
      <c r="X38" s="72">
        <f t="shared" ca="1" si="0"/>
        <v>-4.8199999999999932</v>
      </c>
      <c r="Y38" s="72" t="str">
        <f t="shared" ca="1" si="5"/>
        <v/>
      </c>
      <c r="Z38" s="72">
        <f ca="1"/>
        <v>-7.1699999999999875</v>
      </c>
      <c r="AA38" s="13" cm="1">
        <f t="array" aca="1" ref="AA38" ca="1">(W$11-Z38+VLOOKUP(T$10,$C$4:$E$7,3,FALSE)+VLOOKUP(T$10,$C$4:$F$7,4,FALSE)*_xll.QDates_YearFraction(valDate,U38,"ACT365F"))/VLOOKUP(T$10,$C$4:$G$7,5,FALSE)</f>
        <v>1.6978</v>
      </c>
      <c r="AC38" s="8" t="str" cm="1">
        <f t="array" aca="1" ref="AC38" ca="1">_xll.QDates_FuturesNextCode(AC37)</f>
        <v>CLM3</v>
      </c>
      <c r="AD38" s="1" cm="1">
        <f t="array" aca="1" ref="AD38" ca="1">_xll.QDates_FuturesExpiryFromCode(AC38)</f>
        <v>45068</v>
      </c>
      <c r="AE38" cm="1">
        <f t="array" aca="1" ref="AE38" ca="1">_xll.BDP(AC38&amp;" Comdty","PX_SETTLE")</f>
        <v>50.02</v>
      </c>
      <c r="AF38" cm="1">
        <f t="array" aca="1" ref="AF38" ca="1">_xll.BDP(AC38&amp;" Comdty",BidMidASK)</f>
        <v>50.050000000000004</v>
      </c>
      <c r="AG38" s="72">
        <f t="shared" ca="1" si="6"/>
        <v>8.6599999999999966</v>
      </c>
      <c r="AH38" s="72">
        <f t="shared" ca="1" si="7"/>
        <v>8.509999999999998</v>
      </c>
      <c r="AI38" s="72">
        <f ca="1"/>
        <v>8.509999999999998</v>
      </c>
      <c r="AJ38" s="13" cm="1">
        <f t="array" aca="1" ref="AJ38" ca="1">(AF$11-AI38+VLOOKUP(AC$10,$C$4:$E$7,3,FALSE)+VLOOKUP(AC$10,$C$4:$F$7,4,FALSE)*_xll.QDates_YearFraction(valDate,AD38,"ACT365F"))/VLOOKUP(AC$10,$C$4:$G$7,5,FALSE)</f>
        <v>49.800000000000004</v>
      </c>
    </row>
    <row r="39" spans="2:36" x14ac:dyDescent="0.25">
      <c r="B39" s="8" t="str" cm="1">
        <f t="array" aca="1" ref="B39" ca="1">_xll.QDates_FuturesNextCode(B38)</f>
        <v>COQ3</v>
      </c>
      <c r="C39" s="1" cm="1">
        <f t="array" aca="1" ref="C39" ca="1">_xll.QDates_FuturesExpiryFromCode(B39)</f>
        <v>45107</v>
      </c>
      <c r="D39" cm="1">
        <f t="array" aca="1" ref="D39" ca="1">_xll.BDP(B39&amp;" Comdty","PX_SETTLE")</f>
        <v>53.9</v>
      </c>
      <c r="E39" t="str" cm="1">
        <f t="array" aca="1" ref="E39" ca="1">_xll.BDP(B39&amp;" Comdty",BidMidASK)</f>
        <v>#N/A N/A</v>
      </c>
      <c r="F39" s="72">
        <f t="shared" ca="1" si="1"/>
        <v>7.57</v>
      </c>
      <c r="G39" s="72" t="str">
        <f t="shared" ca="1" si="2"/>
        <v/>
      </c>
      <c r="H39" s="72">
        <f ca="1"/>
        <v>7.3966666666666709</v>
      </c>
      <c r="I39" s="13" cm="1">
        <f t="array" aca="1" ref="I39" ca="1">(E$11-H39+VLOOKUP(B$10,$C$4:$E$7,3,FALSE)+VLOOKUP(B$10,$C$4:$F$7,4,FALSE)*_xll.QDates_YearFraction(valDate,C39,"ACT365F"))/VLOOKUP(B$10,$C$4:$G$7,5,FALSE)</f>
        <v>53.913333333333334</v>
      </c>
      <c r="K39" s="8" t="str" cm="1">
        <f t="array" aca="1" ref="K39" ca="1">_xll.QDates_FuturesNextCode(K38)</f>
        <v>QSN3</v>
      </c>
      <c r="L39" s="1" cm="1">
        <f t="array" aca="1" ref="L39" ca="1">_xll.QDates_FuturesExpiryFromCode(K39)</f>
        <v>45119</v>
      </c>
      <c r="M39" cm="1">
        <f t="array" aca="1" ref="M39" ca="1">_xll.BDP(K39&amp;" Comdty","PX_SETTLE")</f>
        <v>490.75</v>
      </c>
      <c r="N39" t="str" cm="1">
        <f t="array" aca="1" ref="N39" ca="1">_xll.BDP(K39&amp;" Comdty",BidMidASK)</f>
        <v>#N/A N/A</v>
      </c>
      <c r="O39" s="72">
        <f t="shared" ca="1" si="3"/>
        <v>12</v>
      </c>
      <c r="P39" s="72" t="str">
        <f t="shared" ca="1" si="4"/>
        <v/>
      </c>
      <c r="Q39" s="72">
        <f ca="1"/>
        <v>12.208333333333334</v>
      </c>
      <c r="R39" s="13" cm="1">
        <f t="array" aca="1" ref="R39" ca="1">(N$11-Q39+VLOOKUP(K$10,$C$4:$E$7,3,FALSE)+VLOOKUP(K$10,$C$4:$F$7,4,FALSE)*_xll.QDates_YearFraction(valDate,L39,"ACT365F"))/VLOOKUP(K$10,$C$4:$G$7,5,FALSE)</f>
        <v>515.67865296803654</v>
      </c>
      <c r="T39" s="8" t="str" cm="1">
        <f t="array" aca="1" ref="T39" ca="1">_xll.QDates_FuturesNextCode(T38)</f>
        <v>XBN3</v>
      </c>
      <c r="U39" s="1" cm="1">
        <f t="array" aca="1" ref="U39" ca="1">_xll.QDates_FuturesExpiryFromCode(T39)</f>
        <v>45107</v>
      </c>
      <c r="V39" cm="1">
        <f t="array" aca="1" ref="V39" ca="1">_xll.BDP(T39&amp;" Comdty","PX_SETTLE")</f>
        <v>169.13</v>
      </c>
      <c r="W39" t="str" cm="1">
        <f t="array" aca="1" ref="W39" ca="1">_xll.BDP(T39&amp;" Comdty",BidMidASK)</f>
        <v>#N/A N/A</v>
      </c>
      <c r="X39" s="72">
        <f t="shared" ca="1" si="0"/>
        <v>-3.789999999999992</v>
      </c>
      <c r="Y39" s="72" t="str">
        <f t="shared" ca="1" si="5"/>
        <v/>
      </c>
      <c r="Z39" s="72">
        <f ca="1"/>
        <v>-6.1399999999999864</v>
      </c>
      <c r="AA39" s="13" cm="1">
        <f t="array" aca="1" ref="AA39" ca="1">(W$11-Z39+VLOOKUP(T$10,$C$4:$E$7,3,FALSE)+VLOOKUP(T$10,$C$4:$F$7,4,FALSE)*_xll.QDates_YearFraction(valDate,U39,"ACT365F"))/VLOOKUP(T$10,$C$4:$G$7,5,FALSE)</f>
        <v>1.6875</v>
      </c>
      <c r="AC39" s="8" t="str" cm="1">
        <f t="array" aca="1" ref="AC39" ca="1">_xll.QDates_FuturesNextCode(AC38)</f>
        <v>CLN3</v>
      </c>
      <c r="AD39" s="1" cm="1">
        <f t="array" aca="1" ref="AD39" ca="1">_xll.QDates_FuturesExpiryFromCode(AC39)</f>
        <v>45097</v>
      </c>
      <c r="AE39" cm="1">
        <f t="array" aca="1" ref="AE39" ca="1">_xll.BDP(AC39&amp;" Comdty","PX_SETTLE")</f>
        <v>49.84</v>
      </c>
      <c r="AF39" cm="1">
        <f t="array" aca="1" ref="AF39" ca="1">_xll.BDP(AC39&amp;" Comdty",BidMidASK)</f>
        <v>50.43</v>
      </c>
      <c r="AG39" s="72">
        <f t="shared" ca="1" si="6"/>
        <v>8.8399999999999963</v>
      </c>
      <c r="AH39" s="72">
        <f t="shared" ca="1" si="7"/>
        <v>8.1300000000000026</v>
      </c>
      <c r="AI39" s="72">
        <f ca="1"/>
        <v>8.1300000000000026</v>
      </c>
      <c r="AJ39" s="13" cm="1">
        <f t="array" aca="1" ref="AJ39" ca="1">(AF$11-AI39+VLOOKUP(AC$10,$C$4:$E$7,3,FALSE)+VLOOKUP(AC$10,$C$4:$F$7,4,FALSE)*_xll.QDates_YearFraction(valDate,AD39,"ACT365F"))/VLOOKUP(AC$10,$C$4:$G$7,5,FALSE)</f>
        <v>50.18</v>
      </c>
    </row>
    <row r="40" spans="2:36" x14ac:dyDescent="0.25">
      <c r="B40" s="8" t="str" cm="1">
        <f t="array" aca="1" ref="B40" ca="1">_xll.QDates_FuturesNextCode(B39)</f>
        <v>COU3</v>
      </c>
      <c r="C40" s="1" cm="1">
        <f t="array" aca="1" ref="C40" ca="1">_xll.QDates_FuturesExpiryFromCode(B40)</f>
        <v>45138</v>
      </c>
      <c r="D40" cm="1">
        <f t="array" aca="1" ref="D40" ca="1">_xll.BDP(B40&amp;" Comdty","PX_SETTLE")</f>
        <v>53.78</v>
      </c>
      <c r="E40" t="str" cm="1">
        <f t="array" aca="1" ref="E40" ca="1">_xll.BDP(B40&amp;" Comdty",BidMidASK)</f>
        <v>#N/A N/A</v>
      </c>
      <c r="F40" s="72">
        <f t="shared" ca="1" si="1"/>
        <v>7.6899999999999977</v>
      </c>
      <c r="G40" s="72" t="str">
        <f t="shared" ca="1" si="2"/>
        <v/>
      </c>
      <c r="H40" s="72">
        <f ca="1"/>
        <v>7.5150000000000006</v>
      </c>
      <c r="I40" s="13" cm="1">
        <f t="array" aca="1" ref="I40" ca="1">(E$11-H40+VLOOKUP(B$10,$C$4:$E$7,3,FALSE)+VLOOKUP(B$10,$C$4:$F$7,4,FALSE)*_xll.QDates_YearFraction(valDate,C40,"ACT365F"))/VLOOKUP(B$10,$C$4:$G$7,5,FALSE)</f>
        <v>53.795000000000002</v>
      </c>
      <c r="K40" s="8" t="str" cm="1">
        <f t="array" aca="1" ref="K40" ca="1">_xll.QDates_FuturesNextCode(K39)</f>
        <v>QSQ3</v>
      </c>
      <c r="L40" s="1" cm="1">
        <f t="array" aca="1" ref="L40" ca="1">_xll.QDates_FuturesExpiryFromCode(K40)</f>
        <v>45148</v>
      </c>
      <c r="M40" cm="1">
        <f t="array" aca="1" ref="M40" ca="1">_xll.BDP(K40&amp;" Comdty","PX_SETTLE")</f>
        <v>491.25</v>
      </c>
      <c r="N40" t="str" cm="1">
        <f t="array" aca="1" ref="N40" ca="1">_xll.BDP(K40&amp;" Comdty",BidMidASK)</f>
        <v>#N/A N/A</v>
      </c>
      <c r="O40" s="72">
        <f t="shared" ca="1" si="3"/>
        <v>11.5</v>
      </c>
      <c r="P40" s="72" t="str">
        <f t="shared" ca="1" si="4"/>
        <v/>
      </c>
      <c r="Q40" s="72">
        <f ca="1"/>
        <v>11.666666666666666</v>
      </c>
      <c r="R40" s="13" cm="1">
        <f t="array" aca="1" ref="R40" ca="1">(N$11-Q40+VLOOKUP(K$10,$C$4:$E$7,3,FALSE)+VLOOKUP(K$10,$C$4:$F$7,4,FALSE)*_xll.QDates_YearFraction(valDate,L40,"ACT365F"))/VLOOKUP(K$10,$C$4:$G$7,5,FALSE)</f>
        <v>517.01484018264841</v>
      </c>
      <c r="T40" s="8" t="str" cm="1">
        <f t="array" aca="1" ref="T40" ca="1">_xll.QDates_FuturesNextCode(T39)</f>
        <v>XBQ3</v>
      </c>
      <c r="U40" s="1" cm="1">
        <f t="array" aca="1" ref="U40" ca="1">_xll.QDates_FuturesExpiryFromCode(T40)</f>
        <v>45138</v>
      </c>
      <c r="V40" cm="1">
        <f t="array" aca="1" ref="V40" ca="1">_xll.BDP(T40&amp;" Comdty","PX_SETTLE")</f>
        <v>167.34</v>
      </c>
      <c r="W40" t="str" cm="1">
        <f t="array" aca="1" ref="W40" ca="1">_xll.BDP(T40&amp;" Comdty",BidMidASK)</f>
        <v>#N/A N/A</v>
      </c>
      <c r="X40" s="72">
        <f t="shared" ca="1" si="0"/>
        <v>-2</v>
      </c>
      <c r="Y40" s="72" t="str">
        <f t="shared" ca="1" si="5"/>
        <v/>
      </c>
      <c r="Z40" s="72">
        <f ca="1"/>
        <v>-4.3499999999999943</v>
      </c>
      <c r="AA40" s="13" cm="1">
        <f t="array" aca="1" ref="AA40" ca="1">(W$11-Z40+VLOOKUP(T$10,$C$4:$E$7,3,FALSE)+VLOOKUP(T$10,$C$4:$F$7,4,FALSE)*_xll.QDates_YearFraction(valDate,U40,"ACT365F"))/VLOOKUP(T$10,$C$4:$G$7,5,FALSE)</f>
        <v>1.6696</v>
      </c>
      <c r="AC40" s="8" t="str" cm="1">
        <f t="array" aca="1" ref="AC40" ca="1">_xll.QDates_FuturesNextCode(AC39)</f>
        <v>CLQ3</v>
      </c>
      <c r="AD40" s="1" cm="1">
        <f t="array" aca="1" ref="AD40" ca="1">_xll.QDates_FuturesExpiryFromCode(AC40)</f>
        <v>45127</v>
      </c>
      <c r="AE40" cm="1">
        <f t="array" aca="1" ref="AE40" ca="1">_xll.BDP(AC40&amp;" Comdty","PX_SETTLE")</f>
        <v>49.67</v>
      </c>
      <c r="AF40" cm="1">
        <f t="array" aca="1" ref="AF40" ca="1">_xll.BDP(AC40&amp;" Comdty",BidMidASK)</f>
        <v>50.31</v>
      </c>
      <c r="AG40" s="72">
        <f t="shared" ca="1" si="6"/>
        <v>9.009999999999998</v>
      </c>
      <c r="AH40" s="72">
        <f t="shared" ca="1" si="7"/>
        <v>8.25</v>
      </c>
      <c r="AI40" s="72">
        <f ca="1"/>
        <v>8.25</v>
      </c>
      <c r="AJ40" s="13" cm="1">
        <f t="array" aca="1" ref="AJ40" ca="1">(AF$11-AI40+VLOOKUP(AC$10,$C$4:$E$7,3,FALSE)+VLOOKUP(AC$10,$C$4:$F$7,4,FALSE)*_xll.QDates_YearFraction(valDate,AD40,"ACT365F"))/VLOOKUP(AC$10,$C$4:$G$7,5,FALSE)</f>
        <v>50.06</v>
      </c>
    </row>
    <row r="41" spans="2:36" x14ac:dyDescent="0.25">
      <c r="B41" s="8" t="str" cm="1">
        <f t="array" aca="1" ref="B41" ca="1">_xll.QDates_FuturesNextCode(B40)</f>
        <v>COV3</v>
      </c>
      <c r="C41" s="1" cm="1">
        <f t="array" aca="1" ref="C41" ca="1">_xll.QDates_FuturesExpiryFromCode(B41)</f>
        <v>45169</v>
      </c>
      <c r="D41" cm="1">
        <f t="array" aca="1" ref="D41" ca="1">_xll.BDP(B41&amp;" Comdty","PX_SETTLE")</f>
        <v>53.67</v>
      </c>
      <c r="E41" t="str" cm="1">
        <f t="array" aca="1" ref="E41" ca="1">_xll.BDP(B41&amp;" Comdty",BidMidASK)</f>
        <v>#N/A N/A</v>
      </c>
      <c r="F41" s="72">
        <f t="shared" ca="1" si="1"/>
        <v>7.7999999999999972</v>
      </c>
      <c r="G41" s="72" t="str">
        <f t="shared" ca="1" si="2"/>
        <v/>
      </c>
      <c r="H41" s="72">
        <f ca="1"/>
        <v>7.6233333333333322</v>
      </c>
      <c r="I41" s="13" cm="1">
        <f t="array" aca="1" ref="I41" ca="1">(E$11-H41+VLOOKUP(B$10,$C$4:$E$7,3,FALSE)+VLOOKUP(B$10,$C$4:$F$7,4,FALSE)*_xll.QDates_YearFraction(valDate,C41,"ACT365F"))/VLOOKUP(B$10,$C$4:$G$7,5,FALSE)</f>
        <v>53.686666666666667</v>
      </c>
      <c r="K41" s="8" t="str" cm="1">
        <f t="array" aca="1" ref="K41" ca="1">_xll.QDates_FuturesNextCode(K40)</f>
        <v>QSU3</v>
      </c>
      <c r="L41" s="1" cm="1">
        <f t="array" aca="1" ref="L41" ca="1">_xll.QDates_FuturesExpiryFromCode(K41)</f>
        <v>45181</v>
      </c>
      <c r="M41" cm="1">
        <f t="array" aca="1" ref="M41" ca="1">_xll.BDP(K41&amp;" Comdty","PX_SETTLE")</f>
        <v>491.75</v>
      </c>
      <c r="N41" t="str" cm="1">
        <f t="array" aca="1" ref="N41" ca="1">_xll.BDP(K41&amp;" Comdty",BidMidASK)</f>
        <v>#N/A N/A</v>
      </c>
      <c r="O41" s="72">
        <f t="shared" ca="1" si="3"/>
        <v>11</v>
      </c>
      <c r="P41" s="72" t="str">
        <f t="shared" ca="1" si="4"/>
        <v/>
      </c>
      <c r="Q41" s="72">
        <f ca="1"/>
        <v>11.125</v>
      </c>
      <c r="R41" s="13" cm="1">
        <f t="array" aca="1" ref="R41" ca="1">(N$11-Q41+VLOOKUP(K$10,$C$4:$E$7,3,FALSE)+VLOOKUP(K$10,$C$4:$F$7,4,FALSE)*_xll.QDates_YearFraction(valDate,L41,"ACT365F"))/VLOOKUP(K$10,$C$4:$G$7,5,FALSE)</f>
        <v>518.46061643835617</v>
      </c>
      <c r="T41" s="8" t="str" cm="1">
        <f t="array" aca="1" ref="T41" ca="1">_xll.QDates_FuturesNextCode(T40)</f>
        <v>XBU3</v>
      </c>
      <c r="U41" s="1" cm="1">
        <f t="array" aca="1" ref="U41" ca="1">_xll.QDates_FuturesExpiryFromCode(T41)</f>
        <v>45169</v>
      </c>
      <c r="V41" cm="1">
        <f t="array" aca="1" ref="V41" ca="1">_xll.BDP(T41&amp;" Comdty","PX_SETTLE")</f>
        <v>163.62</v>
      </c>
      <c r="W41" t="str" cm="1">
        <f t="array" aca="1" ref="W41" ca="1">_xll.BDP(T41&amp;" Comdty",BidMidASK)</f>
        <v>#N/A N/A</v>
      </c>
      <c r="X41" s="72">
        <f t="shared" ca="1" si="0"/>
        <v>1.7199999999999989</v>
      </c>
      <c r="Y41" s="72" t="str">
        <f t="shared" ca="1" si="5"/>
        <v/>
      </c>
      <c r="Z41" s="72">
        <f ca="1"/>
        <v>-0.62999999999999545</v>
      </c>
      <c r="AA41" s="13" cm="1">
        <f t="array" aca="1" ref="AA41" ca="1">(W$11-Z41+VLOOKUP(T$10,$C$4:$E$7,3,FALSE)+VLOOKUP(T$10,$C$4:$F$7,4,FALSE)*_xll.QDates_YearFraction(valDate,U41,"ACT365F"))/VLOOKUP(T$10,$C$4:$G$7,5,FALSE)</f>
        <v>1.6324000000000001</v>
      </c>
      <c r="AC41" s="8" t="str" cm="1">
        <f t="array" aca="1" ref="AC41" ca="1">_xll.QDates_FuturesNextCode(AC40)</f>
        <v>CLU3</v>
      </c>
      <c r="AD41" s="1" cm="1">
        <f t="array" aca="1" ref="AD41" ca="1">_xll.QDates_FuturesExpiryFromCode(AC41)</f>
        <v>45160</v>
      </c>
      <c r="AE41" cm="1">
        <f t="array" aca="1" ref="AE41" ca="1">_xll.BDP(AC41&amp;" Comdty","PX_SETTLE")</f>
        <v>49.52</v>
      </c>
      <c r="AF41" cm="1">
        <f t="array" aca="1" ref="AF41" ca="1">_xll.BDP(AC41&amp;" Comdty",BidMidASK)</f>
        <v>50.17</v>
      </c>
      <c r="AG41" s="72">
        <f t="shared" ca="1" si="6"/>
        <v>9.1599999999999966</v>
      </c>
      <c r="AH41" s="72">
        <f t="shared" ca="1" si="7"/>
        <v>8.39</v>
      </c>
      <c r="AI41" s="72">
        <f ca="1"/>
        <v>8.39</v>
      </c>
      <c r="AJ41" s="13" cm="1">
        <f t="array" aca="1" ref="AJ41" ca="1">(AF$11-AI41+VLOOKUP(AC$10,$C$4:$E$7,3,FALSE)+VLOOKUP(AC$10,$C$4:$F$7,4,FALSE)*_xll.QDates_YearFraction(valDate,AD41,"ACT365F"))/VLOOKUP(AC$10,$C$4:$G$7,5,FALSE)</f>
        <v>49.92</v>
      </c>
    </row>
    <row r="42" spans="2:36" x14ac:dyDescent="0.25">
      <c r="B42" s="8" t="str" cm="1">
        <f t="array" aca="1" ref="B42" ca="1">_xll.QDates_FuturesNextCode(B41)</f>
        <v>COX3</v>
      </c>
      <c r="C42" s="1" cm="1">
        <f t="array" aca="1" ref="C42" ca="1">_xll.QDates_FuturesExpiryFromCode(B42)</f>
        <v>45198</v>
      </c>
      <c r="D42" cm="1">
        <f t="array" aca="1" ref="D42" ca="1">_xll.BDP(B42&amp;" Comdty","PX_SETTLE")</f>
        <v>53.550000000000004</v>
      </c>
      <c r="E42" t="str" cm="1">
        <f t="array" aca="1" ref="E42" ca="1">_xll.BDP(B42&amp;" Comdty",BidMidASK)</f>
        <v>#N/A N/A</v>
      </c>
      <c r="F42" s="72">
        <f t="shared" ca="1" si="1"/>
        <v>7.9199999999999946</v>
      </c>
      <c r="G42" s="72" t="str">
        <f t="shared" ca="1" si="2"/>
        <v/>
      </c>
      <c r="H42" s="72">
        <f ca="1"/>
        <v>7.7416666666666627</v>
      </c>
      <c r="I42" s="13" cm="1">
        <f t="array" aca="1" ref="I42" ca="1">(E$11-H42+VLOOKUP(B$10,$C$4:$E$7,3,FALSE)+VLOOKUP(B$10,$C$4:$F$7,4,FALSE)*_xll.QDates_YearFraction(valDate,C42,"ACT365F"))/VLOOKUP(B$10,$C$4:$G$7,5,FALSE)</f>
        <v>53.568333333333342</v>
      </c>
      <c r="K42" s="8" t="str" cm="1">
        <f t="array" aca="1" ref="K42" ca="1">_xll.QDates_FuturesNextCode(K41)</f>
        <v>QSV3</v>
      </c>
      <c r="L42" s="1" cm="1">
        <f t="array" aca="1" ref="L42" ca="1">_xll.QDates_FuturesExpiryFromCode(K42)</f>
        <v>45211</v>
      </c>
      <c r="M42" cm="1">
        <f t="array" aca="1" ref="M42" ca="1">_xll.BDP(K42&amp;" Comdty","PX_SETTLE")</f>
        <v>491.75</v>
      </c>
      <c r="N42" t="str" cm="1">
        <f t="array" aca="1" ref="N42" ca="1">_xll.BDP(K42&amp;" Comdty",BidMidASK)</f>
        <v>#N/A N/A</v>
      </c>
      <c r="O42" s="72">
        <f t="shared" ca="1" si="3"/>
        <v>11</v>
      </c>
      <c r="P42" s="72" t="str">
        <f t="shared" ca="1" si="4"/>
        <v/>
      </c>
      <c r="Q42" s="72">
        <f ca="1"/>
        <v>11.083333333333334</v>
      </c>
      <c r="R42" s="13" cm="1">
        <f t="array" aca="1" ref="R42" ca="1">(N$11-Q42+VLOOKUP(K$10,$C$4:$E$7,3,FALSE)+VLOOKUP(K$10,$C$4:$F$7,4,FALSE)*_xll.QDates_YearFraction(valDate,L42,"ACT365F"))/VLOOKUP(K$10,$C$4:$G$7,5,FALSE)</f>
        <v>519.32420091324207</v>
      </c>
      <c r="T42" s="8" t="str" cm="1">
        <f t="array" aca="1" ref="T42" ca="1">_xll.QDates_FuturesNextCode(T41)</f>
        <v>XBV3</v>
      </c>
      <c r="U42" s="1" cm="1">
        <f t="array" aca="1" ref="U42" ca="1">_xll.QDates_FuturesExpiryFromCode(T42)</f>
        <v>45198</v>
      </c>
      <c r="V42" cm="1">
        <f t="array" aca="1" ref="V42" ca="1">_xll.BDP(T42&amp;" Comdty","PX_SETTLE")</f>
        <v>150.72999999999999</v>
      </c>
      <c r="W42" t="str" cm="1">
        <f t="array" aca="1" ref="W42" ca="1">_xll.BDP(T42&amp;" Comdty",BidMidASK)</f>
        <v>#N/A N/A</v>
      </c>
      <c r="X42" s="72">
        <f t="shared" ca="1" si="0"/>
        <v>14.610000000000014</v>
      </c>
      <c r="Y42" s="72" t="str">
        <f t="shared" ca="1" si="5"/>
        <v/>
      </c>
      <c r="Z42" s="72">
        <f ca="1"/>
        <v>12.260000000000019</v>
      </c>
      <c r="AA42" s="13" cm="1">
        <f t="array" aca="1" ref="AA42" ca="1">(W$11-Z42+VLOOKUP(T$10,$C$4:$E$7,3,FALSE)+VLOOKUP(T$10,$C$4:$F$7,4,FALSE)*_xll.QDates_YearFraction(valDate,U42,"ACT365F"))/VLOOKUP(T$10,$C$4:$G$7,5,FALSE)</f>
        <v>1.5034999999999998</v>
      </c>
      <c r="AC42" s="8" t="str" cm="1">
        <f t="array" aca="1" ref="AC42" ca="1">_xll.QDates_FuturesNextCode(AC41)</f>
        <v>CLV3</v>
      </c>
      <c r="AD42" s="1" cm="1">
        <f t="array" aca="1" ref="AD42" ca="1">_xll.QDates_FuturesExpiryFromCode(AC42)</f>
        <v>45189</v>
      </c>
      <c r="AE42" cm="1">
        <f t="array" aca="1" ref="AE42" ca="1">_xll.BDP(AC42&amp;" Comdty","PX_SETTLE")</f>
        <v>49.39</v>
      </c>
      <c r="AF42" cm="1">
        <f t="array" aca="1" ref="AF42" ca="1">_xll.BDP(AC42&amp;" Comdty",BidMidASK)</f>
        <v>50.09</v>
      </c>
      <c r="AG42" s="72">
        <f t="shared" ca="1" si="6"/>
        <v>9.2899999999999991</v>
      </c>
      <c r="AH42" s="72">
        <f t="shared" ca="1" si="7"/>
        <v>8.4699999999999989</v>
      </c>
      <c r="AI42" s="72">
        <f ca="1"/>
        <v>8.4699999999999989</v>
      </c>
      <c r="AJ42" s="13" cm="1">
        <f t="array" aca="1" ref="AJ42" ca="1">(AF$11-AI42+VLOOKUP(AC$10,$C$4:$E$7,3,FALSE)+VLOOKUP(AC$10,$C$4:$F$7,4,FALSE)*_xll.QDates_YearFraction(valDate,AD42,"ACT365F"))/VLOOKUP(AC$10,$C$4:$G$7,5,FALSE)</f>
        <v>49.84</v>
      </c>
    </row>
    <row r="43" spans="2:36" x14ac:dyDescent="0.25">
      <c r="B43" s="8" t="str" cm="1">
        <f t="array" aca="1" ref="B43" ca="1">_xll.QDates_FuturesNextCode(B42)</f>
        <v>COZ3</v>
      </c>
      <c r="C43" s="1" cm="1">
        <f t="array" aca="1" ref="C43" ca="1">_xll.QDates_FuturesExpiryFromCode(B43)</f>
        <v>45230</v>
      </c>
      <c r="D43" cm="1">
        <f t="array" aca="1" ref="D43" ca="1">_xll.BDP(B43&amp;" Comdty","PX_SETTLE")</f>
        <v>53.44</v>
      </c>
      <c r="E43" cm="1">
        <f t="array" aca="1" ref="E43" ca="1">_xll.BDP(B43&amp;" Comdty",BidMidASK)</f>
        <v>53.47</v>
      </c>
      <c r="F43" s="72">
        <f t="shared" ca="1" si="1"/>
        <v>8.0300000000000011</v>
      </c>
      <c r="G43" s="72">
        <f t="shared" ca="1" si="2"/>
        <v>7.8500000000000014</v>
      </c>
      <c r="H43" s="72">
        <f ca="1"/>
        <v>7.8500000000000014</v>
      </c>
      <c r="I43" s="13" cm="1">
        <f t="array" aca="1" ref="I43" ca="1">(E$11-H43+VLOOKUP(B$10,$C$4:$E$7,3,FALSE)+VLOOKUP(B$10,$C$4:$F$7,4,FALSE)*_xll.QDates_YearFraction(valDate,C43,"ACT365F"))/VLOOKUP(B$10,$C$4:$G$7,5,FALSE)</f>
        <v>53.46</v>
      </c>
      <c r="K43" s="8" t="str" cm="1">
        <f t="array" aca="1" ref="K43" ca="1">_xll.QDates_FuturesNextCode(K42)</f>
        <v>QSX3</v>
      </c>
      <c r="L43" s="1" cm="1">
        <f t="array" aca="1" ref="L43" ca="1">_xll.QDates_FuturesExpiryFromCode(K43)</f>
        <v>45240</v>
      </c>
      <c r="M43" cm="1">
        <f t="array" aca="1" ref="M43" ca="1">_xll.BDP(K43&amp;" Comdty","PX_SETTLE")</f>
        <v>490.25</v>
      </c>
      <c r="N43" t="str" cm="1">
        <f t="array" aca="1" ref="N43" ca="1">_xll.BDP(K43&amp;" Comdty",BidMidASK)</f>
        <v>#N/A N/A</v>
      </c>
      <c r="O43" s="72">
        <f t="shared" ca="1" si="3"/>
        <v>12.5</v>
      </c>
      <c r="P43" s="72" t="str">
        <f t="shared" ca="1" si="4"/>
        <v/>
      </c>
      <c r="Q43" s="72">
        <f ca="1"/>
        <v>12.541666666666666</v>
      </c>
      <c r="R43" s="13" cm="1">
        <f t="array" aca="1" ref="R43" ca="1">(N$11-Q43+VLOOKUP(K$10,$C$4:$E$7,3,FALSE)+VLOOKUP(K$10,$C$4:$F$7,4,FALSE)*_xll.QDates_YearFraction(valDate,L43,"ACT365F"))/VLOOKUP(K$10,$C$4:$G$7,5,FALSE)</f>
        <v>518.66038812785382</v>
      </c>
      <c r="T43" s="8" t="str" cm="1">
        <f t="array" aca="1" ref="T43" ca="1">_xll.QDates_FuturesNextCode(T42)</f>
        <v>XBX3</v>
      </c>
      <c r="U43" s="1" cm="1">
        <f t="array" aca="1" ref="U43" ca="1">_xll.QDates_FuturesExpiryFromCode(T43)</f>
        <v>45230</v>
      </c>
      <c r="V43" cm="1">
        <f t="array" aca="1" ref="V43" ca="1">_xll.BDP(T43&amp;" Comdty","PX_SETTLE")</f>
        <v>147.45000000000002</v>
      </c>
      <c r="W43" t="str" cm="1">
        <f t="array" aca="1" ref="W43" ca="1">_xll.BDP(T43&amp;" Comdty",BidMidASK)</f>
        <v>#N/A N/A</v>
      </c>
      <c r="X43" s="72">
        <f t="shared" ca="1" si="0"/>
        <v>17.889999999999986</v>
      </c>
      <c r="Y43" s="72" t="str">
        <f t="shared" ca="1" si="5"/>
        <v/>
      </c>
      <c r="Z43" s="72">
        <f ca="1"/>
        <v>15.539999999999992</v>
      </c>
      <c r="AA43" s="13" cm="1">
        <f t="array" aca="1" ref="AA43" ca="1">(W$11-Z43+VLOOKUP(T$10,$C$4:$E$7,3,FALSE)+VLOOKUP(T$10,$C$4:$F$7,4,FALSE)*_xll.QDates_YearFraction(valDate,U43,"ACT365F"))/VLOOKUP(T$10,$C$4:$G$7,5,FALSE)</f>
        <v>1.4707000000000001</v>
      </c>
      <c r="AC43" s="8" t="str" cm="1">
        <f t="array" aca="1" ref="AC43" ca="1">_xll.QDates_FuturesNextCode(AC42)</f>
        <v>CLX3</v>
      </c>
      <c r="AD43" s="1" cm="1">
        <f t="array" aca="1" ref="AD43" ca="1">_xll.QDates_FuturesExpiryFromCode(AC43)</f>
        <v>45219</v>
      </c>
      <c r="AE43" cm="1">
        <f t="array" aca="1" ref="AE43" ca="1">_xll.BDP(AC43&amp;" Comdty","PX_SETTLE")</f>
        <v>49.29</v>
      </c>
      <c r="AF43" cm="1">
        <f t="array" aca="1" ref="AF43" ca="1">_xll.BDP(AC43&amp;" Comdty",BidMidASK)</f>
        <v>49.96</v>
      </c>
      <c r="AG43" s="72">
        <f t="shared" ca="1" si="6"/>
        <v>9.39</v>
      </c>
      <c r="AH43" s="72">
        <f t="shared" ca="1" si="7"/>
        <v>8.6000000000000014</v>
      </c>
      <c r="AI43" s="72">
        <f ca="1"/>
        <v>8.6000000000000014</v>
      </c>
      <c r="AJ43" s="13" cm="1">
        <f t="array" aca="1" ref="AJ43" ca="1">(AF$11-AI43+VLOOKUP(AC$10,$C$4:$E$7,3,FALSE)+VLOOKUP(AC$10,$C$4:$F$7,4,FALSE)*_xll.QDates_YearFraction(valDate,AD43,"ACT365F"))/VLOOKUP(AC$10,$C$4:$G$7,5,FALSE)</f>
        <v>49.71</v>
      </c>
    </row>
    <row r="44" spans="2:36" x14ac:dyDescent="0.25">
      <c r="B44" s="8" t="str" cm="1">
        <f t="array" aca="1" ref="B44" ca="1">_xll.QDates_FuturesNextCode(B43)</f>
        <v>COF4</v>
      </c>
      <c r="C44" s="1" cm="1">
        <f t="array" aca="1" ref="C44" ca="1">_xll.QDates_FuturesExpiryFromCode(B44)</f>
        <v>45260</v>
      </c>
      <c r="D44" cm="1">
        <f t="array" aca="1" ref="D44" ca="1">_xll.BDP(B44&amp;" Comdty","PX_SETTLE")</f>
        <v>53.35</v>
      </c>
      <c r="E44" t="str" cm="1">
        <f t="array" aca="1" ref="E44" ca="1">_xll.BDP(B44&amp;" Comdty",BidMidASK)</f>
        <v>#N/A N/A</v>
      </c>
      <c r="F44" s="72">
        <f t="shared" ca="1" si="1"/>
        <v>8.1199999999999974</v>
      </c>
      <c r="G44" s="72" t="str">
        <f t="shared" ca="1" si="2"/>
        <v/>
      </c>
      <c r="H44" s="72">
        <f ca="1"/>
        <v>7.9333333333333309</v>
      </c>
      <c r="I44" s="13" cm="1">
        <f t="array" aca="1" ref="I44" ca="1">(E$11-H44+VLOOKUP(B$10,$C$4:$E$7,3,FALSE)+VLOOKUP(B$10,$C$4:$F$7,4,FALSE)*_xll.QDates_YearFraction(valDate,C44,"ACT365F"))/VLOOKUP(B$10,$C$4:$G$7,5,FALSE)</f>
        <v>53.376666666666672</v>
      </c>
      <c r="K44" s="8" t="str" cm="1">
        <f t="array" aca="1" ref="K44" ca="1">_xll.QDates_FuturesNextCode(K43)</f>
        <v>QSZ3</v>
      </c>
      <c r="L44" s="1" cm="1">
        <f t="array" aca="1" ref="L44" ca="1">_xll.QDates_FuturesExpiryFromCode(K44)</f>
        <v>45272</v>
      </c>
      <c r="M44" cm="1">
        <f t="array" aca="1" ref="M44" ca="1">_xll.BDP(K44&amp;" Comdty","PX_SETTLE")</f>
        <v>488</v>
      </c>
      <c r="N44" cm="1">
        <f t="array" aca="1" ref="N44" ca="1">_xll.BDP(K44&amp;" Comdty",BidMidASK)</f>
        <v>487</v>
      </c>
      <c r="O44" s="72">
        <f t="shared" ca="1" si="3"/>
        <v>14.75</v>
      </c>
      <c r="P44" s="72">
        <f t="shared" ca="1" si="4"/>
        <v>14.75</v>
      </c>
      <c r="Q44" s="72">
        <f ca="1"/>
        <v>14.75</v>
      </c>
      <c r="R44" s="13" cm="1">
        <f t="array" aca="1" ref="R44" ca="1">(N$11-Q44+VLOOKUP(K$10,$C$4:$E$7,3,FALSE)+VLOOKUP(K$10,$C$4:$F$7,4,FALSE)*_xll.QDates_YearFraction(valDate,L44,"ACT365F"))/VLOOKUP(K$10,$C$4:$G$7,5,FALSE)</f>
        <v>517.32876712328766</v>
      </c>
      <c r="T44" s="8" t="str" cm="1">
        <f t="array" aca="1" ref="T44" ca="1">_xll.QDates_FuturesNextCode(T43)</f>
        <v>XBZ3</v>
      </c>
      <c r="U44" s="1" cm="1">
        <f t="array" aca="1" ref="U44" ca="1">_xll.QDates_FuturesExpiryFromCode(T44)</f>
        <v>45260</v>
      </c>
      <c r="V44" cm="1">
        <f t="array" aca="1" ref="V44" ca="1">_xll.BDP(T44&amp;" Comdty","PX_SETTLE")</f>
        <v>146.57</v>
      </c>
      <c r="W44" t="str" cm="1">
        <f t="array" aca="1" ref="W44" ca="1">_xll.BDP(T44&amp;" Comdty",BidMidASK)</f>
        <v>#N/A N/A</v>
      </c>
      <c r="X44" s="72">
        <f t="shared" ca="1" si="0"/>
        <v>18.77000000000001</v>
      </c>
      <c r="Y44" s="72" t="str">
        <f t="shared" ca="1" si="5"/>
        <v/>
      </c>
      <c r="Z44" s="72">
        <f ca="1"/>
        <v>16.420000000000016</v>
      </c>
      <c r="AA44" s="13" cm="1">
        <f t="array" aca="1" ref="AA44" ca="1">(W$11-Z44+VLOOKUP(T$10,$C$4:$E$7,3,FALSE)+VLOOKUP(T$10,$C$4:$F$7,4,FALSE)*_xll.QDates_YearFraction(valDate,U44,"ACT365F"))/VLOOKUP(T$10,$C$4:$G$7,5,FALSE)</f>
        <v>1.4619</v>
      </c>
      <c r="AC44" s="8" t="str" cm="1">
        <f t="array" aca="1" ref="AC44" ca="1">_xll.QDates_FuturesNextCode(AC43)</f>
        <v>CLZ3</v>
      </c>
      <c r="AD44" s="1" cm="1">
        <f t="array" aca="1" ref="AD44" ca="1">_xll.QDates_FuturesExpiryFromCode(AC44)</f>
        <v>45247</v>
      </c>
      <c r="AE44" cm="1">
        <f t="array" aca="1" ref="AE44" ca="1">_xll.BDP(AC44&amp;" Comdty","PX_SETTLE")</f>
        <v>49.22</v>
      </c>
      <c r="AF44" cm="1">
        <f t="array" aca="1" ref="AF44" ca="1">_xll.BDP(AC44&amp;" Comdty",BidMidASK)</f>
        <v>49.26</v>
      </c>
      <c r="AG44" s="72">
        <f t="shared" ca="1" si="6"/>
        <v>9.4600000000000009</v>
      </c>
      <c r="AH44" s="72">
        <f t="shared" ca="1" si="7"/>
        <v>9.3000000000000043</v>
      </c>
      <c r="AI44" s="72">
        <f ca="1"/>
        <v>9.3000000000000043</v>
      </c>
      <c r="AJ44" s="13" cm="1">
        <f t="array" aca="1" ref="AJ44" ca="1">(AF$11-AI44+VLOOKUP(AC$10,$C$4:$E$7,3,FALSE)+VLOOKUP(AC$10,$C$4:$F$7,4,FALSE)*_xll.QDates_YearFraction(valDate,AD44,"ACT365F"))/VLOOKUP(AC$10,$C$4:$G$7,5,FALSE)</f>
        <v>49.01</v>
      </c>
    </row>
    <row r="45" spans="2:36" x14ac:dyDescent="0.25">
      <c r="B45" s="8" t="str" cm="1">
        <f t="array" aca="1" ref="B45" ca="1">_xll.QDates_FuturesNextCode(B44)</f>
        <v>COG4</v>
      </c>
      <c r="C45" s="1" cm="1">
        <f t="array" aca="1" ref="C45" ca="1">_xll.QDates_FuturesExpiryFromCode(B45)</f>
        <v>45289</v>
      </c>
      <c r="D45" cm="1">
        <f t="array" aca="1" ref="D45" ca="1">_xll.BDP(B45&amp;" Comdty","PX_SETTLE")</f>
        <v>53.27</v>
      </c>
      <c r="E45" t="str" cm="1">
        <f t="array" aca="1" ref="E45" ca="1">_xll.BDP(B45&amp;" Comdty",BidMidASK)</f>
        <v>#N/A N/A</v>
      </c>
      <c r="F45" s="72">
        <f t="shared" ca="1" si="1"/>
        <v>8.1999999999999957</v>
      </c>
      <c r="G45" s="72" t="str">
        <f t="shared" ca="1" si="2"/>
        <v/>
      </c>
      <c r="H45" s="72">
        <f ca="1"/>
        <v>8.0066666666666624</v>
      </c>
      <c r="I45" s="13" cm="1">
        <f t="array" aca="1" ref="I45" ca="1">(E$11-H45+VLOOKUP(B$10,$C$4:$E$7,3,FALSE)+VLOOKUP(B$10,$C$4:$F$7,4,FALSE)*_xll.QDates_YearFraction(valDate,C45,"ACT365F"))/VLOOKUP(B$10,$C$4:$G$7,5,FALSE)</f>
        <v>53.303333333333342</v>
      </c>
      <c r="K45" s="8" t="str" cm="1">
        <f t="array" aca="1" ref="K45" ca="1">_xll.QDates_FuturesNextCode(K44)</f>
        <v>QSF4</v>
      </c>
      <c r="L45" s="1" cm="1">
        <f t="array" aca="1" ref="L45" ca="1">_xll.QDates_FuturesExpiryFromCode(K45)</f>
        <v>45302</v>
      </c>
      <c r="M45" cm="1">
        <f t="array" aca="1" ref="M45" ca="1">_xll.BDP(K45&amp;" Comdty","PX_SETTLE")</f>
        <v>489</v>
      </c>
      <c r="N45" t="str" cm="1">
        <f t="array" aca="1" ref="N45" ca="1">_xll.BDP(K45&amp;" Comdty",BidMidASK)</f>
        <v>#N/A N/A</v>
      </c>
      <c r="O45" s="72">
        <f t="shared" ca="1" si="3"/>
        <v>13.75</v>
      </c>
      <c r="P45" s="72" t="str">
        <f t="shared" ca="1" si="4"/>
        <v/>
      </c>
      <c r="Q45" s="72">
        <f ca="1"/>
        <v>13.291666666666666</v>
      </c>
      <c r="R45" s="13" cm="1">
        <f t="array" aca="1" ref="R45" ca="1">(N$11-Q45+VLOOKUP(K$10,$C$4:$E$7,3,FALSE)+VLOOKUP(K$10,$C$4:$F$7,4,FALSE)*_xll.QDates_YearFraction(valDate,L45,"ACT365F"))/VLOOKUP(K$10,$C$4:$G$7,5,FALSE)</f>
        <v>519.60901826484019</v>
      </c>
      <c r="T45" s="8" t="str" cm="1">
        <f t="array" aca="1" ref="T45" ca="1">_xll.QDates_FuturesNextCode(T44)</f>
        <v>XBF4</v>
      </c>
      <c r="U45" s="1" cm="1">
        <f t="array" aca="1" ref="U45" ca="1">_xll.QDates_FuturesExpiryFromCode(T45)</f>
        <v>45289</v>
      </c>
      <c r="V45" cm="1">
        <f t="array" aca="1" ref="V45" ca="1">_xll.BDP(T45&amp;" Comdty","PX_SETTLE")</f>
        <v>146.29</v>
      </c>
      <c r="W45" t="str" cm="1">
        <f t="array" aca="1" ref="W45" ca="1">_xll.BDP(T45&amp;" Comdty",BidMidASK)</f>
        <v>#N/A N/A</v>
      </c>
      <c r="X45" s="72">
        <f t="shared" ca="1" si="0"/>
        <v>19.050000000000011</v>
      </c>
      <c r="Y45" s="72" t="str">
        <f t="shared" ca="1" si="5"/>
        <v/>
      </c>
      <c r="Z45" s="72">
        <f ca="1"/>
        <v>16.700000000000017</v>
      </c>
      <c r="AA45" s="13" cm="1">
        <f t="array" aca="1" ref="AA45" ca="1">(W$11-Z45+VLOOKUP(T$10,$C$4:$E$7,3,FALSE)+VLOOKUP(T$10,$C$4:$F$7,4,FALSE)*_xll.QDates_YearFraction(valDate,U45,"ACT365F"))/VLOOKUP(T$10,$C$4:$G$7,5,FALSE)</f>
        <v>1.4591000000000001</v>
      </c>
      <c r="AC45" s="8" t="str" cm="1">
        <f t="array" aca="1" ref="AC45" ca="1">_xll.QDates_FuturesNextCode(AC44)</f>
        <v>CLF4</v>
      </c>
      <c r="AD45" s="1" cm="1">
        <f t="array" aca="1" ref="AD45" ca="1">_xll.QDates_FuturesExpiryFromCode(AC45)</f>
        <v>45279</v>
      </c>
      <c r="AE45" cm="1">
        <f t="array" aca="1" ref="AE45" ca="1">_xll.BDP(AC45&amp;" Comdty","PX_SETTLE")</f>
        <v>49.09</v>
      </c>
      <c r="AF45" cm="1">
        <f t="array" aca="1" ref="AF45" ca="1">_xll.BDP(AC45&amp;" Comdty",BidMidASK)</f>
        <v>49.71</v>
      </c>
      <c r="AG45" s="72">
        <f t="shared" ca="1" si="6"/>
        <v>9.5899999999999963</v>
      </c>
      <c r="AH45" s="72">
        <f t="shared" ca="1" si="7"/>
        <v>8.8500000000000014</v>
      </c>
      <c r="AI45" s="72">
        <f ca="1"/>
        <v>8.8500000000000014</v>
      </c>
      <c r="AJ45" s="13" cm="1">
        <f t="array" aca="1" ref="AJ45" ca="1">(AF$11-AI45+VLOOKUP(AC$10,$C$4:$E$7,3,FALSE)+VLOOKUP(AC$10,$C$4:$F$7,4,FALSE)*_xll.QDates_YearFraction(valDate,AD45,"ACT365F"))/VLOOKUP(AC$10,$C$4:$G$7,5,FALSE)</f>
        <v>49.46</v>
      </c>
    </row>
    <row r="46" spans="2:36" x14ac:dyDescent="0.25">
      <c r="B46" s="8" t="str" cm="1">
        <f t="array" aca="1" ref="B46" ca="1">_xll.QDates_FuturesNextCode(B45)</f>
        <v>COH4</v>
      </c>
      <c r="C46" s="1" cm="1">
        <f t="array" aca="1" ref="C46" ca="1">_xll.QDates_FuturesExpiryFromCode(B46)</f>
        <v>45322</v>
      </c>
      <c r="D46" cm="1">
        <f t="array" aca="1" ref="D46" ca="1">_xll.BDP(B46&amp;" Comdty","PX_SETTLE")</f>
        <v>53.19</v>
      </c>
      <c r="E46" t="str" cm="1">
        <f t="array" aca="1" ref="E46" ca="1">_xll.BDP(B46&amp;" Comdty",BidMidASK)</f>
        <v>#N/A N/A</v>
      </c>
      <c r="F46" s="72">
        <f t="shared" ca="1" si="1"/>
        <v>8.2800000000000011</v>
      </c>
      <c r="G46" s="72" t="str">
        <f t="shared" ca="1" si="2"/>
        <v/>
      </c>
      <c r="H46" s="72">
        <f ca="1"/>
        <v>8.0800000000000018</v>
      </c>
      <c r="I46" s="13" cm="1">
        <f t="array" aca="1" ref="I46" ca="1">(E$11-H46+VLOOKUP(B$10,$C$4:$E$7,3,FALSE)+VLOOKUP(B$10,$C$4:$F$7,4,FALSE)*_xll.QDates_YearFraction(valDate,C46,"ACT365F"))/VLOOKUP(B$10,$C$4:$G$7,5,FALSE)</f>
        <v>53.23</v>
      </c>
      <c r="K46" s="8" t="str" cm="1">
        <f t="array" aca="1" ref="K46" ca="1">_xll.QDates_FuturesNextCode(K45)</f>
        <v>QSG4</v>
      </c>
      <c r="L46" s="1" cm="1">
        <f t="array" aca="1" ref="L46" ca="1">_xll.QDates_FuturesExpiryFromCode(K46)</f>
        <v>45334</v>
      </c>
      <c r="M46" cm="1">
        <f t="array" aca="1" ref="M46" ca="1">_xll.BDP(K46&amp;" Comdty","PX_SETTLE")</f>
        <v>490.25</v>
      </c>
      <c r="N46" t="str" cm="1">
        <f t="array" aca="1" ref="N46" ca="1">_xll.BDP(K46&amp;" Comdty",BidMidASK)</f>
        <v>#N/A N/A</v>
      </c>
      <c r="O46" s="72">
        <f t="shared" ca="1" si="3"/>
        <v>12.5</v>
      </c>
      <c r="P46" s="72" t="str">
        <f t="shared" ca="1" si="4"/>
        <v/>
      </c>
      <c r="Q46" s="72">
        <f ca="1"/>
        <v>11.583333333333334</v>
      </c>
      <c r="R46" s="13" cm="1">
        <f t="array" aca="1" ref="R46" ca="1">(N$11-Q46+VLOOKUP(K$10,$C$4:$E$7,3,FALSE)+VLOOKUP(K$10,$C$4:$F$7,4,FALSE)*_xll.QDates_YearFraction(valDate,L46,"ACT365F"))/VLOOKUP(K$10,$C$4:$G$7,5,FALSE)</f>
        <v>522.19406392694066</v>
      </c>
      <c r="T46" s="8" t="str" cm="1">
        <f t="array" aca="1" ref="T46" ca="1">_xll.QDates_FuturesNextCode(T45)</f>
        <v>XBG4</v>
      </c>
      <c r="U46" s="1" cm="1">
        <f t="array" aca="1" ref="U46" ca="1">_xll.QDates_FuturesExpiryFromCode(T46)</f>
        <v>45322</v>
      </c>
      <c r="V46" cm="1">
        <f t="array" aca="1" ref="V46" ca="1">_xll.BDP(T46&amp;" Comdty","PX_SETTLE")</f>
        <v>147.44</v>
      </c>
      <c r="W46" t="str" cm="1">
        <f t="array" aca="1" ref="W46" ca="1">_xll.BDP(T46&amp;" Comdty",BidMidASK)</f>
        <v>#N/A N/A</v>
      </c>
      <c r="X46" s="72">
        <f t="shared" ca="1" si="0"/>
        <v>17.900000000000006</v>
      </c>
      <c r="Y46" s="72" t="str">
        <f t="shared" ca="1" si="5"/>
        <v/>
      </c>
      <c r="Z46" s="72">
        <f ca="1"/>
        <v>15.550000000000011</v>
      </c>
      <c r="AA46" s="13" cm="1">
        <f t="array" aca="1" ref="AA46" ca="1">(W$11-Z46+VLOOKUP(T$10,$C$4:$E$7,3,FALSE)+VLOOKUP(T$10,$C$4:$F$7,4,FALSE)*_xll.QDates_YearFraction(valDate,U46,"ACT365F"))/VLOOKUP(T$10,$C$4:$G$7,5,FALSE)</f>
        <v>1.4706000000000001</v>
      </c>
      <c r="AC46" s="8" t="str" cm="1">
        <f t="array" aca="1" ref="AC46" ca="1">_xll.QDates_FuturesNextCode(AC45)</f>
        <v>CLG4</v>
      </c>
      <c r="AD46" s="1" cm="1">
        <f t="array" aca="1" ref="AD46" ca="1">_xll.QDates_FuturesExpiryFromCode(AC46)</f>
        <v>45313</v>
      </c>
      <c r="AE46" cm="1">
        <f t="array" aca="1" ref="AE46" ca="1">_xll.BDP(AC46&amp;" Comdty","PX_SETTLE")</f>
        <v>48.97</v>
      </c>
      <c r="AF46" t="str" cm="1">
        <f t="array" aca="1" ref="AF46" ca="1">_xll.BDP(AC46&amp;" Comdty",BidMidASK)</f>
        <v>#N/A N/A</v>
      </c>
      <c r="AG46" s="72">
        <f t="shared" ca="1" si="6"/>
        <v>9.7100000000000009</v>
      </c>
      <c r="AH46" s="72" t="str">
        <f t="shared" ca="1" si="7"/>
        <v/>
      </c>
      <c r="AI46" s="72">
        <f ca="1"/>
        <v>8.9820000000000046</v>
      </c>
      <c r="AJ46" s="13" cm="1">
        <f t="array" aca="1" ref="AJ46" ca="1">(AF$11-AI46+VLOOKUP(AC$10,$C$4:$E$7,3,FALSE)+VLOOKUP(AC$10,$C$4:$F$7,4,FALSE)*_xll.QDates_YearFraction(valDate,AD46,"ACT365F"))/VLOOKUP(AC$10,$C$4:$G$7,5,FALSE)</f>
        <v>49.327999999999996</v>
      </c>
    </row>
    <row r="47" spans="2:36" x14ac:dyDescent="0.25">
      <c r="B47" s="8" t="str" cm="1">
        <f t="array" aca="1" ref="B47" ca="1">_xll.QDates_FuturesNextCode(B46)</f>
        <v>COJ4</v>
      </c>
      <c r="C47" s="1" cm="1">
        <f t="array" aca="1" ref="C47" ca="1">_xll.QDates_FuturesExpiryFromCode(B47)</f>
        <v>45351</v>
      </c>
      <c r="D47" cm="1">
        <f t="array" aca="1" ref="D47" ca="1">_xll.BDP(B47&amp;" Comdty","PX_SETTLE")</f>
        <v>53.120000000000005</v>
      </c>
      <c r="E47" t="str" cm="1">
        <f t="array" aca="1" ref="E47" ca="1">_xll.BDP(B47&amp;" Comdty",BidMidASK)</f>
        <v>#N/A N/A</v>
      </c>
      <c r="F47" s="72">
        <f t="shared" ca="1" si="1"/>
        <v>8.3499999999999943</v>
      </c>
      <c r="G47" s="72" t="str">
        <f t="shared" ca="1" si="2"/>
        <v/>
      </c>
      <c r="H47" s="72">
        <f ca="1"/>
        <v>8.1433333333333291</v>
      </c>
      <c r="I47" s="13" cm="1">
        <f t="array" aca="1" ref="I47" ca="1">(E$11-H47+VLOOKUP(B$10,$C$4:$E$7,3,FALSE)+VLOOKUP(B$10,$C$4:$F$7,4,FALSE)*_xll.QDates_YearFraction(valDate,C47,"ACT365F"))/VLOOKUP(B$10,$C$4:$G$7,5,FALSE)</f>
        <v>53.166666666666671</v>
      </c>
      <c r="K47" s="8" t="str" cm="1">
        <f t="array" aca="1" ref="K47" ca="1">_xll.QDates_FuturesNextCode(K46)</f>
        <v>QSH4</v>
      </c>
      <c r="L47" s="1" cm="1">
        <f t="array" aca="1" ref="L47" ca="1">_xll.QDates_FuturesExpiryFromCode(K47)</f>
        <v>45363</v>
      </c>
      <c r="M47" cm="1">
        <f t="array" aca="1" ref="M47" ca="1">_xll.BDP(K47&amp;" Comdty","PX_SETTLE")</f>
        <v>491.5</v>
      </c>
      <c r="N47" t="str" cm="1">
        <f t="array" aca="1" ref="N47" ca="1">_xll.BDP(K47&amp;" Comdty",BidMidASK)</f>
        <v>#N/A N/A</v>
      </c>
      <c r="O47" s="72">
        <f t="shared" ca="1" si="3"/>
        <v>11.25</v>
      </c>
      <c r="P47" s="72" t="str">
        <f t="shared" ca="1" si="4"/>
        <v/>
      </c>
      <c r="Q47" s="72">
        <f ca="1"/>
        <v>9.875</v>
      </c>
      <c r="R47" s="13" cm="1">
        <f t="array" aca="1" ref="R47" ca="1">(N$11-Q47+VLOOKUP(K$10,$C$4:$E$7,3,FALSE)+VLOOKUP(K$10,$C$4:$F$7,4,FALSE)*_xll.QDates_YearFraction(valDate,L47,"ACT365F"))/VLOOKUP(K$10,$C$4:$G$7,5,FALSE)</f>
        <v>524.69691780821915</v>
      </c>
      <c r="T47" s="8" t="str" cm="1">
        <f t="array" aca="1" ref="T47" ca="1">_xll.QDates_FuturesNextCode(T46)</f>
        <v>XBH4</v>
      </c>
      <c r="U47" s="1" cm="1">
        <f t="array" aca="1" ref="U47" ca="1">_xll.QDates_FuturesExpiryFromCode(T47)</f>
        <v>45351</v>
      </c>
      <c r="V47" cm="1">
        <f t="array" aca="1" ref="V47" ca="1">_xll.BDP(T47&amp;" Comdty","PX_SETTLE")</f>
        <v>149.72999999999999</v>
      </c>
      <c r="W47" t="str" cm="1">
        <f t="array" aca="1" ref="W47" ca="1">_xll.BDP(T47&amp;" Comdty",BidMidASK)</f>
        <v>#N/A N/A</v>
      </c>
      <c r="X47" s="72">
        <f t="shared" ca="1" si="0"/>
        <v>15.610000000000014</v>
      </c>
      <c r="Y47" s="72" t="str">
        <f t="shared" ca="1" si="5"/>
        <v/>
      </c>
      <c r="Z47" s="72">
        <f ca="1"/>
        <v>13.260000000000019</v>
      </c>
      <c r="AA47" s="13" cm="1">
        <f t="array" aca="1" ref="AA47" ca="1">(W$11-Z47+VLOOKUP(T$10,$C$4:$E$7,3,FALSE)+VLOOKUP(T$10,$C$4:$F$7,4,FALSE)*_xll.QDates_YearFraction(valDate,U47,"ACT365F"))/VLOOKUP(T$10,$C$4:$G$7,5,FALSE)</f>
        <v>1.4935</v>
      </c>
      <c r="AC47" s="8" t="str" cm="1">
        <f t="array" aca="1" ref="AC47" ca="1">_xll.QDates_FuturesNextCode(AC46)</f>
        <v>CLH4</v>
      </c>
      <c r="AD47" s="1" cm="1">
        <f t="array" aca="1" ref="AD47" ca="1">_xll.QDates_FuturesExpiryFromCode(AC47)</f>
        <v>45342</v>
      </c>
      <c r="AE47" cm="1">
        <f t="array" aca="1" ref="AE47" ca="1">_xll.BDP(AC47&amp;" Comdty","PX_SETTLE")</f>
        <v>48.85</v>
      </c>
      <c r="AF47" t="str" cm="1">
        <f t="array" aca="1" ref="AF47" ca="1">_xll.BDP(AC47&amp;" Comdty",BidMidASK)</f>
        <v>#N/A N/A</v>
      </c>
      <c r="AG47" s="72">
        <f t="shared" ca="1" si="6"/>
        <v>9.8299999999999983</v>
      </c>
      <c r="AH47" s="72" t="str">
        <f t="shared" ca="1" si="7"/>
        <v/>
      </c>
      <c r="AI47" s="72">
        <f ca="1"/>
        <v>9.1140000000000008</v>
      </c>
      <c r="AJ47" s="13" cm="1">
        <f t="array" aca="1" ref="AJ47" ca="1">(AF$11-AI47+VLOOKUP(AC$10,$C$4:$E$7,3,FALSE)+VLOOKUP(AC$10,$C$4:$F$7,4,FALSE)*_xll.QDates_YearFraction(valDate,AD47,"ACT365F"))/VLOOKUP(AC$10,$C$4:$G$7,5,FALSE)</f>
        <v>49.195999999999998</v>
      </c>
    </row>
    <row r="48" spans="2:36" x14ac:dyDescent="0.25">
      <c r="B48" s="8" t="str" cm="1">
        <f t="array" aca="1" ref="B48" ca="1">_xll.QDates_FuturesNextCode(B47)</f>
        <v>COK4</v>
      </c>
      <c r="C48" s="1" cm="1">
        <f t="array" aca="1" ref="C48" ca="1">_xll.QDates_FuturesExpiryFromCode(B48)</f>
        <v>45379</v>
      </c>
      <c r="D48" cm="1">
        <f t="array" aca="1" ref="D48" ca="1">_xll.BDP(B48&amp;" Comdty","PX_SETTLE")</f>
        <v>53.050000000000004</v>
      </c>
      <c r="E48" t="str" cm="1">
        <f t="array" aca="1" ref="E48" ca="1">_xll.BDP(B48&amp;" Comdty",BidMidASK)</f>
        <v>#N/A N/A</v>
      </c>
      <c r="F48" s="72">
        <f t="shared" ca="1" si="1"/>
        <v>8.4199999999999946</v>
      </c>
      <c r="G48" s="72" t="str">
        <f t="shared" ca="1" si="2"/>
        <v/>
      </c>
      <c r="H48" s="72">
        <f ca="1"/>
        <v>8.2066666666666617</v>
      </c>
      <c r="I48" s="13" cm="1">
        <f t="array" aca="1" ref="I48" ca="1">(E$11-H48+VLOOKUP(B$10,$C$4:$E$7,3,FALSE)+VLOOKUP(B$10,$C$4:$F$7,4,FALSE)*_xll.QDates_YearFraction(valDate,C48,"ACT365F"))/VLOOKUP(B$10,$C$4:$G$7,5,FALSE)</f>
        <v>53.103333333333339</v>
      </c>
      <c r="K48" s="8" t="str" cm="1">
        <f t="array" aca="1" ref="K48" ca="1">_xll.QDates_FuturesNextCode(K47)</f>
        <v>QSJ4</v>
      </c>
      <c r="L48" s="1" cm="1">
        <f t="array" aca="1" ref="L48" ca="1">_xll.QDates_FuturesExpiryFromCode(K48)</f>
        <v>45393</v>
      </c>
      <c r="M48" cm="1">
        <f t="array" aca="1" ref="M48" ca="1">_xll.BDP(K48&amp;" Comdty","PX_SETTLE")</f>
        <v>492.25</v>
      </c>
      <c r="N48" t="str" cm="1">
        <f t="array" aca="1" ref="N48" ca="1">_xll.BDP(K48&amp;" Comdty",BidMidASK)</f>
        <v>#N/A N/A</v>
      </c>
      <c r="O48" s="72">
        <f t="shared" ca="1" si="3"/>
        <v>10.5</v>
      </c>
      <c r="P48" s="72" t="str">
        <f t="shared" ca="1" si="4"/>
        <v/>
      </c>
      <c r="Q48" s="72">
        <f ca="1"/>
        <v>8.6666666666666661</v>
      </c>
      <c r="R48" s="13" cm="1">
        <f t="array" aca="1" ref="R48" ca="1">(N$11-Q48+VLOOKUP(K$10,$C$4:$E$7,3,FALSE)+VLOOKUP(K$10,$C$4:$F$7,4,FALSE)*_xll.QDates_YearFraction(valDate,L48,"ACT365F"))/VLOOKUP(K$10,$C$4:$G$7,5,FALSE)</f>
        <v>526.72716894977168</v>
      </c>
      <c r="T48" s="8" t="str" cm="1">
        <f t="array" aca="1" ref="T48" ca="1">_xll.QDates_FuturesNextCode(T47)</f>
        <v>XBJ4</v>
      </c>
      <c r="U48" s="1" cm="1">
        <f t="array" aca="1" ref="U48" ca="1">_xll.QDates_FuturesExpiryFromCode(T48)</f>
        <v>45379</v>
      </c>
      <c r="V48" cm="1">
        <f t="array" aca="1" ref="V48" ca="1">_xll.BDP(T48&amp;" Comdty","PX_SETTLE")</f>
        <v>168.52</v>
      </c>
      <c r="W48" t="str" cm="1">
        <f t="array" aca="1" ref="W48" ca="1">_xll.BDP(T48&amp;" Comdty",BidMidASK)</f>
        <v>#N/A N/A</v>
      </c>
      <c r="X48" s="72">
        <f t="shared" ca="1" si="0"/>
        <v>-3.1800000000000068</v>
      </c>
      <c r="Y48" s="72" t="str">
        <f t="shared" ca="1" si="5"/>
        <v/>
      </c>
      <c r="Z48" s="72">
        <f ca="1"/>
        <v>-5.5300000000000011</v>
      </c>
      <c r="AA48" s="13" cm="1">
        <f t="array" aca="1" ref="AA48" ca="1">(W$11-Z48+VLOOKUP(T$10,$C$4:$E$7,3,FALSE)+VLOOKUP(T$10,$C$4:$F$7,4,FALSE)*_xll.QDates_YearFraction(valDate,U48,"ACT365F"))/VLOOKUP(T$10,$C$4:$G$7,5,FALSE)</f>
        <v>1.6814000000000002</v>
      </c>
      <c r="AC48" s="8" t="str" cm="1">
        <f t="array" aca="1" ref="AC48" ca="1">_xll.QDates_FuturesNextCode(AC47)</f>
        <v>CLJ4</v>
      </c>
      <c r="AD48" s="1" cm="1">
        <f t="array" aca="1" ref="AD48" ca="1">_xll.QDates_FuturesExpiryFromCode(AC48)</f>
        <v>45371</v>
      </c>
      <c r="AE48" cm="1">
        <f t="array" aca="1" ref="AE48" ca="1">_xll.BDP(AC48&amp;" Comdty","PX_SETTLE")</f>
        <v>48.76</v>
      </c>
      <c r="AF48" t="str" cm="1">
        <f t="array" aca="1" ref="AF48" ca="1">_xll.BDP(AC48&amp;" Comdty",BidMidASK)</f>
        <v>#N/A N/A</v>
      </c>
      <c r="AG48" s="72">
        <f t="shared" ca="1" si="6"/>
        <v>9.9200000000000017</v>
      </c>
      <c r="AH48" s="72" t="str">
        <f t="shared" ca="1" si="7"/>
        <v/>
      </c>
      <c r="AI48" s="72">
        <f ca="1"/>
        <v>9.2160000000000046</v>
      </c>
      <c r="AJ48" s="13" cm="1">
        <f t="array" aca="1" ref="AJ48" ca="1">(AF$11-AI48+VLOOKUP(AC$10,$C$4:$E$7,3,FALSE)+VLOOKUP(AC$10,$C$4:$F$7,4,FALSE)*_xll.QDates_YearFraction(valDate,AD48,"ACT365F"))/VLOOKUP(AC$10,$C$4:$G$7,5,FALSE)</f>
        <v>49.093999999999994</v>
      </c>
    </row>
    <row r="49" spans="2:36" x14ac:dyDescent="0.25">
      <c r="B49" s="8" t="str" cm="1">
        <f t="array" aca="1" ref="B49" ca="1">_xll.QDates_FuturesNextCode(B48)</f>
        <v>COM4</v>
      </c>
      <c r="C49" s="1" cm="1">
        <f t="array" aca="1" ref="C49" ca="1">_xll.QDates_FuturesExpiryFromCode(B49)</f>
        <v>45412</v>
      </c>
      <c r="D49" cm="1">
        <f t="array" aca="1" ref="D49" ca="1">_xll.BDP(B49&amp;" Comdty","PX_SETTLE")</f>
        <v>52.99</v>
      </c>
      <c r="E49" cm="1">
        <f t="array" aca="1" ref="E49" ca="1">_xll.BDP(B49&amp;" Comdty",BidMidASK)</f>
        <v>53.06</v>
      </c>
      <c r="F49" s="72">
        <f t="shared" ca="1" si="1"/>
        <v>8.4799999999999969</v>
      </c>
      <c r="G49" s="72">
        <f t="shared" ca="1" si="2"/>
        <v>8.259999999999998</v>
      </c>
      <c r="H49" s="72">
        <f ca="1"/>
        <v>8.259999999999998</v>
      </c>
      <c r="I49" s="13" cm="1">
        <f t="array" aca="1" ref="I49" ca="1">(E$11-H49+VLOOKUP(B$10,$C$4:$E$7,3,FALSE)+VLOOKUP(B$10,$C$4:$F$7,4,FALSE)*_xll.QDates_YearFraction(valDate,C49,"ACT365F"))/VLOOKUP(B$10,$C$4:$G$7,5,FALSE)</f>
        <v>53.050000000000004</v>
      </c>
      <c r="K49" s="8" t="str" cm="1">
        <f t="array" aca="1" ref="K49" ca="1">_xll.QDates_FuturesNextCode(K48)</f>
        <v>QSK4</v>
      </c>
      <c r="L49" s="1" cm="1">
        <f t="array" aca="1" ref="L49" ca="1">_xll.QDates_FuturesExpiryFromCode(K49)</f>
        <v>45422</v>
      </c>
      <c r="M49" cm="1">
        <f t="array" aca="1" ref="M49" ca="1">_xll.BDP(K49&amp;" Comdty","PX_SETTLE")</f>
        <v>491.75</v>
      </c>
      <c r="N49" t="str" cm="1">
        <f t="array" aca="1" ref="N49" ca="1">_xll.BDP(K49&amp;" Comdty",BidMidASK)</f>
        <v>#N/A N/A</v>
      </c>
      <c r="O49" s="72">
        <f t="shared" ca="1" si="3"/>
        <v>11</v>
      </c>
      <c r="P49" s="72" t="str">
        <f t="shared" ca="1" si="4"/>
        <v/>
      </c>
      <c r="Q49" s="72">
        <f ca="1"/>
        <v>8.7083333333333339</v>
      </c>
      <c r="R49" s="13" cm="1">
        <f t="array" aca="1" ref="R49" ca="1">(N$11-Q49+VLOOKUP(K$10,$C$4:$E$7,3,FALSE)+VLOOKUP(K$10,$C$4:$F$7,4,FALSE)*_xll.QDates_YearFraction(valDate,L49,"ACT365F"))/VLOOKUP(K$10,$C$4:$G$7,5,FALSE)</f>
        <v>527.48002283105029</v>
      </c>
      <c r="T49" s="8" t="str" cm="1">
        <f t="array" aca="1" ref="T49" ca="1">_xll.QDates_FuturesNextCode(T48)</f>
        <v>XBK4</v>
      </c>
      <c r="U49" s="1" cm="1">
        <f t="array" aca="1" ref="U49" ca="1">_xll.QDates_FuturesExpiryFromCode(T49)</f>
        <v>45412</v>
      </c>
      <c r="V49" cm="1">
        <f t="array" aca="1" ref="V49" ca="1">_xll.BDP(T49&amp;" Comdty","PX_SETTLE")</f>
        <v>170.91</v>
      </c>
      <c r="W49" t="str" cm="1">
        <f t="array" aca="1" ref="W49" ca="1">_xll.BDP(T49&amp;" Comdty",BidMidASK)</f>
        <v>#N/A N/A</v>
      </c>
      <c r="X49" s="72">
        <f t="shared" ca="1" si="0"/>
        <v>-5.5699999999999932</v>
      </c>
      <c r="Y49" s="72" t="str">
        <f t="shared" ca="1" si="5"/>
        <v/>
      </c>
      <c r="Z49" s="72">
        <f ca="1"/>
        <v>-7.9199999999999875</v>
      </c>
      <c r="AA49" s="13" cm="1">
        <f t="array" aca="1" ref="AA49" ca="1">(W$11-Z49+VLOOKUP(T$10,$C$4:$E$7,3,FALSE)+VLOOKUP(T$10,$C$4:$F$7,4,FALSE)*_xll.QDates_YearFraction(valDate,U49,"ACT365F"))/VLOOKUP(T$10,$C$4:$G$7,5,FALSE)</f>
        <v>1.7053</v>
      </c>
      <c r="AC49" s="8" t="str" cm="1">
        <f t="array" aca="1" ref="AC49" ca="1">_xll.QDates_FuturesNextCode(AC48)</f>
        <v>CLK4</v>
      </c>
      <c r="AD49" s="1" cm="1">
        <f t="array" aca="1" ref="AD49" ca="1">_xll.QDates_FuturesExpiryFromCode(AC49)</f>
        <v>45404</v>
      </c>
      <c r="AE49" cm="1">
        <f t="array" aca="1" ref="AE49" ca="1">_xll.BDP(AC49&amp;" Comdty","PX_SETTLE")</f>
        <v>48.660000000000004</v>
      </c>
      <c r="AF49" t="str" cm="1">
        <f t="array" aca="1" ref="AF49" ca="1">_xll.BDP(AC49&amp;" Comdty",BidMidASK)</f>
        <v>#N/A N/A</v>
      </c>
      <c r="AG49" s="72">
        <f t="shared" ca="1" si="6"/>
        <v>10.019999999999996</v>
      </c>
      <c r="AH49" s="72" t="str">
        <f t="shared" ca="1" si="7"/>
        <v/>
      </c>
      <c r="AI49" s="72">
        <f ca="1"/>
        <v>9.3279999999999976</v>
      </c>
      <c r="AJ49" s="13" cm="1">
        <f t="array" aca="1" ref="AJ49" ca="1">(AF$11-AI49+VLOOKUP(AC$10,$C$4:$E$7,3,FALSE)+VLOOKUP(AC$10,$C$4:$F$7,4,FALSE)*_xll.QDates_YearFraction(valDate,AD49,"ACT365F"))/VLOOKUP(AC$10,$C$4:$G$7,5,FALSE)</f>
        <v>48.982000000000006</v>
      </c>
    </row>
    <row r="50" spans="2:36" x14ac:dyDescent="0.25">
      <c r="B50" s="8" t="str" cm="1">
        <f t="array" aca="1" ref="B50" ca="1">_xll.QDates_FuturesNextCode(B49)</f>
        <v>CON4</v>
      </c>
      <c r="C50" s="1" cm="1">
        <f t="array" aca="1" ref="C50" ca="1">_xll.QDates_FuturesExpiryFromCode(B50)</f>
        <v>45443</v>
      </c>
      <c r="D50" cm="1">
        <f t="array" aca="1" ref="D50" ca="1">_xll.BDP(B50&amp;" Comdty","PX_SETTLE")</f>
        <v>52.92</v>
      </c>
      <c r="E50" t="str" cm="1">
        <f t="array" aca="1" ref="E50" ca="1">_xll.BDP(B50&amp;" Comdty",BidMidASK)</f>
        <v>#N/A N/A</v>
      </c>
      <c r="F50" s="72">
        <f t="shared" ca="1" si="1"/>
        <v>8.5499999999999972</v>
      </c>
      <c r="G50" s="72" t="str">
        <f t="shared" ca="1" si="2"/>
        <v/>
      </c>
      <c r="H50" s="72">
        <f ca="1"/>
        <v>8.3316666666666652</v>
      </c>
      <c r="I50" s="13" cm="1">
        <f t="array" aca="1" ref="I50" ca="1">(E$11-H50+VLOOKUP(B$10,$C$4:$E$7,3,FALSE)+VLOOKUP(B$10,$C$4:$F$7,4,FALSE)*_xll.QDates_YearFraction(valDate,C50,"ACT365F"))/VLOOKUP(B$10,$C$4:$G$7,5,FALSE)</f>
        <v>52.978333333333339</v>
      </c>
      <c r="K50" s="8" t="str" cm="1">
        <f t="array" aca="1" ref="K50" ca="1">_xll.QDates_FuturesNextCode(K49)</f>
        <v>QSM4</v>
      </c>
      <c r="L50" s="1" cm="1">
        <f t="array" aca="1" ref="L50" ca="1">_xll.QDates_FuturesExpiryFromCode(K50)</f>
        <v>45455</v>
      </c>
      <c r="M50" cm="1">
        <f t="array" aca="1" ref="M50" ca="1">_xll.BDP(K50&amp;" Comdty","PX_SETTLE")</f>
        <v>491</v>
      </c>
      <c r="N50" cm="1">
        <f t="array" aca="1" ref="N50" ca="1">_xll.BDP(K50&amp;" Comdty",BidMidASK)</f>
        <v>492.75</v>
      </c>
      <c r="O50" s="72">
        <f t="shared" ca="1" si="3"/>
        <v>11.75</v>
      </c>
      <c r="P50" s="72">
        <f t="shared" ca="1" si="4"/>
        <v>9</v>
      </c>
      <c r="Q50" s="72">
        <f ca="1"/>
        <v>9</v>
      </c>
      <c r="R50" s="13" cm="1">
        <f t="array" aca="1" ref="R50" ca="1">(N$11-Q50+VLOOKUP(K$10,$C$4:$E$7,3,FALSE)+VLOOKUP(K$10,$C$4:$F$7,4,FALSE)*_xll.QDates_YearFraction(valDate,L50,"ACT365F"))/VLOOKUP(K$10,$C$4:$G$7,5,FALSE)</f>
        <v>528.09246575342468</v>
      </c>
      <c r="T50" s="8" t="str" cm="1">
        <f t="array" aca="1" ref="T50" ca="1">_xll.QDates_FuturesNextCode(T49)</f>
        <v>XBM4</v>
      </c>
      <c r="U50" s="1" cm="1">
        <f t="array" aca="1" ref="U50" ca="1">_xll.QDates_FuturesExpiryFromCode(T50)</f>
        <v>45443</v>
      </c>
      <c r="V50" cm="1">
        <f t="array" aca="1" ref="V50" ca="1">_xll.BDP(T50&amp;" Comdty","PX_SETTLE")</f>
        <v>170.71</v>
      </c>
      <c r="W50" t="str" cm="1">
        <f t="array" aca="1" ref="W50" ca="1">_xll.BDP(T50&amp;" Comdty",BidMidASK)</f>
        <v>#N/A N/A</v>
      </c>
      <c r="X50" s="72">
        <f t="shared" ca="1" si="0"/>
        <v>-5.3700000000000045</v>
      </c>
      <c r="Y50" s="72" t="str">
        <f t="shared" ca="1" si="5"/>
        <v/>
      </c>
      <c r="Z50" s="72">
        <f ca="1"/>
        <v>-7.7199999999999989</v>
      </c>
      <c r="AA50" s="13" cm="1">
        <f t="array" aca="1" ref="AA50" ca="1">(W$11-Z50+VLOOKUP(T$10,$C$4:$E$7,3,FALSE)+VLOOKUP(T$10,$C$4:$F$7,4,FALSE)*_xll.QDates_YearFraction(valDate,U50,"ACT365F"))/VLOOKUP(T$10,$C$4:$G$7,5,FALSE)</f>
        <v>1.7033</v>
      </c>
      <c r="AC50" s="8" t="str" cm="1">
        <f t="array" aca="1" ref="AC50" ca="1">_xll.QDates_FuturesNextCode(AC49)</f>
        <v>CLM4</v>
      </c>
      <c r="AD50" s="1" cm="1">
        <f t="array" aca="1" ref="AD50" ca="1">_xll.QDates_FuturesExpiryFromCode(AC50)</f>
        <v>45433</v>
      </c>
      <c r="AE50" cm="1">
        <f t="array" aca="1" ref="AE50" ca="1">_xll.BDP(AC50&amp;" Comdty","PX_SETTLE")</f>
        <v>48.58</v>
      </c>
      <c r="AF50" cm="1">
        <f t="array" aca="1" ref="AF50" ca="1">_xll.BDP(AC50&amp;" Comdty",BidMidASK)</f>
        <v>49.14</v>
      </c>
      <c r="AG50" s="72">
        <f t="shared" ca="1" si="6"/>
        <v>10.100000000000001</v>
      </c>
      <c r="AH50" s="72">
        <f t="shared" ca="1" si="7"/>
        <v>9.4200000000000017</v>
      </c>
      <c r="AI50" s="72">
        <f ca="1"/>
        <v>9.4200000000000017</v>
      </c>
      <c r="AJ50" s="13" cm="1">
        <f t="array" aca="1" ref="AJ50" ca="1">(AF$11-AI50+VLOOKUP(AC$10,$C$4:$E$7,3,FALSE)+VLOOKUP(AC$10,$C$4:$F$7,4,FALSE)*_xll.QDates_YearFraction(valDate,AD50,"ACT365F"))/VLOOKUP(AC$10,$C$4:$G$7,5,FALSE)</f>
        <v>48.89</v>
      </c>
    </row>
    <row r="51" spans="2:36" x14ac:dyDescent="0.25">
      <c r="B51" s="8" t="str" cm="1">
        <f t="array" aca="1" ref="B51" ca="1">_xll.QDates_FuturesNextCode(B50)</f>
        <v>COQ4</v>
      </c>
      <c r="C51" s="1" cm="1">
        <f t="array" aca="1" ref="C51" ca="1">_xll.QDates_FuturesExpiryFromCode(B51)</f>
        <v>45471</v>
      </c>
      <c r="D51" cm="1">
        <f t="array" aca="1" ref="D51" ca="1">_xll.BDP(B51&amp;" Comdty","PX_SETTLE")</f>
        <v>52.85</v>
      </c>
      <c r="E51" t="str" cm="1">
        <f t="array" aca="1" ref="E51" ca="1">_xll.BDP(B51&amp;" Comdty",BidMidASK)</f>
        <v>#N/A N/A</v>
      </c>
      <c r="F51" s="72">
        <f t="shared" ca="1" si="1"/>
        <v>8.6199999999999974</v>
      </c>
      <c r="G51" s="72" t="str">
        <f t="shared" ca="1" si="2"/>
        <v/>
      </c>
      <c r="H51" s="72">
        <f ca="1"/>
        <v>8.4033333333333307</v>
      </c>
      <c r="I51" s="13" cm="1">
        <f t="array" aca="1" ref="I51" ca="1">(E$11-H51+VLOOKUP(B$10,$C$4:$E$7,3,FALSE)+VLOOKUP(B$10,$C$4:$F$7,4,FALSE)*_xll.QDates_YearFraction(valDate,C51,"ACT365F"))/VLOOKUP(B$10,$C$4:$G$7,5,FALSE)</f>
        <v>52.906666666666673</v>
      </c>
      <c r="K51" s="8" t="str" cm="1">
        <f t="array" aca="1" ref="K51" ca="1">_xll.QDates_FuturesNextCode(K50)</f>
        <v>QSN4</v>
      </c>
      <c r="L51" s="1" cm="1">
        <f t="array" aca="1" ref="L51" ca="1">_xll.QDates_FuturesExpiryFromCode(K51)</f>
        <v>45484</v>
      </c>
      <c r="M51" cm="1">
        <f t="array" aca="1" ref="M51" ca="1">_xll.BDP(K51&amp;" Comdty","PX_SETTLE")</f>
        <v>491.75</v>
      </c>
      <c r="N51" t="str" cm="1">
        <f t="array" aca="1" ref="N51" ca="1">_xll.BDP(K51&amp;" Comdty",BidMidASK)</f>
        <v>#N/A N/A</v>
      </c>
      <c r="O51" s="72">
        <f t="shared" ca="1" si="3"/>
        <v>11</v>
      </c>
      <c r="P51" s="72" t="str">
        <f t="shared" ca="1" si="4"/>
        <v/>
      </c>
      <c r="Q51" s="72">
        <f ca="1"/>
        <v>8.5</v>
      </c>
      <c r="R51" s="13" cm="1">
        <f t="array" aca="1" ref="R51" ca="1">(N$11-Q51+VLOOKUP(K$10,$C$4:$E$7,3,FALSE)+VLOOKUP(K$10,$C$4:$F$7,4,FALSE)*_xll.QDates_YearFraction(valDate,L51,"ACT365F"))/VLOOKUP(K$10,$C$4:$G$7,5,FALSE)</f>
        <v>529.38698630136992</v>
      </c>
      <c r="T51" s="8" t="str" cm="1">
        <f t="array" aca="1" ref="T51" ca="1">_xll.QDates_FuturesNextCode(T50)</f>
        <v>XBN4</v>
      </c>
      <c r="U51" s="1" cm="1">
        <f t="array" aca="1" ref="U51" ca="1">_xll.QDates_FuturesExpiryFromCode(T51)</f>
        <v>45471</v>
      </c>
      <c r="V51" cm="1">
        <f t="array" aca="1" ref="V51" ca="1">_xll.BDP(T51&amp;" Comdty","PX_SETTLE")</f>
        <v>169.79</v>
      </c>
      <c r="W51" t="str" cm="1">
        <f t="array" aca="1" ref="W51" ca="1">_xll.BDP(T51&amp;" Comdty",BidMidASK)</f>
        <v>#N/A N/A</v>
      </c>
      <c r="X51" s="72">
        <f t="shared" ca="1" si="0"/>
        <v>-4.4499999999999886</v>
      </c>
      <c r="Y51" s="72" t="str">
        <f t="shared" ca="1" si="5"/>
        <v/>
      </c>
      <c r="Z51" s="72">
        <f ca="1"/>
        <v>-6.7999999999999829</v>
      </c>
      <c r="AA51" s="13" cm="1">
        <f t="array" aca="1" ref="AA51" ca="1">(W$11-Z51+VLOOKUP(T$10,$C$4:$E$7,3,FALSE)+VLOOKUP(T$10,$C$4:$F$7,4,FALSE)*_xll.QDates_YearFraction(valDate,U51,"ACT365F"))/VLOOKUP(T$10,$C$4:$G$7,5,FALSE)</f>
        <v>1.6940999999999999</v>
      </c>
      <c r="AC51" s="8" t="str" cm="1">
        <f t="array" aca="1" ref="AC51" ca="1">_xll.QDates_FuturesNextCode(AC50)</f>
        <v>CLN4</v>
      </c>
      <c r="AD51" s="1" cm="1">
        <f t="array" aca="1" ref="AD51" ca="1">_xll.QDates_FuturesExpiryFromCode(AC51)</f>
        <v>45463</v>
      </c>
      <c r="AE51" cm="1">
        <f t="array" aca="1" ref="AE51" ca="1">_xll.BDP(AC51&amp;" Comdty","PX_SETTLE")</f>
        <v>48.480000000000004</v>
      </c>
      <c r="AF51" t="str" cm="1">
        <f t="array" aca="1" ref="AF51" ca="1">_xll.BDP(AC51&amp;" Comdty",BidMidASK)</f>
        <v>#N/A N/A</v>
      </c>
      <c r="AG51" s="72">
        <f t="shared" ca="1" si="6"/>
        <v>10.199999999999996</v>
      </c>
      <c r="AH51" s="72" t="str">
        <f t="shared" ca="1" si="7"/>
        <v/>
      </c>
      <c r="AI51" s="72">
        <f ca="1"/>
        <v>9.5166666666666639</v>
      </c>
      <c r="AJ51" s="13" cm="1">
        <f t="array" aca="1" ref="AJ51" ca="1">(AF$11-AI51+VLOOKUP(AC$10,$C$4:$E$7,3,FALSE)+VLOOKUP(AC$10,$C$4:$F$7,4,FALSE)*_xll.QDates_YearFraction(valDate,AD51,"ACT365F"))/VLOOKUP(AC$10,$C$4:$G$7,5,FALSE)</f>
        <v>48.793333333333337</v>
      </c>
    </row>
    <row r="52" spans="2:36" x14ac:dyDescent="0.25">
      <c r="B52" s="8" t="str" cm="1">
        <f t="array" aca="1" ref="B52" ca="1">_xll.QDates_FuturesNextCode(B51)</f>
        <v>COU4</v>
      </c>
      <c r="C52" s="1" cm="1">
        <f t="array" aca="1" ref="C52" ca="1">_xll.QDates_FuturesExpiryFromCode(B52)</f>
        <v>45504</v>
      </c>
      <c r="D52" cm="1">
        <f t="array" aca="1" ref="D52" ca="1">_xll.BDP(B52&amp;" Comdty","PX_SETTLE")</f>
        <v>52.79</v>
      </c>
      <c r="E52" t="str" cm="1">
        <f t="array" aca="1" ref="E52" ca="1">_xll.BDP(B52&amp;" Comdty",BidMidASK)</f>
        <v>#N/A N/A</v>
      </c>
      <c r="F52" s="72">
        <f t="shared" ca="1" si="1"/>
        <v>8.68</v>
      </c>
      <c r="G52" s="72" t="str">
        <f t="shared" ca="1" si="2"/>
        <v/>
      </c>
      <c r="H52" s="72">
        <f ca="1"/>
        <v>8.4649999999999999</v>
      </c>
      <c r="I52" s="13" cm="1">
        <f t="array" aca="1" ref="I52" ca="1">(E$11-H52+VLOOKUP(B$10,$C$4:$E$7,3,FALSE)+VLOOKUP(B$10,$C$4:$F$7,4,FALSE)*_xll.QDates_YearFraction(valDate,C52,"ACT365F"))/VLOOKUP(B$10,$C$4:$G$7,5,FALSE)</f>
        <v>52.845000000000006</v>
      </c>
      <c r="K52" s="8" t="str" cm="1">
        <f t="array" aca="1" ref="K52" ca="1">_xll.QDates_FuturesNextCode(K51)</f>
        <v>QSQ4</v>
      </c>
      <c r="L52" s="1" cm="1">
        <f t="array" aca="1" ref="L52" ca="1">_xll.QDates_FuturesExpiryFromCode(K52)</f>
        <v>45516</v>
      </c>
      <c r="M52" cm="1">
        <f t="array" aca="1" ref="M52" ca="1">_xll.BDP(K52&amp;" Comdty","PX_SETTLE")</f>
        <v>492.5</v>
      </c>
      <c r="N52" t="str" cm="1">
        <f t="array" aca="1" ref="N52" ca="1">_xll.BDP(K52&amp;" Comdty",BidMidASK)</f>
        <v>#N/A N/A</v>
      </c>
      <c r="O52" s="72">
        <f t="shared" ca="1" si="3"/>
        <v>10.25</v>
      </c>
      <c r="P52" s="72" t="str">
        <f t="shared" ca="1" si="4"/>
        <v/>
      </c>
      <c r="Q52" s="72">
        <f ca="1"/>
        <v>8</v>
      </c>
      <c r="R52" s="13" cm="1">
        <f t="array" aca="1" ref="R52" ca="1">(N$11-Q52+VLOOKUP(K$10,$C$4:$E$7,3,FALSE)+VLOOKUP(K$10,$C$4:$F$7,4,FALSE)*_xll.QDates_YearFraction(valDate,L52,"ACT365F"))/VLOOKUP(K$10,$C$4:$G$7,5,FALSE)</f>
        <v>530.76369863013701</v>
      </c>
      <c r="T52" s="8" t="str" cm="1">
        <f t="array" aca="1" ref="T52" ca="1">_xll.QDates_FuturesNextCode(T51)</f>
        <v>XBQ4</v>
      </c>
      <c r="U52" s="1" cm="1">
        <f t="array" aca="1" ref="U52" ca="1">_xll.QDates_FuturesExpiryFromCode(T52)</f>
        <v>45504</v>
      </c>
      <c r="V52" cm="1">
        <f t="array" aca="1" ref="V52" ca="1">_xll.BDP(T52&amp;" Comdty","PX_SETTLE")</f>
        <v>168.1</v>
      </c>
      <c r="W52" t="str" cm="1">
        <f t="array" aca="1" ref="W52" ca="1">_xll.BDP(T52&amp;" Comdty",BidMidASK)</f>
        <v>#N/A N/A</v>
      </c>
      <c r="X52" s="72">
        <f t="shared" ca="1" si="0"/>
        <v>-2.7599999999999909</v>
      </c>
      <c r="Y52" s="72" t="str">
        <f t="shared" ca="1" si="5"/>
        <v/>
      </c>
      <c r="Z52" s="72">
        <f ca="1"/>
        <v>-5.1099999999999852</v>
      </c>
      <c r="AA52" s="13" cm="1">
        <f t="array" aca="1" ref="AA52" ca="1">(W$11-Z52+VLOOKUP(T$10,$C$4:$E$7,3,FALSE)+VLOOKUP(T$10,$C$4:$F$7,4,FALSE)*_xll.QDates_YearFraction(valDate,U52,"ACT365F"))/VLOOKUP(T$10,$C$4:$G$7,5,FALSE)</f>
        <v>1.6772</v>
      </c>
      <c r="AC52" s="8" t="str" cm="1">
        <f t="array" aca="1" ref="AC52" ca="1">_xll.QDates_FuturesNextCode(AC51)</f>
        <v>CLQ4</v>
      </c>
      <c r="AD52" s="1" cm="1">
        <f t="array" aca="1" ref="AD52" ca="1">_xll.QDates_FuturesExpiryFromCode(AC52)</f>
        <v>45495</v>
      </c>
      <c r="AE52" cm="1">
        <f t="array" aca="1" ref="AE52" ca="1">_xll.BDP(AC52&amp;" Comdty","PX_SETTLE")</f>
        <v>48.42</v>
      </c>
      <c r="AF52" t="str" cm="1">
        <f t="array" aca="1" ref="AF52" ca="1">_xll.BDP(AC52&amp;" Comdty",BidMidASK)</f>
        <v>#N/A N/A</v>
      </c>
      <c r="AG52" s="72">
        <f t="shared" ca="1" si="6"/>
        <v>10.259999999999998</v>
      </c>
      <c r="AH52" s="72" t="str">
        <f t="shared" ca="1" si="7"/>
        <v/>
      </c>
      <c r="AI52" s="72">
        <f ca="1"/>
        <v>9.5733333333333324</v>
      </c>
      <c r="AJ52" s="13" cm="1">
        <f t="array" aca="1" ref="AJ52" ca="1">(AF$11-AI52+VLOOKUP(AC$10,$C$4:$E$7,3,FALSE)+VLOOKUP(AC$10,$C$4:$F$7,4,FALSE)*_xll.QDates_YearFraction(valDate,AD52,"ACT365F"))/VLOOKUP(AC$10,$C$4:$G$7,5,FALSE)</f>
        <v>48.736666666666672</v>
      </c>
    </row>
    <row r="53" spans="2:36" x14ac:dyDescent="0.25">
      <c r="B53" s="8" t="str" cm="1">
        <f t="array" aca="1" ref="B53" ca="1">_xll.QDates_FuturesNextCode(B52)</f>
        <v>COV4</v>
      </c>
      <c r="C53" s="1" cm="1">
        <f t="array" aca="1" ref="C53" ca="1">_xll.QDates_FuturesExpiryFromCode(B53)</f>
        <v>45534</v>
      </c>
      <c r="D53" cm="1">
        <f t="array" aca="1" ref="D53" ca="1">_xll.BDP(B53&amp;" Comdty","PX_SETTLE")</f>
        <v>52.730000000000004</v>
      </c>
      <c r="E53" t="str" cm="1">
        <f t="array" aca="1" ref="E53" ca="1">_xll.BDP(B53&amp;" Comdty",BidMidASK)</f>
        <v>#N/A N/A</v>
      </c>
      <c r="F53" s="72">
        <f t="shared" ca="1" si="1"/>
        <v>8.7399999999999949</v>
      </c>
      <c r="G53" s="72" t="str">
        <f t="shared" ca="1" si="2"/>
        <v/>
      </c>
      <c r="H53" s="72">
        <f ca="1"/>
        <v>8.526666666666662</v>
      </c>
      <c r="I53" s="13" cm="1">
        <f t="array" aca="1" ref="I53" ca="1">(E$11-H53+VLOOKUP(B$10,$C$4:$E$7,3,FALSE)+VLOOKUP(B$10,$C$4:$F$7,4,FALSE)*_xll.QDates_YearFraction(valDate,C53,"ACT365F"))/VLOOKUP(B$10,$C$4:$G$7,5,FALSE)</f>
        <v>52.783333333333339</v>
      </c>
      <c r="K53" s="8" t="str" cm="1">
        <f t="array" aca="1" ref="K53" ca="1">_xll.QDates_FuturesNextCode(K52)</f>
        <v>QSU4</v>
      </c>
      <c r="L53" s="1" cm="1">
        <f t="array" aca="1" ref="L53" ca="1">_xll.QDates_FuturesExpiryFromCode(K53)</f>
        <v>45547</v>
      </c>
      <c r="M53" cm="1">
        <f t="array" aca="1" ref="M53" ca="1">_xll.BDP(K53&amp;" Comdty","PX_SETTLE")</f>
        <v>493.25</v>
      </c>
      <c r="N53" t="str" cm="1">
        <f t="array" aca="1" ref="N53" ca="1">_xll.BDP(K53&amp;" Comdty",BidMidASK)</f>
        <v>#N/A N/A</v>
      </c>
      <c r="O53" s="72">
        <f t="shared" ca="1" si="3"/>
        <v>9.5</v>
      </c>
      <c r="P53" s="72" t="str">
        <f t="shared" ca="1" si="4"/>
        <v/>
      </c>
      <c r="Q53" s="72">
        <f ca="1"/>
        <v>7.5</v>
      </c>
      <c r="R53" s="13" cm="1">
        <f t="array" aca="1" ref="R53" ca="1">(N$11-Q53+VLOOKUP(K$10,$C$4:$E$7,3,FALSE)+VLOOKUP(K$10,$C$4:$F$7,4,FALSE)*_xll.QDates_YearFraction(valDate,L53,"ACT365F"))/VLOOKUP(K$10,$C$4:$G$7,5,FALSE)</f>
        <v>532.11301369863008</v>
      </c>
      <c r="T53" s="8" t="str" cm="1">
        <f t="array" aca="1" ref="T53" ca="1">_xll.QDates_FuturesNextCode(T52)</f>
        <v>XBU4</v>
      </c>
      <c r="U53" s="1" cm="1">
        <f t="array" aca="1" ref="U53" ca="1">_xll.QDates_FuturesExpiryFromCode(T53)</f>
        <v>45534</v>
      </c>
      <c r="V53" cm="1">
        <f t="array" aca="1" ref="V53" ca="1">_xll.BDP(T53&amp;" Comdty","PX_SETTLE")</f>
        <v>164.48</v>
      </c>
      <c r="W53" t="str" cm="1">
        <f t="array" aca="1" ref="W53" ca="1">_xll.BDP(T53&amp;" Comdty",BidMidASK)</f>
        <v>#N/A N/A</v>
      </c>
      <c r="X53" s="72">
        <f t="shared" ca="1" si="0"/>
        <v>0.86000000000001364</v>
      </c>
      <c r="Y53" s="72" t="str">
        <f t="shared" ca="1" si="5"/>
        <v/>
      </c>
      <c r="Z53" s="72">
        <f ca="1"/>
        <v>-1.4899999999999807</v>
      </c>
      <c r="AA53" s="13" cm="1">
        <f t="array" aca="1" ref="AA53" ca="1">(W$11-Z53+VLOOKUP(T$10,$C$4:$E$7,3,FALSE)+VLOOKUP(T$10,$C$4:$F$7,4,FALSE)*_xll.QDates_YearFraction(valDate,U53,"ACT365F"))/VLOOKUP(T$10,$C$4:$G$7,5,FALSE)</f>
        <v>1.641</v>
      </c>
      <c r="AC53" s="8" t="str" cm="1">
        <f t="array" aca="1" ref="AC53" ca="1">_xll.QDates_FuturesNextCode(AC52)</f>
        <v>CLU4</v>
      </c>
      <c r="AD53" s="1" cm="1">
        <f t="array" aca="1" ref="AD53" ca="1">_xll.QDates_FuturesExpiryFromCode(AC53)</f>
        <v>45524</v>
      </c>
      <c r="AE53" cm="1">
        <f t="array" aca="1" ref="AE53" ca="1">_xll.BDP(AC53&amp;" Comdty","PX_SETTLE")</f>
        <v>48.34</v>
      </c>
      <c r="AF53" t="str" cm="1">
        <f t="array" aca="1" ref="AF53" ca="1">_xll.BDP(AC53&amp;" Comdty",BidMidASK)</f>
        <v>#N/A N/A</v>
      </c>
      <c r="AG53" s="72">
        <f t="shared" ca="1" si="6"/>
        <v>10.339999999999996</v>
      </c>
      <c r="AH53" s="72" t="str">
        <f t="shared" ca="1" si="7"/>
        <v/>
      </c>
      <c r="AI53" s="72">
        <f ca="1"/>
        <v>9.6499999999999986</v>
      </c>
      <c r="AJ53" s="13" cm="1">
        <f t="array" aca="1" ref="AJ53" ca="1">(AF$11-AI53+VLOOKUP(AC$10,$C$4:$E$7,3,FALSE)+VLOOKUP(AC$10,$C$4:$F$7,4,FALSE)*_xll.QDates_YearFraction(valDate,AD53,"ACT365F"))/VLOOKUP(AC$10,$C$4:$G$7,5,FALSE)</f>
        <v>48.660000000000004</v>
      </c>
    </row>
    <row r="54" spans="2:36" x14ac:dyDescent="0.25">
      <c r="B54" s="8" t="str" cm="1">
        <f t="array" aca="1" ref="B54" ca="1">_xll.QDates_FuturesNextCode(B53)</f>
        <v>COX4</v>
      </c>
      <c r="C54" s="1" cm="1">
        <f t="array" aca="1" ref="C54" ca="1">_xll.QDates_FuturesExpiryFromCode(B54)</f>
        <v>45565</v>
      </c>
      <c r="D54" cm="1">
        <f t="array" aca="1" ref="D54" ca="1">_xll.BDP(B54&amp;" Comdty","PX_SETTLE")</f>
        <v>52.67</v>
      </c>
      <c r="E54" t="str" cm="1">
        <f t="array" aca="1" ref="E54" ca="1">_xll.BDP(B54&amp;" Comdty",BidMidASK)</f>
        <v>#N/A N/A</v>
      </c>
      <c r="F54" s="72">
        <f t="shared" ca="1" si="1"/>
        <v>8.7999999999999972</v>
      </c>
      <c r="G54" s="72" t="str">
        <f t="shared" ca="1" si="2"/>
        <v/>
      </c>
      <c r="H54" s="72">
        <f ca="1"/>
        <v>8.5883333333333294</v>
      </c>
      <c r="I54" s="13" cm="1">
        <f t="array" aca="1" ref="I54" ca="1">(E$11-H54+VLOOKUP(B$10,$C$4:$E$7,3,FALSE)+VLOOKUP(B$10,$C$4:$F$7,4,FALSE)*_xll.QDates_YearFraction(valDate,C54,"ACT365F"))/VLOOKUP(B$10,$C$4:$G$7,5,FALSE)</f>
        <v>52.721666666666671</v>
      </c>
      <c r="K54" s="8" t="str" cm="1">
        <f t="array" aca="1" ref="K54" ca="1">_xll.QDates_FuturesNextCode(K53)</f>
        <v>QSV4</v>
      </c>
      <c r="L54" s="1" cm="1">
        <f t="array" aca="1" ref="L54" ca="1">_xll.QDates_FuturesExpiryFromCode(K54)</f>
        <v>45575</v>
      </c>
      <c r="M54" cm="1">
        <f t="array" aca="1" ref="M54" ca="1">_xll.BDP(K54&amp;" Comdty","PX_SETTLE")</f>
        <v>494.25</v>
      </c>
      <c r="N54" t="str" cm="1">
        <f t="array" aca="1" ref="N54" ca="1">_xll.BDP(K54&amp;" Comdty",BidMidASK)</f>
        <v>#N/A N/A</v>
      </c>
      <c r="O54" s="72">
        <f t="shared" ca="1" si="3"/>
        <v>8.5</v>
      </c>
      <c r="P54" s="72" t="str">
        <f t="shared" ca="1" si="4"/>
        <v/>
      </c>
      <c r="Q54" s="72">
        <f ca="1"/>
        <v>6.75</v>
      </c>
      <c r="R54" s="13" cm="1">
        <f t="array" aca="1" ref="R54" ca="1">(N$11-Q54+VLOOKUP(K$10,$C$4:$E$7,3,FALSE)+VLOOKUP(K$10,$C$4:$F$7,4,FALSE)*_xll.QDates_YearFraction(valDate,L54,"ACT365F"))/VLOOKUP(K$10,$C$4:$G$7,5,FALSE)</f>
        <v>533.63013698630141</v>
      </c>
      <c r="T54" s="8" t="str" cm="1">
        <f t="array" aca="1" ref="T54" ca="1">_xll.QDates_FuturesNextCode(T53)</f>
        <v>XBV4</v>
      </c>
      <c r="U54" s="1" cm="1">
        <f t="array" aca="1" ref="U54" ca="1">_xll.QDates_FuturesExpiryFromCode(T54)</f>
        <v>45565</v>
      </c>
      <c r="V54" cm="1">
        <f t="array" aca="1" ref="V54" ca="1">_xll.BDP(T54&amp;" Comdty","PX_SETTLE")</f>
        <v>151.70000000000002</v>
      </c>
      <c r="W54" t="str" cm="1">
        <f t="array" aca="1" ref="W54" ca="1">_xll.BDP(T54&amp;" Comdty",BidMidASK)</f>
        <v>#N/A N/A</v>
      </c>
      <c r="X54" s="72">
        <f t="shared" ca="1" si="0"/>
        <v>13.639999999999986</v>
      </c>
      <c r="Y54" s="72" t="str">
        <f t="shared" ca="1" si="5"/>
        <v/>
      </c>
      <c r="Z54" s="72">
        <f ca="1"/>
        <v>11.289999999999992</v>
      </c>
      <c r="AA54" s="13" cm="1">
        <f t="array" aca="1" ref="AA54" ca="1">(W$11-Z54+VLOOKUP(T$10,$C$4:$E$7,3,FALSE)+VLOOKUP(T$10,$C$4:$F$7,4,FALSE)*_xll.QDates_YearFraction(valDate,U54,"ACT365F"))/VLOOKUP(T$10,$C$4:$G$7,5,FALSE)</f>
        <v>1.5132000000000003</v>
      </c>
      <c r="AC54" s="8" t="str" cm="1">
        <f t="array" aca="1" ref="AC54" ca="1">_xll.QDates_FuturesNextCode(AC53)</f>
        <v>CLV4</v>
      </c>
      <c r="AD54" s="1" cm="1">
        <f t="array" aca="1" ref="AD54" ca="1">_xll.QDates_FuturesExpiryFromCode(AC54)</f>
        <v>45555</v>
      </c>
      <c r="AE54" cm="1">
        <f t="array" aca="1" ref="AE54" ca="1">_xll.BDP(AC54&amp;" Comdty","PX_SETTLE")</f>
        <v>48.28</v>
      </c>
      <c r="AF54" t="str" cm="1">
        <f t="array" aca="1" ref="AF54" ca="1">_xll.BDP(AC54&amp;" Comdty",BidMidASK)</f>
        <v>#N/A N/A</v>
      </c>
      <c r="AG54" s="72">
        <f t="shared" ca="1" si="6"/>
        <v>10.399999999999999</v>
      </c>
      <c r="AH54" s="72" t="str">
        <f t="shared" ca="1" si="7"/>
        <v/>
      </c>
      <c r="AI54" s="72">
        <f ca="1"/>
        <v>9.7066666666666688</v>
      </c>
      <c r="AJ54" s="13" cm="1">
        <f t="array" aca="1" ref="AJ54" ca="1">(AF$11-AI54+VLOOKUP(AC$10,$C$4:$E$7,3,FALSE)+VLOOKUP(AC$10,$C$4:$F$7,4,FALSE)*_xll.QDates_YearFraction(valDate,AD54,"ACT365F"))/VLOOKUP(AC$10,$C$4:$G$7,5,FALSE)</f>
        <v>48.603333333333332</v>
      </c>
    </row>
    <row r="55" spans="2:36" x14ac:dyDescent="0.25">
      <c r="B55" s="8" t="str" cm="1">
        <f t="array" aca="1" ref="B55" ca="1">_xll.QDates_FuturesNextCode(B54)</f>
        <v>COZ4</v>
      </c>
      <c r="C55" s="1" cm="1">
        <f t="array" aca="1" ref="C55" ca="1">_xll.QDates_FuturesExpiryFromCode(B55)</f>
        <v>45596</v>
      </c>
      <c r="D55" cm="1">
        <f t="array" aca="1" ref="D55" ca="1">_xll.BDP(B55&amp;" Comdty","PX_SETTLE")</f>
        <v>52.61</v>
      </c>
      <c r="E55" cm="1">
        <f t="array" aca="1" ref="E55" ca="1">_xll.BDP(B55&amp;" Comdty",BidMidASK)</f>
        <v>52.67</v>
      </c>
      <c r="F55" s="72">
        <f t="shared" ca="1" si="1"/>
        <v>8.86</v>
      </c>
      <c r="G55" s="72">
        <f t="shared" ca="1" si="2"/>
        <v>8.6499999999999986</v>
      </c>
      <c r="H55" s="72">
        <f ca="1"/>
        <v>8.6499999999999986</v>
      </c>
      <c r="I55" s="13" cm="1">
        <f t="array" aca="1" ref="I55" ca="1">(E$11-H55+VLOOKUP(B$10,$C$4:$E$7,3,FALSE)+VLOOKUP(B$10,$C$4:$F$7,4,FALSE)*_xll.QDates_YearFraction(valDate,C55,"ACT365F"))/VLOOKUP(B$10,$C$4:$G$7,5,FALSE)</f>
        <v>52.660000000000004</v>
      </c>
      <c r="K55" s="8" t="str" cm="1">
        <f t="array" aca="1" ref="K55" ca="1">_xll.QDates_FuturesNextCode(K54)</f>
        <v>QSX4</v>
      </c>
      <c r="L55" s="1" cm="1">
        <f t="array" aca="1" ref="L55" ca="1">_xll.QDates_FuturesExpiryFromCode(K55)</f>
        <v>45608</v>
      </c>
      <c r="M55" cm="1">
        <f t="array" aca="1" ref="M55" ca="1">_xll.BDP(K55&amp;" Comdty","PX_SETTLE")</f>
        <v>495.25</v>
      </c>
      <c r="N55" t="str" cm="1">
        <f t="array" aca="1" ref="N55" ca="1">_xll.BDP(K55&amp;" Comdty",BidMidASK)</f>
        <v>#N/A N/A</v>
      </c>
      <c r="O55" s="72">
        <f t="shared" ca="1" si="3"/>
        <v>7.5</v>
      </c>
      <c r="P55" s="72" t="str">
        <f t="shared" ca="1" si="4"/>
        <v/>
      </c>
      <c r="Q55" s="72">
        <f ca="1"/>
        <v>6</v>
      </c>
      <c r="R55" s="13" cm="1">
        <f t="array" aca="1" ref="R55" ca="1">(N$11-Q55+VLOOKUP(K$10,$C$4:$E$7,3,FALSE)+VLOOKUP(K$10,$C$4:$F$7,4,FALSE)*_xll.QDates_YearFraction(valDate,L55,"ACT365F"))/VLOOKUP(K$10,$C$4:$G$7,5,FALSE)</f>
        <v>535.28424657534242</v>
      </c>
      <c r="T55" s="8"/>
      <c r="U55" s="1"/>
      <c r="X55" s="72"/>
      <c r="Y55" s="72" t="str">
        <f t="shared" ca="1" si="5"/>
        <v/>
      </c>
      <c r="Z55" s="72"/>
      <c r="AA55" s="13"/>
      <c r="AC55" s="8" t="str" cm="1">
        <f t="array" aca="1" ref="AC55" ca="1">_xll.QDates_FuturesNextCode(AC54)</f>
        <v>CLX4</v>
      </c>
      <c r="AD55" s="1" cm="1">
        <f t="array" aca="1" ref="AD55" ca="1">_xll.QDates_FuturesExpiryFromCode(AC55)</f>
        <v>45587</v>
      </c>
      <c r="AE55" cm="1">
        <f t="array" aca="1" ref="AE55" ca="1">_xll.BDP(AC55&amp;" Comdty","PX_SETTLE")</f>
        <v>48.25</v>
      </c>
      <c r="AF55" t="str" cm="1">
        <f t="array" aca="1" ref="AF55" ca="1">_xll.BDP(AC55&amp;" Comdty",BidMidASK)</f>
        <v>#N/A N/A</v>
      </c>
      <c r="AG55" s="72">
        <f t="shared" ca="1" si="6"/>
        <v>10.43</v>
      </c>
      <c r="AH55" s="72" t="str">
        <f t="shared" ca="1" si="7"/>
        <v/>
      </c>
      <c r="AI55" s="72">
        <f ca="1"/>
        <v>9.7333333333333361</v>
      </c>
      <c r="AJ55" s="13" cm="1">
        <f t="array" aca="1" ref="AJ55" ca="1">(AF$11-AI55+VLOOKUP(AC$10,$C$4:$E$7,3,FALSE)+VLOOKUP(AC$10,$C$4:$F$7,4,FALSE)*_xll.QDates_YearFraction(valDate,AD55,"ACT365F"))/VLOOKUP(AC$10,$C$4:$G$7,5,FALSE)</f>
        <v>48.576666666666668</v>
      </c>
    </row>
    <row r="56" spans="2:36" x14ac:dyDescent="0.25">
      <c r="B56" s="8" t="str" cm="1">
        <f t="array" aca="1" ref="B56" ca="1">_xll.QDates_FuturesNextCode(B55)</f>
        <v>COF5</v>
      </c>
      <c r="C56" s="1" cm="1">
        <f t="array" aca="1" ref="C56" ca="1">_xll.QDates_FuturesExpiryFromCode(B56)</f>
        <v>45625</v>
      </c>
      <c r="D56" cm="1">
        <f t="array" aca="1" ref="D56" ca="1">_xll.BDP(B56&amp;" Comdty","PX_SETTLE")</f>
        <v>52.58</v>
      </c>
      <c r="E56" t="str" cm="1">
        <f t="array" aca="1" ref="E56" ca="1">_xll.BDP(B56&amp;" Comdty",BidMidASK)</f>
        <v>#N/A N/A</v>
      </c>
      <c r="F56" s="72">
        <f t="shared" ca="1" si="1"/>
        <v>8.89</v>
      </c>
      <c r="G56" s="72" t="str">
        <f t="shared" ca="1" si="2"/>
        <v/>
      </c>
      <c r="H56" s="72">
        <f ca="1"/>
        <v>8.6549999999999994</v>
      </c>
      <c r="I56" s="13" cm="1">
        <f t="array" aca="1" ref="I56" ca="1">(E$11-H56+VLOOKUP(B$10,$C$4:$E$7,3,FALSE)+VLOOKUP(B$10,$C$4:$F$7,4,FALSE)*_xll.QDates_YearFraction(valDate,C56,"ACT365F"))/VLOOKUP(B$10,$C$4:$G$7,5,FALSE)</f>
        <v>52.655000000000001</v>
      </c>
      <c r="K56" s="8" t="str" cm="1">
        <f t="array" aca="1" ref="K56" ca="1">_xll.QDates_FuturesNextCode(K55)</f>
        <v>QSZ4</v>
      </c>
      <c r="L56" s="1" cm="1">
        <f t="array" aca="1" ref="L56" ca="1">_xll.QDates_FuturesExpiryFromCode(K56)</f>
        <v>45638</v>
      </c>
      <c r="M56" cm="1">
        <f t="array" aca="1" ref="M56" ca="1">_xll.BDP(K56&amp;" Comdty","PX_SETTLE")</f>
        <v>496.25</v>
      </c>
      <c r="N56" cm="1">
        <f t="array" aca="1" ref="N56" ca="1">_xll.BDP(K56&amp;" Comdty",BidMidASK)</f>
        <v>496.5</v>
      </c>
      <c r="O56" s="72">
        <f t="shared" ca="1" si="3"/>
        <v>6.5</v>
      </c>
      <c r="P56" s="72">
        <f t="shared" ca="1" si="4"/>
        <v>5.25</v>
      </c>
      <c r="Q56" s="72">
        <f ca="1"/>
        <v>5.25</v>
      </c>
      <c r="R56" s="13" cm="1">
        <f t="array" aca="1" ref="R56" ca="1">(N$11-Q56+VLOOKUP(K$10,$C$4:$E$7,3,FALSE)+VLOOKUP(K$10,$C$4:$F$7,4,FALSE)*_xll.QDates_YearFraction(valDate,L56,"ACT365F"))/VLOOKUP(K$10,$C$4:$G$7,5,FALSE)</f>
        <v>536.85616438356169</v>
      </c>
      <c r="T56" s="8"/>
      <c r="U56" s="1"/>
      <c r="X56" s="72"/>
      <c r="Y56" s="72" t="str">
        <f t="shared" ca="1" si="5"/>
        <v/>
      </c>
      <c r="Z56" s="72"/>
      <c r="AA56" s="13"/>
      <c r="AC56" s="8" t="str" cm="1">
        <f t="array" aca="1" ref="AC56" ca="1">_xll.QDates_FuturesNextCode(AC55)</f>
        <v>CLZ4</v>
      </c>
      <c r="AD56" s="1" cm="1">
        <f t="array" aca="1" ref="AD56" ca="1">_xll.QDates_FuturesExpiryFromCode(AC56)</f>
        <v>45616</v>
      </c>
      <c r="AE56" cm="1">
        <f t="array" aca="1" ref="AE56" ca="1">_xll.BDP(AC56&amp;" Comdty","PX_SETTLE")</f>
        <v>48.2</v>
      </c>
      <c r="AF56" cm="1">
        <f t="array" aca="1" ref="AF56" ca="1">_xll.BDP(AC56&amp;" Comdty",BidMidASK)</f>
        <v>48.78</v>
      </c>
      <c r="AG56" s="72">
        <f t="shared" ca="1" si="6"/>
        <v>10.479999999999997</v>
      </c>
      <c r="AH56" s="72">
        <f t="shared" ca="1" si="7"/>
        <v>9.7800000000000011</v>
      </c>
      <c r="AI56" s="72">
        <f ca="1"/>
        <v>9.7800000000000011</v>
      </c>
      <c r="AJ56" s="13" cm="1">
        <f t="array" aca="1" ref="AJ56" ca="1">(AF$11-AI56+VLOOKUP(AC$10,$C$4:$E$7,3,FALSE)+VLOOKUP(AC$10,$C$4:$F$7,4,FALSE)*_xll.QDates_YearFraction(valDate,AD56,"ACT365F"))/VLOOKUP(AC$10,$C$4:$G$7,5,FALSE)</f>
        <v>48.53</v>
      </c>
    </row>
    <row r="57" spans="2:36" x14ac:dyDescent="0.25">
      <c r="B57" s="8" t="str" cm="1">
        <f t="array" aca="1" ref="B57" ca="1">_xll.QDates_FuturesNextCode(B56)</f>
        <v>COG5</v>
      </c>
      <c r="C57" s="1" cm="1">
        <f t="array" aca="1" ref="C57" ca="1">_xll.QDates_FuturesExpiryFromCode(B57)</f>
        <v>45657</v>
      </c>
      <c r="D57" cm="1">
        <f t="array" aca="1" ref="D57" ca="1">_xll.BDP(B57&amp;" Comdty","PX_SETTLE")</f>
        <v>52.550000000000004</v>
      </c>
      <c r="E57" t="str" cm="1">
        <f t="array" aca="1" ref="E57" ca="1">_xll.BDP(B57&amp;" Comdty",BidMidASK)</f>
        <v>#N/A N/A</v>
      </c>
      <c r="F57" s="72">
        <f t="shared" ca="1" si="1"/>
        <v>8.9199999999999946</v>
      </c>
      <c r="G57" s="72" t="str">
        <f t="shared" ca="1" si="2"/>
        <v/>
      </c>
      <c r="H57" s="72">
        <f ca="1"/>
        <v>8.6599999999999948</v>
      </c>
      <c r="I57" s="13" cm="1">
        <f t="array" aca="1" ref="I57" ca="1">(E$11-H57+VLOOKUP(B$10,$C$4:$E$7,3,FALSE)+VLOOKUP(B$10,$C$4:$F$7,4,FALSE)*_xll.QDates_YearFraction(valDate,C57,"ACT365F"))/VLOOKUP(B$10,$C$4:$G$7,5,FALSE)</f>
        <v>52.650000000000006</v>
      </c>
      <c r="K57" s="8" t="str" cm="1">
        <f t="array" aca="1" ref="K57" ca="1">_xll.QDates_FuturesNextCode(K56)</f>
        <v>QSF5</v>
      </c>
      <c r="L57" s="1" cm="1">
        <f t="array" aca="1" ref="L57" ca="1">_xll.QDates_FuturesExpiryFromCode(K57)</f>
        <v>45667</v>
      </c>
      <c r="M57" cm="1">
        <f t="array" aca="1" ref="M57" ca="1">_xll.BDP(K57&amp;" Comdty","PX_SETTLE")</f>
        <v>497.5</v>
      </c>
      <c r="N57" t="str" cm="1">
        <f t="array" aca="1" ref="N57" ca="1">_xll.BDP(K57&amp;" Comdty",BidMidASK)</f>
        <v>#N/A N/A</v>
      </c>
      <c r="O57" s="72">
        <f t="shared" ca="1" si="3"/>
        <v>5.25</v>
      </c>
      <c r="P57" s="72" t="str">
        <f t="shared" ca="1" si="4"/>
        <v/>
      </c>
      <c r="Q57" s="72">
        <f ca="1"/>
        <v>3.5</v>
      </c>
      <c r="R57" s="13" cm="1">
        <f t="array" aca="1" ref="R57" ca="1">(N$11-Q57+VLOOKUP(K$10,$C$4:$E$7,3,FALSE)+VLOOKUP(K$10,$C$4:$F$7,4,FALSE)*_xll.QDates_YearFraction(valDate,L57,"ACT365F"))/VLOOKUP(K$10,$C$4:$G$7,5,FALSE)</f>
        <v>539.40068493150682</v>
      </c>
      <c r="T57" s="8"/>
      <c r="U57" s="1"/>
      <c r="X57" s="72"/>
      <c r="Y57" s="72" t="str">
        <f t="shared" ca="1" si="5"/>
        <v/>
      </c>
      <c r="Z57" s="72"/>
      <c r="AA57" s="13"/>
      <c r="AC57" s="8" t="str" cm="1">
        <f t="array" aca="1" ref="AC57" ca="1">_xll.QDates_FuturesNextCode(AC56)</f>
        <v>CLF5</v>
      </c>
      <c r="AD57" s="1" cm="1">
        <f t="array" aca="1" ref="AD57" ca="1">_xll.QDates_FuturesExpiryFromCode(AC57)</f>
        <v>45645</v>
      </c>
      <c r="AE57" cm="1">
        <f t="array" aca="1" ref="AE57" ca="1">_xll.BDP(AC57&amp;" Comdty","PX_SETTLE")</f>
        <v>48.120000000000005</v>
      </c>
      <c r="AF57" t="str" cm="1">
        <f t="array" aca="1" ref="AF57" ca="1">_xll.BDP(AC57&amp;" Comdty",BidMidASK)</f>
        <v>#N/A N/A</v>
      </c>
      <c r="AG57" s="72">
        <f t="shared" ca="1" si="6"/>
        <v>10.559999999999995</v>
      </c>
      <c r="AH57" s="72" t="str">
        <f t="shared" ca="1" si="7"/>
        <v/>
      </c>
      <c r="AI57" s="72">
        <f ca="1"/>
        <v>9.86</v>
      </c>
      <c r="AJ57" s="13" cm="1">
        <f t="array" aca="1" ref="AJ57" ca="1">(AF$11-AI57+VLOOKUP(AC$10,$C$4:$E$7,3,FALSE)+VLOOKUP(AC$10,$C$4:$F$7,4,FALSE)*_xll.QDates_YearFraction(valDate,AD57,"ACT365F"))/VLOOKUP(AC$10,$C$4:$G$7,5,FALSE)</f>
        <v>48.45</v>
      </c>
    </row>
    <row r="58" spans="2:36" x14ac:dyDescent="0.25">
      <c r="B58" s="8" t="str" cm="1">
        <f t="array" aca="1" ref="B58" ca="1">_xll.QDates_FuturesNextCode(B57)</f>
        <v>COH5</v>
      </c>
      <c r="C58" s="1" cm="1">
        <f t="array" aca="1" ref="C58" ca="1">_xll.QDates_FuturesExpiryFromCode(B58)</f>
        <v>45688</v>
      </c>
      <c r="D58" cm="1">
        <f t="array" aca="1" ref="D58" ca="1">_xll.BDP(B58&amp;" Comdty","PX_SETTLE")</f>
        <v>52.52</v>
      </c>
      <c r="E58" t="str" cm="1">
        <f t="array" aca="1" ref="E58" ca="1">_xll.BDP(B58&amp;" Comdty",BidMidASK)</f>
        <v>#N/A N/A</v>
      </c>
      <c r="F58" s="72">
        <f t="shared" ca="1" si="1"/>
        <v>8.9499999999999957</v>
      </c>
      <c r="G58" s="72" t="str">
        <f t="shared" ca="1" si="2"/>
        <v/>
      </c>
      <c r="H58" s="72">
        <f ca="1"/>
        <v>8.6649999999999956</v>
      </c>
      <c r="I58" s="13" cm="1">
        <f t="array" aca="1" ref="I58" ca="1">(E$11-H58+VLOOKUP(B$10,$C$4:$E$7,3,FALSE)+VLOOKUP(B$10,$C$4:$F$7,4,FALSE)*_xll.QDates_YearFraction(valDate,C58,"ACT365F"))/VLOOKUP(B$10,$C$4:$G$7,5,FALSE)</f>
        <v>52.645000000000003</v>
      </c>
      <c r="K58" s="8" t="str" cm="1">
        <f t="array" aca="1" ref="K58" ca="1">_xll.QDates_FuturesNextCode(K57)</f>
        <v>QSG5</v>
      </c>
      <c r="L58" s="1" cm="1">
        <f t="array" aca="1" ref="L58" ca="1">_xll.QDates_FuturesExpiryFromCode(K58)</f>
        <v>45700</v>
      </c>
      <c r="M58" cm="1">
        <f t="array" aca="1" ref="M58" ca="1">_xll.BDP(K58&amp;" Comdty","PX_SETTLE")</f>
        <v>498.75</v>
      </c>
      <c r="N58" t="str" cm="1">
        <f t="array" aca="1" ref="N58" ca="1">_xll.BDP(K58&amp;" Comdty",BidMidASK)</f>
        <v>#N/A N/A</v>
      </c>
      <c r="O58" s="72">
        <f t="shared" ca="1" si="3"/>
        <v>4</v>
      </c>
      <c r="P58" s="72" t="str">
        <f t="shared" ca="1" si="4"/>
        <v/>
      </c>
      <c r="Q58" s="72">
        <f ca="1"/>
        <v>1.75</v>
      </c>
      <c r="R58" s="13" cm="1">
        <f t="array" aca="1" ref="R58" ca="1">(N$11-Q58+VLOOKUP(K$10,$C$4:$E$7,3,FALSE)+VLOOKUP(K$10,$C$4:$F$7,4,FALSE)*_xll.QDates_YearFraction(valDate,L58,"ACT365F"))/VLOOKUP(K$10,$C$4:$G$7,5,FALSE)</f>
        <v>542.05479452054794</v>
      </c>
      <c r="T58" s="8"/>
      <c r="U58" s="1"/>
      <c r="X58" s="72"/>
      <c r="Y58" s="72" t="str">
        <f t="shared" ca="1" si="5"/>
        <v/>
      </c>
      <c r="Z58" s="72"/>
      <c r="AA58" s="13"/>
      <c r="AC58" s="8" t="str" cm="1">
        <f t="array" aca="1" ref="AC58" ca="1">_xll.QDates_FuturesNextCode(AC57)</f>
        <v>CLG5</v>
      </c>
      <c r="AD58" s="1" cm="1">
        <f t="array" aca="1" ref="AD58" ca="1">_xll.QDates_FuturesExpiryFromCode(AC58)</f>
        <v>45678</v>
      </c>
      <c r="AE58" cm="1">
        <f t="array" aca="1" ref="AE58" ca="1">_xll.BDP(AC58&amp;" Comdty","PX_SETTLE")</f>
        <v>48.15</v>
      </c>
      <c r="AF58" t="str" cm="1">
        <f t="array" aca="1" ref="AF58" ca="1">_xll.BDP(AC58&amp;" Comdty",BidMidASK)</f>
        <v>#N/A N/A</v>
      </c>
      <c r="AG58" s="72">
        <f t="shared" ca="1" si="6"/>
        <v>10.530000000000001</v>
      </c>
      <c r="AH58" s="72" t="str">
        <f t="shared" ca="1" si="7"/>
        <v/>
      </c>
      <c r="AI58" s="72">
        <f ca="1"/>
        <v>9.8300000000000054</v>
      </c>
      <c r="AJ58" s="13" cm="1">
        <f t="array" aca="1" ref="AJ58" ca="1">(AF$11-AI58+VLOOKUP(AC$10,$C$4:$E$7,3,FALSE)+VLOOKUP(AC$10,$C$4:$F$7,4,FALSE)*_xll.QDates_YearFraction(valDate,AD58,"ACT365F"))/VLOOKUP(AC$10,$C$4:$G$7,5,FALSE)</f>
        <v>48.48</v>
      </c>
    </row>
    <row r="59" spans="2:36" x14ac:dyDescent="0.25">
      <c r="B59" s="8" t="str" cm="1">
        <f t="array" aca="1" ref="B59" ca="1">_xll.QDates_FuturesNextCode(B58)</f>
        <v>COJ5</v>
      </c>
      <c r="C59" s="1" cm="1">
        <f t="array" aca="1" ref="C59" ca="1">_xll.QDates_FuturesExpiryFromCode(B59)</f>
        <v>45716</v>
      </c>
      <c r="D59" cm="1">
        <f t="array" aca="1" ref="D59" ca="1">_xll.BDP(B59&amp;" Comdty","PX_SETTLE")</f>
        <v>52.480000000000004</v>
      </c>
      <c r="E59" t="str" cm="1">
        <f t="array" aca="1" ref="E59" ca="1">_xll.BDP(B59&amp;" Comdty",BidMidASK)</f>
        <v>#N/A N/A</v>
      </c>
      <c r="F59" s="72">
        <f t="shared" ca="1" si="1"/>
        <v>8.9899999999999949</v>
      </c>
      <c r="G59" s="72" t="str">
        <f t="shared" ca="1" si="2"/>
        <v/>
      </c>
      <c r="H59" s="72">
        <f ca="1"/>
        <v>8.6799999999999944</v>
      </c>
      <c r="I59" s="13" cm="1">
        <f t="array" aca="1" ref="I59" ca="1">(E$11-H59+VLOOKUP(B$10,$C$4:$E$7,3,FALSE)+VLOOKUP(B$10,$C$4:$F$7,4,FALSE)*_xll.QDates_YearFraction(valDate,C59,"ACT365F"))/VLOOKUP(B$10,$C$4:$G$7,5,FALSE)</f>
        <v>52.63000000000001</v>
      </c>
      <c r="K59" s="8" t="str" cm="1">
        <f t="array" aca="1" ref="K59" ca="1">_xll.QDates_FuturesNextCode(K58)</f>
        <v>QSH5</v>
      </c>
      <c r="L59" s="1" cm="1">
        <f t="array" aca="1" ref="L59" ca="1">_xll.QDates_FuturesExpiryFromCode(K59)</f>
        <v>45728</v>
      </c>
      <c r="M59" cm="1">
        <f t="array" aca="1" ref="M59" ca="1">_xll.BDP(K59&amp;" Comdty","PX_SETTLE")</f>
        <v>500</v>
      </c>
      <c r="N59" t="str" cm="1">
        <f t="array" aca="1" ref="N59" ca="1">_xll.BDP(K59&amp;" Comdty",BidMidASK)</f>
        <v>#N/A N/A</v>
      </c>
      <c r="O59" s="72">
        <f t="shared" ca="1" si="3"/>
        <v>2.75</v>
      </c>
      <c r="P59" s="72" t="str">
        <f t="shared" ca="1" si="4"/>
        <v/>
      </c>
      <c r="Q59" s="72">
        <f ca="1"/>
        <v>0</v>
      </c>
      <c r="R59" s="13" cm="1">
        <f t="array" aca="1" ref="R59" ca="1">(N$11-Q59+VLOOKUP(K$10,$C$4:$E$7,3,FALSE)+VLOOKUP(K$10,$C$4:$F$7,4,FALSE)*_xll.QDates_YearFraction(valDate,L59,"ACT365F"))/VLOOKUP(K$10,$C$4:$G$7,5,FALSE)</f>
        <v>544.57191780821915</v>
      </c>
      <c r="T59" s="8"/>
      <c r="U59" s="1"/>
      <c r="X59" s="72"/>
      <c r="Y59" s="72" t="str">
        <f t="shared" ca="1" si="5"/>
        <v/>
      </c>
      <c r="Z59" s="72"/>
      <c r="AA59" s="13"/>
      <c r="AC59" s="8" t="str" cm="1">
        <f t="array" aca="1" ref="AC59" ca="1">_xll.QDates_FuturesNextCode(AC58)</f>
        <v>CLH5</v>
      </c>
      <c r="AD59" s="1" cm="1">
        <f t="array" aca="1" ref="AD59" ca="1">_xll.QDates_FuturesExpiryFromCode(AC59)</f>
        <v>45708</v>
      </c>
      <c r="AE59" cm="1">
        <f t="array" aca="1" ref="AE59" ca="1">_xll.BDP(AC59&amp;" Comdty","PX_SETTLE")</f>
        <v>48.09</v>
      </c>
      <c r="AF59" t="str" cm="1">
        <f t="array" aca="1" ref="AF59" ca="1">_xll.BDP(AC59&amp;" Comdty",BidMidASK)</f>
        <v>#N/A N/A</v>
      </c>
      <c r="AG59" s="72">
        <f t="shared" ca="1" si="6"/>
        <v>10.589999999999996</v>
      </c>
      <c r="AH59" s="72" t="str">
        <f t="shared" ca="1" si="7"/>
        <v/>
      </c>
      <c r="AI59" s="72">
        <f ca="1"/>
        <v>9.89</v>
      </c>
      <c r="AJ59" s="13" cm="1">
        <f t="array" aca="1" ref="AJ59" ca="1">(AF$11-AI59+VLOOKUP(AC$10,$C$4:$E$7,3,FALSE)+VLOOKUP(AC$10,$C$4:$F$7,4,FALSE)*_xll.QDates_YearFraction(valDate,AD59,"ACT365F"))/VLOOKUP(AC$10,$C$4:$G$7,5,FALSE)</f>
        <v>48.42</v>
      </c>
    </row>
    <row r="60" spans="2:36" x14ac:dyDescent="0.25">
      <c r="B60" s="8" t="str" cm="1">
        <f t="array" aca="1" ref="B60" ca="1">_xll.QDates_FuturesNextCode(B59)</f>
        <v>COK5</v>
      </c>
      <c r="C60" s="1" cm="1">
        <f t="array" aca="1" ref="C60" ca="1">_xll.QDates_FuturesExpiryFromCode(B60)</f>
        <v>45747</v>
      </c>
      <c r="D60" cm="1">
        <f t="array" aca="1" ref="D60" ca="1">_xll.BDP(B60&amp;" Comdty","PX_SETTLE")</f>
        <v>52.44</v>
      </c>
      <c r="E60" t="str" cm="1">
        <f t="array" aca="1" ref="E60" ca="1">_xll.BDP(B60&amp;" Comdty",BidMidASK)</f>
        <v>#N/A N/A</v>
      </c>
      <c r="F60" s="72">
        <f t="shared" ca="1" si="1"/>
        <v>9.0300000000000011</v>
      </c>
      <c r="G60" s="72" t="str">
        <f t="shared" ca="1" si="2"/>
        <v/>
      </c>
      <c r="H60" s="72">
        <f ca="1"/>
        <v>8.6950000000000021</v>
      </c>
      <c r="I60" s="13" cm="1">
        <f t="array" aca="1" ref="I60" ca="1">(E$11-H60+VLOOKUP(B$10,$C$4:$E$7,3,FALSE)+VLOOKUP(B$10,$C$4:$F$7,4,FALSE)*_xll.QDates_YearFraction(valDate,C60,"ACT365F"))/VLOOKUP(B$10,$C$4:$G$7,5,FALSE)</f>
        <v>52.615000000000002</v>
      </c>
      <c r="K60" s="8" t="str" cm="1">
        <f t="array" aca="1" ref="K60" ca="1">_xll.QDates_FuturesNextCode(K59)</f>
        <v>QSJ5</v>
      </c>
      <c r="L60" s="1" cm="1">
        <f t="array" aca="1" ref="L60" ca="1">_xll.QDates_FuturesExpiryFromCode(K60)</f>
        <v>45757</v>
      </c>
      <c r="M60" cm="1">
        <f t="array" aca="1" ref="M60" ca="1">_xll.BDP(K60&amp;" Comdty","PX_SETTLE")</f>
        <v>501.25</v>
      </c>
      <c r="N60" t="str" cm="1">
        <f t="array" aca="1" ref="N60" ca="1">_xll.BDP(K60&amp;" Comdty",BidMidASK)</f>
        <v>#N/A N/A</v>
      </c>
      <c r="O60" s="72">
        <f t="shared" ca="1" si="3"/>
        <v>1.5</v>
      </c>
      <c r="P60" s="72" t="str">
        <f t="shared" ca="1" si="4"/>
        <v/>
      </c>
      <c r="Q60" s="72">
        <f ca="1"/>
        <v>-1.75</v>
      </c>
      <c r="R60" s="13" cm="1">
        <f t="array" aca="1" ref="R60" ca="1">(N$11-Q60+VLOOKUP(K$10,$C$4:$E$7,3,FALSE)+VLOOKUP(K$10,$C$4:$F$7,4,FALSE)*_xll.QDates_YearFraction(valDate,L60,"ACT365F"))/VLOOKUP(K$10,$C$4:$G$7,5,FALSE)</f>
        <v>547.11643835616439</v>
      </c>
      <c r="T60" s="8"/>
      <c r="U60" s="1"/>
      <c r="X60" s="72"/>
      <c r="Y60" s="72" t="str">
        <f t="shared" ca="1" si="5"/>
        <v/>
      </c>
      <c r="Z60" s="72"/>
      <c r="AA60" s="13"/>
      <c r="AC60" s="8" t="str" cm="1">
        <f t="array" aca="1" ref="AC60" ca="1">_xll.QDates_FuturesNextCode(AC59)</f>
        <v>CLJ5</v>
      </c>
      <c r="AD60" s="1" cm="1">
        <f t="array" aca="1" ref="AD60" ca="1">_xll.QDates_FuturesExpiryFromCode(AC60)</f>
        <v>45736</v>
      </c>
      <c r="AE60" cm="1">
        <f t="array" aca="1" ref="AE60" ca="1">_xll.BDP(AC60&amp;" Comdty","PX_SETTLE")</f>
        <v>48</v>
      </c>
      <c r="AF60" t="str" cm="1">
        <f t="array" aca="1" ref="AF60" ca="1">_xll.BDP(AC60&amp;" Comdty",BidMidASK)</f>
        <v>#N/A N/A</v>
      </c>
      <c r="AG60" s="72">
        <f t="shared" ca="1" si="6"/>
        <v>10.68</v>
      </c>
      <c r="AH60" s="72" t="str">
        <f t="shared" ca="1" si="7"/>
        <v/>
      </c>
      <c r="AI60" s="72">
        <f ca="1"/>
        <v>9.980000000000004</v>
      </c>
      <c r="AJ60" s="13" cm="1">
        <f t="array" aca="1" ref="AJ60" ca="1">(AF$11-AI60+VLOOKUP(AC$10,$C$4:$E$7,3,FALSE)+VLOOKUP(AC$10,$C$4:$F$7,4,FALSE)*_xll.QDates_YearFraction(valDate,AD60,"ACT365F"))/VLOOKUP(AC$10,$C$4:$G$7,5,FALSE)</f>
        <v>48.33</v>
      </c>
    </row>
    <row r="61" spans="2:36" x14ac:dyDescent="0.25">
      <c r="B61" s="8" t="str" cm="1">
        <f t="array" aca="1" ref="B61" ca="1">_xll.QDates_FuturesNextCode(B60)</f>
        <v>COM5</v>
      </c>
      <c r="C61" s="1" cm="1">
        <f t="array" aca="1" ref="C61" ca="1">_xll.QDates_FuturesExpiryFromCode(B61)</f>
        <v>45777</v>
      </c>
      <c r="D61" cm="1">
        <f t="array" aca="1" ref="D61" ca="1">_xll.BDP(B61&amp;" Comdty","PX_SETTLE")</f>
        <v>52.410000000000004</v>
      </c>
      <c r="E61" cm="1">
        <f t="array" aca="1" ref="E61" ca="1">_xll.BDP(B61&amp;" Comdty",BidMidASK)</f>
        <v>52.620000000000005</v>
      </c>
      <c r="F61" s="72">
        <f t="shared" ca="1" si="1"/>
        <v>9.0599999999999952</v>
      </c>
      <c r="G61" s="72">
        <f t="shared" ca="1" si="2"/>
        <v>8.6999999999999957</v>
      </c>
      <c r="H61" s="72">
        <f ca="1"/>
        <v>8.6999999999999957</v>
      </c>
      <c r="I61" s="13" cm="1">
        <f t="array" aca="1" ref="I61" ca="1">(E$11-H61+VLOOKUP(B$10,$C$4:$E$7,3,FALSE)+VLOOKUP(B$10,$C$4:$F$7,4,FALSE)*_xll.QDates_YearFraction(valDate,C61,"ACT365F"))/VLOOKUP(B$10,$C$4:$G$7,5,FALSE)</f>
        <v>52.610000000000007</v>
      </c>
      <c r="K61" s="8" t="str" cm="1">
        <f t="array" aca="1" ref="K61" ca="1">_xll.QDates_FuturesNextCode(K60)</f>
        <v>QSK5</v>
      </c>
      <c r="L61" s="1" cm="1">
        <f t="array" aca="1" ref="L61" ca="1">_xll.QDates_FuturesExpiryFromCode(K61)</f>
        <v>45789</v>
      </c>
      <c r="M61" cm="1">
        <f t="array" aca="1" ref="M61" ca="1">_xll.BDP(K61&amp;" Comdty","PX_SETTLE")</f>
        <v>502.25</v>
      </c>
      <c r="N61" t="str" cm="1">
        <f t="array" aca="1" ref="N61" ca="1">_xll.BDP(K61&amp;" Comdty",BidMidASK)</f>
        <v>#N/A N/A</v>
      </c>
      <c r="O61" s="72">
        <f t="shared" ca="1" si="3"/>
        <v>0.5</v>
      </c>
      <c r="P61" s="72" t="str">
        <f t="shared" ca="1" si="4"/>
        <v/>
      </c>
      <c r="Q61" s="72">
        <f ca="1"/>
        <v>-3.25</v>
      </c>
      <c r="R61" s="13" cm="1">
        <f t="array" aca="1" ref="R61" ca="1">(N$11-Q61+VLOOKUP(K$10,$C$4:$E$7,3,FALSE)+VLOOKUP(K$10,$C$4:$F$7,4,FALSE)*_xll.QDates_YearFraction(valDate,L61,"ACT365F"))/VLOOKUP(K$10,$C$4:$G$7,5,FALSE)</f>
        <v>549.49315068493149</v>
      </c>
      <c r="T61" s="8"/>
      <c r="U61" s="1"/>
      <c r="X61" s="72"/>
      <c r="Y61" s="72" t="str">
        <f t="shared" ca="1" si="5"/>
        <v/>
      </c>
      <c r="Z61" s="72"/>
      <c r="AA61" s="13"/>
      <c r="AC61" s="8" t="str" cm="1">
        <f t="array" aca="1" ref="AC61" ca="1">_xll.QDates_FuturesNextCode(AC60)</f>
        <v>CLK5</v>
      </c>
      <c r="AD61" s="1" cm="1">
        <f t="array" aca="1" ref="AD61" ca="1">_xll.QDates_FuturesExpiryFromCode(AC61)</f>
        <v>45769</v>
      </c>
      <c r="AE61" cm="1">
        <f t="array" aca="1" ref="AE61" ca="1">_xll.BDP(AC61&amp;" Comdty","PX_SETTLE")</f>
        <v>47.99</v>
      </c>
      <c r="AF61" t="str" cm="1">
        <f t="array" aca="1" ref="AF61" ca="1">_xll.BDP(AC61&amp;" Comdty",BidMidASK)</f>
        <v>#N/A N/A</v>
      </c>
      <c r="AG61" s="72">
        <f t="shared" ca="1" si="6"/>
        <v>10.689999999999998</v>
      </c>
      <c r="AH61" s="72" t="str">
        <f t="shared" ca="1" si="7"/>
        <v/>
      </c>
      <c r="AI61" s="72">
        <f ca="1"/>
        <v>9.990000000000002</v>
      </c>
      <c r="AJ61" s="13" cm="1">
        <f t="array" aca="1" ref="AJ61" ca="1">(AF$11-AI61+VLOOKUP(AC$10,$C$4:$E$7,3,FALSE)+VLOOKUP(AC$10,$C$4:$F$7,4,FALSE)*_xll.QDates_YearFraction(valDate,AD61,"ACT365F"))/VLOOKUP(AC$10,$C$4:$G$7,5,FALSE)</f>
        <v>48.32</v>
      </c>
    </row>
    <row r="62" spans="2:36" x14ac:dyDescent="0.25">
      <c r="B62" s="8" t="str" cm="1">
        <f t="array" aca="1" ref="B62" ca="1">_xll.QDates_FuturesNextCode(B61)</f>
        <v>CON5</v>
      </c>
      <c r="C62" s="1" cm="1">
        <f t="array" aca="1" ref="C62" ca="1">_xll.QDates_FuturesExpiryFromCode(B62)</f>
        <v>45807</v>
      </c>
      <c r="D62" cm="1">
        <f t="array" aca="1" ref="D62" ca="1">_xll.BDP(B62&amp;" Comdty","PX_SETTLE")</f>
        <v>52.38</v>
      </c>
      <c r="E62" t="str" cm="1">
        <f t="array" aca="1" ref="E62" ca="1">_xll.BDP(B62&amp;" Comdty",BidMidASK)</f>
        <v>#N/A N/A</v>
      </c>
      <c r="F62" s="72">
        <f t="shared" ca="1" si="1"/>
        <v>9.0899999999999963</v>
      </c>
      <c r="G62" s="72" t="str">
        <f t="shared" ca="1" si="2"/>
        <v/>
      </c>
      <c r="H62" s="72">
        <f ca="1"/>
        <v>8.7383333333333315</v>
      </c>
      <c r="I62" s="13" cm="1">
        <f t="array" aca="1" ref="I62" ca="1">(E$11-H62+VLOOKUP(B$10,$C$4:$E$7,3,FALSE)+VLOOKUP(B$10,$C$4:$F$7,4,FALSE)*_xll.QDates_YearFraction(valDate,C62,"ACT365F"))/VLOOKUP(B$10,$C$4:$G$7,5,FALSE)</f>
        <v>52.571666666666673</v>
      </c>
      <c r="K62" s="8" t="str" cm="1">
        <f t="array" aca="1" ref="K62" ca="1">_xll.QDates_FuturesNextCode(K61)</f>
        <v>QSM5</v>
      </c>
      <c r="L62" s="1" cm="1">
        <f t="array" aca="1" ref="L62" ca="1">_xll.QDates_FuturesExpiryFromCode(K62)</f>
        <v>45820</v>
      </c>
      <c r="M62" cm="1">
        <f t="array" aca="1" ref="M62" ca="1">_xll.BDP(K62&amp;" Comdty","PX_SETTLE")</f>
        <v>503</v>
      </c>
      <c r="N62" cm="1">
        <f t="array" aca="1" ref="N62" ca="1">_xll.BDP(K62&amp;" Comdty",BidMidASK)</f>
        <v>506.25</v>
      </c>
      <c r="O62" s="72">
        <f t="shared" ca="1" si="3"/>
        <v>-0.25</v>
      </c>
      <c r="P62" s="72">
        <f t="shared" ca="1" si="4"/>
        <v>-4.5</v>
      </c>
      <c r="Q62" s="72">
        <f ca="1"/>
        <v>-4.5</v>
      </c>
      <c r="R62" s="13" cm="1">
        <f t="array" aca="1" ref="R62" ca="1">(N$11-Q62+VLOOKUP(K$10,$C$4:$E$7,3,FALSE)+VLOOKUP(K$10,$C$4:$F$7,4,FALSE)*_xll.QDates_YearFraction(valDate,L62,"ACT365F"))/VLOOKUP(K$10,$C$4:$G$7,5,FALSE)</f>
        <v>551.59246575342468</v>
      </c>
      <c r="T62" s="8"/>
      <c r="U62" s="1"/>
      <c r="X62" s="72"/>
      <c r="Y62" s="72" t="str">
        <f t="shared" ca="1" si="5"/>
        <v/>
      </c>
      <c r="Z62" s="72"/>
      <c r="AA62" s="13"/>
      <c r="AC62" s="8" t="str" cm="1">
        <f t="array" aca="1" ref="AC62" ca="1">_xll.QDates_FuturesNextCode(AC61)</f>
        <v>CLM5</v>
      </c>
      <c r="AD62" s="1" cm="1">
        <f t="array" aca="1" ref="AD62" ca="1">_xll.QDates_FuturesExpiryFromCode(AC62)</f>
        <v>45797</v>
      </c>
      <c r="AE62" cm="1">
        <f t="array" aca="1" ref="AE62" ca="1">_xll.BDP(AC62&amp;" Comdty","PX_SETTLE")</f>
        <v>47.92</v>
      </c>
      <c r="AF62" t="str" cm="1">
        <f t="array" aca="1" ref="AF62" ca="1">_xll.BDP(AC62&amp;" Comdty",BidMidASK)</f>
        <v>#N/A N/A</v>
      </c>
      <c r="AG62" s="72">
        <f t="shared" ca="1" si="6"/>
        <v>10.759999999999998</v>
      </c>
      <c r="AH62" s="72" t="str">
        <f t="shared" ca="1" si="7"/>
        <v/>
      </c>
      <c r="AI62" s="72">
        <f ca="1"/>
        <v>10.060000000000002</v>
      </c>
      <c r="AJ62" s="13" cm="1">
        <f t="array" aca="1" ref="AJ62" ca="1">(AF$11-AI62+VLOOKUP(AC$10,$C$4:$E$7,3,FALSE)+VLOOKUP(AC$10,$C$4:$F$7,4,FALSE)*_xll.QDates_YearFraction(valDate,AD62,"ACT365F"))/VLOOKUP(AC$10,$C$4:$G$7,5,FALSE)</f>
        <v>48.25</v>
      </c>
    </row>
    <row r="63" spans="2:36" x14ac:dyDescent="0.25">
      <c r="B63" s="8" t="str" cm="1">
        <f t="array" aca="1" ref="B63" ca="1">_xll.QDates_FuturesNextCode(B62)</f>
        <v>COQ5</v>
      </c>
      <c r="C63" s="1" cm="1">
        <f t="array" aca="1" ref="C63" ca="1">_xll.QDates_FuturesExpiryFromCode(B63)</f>
        <v>45838</v>
      </c>
      <c r="D63" cm="1">
        <f t="array" aca="1" ref="D63" ca="1">_xll.BDP(B63&amp;" Comdty","PX_SETTLE")</f>
        <v>52.35</v>
      </c>
      <c r="E63" t="str" cm="1">
        <f t="array" aca="1" ref="E63" ca="1">_xll.BDP(B63&amp;" Comdty",BidMidASK)</f>
        <v>#N/A N/A</v>
      </c>
      <c r="F63" s="72">
        <f t="shared" ca="1" si="1"/>
        <v>9.1199999999999974</v>
      </c>
      <c r="G63" s="72" t="str">
        <f t="shared" ca="1" si="2"/>
        <v/>
      </c>
      <c r="H63" s="72">
        <f ca="1"/>
        <v>8.7766666666666655</v>
      </c>
      <c r="I63" s="13" cm="1">
        <f t="array" aca="1" ref="I63" ca="1">(E$11-H63+VLOOKUP(B$10,$C$4:$E$7,3,FALSE)+VLOOKUP(B$10,$C$4:$F$7,4,FALSE)*_xll.QDates_YearFraction(valDate,C63,"ACT365F"))/VLOOKUP(B$10,$C$4:$G$7,5,FALSE)</f>
        <v>52.533333333333339</v>
      </c>
      <c r="K63" s="8" t="str" cm="1">
        <f t="array" aca="1" ref="K63" ca="1">_xll.QDates_FuturesNextCode(K62)</f>
        <v>QSN5</v>
      </c>
      <c r="L63" s="1" cm="1">
        <f t="array" aca="1" ref="L63" ca="1">_xll.QDates_FuturesExpiryFromCode(K63)</f>
        <v>45848</v>
      </c>
      <c r="M63" cm="1">
        <f t="array" aca="1" ref="M63" ca="1">_xll.BDP(K63&amp;" Comdty","PX_SETTLE")</f>
        <v>503.75</v>
      </c>
      <c r="N63" t="str" cm="1">
        <f t="array" aca="1" ref="N63" ca="1">_xll.BDP(K63&amp;" Comdty",BidMidASK)</f>
        <v>#N/A N/A</v>
      </c>
      <c r="O63" s="72">
        <f t="shared" ca="1" si="3"/>
        <v>-1</v>
      </c>
      <c r="P63" s="72" t="str">
        <f t="shared" ca="1" si="4"/>
        <v/>
      </c>
      <c r="Q63" s="72">
        <f ca="1"/>
        <v>-5.25</v>
      </c>
      <c r="R63" s="13" cm="1">
        <f t="array" aca="1" ref="R63" ca="1">(N$11-Q63+VLOOKUP(K$10,$C$4:$E$7,3,FALSE)+VLOOKUP(K$10,$C$4:$F$7,4,FALSE)*_xll.QDates_YearFraction(valDate,L63,"ACT365F"))/VLOOKUP(K$10,$C$4:$G$7,5,FALSE)</f>
        <v>553.10958904109589</v>
      </c>
      <c r="T63" s="8"/>
      <c r="U63" s="1"/>
      <c r="X63" s="72"/>
      <c r="Y63" s="72" t="str">
        <f t="shared" ca="1" si="5"/>
        <v/>
      </c>
      <c r="Z63" s="72"/>
      <c r="AA63" s="13"/>
      <c r="AC63" s="8" t="str" cm="1">
        <f t="array" aca="1" ref="AC63" ca="1">_xll.QDates_FuturesNextCode(AC62)</f>
        <v>CLN5</v>
      </c>
      <c r="AD63" s="1" cm="1">
        <f t="array" aca="1" ref="AD63" ca="1">_xll.QDates_FuturesExpiryFromCode(AC63)</f>
        <v>45828</v>
      </c>
      <c r="AE63" cm="1">
        <f t="array" aca="1" ref="AE63" ca="1">_xll.BDP(AC63&amp;" Comdty","PX_SETTLE")</f>
        <v>47.870000000000005</v>
      </c>
      <c r="AF63" t="str" cm="1">
        <f t="array" aca="1" ref="AF63" ca="1">_xll.BDP(AC63&amp;" Comdty",BidMidASK)</f>
        <v>#N/A N/A</v>
      </c>
      <c r="AG63" s="72">
        <f t="shared" ca="1" si="6"/>
        <v>10.809999999999995</v>
      </c>
      <c r="AH63" s="72" t="str">
        <f t="shared" ca="1" si="7"/>
        <v/>
      </c>
      <c r="AI63" s="72">
        <f ca="1"/>
        <v>10.11</v>
      </c>
      <c r="AJ63" s="13" cm="1">
        <f t="array" aca="1" ref="AJ63" ca="1">(AF$11-AI63+VLOOKUP(AC$10,$C$4:$E$7,3,FALSE)+VLOOKUP(AC$10,$C$4:$F$7,4,FALSE)*_xll.QDates_YearFraction(valDate,AD63,"ACT365F"))/VLOOKUP(AC$10,$C$4:$G$7,5,FALSE)</f>
        <v>48.2</v>
      </c>
    </row>
    <row r="64" spans="2:36" x14ac:dyDescent="0.25">
      <c r="B64" s="8" t="str" cm="1">
        <f t="array" aca="1" ref="B64" ca="1">_xll.QDates_FuturesNextCode(B63)</f>
        <v>COU5</v>
      </c>
      <c r="C64" s="1" cm="1">
        <f t="array" aca="1" ref="C64" ca="1">_xll.QDates_FuturesExpiryFromCode(B64)</f>
        <v>45869</v>
      </c>
      <c r="D64" cm="1">
        <f t="array" aca="1" ref="D64" ca="1">_xll.BDP(B64&amp;" Comdty","PX_SETTLE")</f>
        <v>52.32</v>
      </c>
      <c r="E64" t="str" cm="1">
        <f t="array" aca="1" ref="E64" ca="1">_xll.BDP(B64&amp;" Comdty",BidMidASK)</f>
        <v>#N/A N/A</v>
      </c>
      <c r="F64" s="72">
        <f t="shared" ca="1" si="1"/>
        <v>9.1499999999999986</v>
      </c>
      <c r="G64" s="72" t="str">
        <f t="shared" ca="1" si="2"/>
        <v/>
      </c>
      <c r="H64" s="72">
        <f ca="1"/>
        <v>8.8150000000000013</v>
      </c>
      <c r="I64" s="13" cm="1">
        <f t="array" aca="1" ref="I64" ca="1">(E$11-H64+VLOOKUP(B$10,$C$4:$E$7,3,FALSE)+VLOOKUP(B$10,$C$4:$F$7,4,FALSE)*_xll.QDates_YearFraction(valDate,C64,"ACT365F"))/VLOOKUP(B$10,$C$4:$G$7,5,FALSE)</f>
        <v>52.494999999999997</v>
      </c>
      <c r="K64" s="8" t="str" cm="1">
        <f t="array" aca="1" ref="K64" ca="1">_xll.QDates_FuturesNextCode(K63)</f>
        <v>QSQ5</v>
      </c>
      <c r="L64" s="1" cm="1">
        <f t="array" aca="1" ref="L64" ca="1">_xll.QDates_FuturesExpiryFromCode(K64)</f>
        <v>45881</v>
      </c>
      <c r="M64" cm="1">
        <f t="array" aca="1" ref="M64" ca="1">_xll.BDP(K64&amp;" Comdty","PX_SETTLE")</f>
        <v>504.5</v>
      </c>
      <c r="N64" t="str" cm="1">
        <f t="array" aca="1" ref="N64" ca="1">_xll.BDP(K64&amp;" Comdty",BidMidASK)</f>
        <v>#N/A N/A</v>
      </c>
      <c r="O64" s="72">
        <f t="shared" ca="1" si="3"/>
        <v>-1.75</v>
      </c>
      <c r="P64" s="72" t="str">
        <f t="shared" ca="1" si="4"/>
        <v/>
      </c>
      <c r="Q64" s="72">
        <f ca="1"/>
        <v>-6</v>
      </c>
      <c r="R64" s="13" cm="1">
        <f t="array" aca="1" ref="R64" ca="1">(N$11-Q64+VLOOKUP(K$10,$C$4:$E$7,3,FALSE)+VLOOKUP(K$10,$C$4:$F$7,4,FALSE)*_xll.QDates_YearFraction(valDate,L64,"ACT365F"))/VLOOKUP(K$10,$C$4:$G$7,5,FALSE)</f>
        <v>554.76369863013701</v>
      </c>
      <c r="T64" s="8"/>
      <c r="U64" s="1"/>
      <c r="X64" s="72"/>
      <c r="Y64" s="72" t="str">
        <f t="shared" ca="1" si="5"/>
        <v/>
      </c>
      <c r="Z64" s="72"/>
      <c r="AA64" s="13"/>
      <c r="AC64" s="8" t="str" cm="1">
        <f t="array" aca="1" ref="AC64" ca="1">_xll.QDates_FuturesNextCode(AC63)</f>
        <v>CLQ5</v>
      </c>
      <c r="AD64" s="1" cm="1">
        <f t="array" aca="1" ref="AD64" ca="1">_xll.QDates_FuturesExpiryFromCode(AC64)</f>
        <v>45860</v>
      </c>
      <c r="AE64" cm="1">
        <f t="array" aca="1" ref="AE64" ca="1">_xll.BDP(AC64&amp;" Comdty","PX_SETTLE")</f>
        <v>47.85</v>
      </c>
      <c r="AF64" t="str" cm="1">
        <f t="array" aca="1" ref="AF64" ca="1">_xll.BDP(AC64&amp;" Comdty",BidMidASK)</f>
        <v>#N/A N/A</v>
      </c>
      <c r="AG64" s="72">
        <f t="shared" ca="1" si="6"/>
        <v>10.829999999999998</v>
      </c>
      <c r="AH64" s="72" t="str">
        <f t="shared" ca="1" si="7"/>
        <v/>
      </c>
      <c r="AI64" s="72">
        <f ca="1"/>
        <v>10.130000000000003</v>
      </c>
      <c r="AJ64" s="13" cm="1">
        <f t="array" aca="1" ref="AJ64" ca="1">(AF$11-AI64+VLOOKUP(AC$10,$C$4:$E$7,3,FALSE)+VLOOKUP(AC$10,$C$4:$F$7,4,FALSE)*_xll.QDates_YearFraction(valDate,AD64,"ACT365F"))/VLOOKUP(AC$10,$C$4:$G$7,5,FALSE)</f>
        <v>48.18</v>
      </c>
    </row>
    <row r="65" spans="1:36" x14ac:dyDescent="0.25">
      <c r="B65" s="8" t="str" cm="1">
        <f t="array" aca="1" ref="B65" ca="1">_xll.QDates_FuturesNextCode(B64)</f>
        <v>COV5</v>
      </c>
      <c r="C65" s="1" cm="1">
        <f t="array" aca="1" ref="C65" ca="1">_xll.QDates_FuturesExpiryFromCode(B65)</f>
        <v>45898</v>
      </c>
      <c r="D65" cm="1">
        <f t="array" aca="1" ref="D65" ca="1">_xll.BDP(B65&amp;" Comdty","PX_SETTLE")</f>
        <v>52.29</v>
      </c>
      <c r="E65" t="str" cm="1">
        <f t="array" aca="1" ref="E65" ca="1">_xll.BDP(B65&amp;" Comdty",BidMidASK)</f>
        <v>#N/A N/A</v>
      </c>
      <c r="F65" s="72">
        <f t="shared" ca="1" si="1"/>
        <v>9.18</v>
      </c>
      <c r="G65" s="72" t="str">
        <f t="shared" ca="1" si="2"/>
        <v/>
      </c>
      <c r="H65" s="72">
        <f ca="1"/>
        <v>8.8533333333333371</v>
      </c>
      <c r="I65" s="13" cm="1">
        <f t="array" aca="1" ref="I65" ca="1">(E$11-H65+VLOOKUP(B$10,$C$4:$E$7,3,FALSE)+VLOOKUP(B$10,$C$4:$F$7,4,FALSE)*_xll.QDates_YearFraction(valDate,C65,"ACT365F"))/VLOOKUP(B$10,$C$4:$G$7,5,FALSE)</f>
        <v>52.456666666666663</v>
      </c>
      <c r="K65" s="8" t="str" cm="1">
        <f t="array" aca="1" ref="K65" ca="1">_xll.QDates_FuturesNextCode(K64)</f>
        <v>QSU5</v>
      </c>
      <c r="L65" s="1" cm="1">
        <f t="array" aca="1" ref="L65" ca="1">_xll.QDates_FuturesExpiryFromCode(K65)</f>
        <v>45911</v>
      </c>
      <c r="M65" cm="1">
        <f t="array" aca="1" ref="M65" ca="1">_xll.BDP(K65&amp;" Comdty","PX_SETTLE")</f>
        <v>505.25</v>
      </c>
      <c r="N65" t="str" cm="1">
        <f t="array" aca="1" ref="N65" ca="1">_xll.BDP(K65&amp;" Comdty",BidMidASK)</f>
        <v>#N/A N/A</v>
      </c>
      <c r="O65" s="72">
        <f t="shared" ca="1" si="3"/>
        <v>-2.5</v>
      </c>
      <c r="P65" s="72" t="str">
        <f t="shared" ca="1" si="4"/>
        <v/>
      </c>
      <c r="Q65" s="72">
        <f ca="1"/>
        <v>-6.75</v>
      </c>
      <c r="R65" s="13" cm="1">
        <f t="array" aca="1" ref="R65" ca="1">(N$11-Q65+VLOOKUP(K$10,$C$4:$E$7,3,FALSE)+VLOOKUP(K$10,$C$4:$F$7,4,FALSE)*_xll.QDates_YearFraction(valDate,L65,"ACT365F"))/VLOOKUP(K$10,$C$4:$G$7,5,FALSE)</f>
        <v>556.33561643835617</v>
      </c>
      <c r="T65" s="8"/>
      <c r="U65" s="1"/>
      <c r="X65" s="72"/>
      <c r="Y65" s="72" t="str">
        <f t="shared" ca="1" si="5"/>
        <v/>
      </c>
      <c r="Z65" s="72"/>
      <c r="AA65" s="13"/>
      <c r="AC65" s="8" t="str" cm="1">
        <f t="array" aca="1" ref="AC65" ca="1">_xll.QDates_FuturesNextCode(AC64)</f>
        <v>CLU5</v>
      </c>
      <c r="AD65" s="1" cm="1">
        <f t="array" aca="1" ref="AD65" ca="1">_xll.QDates_FuturesExpiryFromCode(AC65)</f>
        <v>45889</v>
      </c>
      <c r="AE65" cm="1">
        <f t="array" aca="1" ref="AE65" ca="1">_xll.BDP(AC65&amp;" Comdty","PX_SETTLE")</f>
        <v>47.84</v>
      </c>
      <c r="AF65" t="str" cm="1">
        <f t="array" aca="1" ref="AF65" ca="1">_xll.BDP(AC65&amp;" Comdty",BidMidASK)</f>
        <v>#N/A N/A</v>
      </c>
      <c r="AG65" s="72">
        <f t="shared" ca="1" si="6"/>
        <v>10.839999999999996</v>
      </c>
      <c r="AH65" s="72" t="str">
        <f t="shared" ca="1" si="7"/>
        <v/>
      </c>
      <c r="AI65" s="72">
        <f ca="1"/>
        <v>10.14</v>
      </c>
      <c r="AJ65" s="13" cm="1">
        <f t="array" aca="1" ref="AJ65" ca="1">(AF$11-AI65+VLOOKUP(AC$10,$C$4:$E$7,3,FALSE)+VLOOKUP(AC$10,$C$4:$F$7,4,FALSE)*_xll.QDates_YearFraction(valDate,AD65,"ACT365F"))/VLOOKUP(AC$10,$C$4:$G$7,5,FALSE)</f>
        <v>48.17</v>
      </c>
    </row>
    <row r="66" spans="1:36" x14ac:dyDescent="0.25">
      <c r="B66" s="8" t="str" cm="1">
        <f t="array" aca="1" ref="B66" ca="1">_xll.QDates_FuturesNextCode(B65)</f>
        <v>COX5</v>
      </c>
      <c r="C66" s="1" cm="1">
        <f t="array" aca="1" ref="C66" ca="1">_xll.QDates_FuturesExpiryFromCode(B66)</f>
        <v>45930</v>
      </c>
      <c r="D66" cm="1">
        <f t="array" aca="1" ref="D66" ca="1">_xll.BDP(B66&amp;" Comdty","PX_SETTLE")</f>
        <v>52.26</v>
      </c>
      <c r="E66" t="str" cm="1">
        <f t="array" aca="1" ref="E66" ca="1">_xll.BDP(B66&amp;" Comdty",BidMidASK)</f>
        <v>#N/A N/A</v>
      </c>
      <c r="F66" s="72">
        <f t="shared" ca="1" si="1"/>
        <v>9.2100000000000009</v>
      </c>
      <c r="G66" s="72" t="str">
        <f t="shared" ca="1" si="2"/>
        <v/>
      </c>
      <c r="H66" s="72">
        <f ca="1"/>
        <v>8.891666666666671</v>
      </c>
      <c r="I66" s="13" cm="1">
        <f t="array" aca="1" ref="I66" ca="1">(E$11-H66+VLOOKUP(B$10,$C$4:$E$7,3,FALSE)+VLOOKUP(B$10,$C$4:$F$7,4,FALSE)*_xll.QDates_YearFraction(valDate,C66,"ACT365F"))/VLOOKUP(B$10,$C$4:$G$7,5,FALSE)</f>
        <v>52.418333333333329</v>
      </c>
      <c r="K66" s="8" t="str" cm="1">
        <f t="array" aca="1" ref="K66" ca="1">_xll.QDates_FuturesNextCode(K65)</f>
        <v>QSV5</v>
      </c>
      <c r="L66" s="1" cm="1">
        <f t="array" aca="1" ref="L66" ca="1">_xll.QDates_FuturesExpiryFromCode(K66)</f>
        <v>45940</v>
      </c>
      <c r="M66" cm="1">
        <f t="array" aca="1" ref="M66" ca="1">_xll.BDP(K66&amp;" Comdty","PX_SETTLE")</f>
        <v>506</v>
      </c>
      <c r="N66" t="str" cm="1">
        <f t="array" aca="1" ref="N66" ca="1">_xll.BDP(K66&amp;" Comdty",BidMidASK)</f>
        <v>#N/A N/A</v>
      </c>
      <c r="O66" s="72">
        <f t="shared" ca="1" si="3"/>
        <v>-3.25</v>
      </c>
      <c r="P66" s="72" t="str">
        <f t="shared" ca="1" si="4"/>
        <v/>
      </c>
      <c r="Q66" s="72">
        <f ca="1"/>
        <v>-7.5</v>
      </c>
      <c r="R66" s="13" cm="1">
        <f t="array" aca="1" ref="R66" ca="1">(N$11-Q66+VLOOKUP(K$10,$C$4:$E$7,3,FALSE)+VLOOKUP(K$10,$C$4:$F$7,4,FALSE)*_xll.QDates_YearFraction(valDate,L66,"ACT365F"))/VLOOKUP(K$10,$C$4:$G$7,5,FALSE)</f>
        <v>557.88013698630141</v>
      </c>
      <c r="T66" s="8"/>
      <c r="U66" s="1"/>
      <c r="X66" s="72"/>
      <c r="Y66" s="72" t="str">
        <f t="shared" ca="1" si="5"/>
        <v/>
      </c>
      <c r="Z66" s="72"/>
      <c r="AA66" s="13"/>
      <c r="AC66" s="8" t="str" cm="1">
        <f t="array" aca="1" ref="AC66" ca="1">_xll.QDates_FuturesNextCode(AC65)</f>
        <v>CLV5</v>
      </c>
      <c r="AD66" s="1" cm="1">
        <f t="array" aca="1" ref="AD66" ca="1">_xll.QDates_FuturesExpiryFromCode(AC66)</f>
        <v>45922</v>
      </c>
      <c r="AE66" cm="1">
        <f t="array" aca="1" ref="AE66" ca="1">_xll.BDP(AC66&amp;" Comdty","PX_SETTLE")</f>
        <v>47.800000000000004</v>
      </c>
      <c r="AF66" t="str" cm="1">
        <f t="array" aca="1" ref="AF66" ca="1">_xll.BDP(AC66&amp;" Comdty",BidMidASK)</f>
        <v>#N/A N/A</v>
      </c>
      <c r="AG66" s="72">
        <f t="shared" ca="1" si="6"/>
        <v>10.879999999999995</v>
      </c>
      <c r="AH66" s="72" t="str">
        <f t="shared" ca="1" si="7"/>
        <v/>
      </c>
      <c r="AI66" s="72">
        <f ca="1"/>
        <v>10.18</v>
      </c>
      <c r="AJ66" s="13" cm="1">
        <f t="array" aca="1" ref="AJ66" ca="1">(AF$11-AI66+VLOOKUP(AC$10,$C$4:$E$7,3,FALSE)+VLOOKUP(AC$10,$C$4:$F$7,4,FALSE)*_xll.QDates_YearFraction(valDate,AD66,"ACT365F"))/VLOOKUP(AC$10,$C$4:$G$7,5,FALSE)</f>
        <v>48.13</v>
      </c>
    </row>
    <row r="67" spans="1:36" x14ac:dyDescent="0.25">
      <c r="B67" s="8" t="str" cm="1">
        <f t="array" aca="1" ref="B67" ca="1">_xll.QDates_FuturesNextCode(B66)</f>
        <v>COZ5</v>
      </c>
      <c r="C67" s="1" cm="1">
        <f t="array" aca="1" ref="C67" ca="1">_xll.QDates_FuturesExpiryFromCode(B67)</f>
        <v>45961</v>
      </c>
      <c r="D67" cm="1">
        <f t="array" aca="1" ref="D67" ca="1">_xll.BDP(B67&amp;" Comdty","PX_SETTLE")</f>
        <v>52.230000000000004</v>
      </c>
      <c r="E67" cm="1">
        <f t="array" aca="1" ref="E67" ca="1">_xll.BDP(B67&amp;" Comdty",BidMidASK)</f>
        <v>52.39</v>
      </c>
      <c r="F67" s="72">
        <f t="shared" ca="1" si="1"/>
        <v>9.2399999999999949</v>
      </c>
      <c r="G67" s="72">
        <f t="shared" ca="1" si="2"/>
        <v>8.93</v>
      </c>
      <c r="H67" s="72">
        <f ca="1"/>
        <v>8.93</v>
      </c>
      <c r="I67" s="13" cm="1">
        <f t="array" aca="1" ref="I67" ca="1">(E$11-H67+VLOOKUP(B$10,$C$4:$E$7,3,FALSE)+VLOOKUP(B$10,$C$4:$F$7,4,FALSE)*_xll.QDates_YearFraction(valDate,C67,"ACT365F"))/VLOOKUP(B$10,$C$4:$G$7,5,FALSE)</f>
        <v>52.38</v>
      </c>
      <c r="K67" s="8" t="str" cm="1">
        <f t="array" aca="1" ref="K67" ca="1">_xll.QDates_FuturesNextCode(K66)</f>
        <v>QSX5</v>
      </c>
      <c r="L67" s="1" cm="1">
        <f t="array" aca="1" ref="L67" ca="1">_xll.QDates_FuturesExpiryFromCode(K67)</f>
        <v>45973</v>
      </c>
      <c r="M67" cm="1">
        <f t="array" aca="1" ref="M67" ca="1">_xll.BDP(K67&amp;" Comdty","PX_SETTLE")</f>
        <v>507</v>
      </c>
      <c r="N67" t="str" cm="1">
        <f t="array" aca="1" ref="N67" ca="1">_xll.BDP(K67&amp;" Comdty",BidMidASK)</f>
        <v>#N/A N/A</v>
      </c>
      <c r="O67" s="72">
        <f t="shared" ca="1" si="3"/>
        <v>-4.25</v>
      </c>
      <c r="P67" s="72" t="str">
        <f t="shared" ca="1" si="4"/>
        <v/>
      </c>
      <c r="Q67" s="72">
        <f ca="1"/>
        <v>-8.5</v>
      </c>
      <c r="R67" s="13" cm="1">
        <f t="array" aca="1" ref="R67" ca="1">(N$11-Q67+VLOOKUP(K$10,$C$4:$E$7,3,FALSE)+VLOOKUP(K$10,$C$4:$F$7,4,FALSE)*_xll.QDates_YearFraction(valDate,L67,"ACT365F"))/VLOOKUP(K$10,$C$4:$G$7,5,FALSE)</f>
        <v>559.78424657534242</v>
      </c>
      <c r="T67" s="8"/>
      <c r="U67" s="1"/>
      <c r="X67" s="72"/>
      <c r="Y67" s="72" t="str">
        <f t="shared" ca="1" si="5"/>
        <v/>
      </c>
      <c r="Z67" s="72"/>
      <c r="AA67" s="13"/>
      <c r="AC67" s="8" t="str" cm="1">
        <f t="array" aca="1" ref="AC67" ca="1">_xll.QDates_FuturesNextCode(AC66)</f>
        <v>CLX5</v>
      </c>
      <c r="AD67" s="1" cm="1">
        <f t="array" aca="1" ref="AD67" ca="1">_xll.QDates_FuturesExpiryFromCode(AC67)</f>
        <v>45951</v>
      </c>
      <c r="AE67" cm="1">
        <f t="array" aca="1" ref="AE67" ca="1">_xll.BDP(AC67&amp;" Comdty","PX_SETTLE")</f>
        <v>47.79</v>
      </c>
      <c r="AF67" t="str" cm="1">
        <f t="array" aca="1" ref="AF67" ca="1">_xll.BDP(AC67&amp;" Comdty",BidMidASK)</f>
        <v>#N/A N/A</v>
      </c>
      <c r="AG67" s="72">
        <f t="shared" ca="1" si="6"/>
        <v>10.89</v>
      </c>
      <c r="AH67" s="72" t="str">
        <f t="shared" ca="1" si="7"/>
        <v/>
      </c>
      <c r="AI67" s="72">
        <f ca="1"/>
        <v>10.190000000000005</v>
      </c>
      <c r="AJ67" s="13" cm="1">
        <f t="array" aca="1" ref="AJ67" ca="1">(AF$11-AI67+VLOOKUP(AC$10,$C$4:$E$7,3,FALSE)+VLOOKUP(AC$10,$C$4:$F$7,4,FALSE)*_xll.QDates_YearFraction(valDate,AD67,"ACT365F"))/VLOOKUP(AC$10,$C$4:$G$7,5,FALSE)</f>
        <v>48.12</v>
      </c>
    </row>
    <row r="69" spans="1:36" x14ac:dyDescent="0.25">
      <c r="A69" s="3" t="s">
        <v>142</v>
      </c>
    </row>
    <row r="70" spans="1:36" x14ac:dyDescent="0.25">
      <c r="B70" s="20" t="s">
        <v>143</v>
      </c>
      <c r="G70" t="str" cm="1">
        <f t="array" aca="1" ref="G70" ca="1">_xll.QCurves_CreatePriceCurveFromBasisSwaps("fwd_"&amp;B70,B70,$I$10,valDate,E72:E100,G72:G100,"USD.LIBOR.3M","NYMEX")</f>
        <v>fwd_Dated¬5</v>
      </c>
      <c r="J70" s="20" t="s">
        <v>149</v>
      </c>
      <c r="O70" t="str" cm="1">
        <f t="array" aca="1" ref="O70" ca="1">_xll.QCurves_CreatePriceCurveFromBasisSwaps("fwd_"&amp;J70,J70,$I$10,valDate,M72:M100,O72:O100,"USD.LIBOR.3M","NYMEX")</f>
        <v>fwd_3.5Fuel¬5</v>
      </c>
      <c r="R70" s="20" t="s">
        <v>153</v>
      </c>
      <c r="W70" t="str" cm="1">
        <f t="array" aca="1" ref="W70" ca="1">_xll.QCurves_CreatePriceCurveFromBasisSwaps("fwd_"&amp;R70,R70,$O$70,valDate,U72:U100,W72:W100,"USD.LIBOR.3M","NYMEX")</f>
        <v>fwd_Sing180¬5</v>
      </c>
    </row>
    <row r="71" spans="1:36" x14ac:dyDescent="0.25">
      <c r="B71" s="24" t="s">
        <v>144</v>
      </c>
      <c r="C71" s="24" t="s">
        <v>148</v>
      </c>
      <c r="D71" s="24" t="s">
        <v>145</v>
      </c>
      <c r="E71" s="24" t="s">
        <v>146</v>
      </c>
      <c r="F71" s="24" t="s">
        <v>147</v>
      </c>
      <c r="G71" s="24" t="s">
        <v>152</v>
      </c>
      <c r="H71" s="24" t="s">
        <v>151</v>
      </c>
      <c r="J71" s="24" t="s">
        <v>144</v>
      </c>
      <c r="K71" s="24" t="s">
        <v>148</v>
      </c>
      <c r="L71" s="24" t="s">
        <v>145</v>
      </c>
      <c r="M71" s="24" t="s">
        <v>146</v>
      </c>
      <c r="N71" s="24" t="s">
        <v>147</v>
      </c>
      <c r="O71" s="24" t="s">
        <v>152</v>
      </c>
      <c r="P71" s="24" t="s">
        <v>151</v>
      </c>
      <c r="R71" s="24" t="s">
        <v>144</v>
      </c>
      <c r="S71" s="24" t="s">
        <v>148</v>
      </c>
      <c r="T71" s="24" t="s">
        <v>145</v>
      </c>
      <c r="U71" s="24" t="s">
        <v>146</v>
      </c>
      <c r="V71" s="24" t="s">
        <v>147</v>
      </c>
      <c r="W71" s="24" t="s">
        <v>152</v>
      </c>
      <c r="X71" s="24" t="s">
        <v>151</v>
      </c>
    </row>
    <row r="72" spans="1:36" x14ac:dyDescent="0.25">
      <c r="B72" s="75">
        <f ca="1">DATE(YEAR(valDate),MONTH(valDate),1)</f>
        <v>44228</v>
      </c>
      <c r="C72" t="str" cm="1">
        <f t="array" aca="1" ref="C72" ca="1">"FDBSM "&amp;_xll.QDates_GetMonthCodeAndYear(B72,2)</f>
        <v>FDBSM G21</v>
      </c>
      <c r="D72" s="1">
        <f ca="1">valDate</f>
        <v>44238</v>
      </c>
      <c r="E72" s="1" cm="1">
        <f t="array" aca="1" ref="E72" ca="1">_xll.QDates_LastDay(B72)</f>
        <v>44255</v>
      </c>
      <c r="F72" cm="1">
        <f t="array" aca="1" ref="F72" ca="1">_xll.BDP(C72&amp;" Index","PX_LAST")</f>
        <v>-0.37</v>
      </c>
      <c r="G72" t="str" cm="1">
        <f t="array" aca="1" ref="G72" ca="1">_xll.QIns_CreateAsianCrackDiffSwap(C72,D72:E72,"CO","Dated","USD",F72,1,1,"ICE","LON","NYC","2b","0b","0b","USD.LIBOR.3M")</f>
        <v>FDBSM G21¬6</v>
      </c>
      <c r="H72" s="14" cm="1">
        <f t="array" aca="1" ref="H72" ca="1">_xll.QCurves_GetAveragePrice(G$70,_xll.QDates_ListBusinessDaysInPeriod(D72,E72,"ICE"))</f>
        <v>60.907500000002194</v>
      </c>
      <c r="J72" s="75">
        <f ca="1">B72</f>
        <v>44228</v>
      </c>
      <c r="K72" t="str" cm="1">
        <f t="array" aca="1" ref="K72" ca="1">"FROSM "&amp;_xll.QDates_GetMonthCodeAndYear(J72,2)</f>
        <v>FROSM G21</v>
      </c>
      <c r="L72" s="1">
        <f ca="1">valDate</f>
        <v>44238</v>
      </c>
      <c r="M72" s="1" cm="1">
        <f t="array" aca="1" ref="M72" ca="1">_xll.QDates_LastDay(J72)</f>
        <v>44255</v>
      </c>
      <c r="N72" cm="1">
        <f t="array" aca="1" ref="N72" ca="1">_xll.BDP(K72&amp;" Index","PX_LAST")</f>
        <v>-7.52</v>
      </c>
      <c r="O72" t="str" cm="1">
        <f t="array" aca="1" ref="O72" ca="1">_xll.QIns_CreateAsianCrackDiffSwap(K72,L72:M72,"CO",J$70,"USD",N72,6350,1000,"ICE","LON","NYC","2b","0b","0b","USD.LIBOR.3M")</f>
        <v>FROSM G21¬6</v>
      </c>
      <c r="P72" s="14" cm="1">
        <f t="array" aca="1" ref="P72" ca="1">_xll.QCurves_GetAveragePrice(O$70,_xll.QDates_ListBusinessDaysInPeriod(L72,M72,"ICE"))</f>
        <v>341.36012499999998</v>
      </c>
      <c r="R72" s="75">
        <f ca="1">B72</f>
        <v>44228</v>
      </c>
      <c r="S72" t="str" cm="1">
        <f t="array" aca="1" ref="S72" ca="1">"FS1SM "&amp;_xll.QDates_GetMonthCodeAndYear(R72,2)</f>
        <v>FS1SM G21</v>
      </c>
      <c r="T72" s="1">
        <f ca="1">valDate</f>
        <v>44238</v>
      </c>
      <c r="U72" s="1" cm="1">
        <f t="array" aca="1" ref="U72" ca="1">_xll.QDates_LastDay(R72)</f>
        <v>44255</v>
      </c>
      <c r="V72" cm="1">
        <f t="array" aca="1" ref="V72" ca="1">_xll.BDP(S72&amp;" Index","PX_LAST")</f>
        <v>19.507999999999999</v>
      </c>
      <c r="W72" t="str" cm="1">
        <f t="array" aca="1" ref="W72" ca="1">_xll.QIns_CreateAsianCrackDiffSwap(S72,T72:U72,$J$70,R$70,"USD",V72,1000,1000,"LON","LON","NYC","2b","0b","0b","USD.LIBOR.3M")</f>
        <v>FS1SM G21¬6</v>
      </c>
      <c r="X72" s="14" cm="1">
        <f t="array" aca="1" ref="X72" ca="1">_xll.QCurves_GetAveragePrice(W$70,_xll.QDates_ListBusinessDaysInPeriod(T72,U72,"ICE"))</f>
        <v>360.86812499999996</v>
      </c>
    </row>
    <row r="73" spans="1:36" x14ac:dyDescent="0.25">
      <c r="B73" s="75">
        <f ca="1">EDATE(B72,1)</f>
        <v>44256</v>
      </c>
      <c r="C73" t="str" cm="1">
        <f t="array" aca="1" ref="C73" ca="1">"FDBSM "&amp;_xll.QDates_GetMonthCodeAndYear(B73,2)</f>
        <v>FDBSM H21</v>
      </c>
      <c r="D73" s="1">
        <f ca="1">B73</f>
        <v>44256</v>
      </c>
      <c r="E73" s="1" cm="1">
        <f t="array" aca="1" ref="E73" ca="1">_xll.QDates_LastDay(B73)</f>
        <v>44286</v>
      </c>
      <c r="F73" cm="1">
        <f t="array" aca="1" ref="F73" ca="1">_xll.BDP(C73&amp;" Index","PX_LAST")</f>
        <v>-0.16</v>
      </c>
      <c r="G73" t="str" cm="1">
        <f t="array" aca="1" ref="G73" ca="1">_xll.QIns_CreateAsianCrackDiffSwap(C73,D73:E73,"CO","Dated","USD",F73,1,1,"ICE","LON","NYC","2b","0b","0b","USD.LIBOR.3M")</f>
        <v>FDBSM H21¬6</v>
      </c>
      <c r="H73" s="14" cm="1">
        <f t="array" aca="1" ref="H73" ca="1">_xll.QCurves_GetAveragePrice(G$70,_xll.QDates_ListBusinessDaysInPeriod(D73,E73,"ICE"))</f>
        <v>60.740869565239564</v>
      </c>
      <c r="J73" s="75">
        <f ca="1">EDATE(J72,1)</f>
        <v>44256</v>
      </c>
      <c r="K73" t="str" cm="1">
        <f t="array" aca="1" ref="K73" ca="1">"FROSM "&amp;_xll.QDates_GetMonthCodeAndYear(J73,2)</f>
        <v>FROSM H21</v>
      </c>
      <c r="L73" s="1">
        <f ca="1">J73</f>
        <v>44256</v>
      </c>
      <c r="M73" s="1" cm="1">
        <f t="array" aca="1" ref="M73" ca="1">_xll.QDates_LastDay(J73)</f>
        <v>44286</v>
      </c>
      <c r="N73" cm="1">
        <f t="array" aca="1" ref="N73" ca="1">_xll.BDP(K73&amp;" Index","PX_LAST")</f>
        <v>-7</v>
      </c>
      <c r="O73" t="str" cm="1">
        <f t="array" aca="1" ref="O73" ca="1">_xll.QIns_CreateAsianCrackDiffSwap(K73,L73:M73,"CO",J$70,"USD",N73,6350,1000,"ICE","LON","NYC","2b","0b","0b","USD.LIBOR.3M")</f>
        <v>FROSM H21¬6</v>
      </c>
      <c r="P73" s="14" cm="1">
        <f t="array" aca="1" ref="P73" ca="1">_xll.QCurves_GetAveragePrice(O$70,_xll.QDates_ListBusinessDaysInPeriod(L73,M73,"ICE"))</f>
        <v>342.2705217391304</v>
      </c>
      <c r="R73" s="75">
        <f ca="1">EDATE(R72,1)</f>
        <v>44256</v>
      </c>
      <c r="S73" t="str" cm="1">
        <f t="array" aca="1" ref="S73" ca="1">"FS1SM "&amp;_xll.QDates_GetMonthCodeAndYear(R73,2)</f>
        <v>FS1SM H21</v>
      </c>
      <c r="T73" s="1">
        <f ca="1">R73</f>
        <v>44256</v>
      </c>
      <c r="U73" s="1" cm="1">
        <f t="array" aca="1" ref="U73" ca="1">_xll.QDates_LastDay(R73)</f>
        <v>44286</v>
      </c>
      <c r="V73" cm="1">
        <f t="array" aca="1" ref="V73" ca="1">_xll.BDP(S73&amp;" Index","PX_LAST")</f>
        <v>21.257999999999999</v>
      </c>
      <c r="W73" t="str" cm="1">
        <f t="array" aca="1" ref="W73" ca="1">_xll.QIns_CreateAsianCrackDiffSwap(S73,T73:U73,$J$70,R$70,"USD",V73,1000,1000,"LON","LON","NYC","2b","0b","0b","USD.LIBOR.3M")</f>
        <v>FS1SM H21¬6</v>
      </c>
      <c r="X73" s="14" cm="1">
        <f t="array" aca="1" ref="X73" ca="1">_xll.QCurves_GetAveragePrice(W$70,_xll.QDates_ListBusinessDaysInPeriod(T73,U73,"ICE"))</f>
        <v>363.52852173913021</v>
      </c>
    </row>
    <row r="74" spans="1:36" x14ac:dyDescent="0.25">
      <c r="B74" s="75">
        <f t="shared" ref="B74:B90" ca="1" si="8">EDATE(B73,1)</f>
        <v>44287</v>
      </c>
      <c r="C74" t="str" cm="1">
        <f t="array" aca="1" ref="C74" ca="1">"FDBSM "&amp;_xll.QDates_GetMonthCodeAndYear(B74,2)</f>
        <v>FDBSM J21</v>
      </c>
      <c r="D74" s="1">
        <f t="shared" ref="D74:D90" ca="1" si="9">B74</f>
        <v>44287</v>
      </c>
      <c r="E74" s="1" cm="1">
        <f t="array" aca="1" ref="E74" ca="1">_xll.QDates_LastDay(B74)</f>
        <v>44316</v>
      </c>
      <c r="F74" cm="1">
        <f t="array" aca="1" ref="F74" ca="1">_xll.BDP(C74&amp;" Index","PX_LAST")</f>
        <v>0.04</v>
      </c>
      <c r="G74" t="str" cm="1">
        <f t="array" aca="1" ref="G74" ca="1">_xll.QIns_CreateAsianCrackDiffSwap(C74,D74:E74,"CO","Dated","USD",F74,1,1,"ICE","LON","NYC","2b","0b","0b","USD.LIBOR.3M")</f>
        <v>FDBSM J21¬6</v>
      </c>
      <c r="H74" s="14" cm="1">
        <f t="array" aca="1" ref="H74" ca="1">_xll.QCurves_GetAveragePrice(G$70,_xll.QDates_ListBusinessDaysInPeriod(D74,E74,"ICE"))</f>
        <v>60.496666666643954</v>
      </c>
      <c r="J74" s="75">
        <f t="shared" ref="J74:J100" ca="1" si="10">EDATE(J73,1)</f>
        <v>44287</v>
      </c>
      <c r="K74" t="str" cm="1">
        <f t="array" aca="1" ref="K74" ca="1">"FROSM "&amp;_xll.QDates_GetMonthCodeAndYear(J74,2)</f>
        <v>FROSM J21</v>
      </c>
      <c r="L74" s="1">
        <f t="shared" ref="L74:L100" ca="1" si="11">J74</f>
        <v>44287</v>
      </c>
      <c r="M74" s="1" cm="1">
        <f t="array" aca="1" ref="M74" ca="1">_xll.QDates_LastDay(J74)</f>
        <v>44316</v>
      </c>
      <c r="N74" cm="1">
        <f t="array" aca="1" ref="N74" ca="1">_xll.BDP(K74&amp;" Index","PX_LAST")</f>
        <v>-6.67</v>
      </c>
      <c r="O74" t="str" cm="1">
        <f t="array" aca="1" ref="O74" ca="1">_xll.QIns_CreateAsianCrackDiffSwap(K74,L74:M74,"CO",J$70,"USD",N74,6350,1000,"ICE","LON","NYC","2b","0b","0b","USD.LIBOR.3M")</f>
        <v>FROSM J21¬6</v>
      </c>
      <c r="P74" s="14" cm="1">
        <f t="array" aca="1" ref="P74" ca="1">_xll.QCurves_GetAveragePrice(O$70,_xll.QDates_ListBusinessDaysInPeriod(L74,M74,"ICE"))</f>
        <v>341.54533333333342</v>
      </c>
      <c r="R74" s="75">
        <f t="shared" ref="R74:R100" ca="1" si="12">EDATE(R73,1)</f>
        <v>44287</v>
      </c>
      <c r="S74" t="str" cm="1">
        <f t="array" aca="1" ref="S74" ca="1">"FS1SM "&amp;_xll.QDates_GetMonthCodeAndYear(R74,2)</f>
        <v>FS1SM J21</v>
      </c>
      <c r="T74" s="1">
        <f t="shared" ref="T74:T100" ca="1" si="13">R74</f>
        <v>44287</v>
      </c>
      <c r="U74" s="1" cm="1">
        <f t="array" aca="1" ref="U74" ca="1">_xll.QDates_LastDay(R74)</f>
        <v>44316</v>
      </c>
      <c r="V74" cm="1">
        <f t="array" aca="1" ref="V74" ca="1">_xll.BDP(S74&amp;" Index","PX_LAST")</f>
        <v>20.5</v>
      </c>
      <c r="W74" t="str" cm="1">
        <f t="array" aca="1" ref="W74" ca="1">_xll.QIns_CreateAsianCrackDiffSwap(S74,T74:U74,$J$70,R$70,"USD",V74,1000,1000,"LON","LON","NYC","2b","0b","0b","USD.LIBOR.3M")</f>
        <v>FS1SM J21¬6</v>
      </c>
      <c r="X74" s="14" cm="1">
        <f t="array" aca="1" ref="X74" ca="1">_xll.QCurves_GetAveragePrice(W$70,_xll.QDates_ListBusinessDaysInPeriod(T74,U74,"ICE"))</f>
        <v>362.04533333333353</v>
      </c>
    </row>
    <row r="75" spans="1:36" x14ac:dyDescent="0.25">
      <c r="B75" s="75">
        <f t="shared" ca="1" si="8"/>
        <v>44317</v>
      </c>
      <c r="C75" t="str" cm="1">
        <f t="array" aca="1" ref="C75" ca="1">"FDBSM "&amp;_xll.QDates_GetMonthCodeAndYear(B75,2)</f>
        <v>FDBSM K21</v>
      </c>
      <c r="D75" s="1">
        <f t="shared" ca="1" si="9"/>
        <v>44317</v>
      </c>
      <c r="E75" s="1" cm="1">
        <f t="array" aca="1" ref="E75" ca="1">_xll.QDates_LastDay(B75)</f>
        <v>44347</v>
      </c>
      <c r="F75" cm="1">
        <f t="array" aca="1" ref="F75" ca="1">_xll.BDP(C75&amp;" Index","PX_LAST")</f>
        <v>0.08</v>
      </c>
      <c r="G75" t="str" cm="1">
        <f t="array" aca="1" ref="G75" ca="1">_xll.QIns_CreateAsianCrackDiffSwap(C75,D75:E75,"CO","Dated","USD",F75,1,1,"ICE","LON","NYC","2b","0b","0b","USD.LIBOR.3M")</f>
        <v>FDBSM K21¬6</v>
      </c>
      <c r="H75" s="14" cm="1">
        <f t="array" aca="1" ref="H75" ca="1">_xll.QCurves_GetAveragePrice(G$70,_xll.QDates_ListBusinessDaysInPeriod(D75,E75,"ICE"))</f>
        <v>60.028095237903258</v>
      </c>
      <c r="J75" s="75">
        <f t="shared" ca="1" si="10"/>
        <v>44317</v>
      </c>
      <c r="K75" t="str" cm="1">
        <f t="array" aca="1" ref="K75" ca="1">"FROSM "&amp;_xll.QDates_GetMonthCodeAndYear(J75,2)</f>
        <v>FROSM K21</v>
      </c>
      <c r="L75" s="1">
        <f t="shared" ca="1" si="11"/>
        <v>44317</v>
      </c>
      <c r="M75" s="1" cm="1">
        <f t="array" aca="1" ref="M75" ca="1">_xll.QDates_LastDay(J75)</f>
        <v>44347</v>
      </c>
      <c r="N75" cm="1">
        <f t="array" aca="1" ref="N75" ca="1">_xll.BDP(K75&amp;" Index","PX_LAST")</f>
        <v>-6.48</v>
      </c>
      <c r="O75" t="str" cm="1">
        <f t="array" aca="1" ref="O75" ca="1">_xll.QIns_CreateAsianCrackDiffSwap(K75,L75:M75,"CO",J$70,"USD",N75,6350,1000,"ICE","LON","NYC","2b","0b","0b","USD.LIBOR.3M")</f>
        <v>FROSM K21¬6</v>
      </c>
      <c r="P75" s="14" cm="1">
        <f t="array" aca="1" ref="P75" ca="1">_xll.QCurves_GetAveragePrice(O$70,_xll.QDates_ListBusinessDaysInPeriod(L75,M75,"ICE"))</f>
        <v>339.5224047619048</v>
      </c>
      <c r="R75" s="75">
        <f t="shared" ca="1" si="12"/>
        <v>44317</v>
      </c>
      <c r="S75" t="str" cm="1">
        <f t="array" aca="1" ref="S75" ca="1">"FS1SM "&amp;_xll.QDates_GetMonthCodeAndYear(R75,2)</f>
        <v>FS1SM K21</v>
      </c>
      <c r="T75" s="1">
        <f t="shared" ca="1" si="13"/>
        <v>44317</v>
      </c>
      <c r="U75" s="1" cm="1">
        <f t="array" aca="1" ref="U75" ca="1">_xll.QDates_LastDay(R75)</f>
        <v>44347</v>
      </c>
      <c r="V75" cm="1">
        <f t="array" aca="1" ref="V75" ca="1">_xll.BDP(S75&amp;" Index","PX_LAST")</f>
        <v>20.5</v>
      </c>
      <c r="W75" t="str" cm="1">
        <f t="array" aca="1" ref="W75" ca="1">_xll.QIns_CreateAsianCrackDiffSwap(S75,T75:U75,$J$70,R$70,"USD",V75,1000,1000,"LON","LON","NYC","2b","0b","0b","USD.LIBOR.3M")</f>
        <v>FS1SM K21¬6</v>
      </c>
      <c r="X75" s="14" cm="1">
        <f t="array" aca="1" ref="X75" ca="1">_xll.QCurves_GetAveragePrice(W$70,_xll.QDates_ListBusinessDaysInPeriod(T75,U75,"ICE"))</f>
        <v>360.02240476190485</v>
      </c>
    </row>
    <row r="76" spans="1:36" x14ac:dyDescent="0.25">
      <c r="B76" s="75">
        <f t="shared" ca="1" si="8"/>
        <v>44348</v>
      </c>
      <c r="C76" t="str" cm="1">
        <f t="array" aca="1" ref="C76" ca="1">"FDBSM "&amp;_xll.QDates_GetMonthCodeAndYear(B76,2)</f>
        <v>FDBSM M21</v>
      </c>
      <c r="D76" s="1">
        <f t="shared" ca="1" si="9"/>
        <v>44348</v>
      </c>
      <c r="E76" s="1" cm="1">
        <f t="array" aca="1" ref="E76" ca="1">_xll.QDates_LastDay(B76)</f>
        <v>44377</v>
      </c>
      <c r="F76" cm="1">
        <f t="array" aca="1" ref="F76" ca="1">_xll.BDP(C76&amp;" Index","PX_LAST")</f>
        <v>0.04</v>
      </c>
      <c r="G76" t="str" cm="1">
        <f t="array" aca="1" ref="G76" ca="1">_xll.QIns_CreateAsianCrackDiffSwap(C76,D76:E76,"CO","Dated","USD",F76,1,1,"ICE","LON","NYC","2b","0b","0b","USD.LIBOR.3M")</f>
        <v>FDBSM M21¬6</v>
      </c>
      <c r="H76" s="14" cm="1">
        <f t="array" aca="1" ref="H76" ca="1">_xll.QCurves_GetAveragePrice(G$70,_xll.QDates_ListBusinessDaysInPeriod(D76,E76,"ICE"))</f>
        <v>59.569999999855639</v>
      </c>
      <c r="J76" s="75">
        <f t="shared" ca="1" si="10"/>
        <v>44348</v>
      </c>
      <c r="K76" t="str" cm="1">
        <f t="array" aca="1" ref="K76" ca="1">"FROSM "&amp;_xll.QDates_GetMonthCodeAndYear(J76,2)</f>
        <v>FROSM M21</v>
      </c>
      <c r="L76" s="1">
        <f t="shared" ca="1" si="11"/>
        <v>44348</v>
      </c>
      <c r="M76" s="1" cm="1">
        <f t="array" aca="1" ref="M76" ca="1">_xll.QDates_LastDay(J76)</f>
        <v>44377</v>
      </c>
      <c r="N76" cm="1">
        <f t="array" aca="1" ref="N76" ca="1">_xll.BDP(K76&amp;" Index","PX_LAST")</f>
        <v>-6.62</v>
      </c>
      <c r="O76" t="str" cm="1">
        <f t="array" aca="1" ref="O76" ca="1">_xll.QIns_CreateAsianCrackDiffSwap(K76,L76:M76,"CO",J$70,"USD",N76,6350,1000,"ICE","LON","NYC","2b","0b","0b","USD.LIBOR.3M")</f>
        <v>FROSM M21¬6</v>
      </c>
      <c r="P76" s="14" cm="1">
        <f t="array" aca="1" ref="P76" ca="1">_xll.QCurves_GetAveragePrice(O$70,_xll.QDates_ListBusinessDaysInPeriod(L76,M76,"ICE"))</f>
        <v>335.97849999999994</v>
      </c>
      <c r="R76" s="75">
        <f t="shared" ca="1" si="12"/>
        <v>44348</v>
      </c>
      <c r="S76" t="str" cm="1">
        <f t="array" aca="1" ref="S76" ca="1">"FS1SM "&amp;_xll.QDates_GetMonthCodeAndYear(R76,2)</f>
        <v>FS1SM M21</v>
      </c>
      <c r="T76" s="1">
        <f t="shared" ca="1" si="13"/>
        <v>44348</v>
      </c>
      <c r="U76" s="1" cm="1">
        <f t="array" aca="1" ref="U76" ca="1">_xll.QDates_LastDay(R76)</f>
        <v>44377</v>
      </c>
      <c r="V76" cm="1">
        <f t="array" aca="1" ref="V76" ca="1">_xll.BDP(S76&amp;" Index","PX_LAST")</f>
        <v>22.5</v>
      </c>
      <c r="W76" t="str" cm="1">
        <f t="array" aca="1" ref="W76" ca="1">_xll.QIns_CreateAsianCrackDiffSwap(S76,T76:U76,$J$70,R$70,"USD",V76,1000,1000,"LON","LON","NYC","2b","0b","0b","USD.LIBOR.3M")</f>
        <v>FS1SM M21¬6</v>
      </c>
      <c r="X76" s="14" cm="1">
        <f t="array" aca="1" ref="X76" ca="1">_xll.QCurves_GetAveragePrice(W$70,_xll.QDates_ListBusinessDaysInPeriod(T76,U76,"ICE"))</f>
        <v>358.47849999999994</v>
      </c>
    </row>
    <row r="77" spans="1:36" x14ac:dyDescent="0.25">
      <c r="B77" s="75">
        <f t="shared" ca="1" si="8"/>
        <v>44378</v>
      </c>
      <c r="C77" t="str" cm="1">
        <f t="array" aca="1" ref="C77" ca="1">"FDBSM "&amp;_xll.QDates_GetMonthCodeAndYear(B77,2)</f>
        <v>FDBSM N21</v>
      </c>
      <c r="D77" s="1">
        <f t="shared" ca="1" si="9"/>
        <v>44378</v>
      </c>
      <c r="E77" s="1" cm="1">
        <f t="array" aca="1" ref="E77" ca="1">_xll.QDates_LastDay(B77)</f>
        <v>44408</v>
      </c>
      <c r="F77" cm="1">
        <f t="array" aca="1" ref="F77" ca="1">_xll.BDP(C77&amp;" Index","PX_LAST")</f>
        <v>0.02</v>
      </c>
      <c r="G77" t="str" cm="1">
        <f t="array" aca="1" ref="G77" ca="1">_xll.QIns_CreateAsianCrackDiffSwap(C77,D77:E77,"CO","Dated","USD",F77,1,1,"ICE","LON","NYC","2b","0b","0b","USD.LIBOR.3M")</f>
        <v>FDBSM N21¬6</v>
      </c>
      <c r="H77" s="14" cm="1">
        <f t="array" aca="1" ref="H77" ca="1">_xll.QCurves_GetAveragePrice(G$70,_xll.QDates_ListBusinessDaysInPeriod(D77,E77,"ICE"))</f>
        <v>59.110454545348169</v>
      </c>
      <c r="J77" s="75">
        <f t="shared" ca="1" si="10"/>
        <v>44378</v>
      </c>
      <c r="K77" t="str" cm="1">
        <f t="array" aca="1" ref="K77" ca="1">"FROSM "&amp;_xll.QDates_GetMonthCodeAndYear(J77,2)</f>
        <v>FROSM N21</v>
      </c>
      <c r="L77" s="1">
        <f t="shared" ca="1" si="11"/>
        <v>44378</v>
      </c>
      <c r="M77" s="1" cm="1">
        <f t="array" aca="1" ref="M77" ca="1">_xll.QDates_LastDay(J77)</f>
        <v>44408</v>
      </c>
      <c r="N77" cm="1">
        <f t="array" aca="1" ref="N77" ca="1">_xll.BDP(K77&amp;" Index","PX_LAST")</f>
        <v>-6.77</v>
      </c>
      <c r="O77" t="str" cm="1">
        <f t="array" aca="1" ref="O77" ca="1">_xll.QIns_CreateAsianCrackDiffSwap(K77,L77:M77,"CO",J$70,"USD",N77,6350,1000,"ICE","LON","NYC","2b","0b","0b","USD.LIBOR.3M")</f>
        <v>FROSM N21¬6</v>
      </c>
      <c r="P77" s="14" cm="1">
        <f t="array" aca="1" ref="P77" ca="1">_xll.QCurves_GetAveragePrice(O$70,_xll.QDates_ListBusinessDaysInPeriod(L77,M77,"ICE"))</f>
        <v>332.23488636363624</v>
      </c>
      <c r="R77" s="75">
        <f t="shared" ca="1" si="12"/>
        <v>44378</v>
      </c>
      <c r="S77" t="str" cm="1">
        <f t="array" aca="1" ref="S77" ca="1">"FS1SM "&amp;_xll.QDates_GetMonthCodeAndYear(R77,2)</f>
        <v>FS1SM N21</v>
      </c>
      <c r="T77" s="1">
        <f t="shared" ca="1" si="13"/>
        <v>44378</v>
      </c>
      <c r="U77" s="1" cm="1">
        <f t="array" aca="1" ref="U77" ca="1">_xll.QDates_LastDay(R77)</f>
        <v>44408</v>
      </c>
      <c r="V77" cm="1">
        <f t="array" aca="1" ref="V77" ca="1">_xll.BDP(S77&amp;" Index","PX_LAST")</f>
        <v>24.265999999999998</v>
      </c>
      <c r="W77" t="str" cm="1">
        <f t="array" aca="1" ref="W77" ca="1">_xll.QIns_CreateAsianCrackDiffSwap(S77,T77:U77,$J$70,R$70,"USD",V77,1000,1000,"LON","LON","NYC","2b","0b","0b","USD.LIBOR.3M")</f>
        <v>FS1SM N21¬6</v>
      </c>
      <c r="X77" s="14" cm="1">
        <f t="array" aca="1" ref="X77" ca="1">_xll.QCurves_GetAveragePrice(W$70,_xll.QDates_ListBusinessDaysInPeriod(T77,U77,"ICE"))</f>
        <v>356.50088636363586</v>
      </c>
    </row>
    <row r="78" spans="1:36" x14ac:dyDescent="0.25">
      <c r="B78" s="75">
        <f t="shared" ca="1" si="8"/>
        <v>44409</v>
      </c>
      <c r="C78" t="str" cm="1">
        <f t="array" aca="1" ref="C78" ca="1">"FDBSM "&amp;_xll.QDates_GetMonthCodeAndYear(B78,2)</f>
        <v>FDBSM Q21</v>
      </c>
      <c r="D78" s="1">
        <f t="shared" ca="1" si="9"/>
        <v>44409</v>
      </c>
      <c r="E78" s="1" cm="1">
        <f t="array" aca="1" ref="E78" ca="1">_xll.QDates_LastDay(B78)</f>
        <v>44439</v>
      </c>
      <c r="F78" cm="1">
        <f t="array" aca="1" ref="F78" ca="1">_xll.BDP(C78&amp;" Index","PX_LAST")</f>
        <v>0.01</v>
      </c>
      <c r="G78" t="str" cm="1">
        <f t="array" aca="1" ref="G78" ca="1">_xll.QIns_CreateAsianCrackDiffSwap(C78,D78:E78,"CO","Dated","USD",F78,1,1,"ICE","LON","NYC","2b","0b","0b","USD.LIBOR.3M")</f>
        <v>FDBSM Q21¬6</v>
      </c>
      <c r="H78" s="14" cm="1">
        <f t="array" aca="1" ref="H78" ca="1">_xll.QCurves_GetAveragePrice(G$70,_xll.QDates_ListBusinessDaysInPeriod(D78,E78,"ICE"))</f>
        <v>58.671818181893514</v>
      </c>
      <c r="J78" s="75">
        <f t="shared" ca="1" si="10"/>
        <v>44409</v>
      </c>
      <c r="K78" t="str" cm="1">
        <f t="array" aca="1" ref="K78" ca="1">"FROSM "&amp;_xll.QDates_GetMonthCodeAndYear(J78,2)</f>
        <v>FROSM Q21</v>
      </c>
      <c r="L78" s="1">
        <f t="shared" ca="1" si="11"/>
        <v>44409</v>
      </c>
      <c r="M78" s="1" cm="1">
        <f t="array" aca="1" ref="M78" ca="1">_xll.QDates_LastDay(J78)</f>
        <v>44439</v>
      </c>
      <c r="N78" cm="1">
        <f t="array" aca="1" ref="N78" ca="1">_xll.BDP(K78&amp;" Index","PX_LAST")</f>
        <v>-7.02</v>
      </c>
      <c r="O78" t="str" cm="1">
        <f t="array" aca="1" ref="O78" ca="1">_xll.QIns_CreateAsianCrackDiffSwap(K78,L78:M78,"CO",J$70,"USD",N78,6350,1000,"ICE","LON","NYC","2b","0b","0b","USD.LIBOR.3M")</f>
        <v>FROSM Q21¬6</v>
      </c>
      <c r="P78" s="14" cm="1">
        <f t="array" aca="1" ref="P78" ca="1">_xll.QCurves_GetAveragePrice(O$70,_xll.QDates_ListBusinessDaysInPeriod(L78,M78,"ICE"))</f>
        <v>327.92554545454544</v>
      </c>
      <c r="R78" s="75">
        <f t="shared" ca="1" si="12"/>
        <v>44409</v>
      </c>
      <c r="S78" t="str" cm="1">
        <f t="array" aca="1" ref="S78" ca="1">"FS1SM "&amp;_xll.QDates_GetMonthCodeAndYear(R78,2)</f>
        <v>FS1SM Q21</v>
      </c>
      <c r="T78" s="1">
        <f t="shared" ca="1" si="13"/>
        <v>44409</v>
      </c>
      <c r="U78" s="1" cm="1">
        <f t="array" aca="1" ref="U78" ca="1">_xll.QDates_LastDay(R78)</f>
        <v>44439</v>
      </c>
      <c r="V78" cm="1">
        <f t="array" aca="1" ref="V78" ca="1">_xll.BDP(S78&amp;" Index","PX_LAST")</f>
        <v>25.282</v>
      </c>
      <c r="W78" t="str" cm="1">
        <f t="array" aca="1" ref="W78" ca="1">_xll.QIns_CreateAsianCrackDiffSwap(S78,T78:U78,$J$70,R$70,"USD",V78,1000,1000,"LON","LON","NYC","2b","0b","0b","USD.LIBOR.3M")</f>
        <v>FS1SM Q21¬6</v>
      </c>
      <c r="X78" s="14" cm="1">
        <f t="array" aca="1" ref="X78" ca="1">_xll.QCurves_GetAveragePrice(W$70,_xll.QDates_ListBusinessDaysInPeriod(T78,U78,"ICE"))</f>
        <v>353.2075454545456</v>
      </c>
    </row>
    <row r="79" spans="1:36" x14ac:dyDescent="0.25">
      <c r="B79" s="75">
        <f t="shared" ca="1" si="8"/>
        <v>44440</v>
      </c>
      <c r="C79" t="str" cm="1">
        <f t="array" aca="1" ref="C79" ca="1">"FDBSM "&amp;_xll.QDates_GetMonthCodeAndYear(B79,2)</f>
        <v>FDBSM U21</v>
      </c>
      <c r="D79" s="1">
        <f t="shared" ca="1" si="9"/>
        <v>44440</v>
      </c>
      <c r="E79" s="1" cm="1">
        <f t="array" aca="1" ref="E79" ca="1">_xll.QDates_LastDay(B79)</f>
        <v>44469</v>
      </c>
      <c r="F79" cm="1">
        <f t="array" aca="1" ref="F79" ca="1">_xll.BDP(C79&amp;" Index","PX_LAST")</f>
        <v>0</v>
      </c>
      <c r="G79" t="str" cm="1">
        <f t="array" aca="1" ref="G79" ca="1">_xll.QIns_CreateAsianCrackDiffSwap(C79,D79:E79,"CO","Dated","USD",F79,1,1,"ICE","LON","NYC","2b","0b","0b","USD.LIBOR.3M")</f>
        <v>FDBSM U21¬6</v>
      </c>
      <c r="H79" s="14" cm="1">
        <f t="array" aca="1" ref="H79" ca="1">_xll.QCurves_GetAveragePrice(G$70,_xll.QDates_ListBusinessDaysInPeriod(D79,E79,"ICE"))</f>
        <v>58.262727272588933</v>
      </c>
      <c r="J79" s="75">
        <f t="shared" ca="1" si="10"/>
        <v>44440</v>
      </c>
      <c r="K79" t="str" cm="1">
        <f t="array" aca="1" ref="K79" ca="1">"FROSM "&amp;_xll.QDates_GetMonthCodeAndYear(J79,2)</f>
        <v>FROSM U21</v>
      </c>
      <c r="L79" s="1">
        <f t="shared" ca="1" si="11"/>
        <v>44440</v>
      </c>
      <c r="M79" s="1" cm="1">
        <f t="array" aca="1" ref="M79" ca="1">_xll.QDates_LastDay(J79)</f>
        <v>44469</v>
      </c>
      <c r="N79" cm="1">
        <f t="array" aca="1" ref="N79" ca="1">_xll.BDP(K79&amp;" Index","PX_LAST")</f>
        <v>-7.41</v>
      </c>
      <c r="O79" t="str" cm="1">
        <f t="array" aca="1" ref="O79" ca="1">_xll.QIns_CreateAsianCrackDiffSwap(K79,L79:M79,"CO",J$70,"USD",N79,6350,1000,"ICE","LON","NYC","2b","0b","0b","USD.LIBOR.3M")</f>
        <v>FROSM U21¬6</v>
      </c>
      <c r="P79" s="14" cm="1">
        <f t="array" aca="1" ref="P79" ca="1">_xll.QCurves_GetAveragePrice(O$70,_xll.QDates_ListBusinessDaysInPeriod(L79,M79,"ICE"))</f>
        <v>322.91481818181825</v>
      </c>
      <c r="R79" s="75">
        <f t="shared" ca="1" si="12"/>
        <v>44440</v>
      </c>
      <c r="S79" t="str" cm="1">
        <f t="array" aca="1" ref="S79" ca="1">"FS1SM "&amp;_xll.QDates_GetMonthCodeAndYear(R79,2)</f>
        <v>FS1SM U21</v>
      </c>
      <c r="T79" s="1">
        <f t="shared" ca="1" si="13"/>
        <v>44440</v>
      </c>
      <c r="U79" s="1" cm="1">
        <f t="array" aca="1" ref="U79" ca="1">_xll.QDates_LastDay(R79)</f>
        <v>44469</v>
      </c>
      <c r="V79" cm="1">
        <f t="array" aca="1" ref="V79" ca="1">_xll.BDP(S79&amp;" Index","PX_LAST")</f>
        <v>26.524000000000001</v>
      </c>
      <c r="W79" t="str" cm="1">
        <f t="array" aca="1" ref="W79" ca="1">_xll.QIns_CreateAsianCrackDiffSwap(S79,T79:U79,$J$70,R$70,"USD",V79,1000,1000,"LON","LON","NYC","2b","0b","0b","USD.LIBOR.3M")</f>
        <v>FS1SM U21¬6</v>
      </c>
      <c r="X79" s="14" cm="1">
        <f t="array" aca="1" ref="X79" ca="1">_xll.QCurves_GetAveragePrice(W$70,_xll.QDates_ListBusinessDaysInPeriod(T79,U79,"ICE"))</f>
        <v>349.43881818181831</v>
      </c>
    </row>
    <row r="80" spans="1:36" x14ac:dyDescent="0.25">
      <c r="B80" s="75">
        <f t="shared" ca="1" si="8"/>
        <v>44470</v>
      </c>
      <c r="C80" t="str" cm="1">
        <f t="array" aca="1" ref="C80" ca="1">"FDBSM "&amp;_xll.QDates_GetMonthCodeAndYear(B80,2)</f>
        <v>FDBSM V21</v>
      </c>
      <c r="D80" s="1">
        <f t="shared" ca="1" si="9"/>
        <v>44470</v>
      </c>
      <c r="E80" s="1" cm="1">
        <f t="array" aca="1" ref="E80" ca="1">_xll.QDates_LastDay(B80)</f>
        <v>44500</v>
      </c>
      <c r="F80" cm="1">
        <f t="array" aca="1" ref="F80" ca="1">_xll.BDP(C80&amp;" Index","PX_LAST")</f>
        <v>-7.0000000000000007E-2</v>
      </c>
      <c r="G80" t="str" cm="1">
        <f t="array" aca="1" ref="G80" ca="1">_xll.QIns_CreateAsianCrackDiffSwap(C80,D80:E80,"CO","Dated","USD",F80,1,1,"ICE","LON","NYC","2b","0b","0b","USD.LIBOR.3M")</f>
        <v>FDBSM V21¬6</v>
      </c>
      <c r="H80" s="14" cm="1">
        <f t="array" aca="1" ref="H80" ca="1">_xll.QCurves_GetAveragePrice(G$70,_xll.QDates_ListBusinessDaysInPeriod(D80,E80,"ICE"))</f>
        <v>57.835238095204218</v>
      </c>
      <c r="J80" s="75">
        <f t="shared" ca="1" si="10"/>
        <v>44470</v>
      </c>
      <c r="K80" t="str" cm="1">
        <f t="array" aca="1" ref="K80" ca="1">"FROSM "&amp;_xll.QDates_GetMonthCodeAndYear(J80,2)</f>
        <v>FROSM V21</v>
      </c>
      <c r="L80" s="1">
        <f t="shared" ca="1" si="11"/>
        <v>44470</v>
      </c>
      <c r="M80" s="1" cm="1">
        <f t="array" aca="1" ref="M80" ca="1">_xll.QDates_LastDay(J80)</f>
        <v>44500</v>
      </c>
      <c r="N80" cm="1">
        <f t="array" aca="1" ref="N80" ca="1">_xll.BDP(K80&amp;" Index","PX_LAST")</f>
        <v>-7.92</v>
      </c>
      <c r="O80" t="str" cm="1">
        <f t="array" aca="1" ref="O80" ca="1">_xll.QIns_CreateAsianCrackDiffSwap(K80,L80:M80,"CO",J$70,"USD",N80,6350,1000,"ICE","LON","NYC","2b","0b","0b","USD.LIBOR.3M")</f>
        <v>FROSM V21¬6</v>
      </c>
      <c r="P80" s="14" cm="1">
        <f t="array" aca="1" ref="P80" ca="1">_xll.QCurves_GetAveragePrice(O$70,_xll.QDates_ListBusinessDaysInPeriod(L80,M80,"ICE"))</f>
        <v>317.40626190476189</v>
      </c>
      <c r="R80" s="75">
        <f t="shared" ca="1" si="12"/>
        <v>44470</v>
      </c>
      <c r="S80" t="str" cm="1">
        <f t="array" aca="1" ref="S80" ca="1">"FS1SM "&amp;_xll.QDates_GetMonthCodeAndYear(R80,2)</f>
        <v>FS1SM V21</v>
      </c>
      <c r="T80" s="1">
        <f t="shared" ca="1" si="13"/>
        <v>44470</v>
      </c>
      <c r="U80" s="1" cm="1">
        <f t="array" aca="1" ref="U80" ca="1">_xll.QDates_LastDay(R80)</f>
        <v>44500</v>
      </c>
      <c r="V80" cm="1">
        <f t="array" aca="1" ref="V80" ca="1">_xll.BDP(S80&amp;" Index","PX_LAST")</f>
        <v>27.524000000000001</v>
      </c>
      <c r="W80" t="str" cm="1">
        <f t="array" aca="1" ref="W80" ca="1">_xll.QIns_CreateAsianCrackDiffSwap(S80,T80:U80,$J$70,R$70,"USD",V80,1000,1000,"LON","LON","NYC","2b","0b","0b","USD.LIBOR.3M")</f>
        <v>FS1SM V21¬6</v>
      </c>
      <c r="X80" s="14" cm="1">
        <f t="array" aca="1" ref="X80" ca="1">_xll.QCurves_GetAveragePrice(W$70,_xll.QDates_ListBusinessDaysInPeriod(T80,U80,"ICE"))</f>
        <v>344.93026190476206</v>
      </c>
    </row>
    <row r="81" spans="2:24" x14ac:dyDescent="0.25">
      <c r="B81" s="75">
        <f t="shared" ca="1" si="8"/>
        <v>44501</v>
      </c>
      <c r="C81" t="str" cm="1">
        <f t="array" aca="1" ref="C81" ca="1">"FDBSM "&amp;_xll.QDates_GetMonthCodeAndYear(B81,2)</f>
        <v>FDBSM X21</v>
      </c>
      <c r="D81" s="1">
        <f t="shared" ca="1" si="9"/>
        <v>44501</v>
      </c>
      <c r="E81" s="1" cm="1">
        <f t="array" aca="1" ref="E81" ca="1">_xll.QDates_LastDay(B81)</f>
        <v>44530</v>
      </c>
      <c r="F81" cm="1">
        <f t="array" aca="1" ref="F81" ca="1">_xll.BDP(C81&amp;" Index","PX_LAST")</f>
        <v>-0.08</v>
      </c>
      <c r="G81" t="str" cm="1">
        <f t="array" aca="1" ref="G81" ca="1">_xll.QIns_CreateAsianCrackDiffSwap(C81,D81:E81,"CO","Dated","USD",F81,1,1,"ICE","LON","NYC","2b","0b","0b","USD.LIBOR.3M")</f>
        <v>FDBSM X21¬6</v>
      </c>
      <c r="H81" s="14" cm="1">
        <f t="array" aca="1" ref="H81" ca="1">_xll.QCurves_GetAveragePrice(G$70,_xll.QDates_ListBusinessDaysInPeriod(D81,E81,"ICE"))</f>
        <v>57.91545454548281</v>
      </c>
      <c r="J81" s="75">
        <f t="shared" ca="1" si="10"/>
        <v>44501</v>
      </c>
      <c r="K81" t="str" cm="1">
        <f t="array" aca="1" ref="K81" ca="1">"FROSM "&amp;_xll.QDates_GetMonthCodeAndYear(J81,2)</f>
        <v>FROSM X21</v>
      </c>
      <c r="L81" s="1">
        <f t="shared" ca="1" si="11"/>
        <v>44501</v>
      </c>
      <c r="M81" s="1" cm="1">
        <f t="array" aca="1" ref="M81" ca="1">_xll.QDates_LastDay(J81)</f>
        <v>44530</v>
      </c>
      <c r="N81" cm="1">
        <f t="array" aca="1" ref="N81" ca="1">_xll.BDP(K81&amp;" Index","PX_LAST")</f>
        <v>-8.3699999999999992</v>
      </c>
      <c r="O81" t="str" cm="1">
        <f t="array" aca="1" ref="O81" ca="1">_xll.QIns_CreateAsianCrackDiffSwap(K81,L81:M81,"CO",J$70,"USD",N81,6350,1000,"ICE","LON","NYC","2b","0b","0b","USD.LIBOR.3M")</f>
        <v>FROSM X21¬6</v>
      </c>
      <c r="P81" s="14" cm="1">
        <f t="array" aca="1" ref="P81" ca="1">_xll.QCurves_GetAveragePrice(O$70,_xll.QDates_ListBusinessDaysInPeriod(L81,M81,"ICE"))</f>
        <v>315.12163636363653</v>
      </c>
      <c r="R81" s="75">
        <f t="shared" ca="1" si="12"/>
        <v>44501</v>
      </c>
      <c r="S81" t="str" cm="1">
        <f t="array" aca="1" ref="S81" ca="1">"FS1SM "&amp;_xll.QDates_GetMonthCodeAndYear(R81,2)</f>
        <v>FS1SM X21</v>
      </c>
      <c r="T81" s="1">
        <f t="shared" ca="1" si="13"/>
        <v>44501</v>
      </c>
      <c r="U81" s="1" cm="1">
        <f t="array" aca="1" ref="U81" ca="1">_xll.QDates_LastDay(R81)</f>
        <v>44530</v>
      </c>
      <c r="V81" cm="1">
        <f t="array" aca="1" ref="V81" ca="1">_xll.BDP(S81&amp;" Index","PX_LAST")</f>
        <v>28.524000000000001</v>
      </c>
      <c r="W81" t="str" cm="1">
        <f t="array" aca="1" ref="W81" ca="1">_xll.QIns_CreateAsianCrackDiffSwap(S81,T81:U81,$J$70,R$70,"USD",V81,1000,1000,"LON","LON","NYC","2b","0b","0b","USD.LIBOR.3M")</f>
        <v>FS1SM X21¬6</v>
      </c>
      <c r="X81" s="14" cm="1">
        <f t="array" aca="1" ref="X81" ca="1">_xll.QCurves_GetAveragePrice(W$70,_xll.QDates_ListBusinessDaysInPeriod(T81,U81,"ICE"))</f>
        <v>343.64563636363624</v>
      </c>
    </row>
    <row r="82" spans="2:24" x14ac:dyDescent="0.25">
      <c r="B82" s="75">
        <f t="shared" ca="1" si="8"/>
        <v>44531</v>
      </c>
      <c r="C82" t="str" cm="1">
        <f t="array" aca="1" ref="C82" ca="1">"FDBSM "&amp;_xll.QDates_GetMonthCodeAndYear(B82,2)</f>
        <v>FDBSM Z21</v>
      </c>
      <c r="D82" s="1">
        <f t="shared" ca="1" si="9"/>
        <v>44531</v>
      </c>
      <c r="E82" s="1" cm="1">
        <f t="array" aca="1" ref="E82" ca="1">_xll.QDates_LastDay(B82)</f>
        <v>44561</v>
      </c>
      <c r="F82" cm="1">
        <f t="array" aca="1" ref="F82" ca="1">_xll.BDP(C82&amp;" Index","PX_LAST")</f>
        <v>-0.1</v>
      </c>
      <c r="G82" t="str" cm="1">
        <f t="array" aca="1" ref="G82" ca="1">_xll.QIns_CreateAsianCrackDiffSwap(C82,D82:E82,"CO","Dated","USD",F82,1,1,"ICE","LON","NYC","2b","0b","0b","USD.LIBOR.3M")</f>
        <v>FDBSM Z21¬6</v>
      </c>
      <c r="H82" s="14" cm="1">
        <f t="array" aca="1" ref="H82" ca="1">_xll.QCurves_GetAveragePrice(G$70,_xll.QDates_ListBusinessDaysInPeriod(D82,E82,"ICE"))</f>
        <v>57.590000000025817</v>
      </c>
      <c r="J82" s="75">
        <f t="shared" ca="1" si="10"/>
        <v>44531</v>
      </c>
      <c r="K82" t="str" cm="1">
        <f t="array" aca="1" ref="K82" ca="1">"FROSM "&amp;_xll.QDates_GetMonthCodeAndYear(J82,2)</f>
        <v>FROSM Z21</v>
      </c>
      <c r="L82" s="1">
        <f t="shared" ca="1" si="11"/>
        <v>44531</v>
      </c>
      <c r="M82" s="1" cm="1">
        <f t="array" aca="1" ref="M82" ca="1">_xll.QDates_LastDay(J82)</f>
        <v>44561</v>
      </c>
      <c r="N82" cm="1">
        <f t="array" aca="1" ref="N82" ca="1">_xll.BDP(K82&amp;" Index","PX_LAST")</f>
        <v>-8.68</v>
      </c>
      <c r="O82" t="str" cm="1">
        <f t="array" aca="1" ref="O82" ca="1">_xll.QIns_CreateAsianCrackDiffSwap(K82,L82:M82,"CO",J$70,"USD",N82,6350,1000,"ICE","LON","NYC","2b","0b","0b","USD.LIBOR.3M")</f>
        <v>FROSM Z21¬6</v>
      </c>
      <c r="P82" s="14" cm="1">
        <f t="array" aca="1" ref="P82" ca="1">_xll.QCurves_GetAveragePrice(O$70,_xll.QDates_ListBusinessDaysInPeriod(L82,M82,"ICE"))</f>
        <v>311.21350000000012</v>
      </c>
      <c r="R82" s="75">
        <f t="shared" ca="1" si="12"/>
        <v>44531</v>
      </c>
      <c r="S82" t="str" cm="1">
        <f t="array" aca="1" ref="S82" ca="1">"FS1SM "&amp;_xll.QDates_GetMonthCodeAndYear(R82,2)</f>
        <v>FS1SM Z21</v>
      </c>
      <c r="T82" s="1">
        <f t="shared" ca="1" si="13"/>
        <v>44531</v>
      </c>
      <c r="U82" s="1" cm="1">
        <f t="array" aca="1" ref="U82" ca="1">_xll.QDates_LastDay(R82)</f>
        <v>44561</v>
      </c>
      <c r="V82" cm="1">
        <f t="array" aca="1" ref="V82" ca="1">_xll.BDP(S82&amp;" Index","PX_LAST")</f>
        <v>29.515999999999998</v>
      </c>
      <c r="W82" t="str" cm="1">
        <f t="array" aca="1" ref="W82" ca="1">_xll.QIns_CreateAsianCrackDiffSwap(S82,T82:U82,$J$70,R$70,"USD",V82,1000,1000,"LON","LON","NYC","2b","0b","0b","USD.LIBOR.3M")</f>
        <v>FS1SM Z21¬6</v>
      </c>
      <c r="X82" s="14" cm="1">
        <f t="array" aca="1" ref="X82" ca="1">_xll.QCurves_GetAveragePrice(W$70,_xll.QDates_ListBusinessDaysInPeriod(T82,U82,"ICE"))</f>
        <v>340.72950000000031</v>
      </c>
    </row>
    <row r="83" spans="2:24" x14ac:dyDescent="0.25">
      <c r="B83" s="75">
        <f t="shared" ca="1" si="8"/>
        <v>44562</v>
      </c>
      <c r="C83" t="str" cm="1">
        <f t="array" aca="1" ref="C83" ca="1">"FDBSM "&amp;_xll.QDates_GetMonthCodeAndYear(B83,2)</f>
        <v>FDBSM F22</v>
      </c>
      <c r="D83" s="1">
        <f t="shared" ca="1" si="9"/>
        <v>44562</v>
      </c>
      <c r="E83" s="1" cm="1">
        <f t="array" aca="1" ref="E83" ca="1">_xll.QDates_LastDay(B83)</f>
        <v>44592</v>
      </c>
      <c r="F83" cm="1">
        <f t="array" aca="1" ref="F83" ca="1">_xll.BDP(C83&amp;" Index","PX_LAST")</f>
        <v>-0.1</v>
      </c>
      <c r="G83" t="str" cm="1">
        <f t="array" aca="1" ref="G83" ca="1">_xll.QIns_CreateAsianCrackDiffSwap(C83,D83:E83,"CO","Dated","USD",F83,1,1,"ICE","LON","NYC","2b","0b","0b","USD.LIBOR.3M")</f>
        <v>FDBSM F22¬6</v>
      </c>
      <c r="H83" s="14" cm="1">
        <f t="array" aca="1" ref="H83" ca="1">_xll.QCurves_GetAveragePrice(G$70,_xll.QDates_ListBusinessDaysInPeriod(D83,E83,"ICE"))</f>
        <v>57.327619047576569</v>
      </c>
      <c r="J83" s="75">
        <f t="shared" ca="1" si="10"/>
        <v>44562</v>
      </c>
      <c r="K83" t="str" cm="1">
        <f t="array" aca="1" ref="K83" ca="1">"FROSM "&amp;_xll.QDates_GetMonthCodeAndYear(J83,2)</f>
        <v>FROSM F22</v>
      </c>
      <c r="L83" s="1">
        <f t="shared" ca="1" si="11"/>
        <v>44562</v>
      </c>
      <c r="M83" s="1" cm="1">
        <f t="array" aca="1" ref="M83" ca="1">_xll.QDates_LastDay(J83)</f>
        <v>44592</v>
      </c>
      <c r="N83" cm="1">
        <f t="array" aca="1" ref="N83" ca="1">_xll.BDP(K83&amp;" Index","PX_LAST")</f>
        <v>-8.6999999999999993</v>
      </c>
      <c r="O83" t="str" cm="1">
        <f t="array" aca="1" ref="O83" ca="1">_xll.QIns_CreateAsianCrackDiffSwap(K83,L83:M83,"CO",J$70,"USD",N83,6350,1000,"ICE","LON","NYC","2b","0b","0b","USD.LIBOR.3M")</f>
        <v>FROSM F22¬6</v>
      </c>
      <c r="P83" s="14" cm="1">
        <f t="array" aca="1" ref="P83" ca="1">_xll.QCurves_GetAveragePrice(O$70,_xll.QDates_ListBusinessDaysInPeriod(L83,M83,"ICE"))</f>
        <v>309.42038095238121</v>
      </c>
      <c r="R83" s="75">
        <f t="shared" ca="1" si="12"/>
        <v>44562</v>
      </c>
      <c r="S83" t="str" cm="1">
        <f t="array" aca="1" ref="S83" ca="1">"FS1SM "&amp;_xll.QDates_GetMonthCodeAndYear(R83,2)</f>
        <v>FS1SM F22</v>
      </c>
      <c r="T83" s="1">
        <f t="shared" ca="1" si="13"/>
        <v>44562</v>
      </c>
      <c r="U83" s="1" cm="1">
        <f t="array" aca="1" ref="U83" ca="1">_xll.QDates_LastDay(R83)</f>
        <v>44592</v>
      </c>
      <c r="V83" cm="1">
        <f t="array" aca="1" ref="V83" ca="1">_xll.BDP(S83&amp;" Index","PX_LAST")</f>
        <v>30.218</v>
      </c>
      <c r="W83" t="str" cm="1">
        <f t="array" aca="1" ref="W83" ca="1">_xll.QIns_CreateAsianCrackDiffSwap(S83,T83:U83,$J$70,R$70,"USD",V83,1000,1000,"LON","LON","NYC","2b","0b","0b","USD.LIBOR.3M")</f>
        <v>FS1SM F22¬6</v>
      </c>
      <c r="X83" s="14" cm="1">
        <f t="array" aca="1" ref="X83" ca="1">_xll.QCurves_GetAveragePrice(W$70,_xll.QDates_ListBusinessDaysInPeriod(T83,U83,"ICE"))</f>
        <v>339.63838095238128</v>
      </c>
    </row>
    <row r="84" spans="2:24" x14ac:dyDescent="0.25">
      <c r="B84" s="75">
        <f t="shared" ca="1" si="8"/>
        <v>44593</v>
      </c>
      <c r="C84" t="str" cm="1">
        <f t="array" aca="1" ref="C84" ca="1">"FDBSM "&amp;_xll.QDates_GetMonthCodeAndYear(B84,2)</f>
        <v>FDBSM G22</v>
      </c>
      <c r="D84" s="1">
        <f t="shared" ca="1" si="9"/>
        <v>44593</v>
      </c>
      <c r="E84" s="1" cm="1">
        <f t="array" aca="1" ref="E84" ca="1">_xll.QDates_LastDay(B84)</f>
        <v>44620</v>
      </c>
      <c r="F84" cm="1">
        <f t="array" aca="1" ref="F84" ca="1">_xll.BDP(C84&amp;" Index","PX_LAST")</f>
        <v>-0.1</v>
      </c>
      <c r="G84" t="str" cm="1">
        <f t="array" aca="1" ref="G84" ca="1">_xll.QIns_CreateAsianCrackDiffSwap(C84,D84:E84,"CO","Dated","USD",F84,1,1,"ICE","LON","NYC","2b","0b","0b","USD.LIBOR.3M")</f>
        <v>FDBSM G22¬6</v>
      </c>
      <c r="H84" s="14" cm="1">
        <f t="array" aca="1" ref="H84" ca="1">_xll.QCurves_GetAveragePrice(G$70,_xll.QDates_ListBusinessDaysInPeriod(D84,E84,"ICE"))</f>
        <v>57.069499999995649</v>
      </c>
      <c r="J84" s="75">
        <f t="shared" ca="1" si="10"/>
        <v>44593</v>
      </c>
      <c r="K84" t="str" cm="1">
        <f t="array" aca="1" ref="K84" ca="1">"FROSM "&amp;_xll.QDates_GetMonthCodeAndYear(J84,2)</f>
        <v>FROSM G22</v>
      </c>
      <c r="L84" s="1">
        <f t="shared" ca="1" si="11"/>
        <v>44593</v>
      </c>
      <c r="M84" s="1" cm="1">
        <f t="array" aca="1" ref="M84" ca="1">_xll.QDates_LastDay(J84)</f>
        <v>44620</v>
      </c>
      <c r="N84" cm="1">
        <f t="array" aca="1" ref="N84" ca="1">_xll.BDP(K84&amp;" Index","PX_LAST")</f>
        <v>-8.7200000000000006</v>
      </c>
      <c r="O84" t="str" cm="1">
        <f t="array" aca="1" ref="O84" ca="1">_xll.QIns_CreateAsianCrackDiffSwap(K84,L84:M84,"CO",J$70,"USD",N84,6350,1000,"ICE","LON","NYC","2b","0b","0b","USD.LIBOR.3M")</f>
        <v>FROSM G22¬6</v>
      </c>
      <c r="P84" s="14" cm="1">
        <f t="array" aca="1" ref="P84" ca="1">_xll.QCurves_GetAveragePrice(O$70,_xll.QDates_ListBusinessDaysInPeriod(L84,M84,"ICE"))</f>
        <v>307.65432499999974</v>
      </c>
      <c r="R84" s="75">
        <f t="shared" ca="1" si="12"/>
        <v>44593</v>
      </c>
      <c r="S84" t="str" cm="1">
        <f t="array" aca="1" ref="S84" ca="1">"FS1SM "&amp;_xll.QDates_GetMonthCodeAndYear(R84,2)</f>
        <v>FS1SM G22</v>
      </c>
      <c r="T84" s="1">
        <f t="shared" ca="1" si="13"/>
        <v>44593</v>
      </c>
      <c r="U84" s="1" cm="1">
        <f t="array" aca="1" ref="U84" ca="1">_xll.QDates_LastDay(R84)</f>
        <v>44620</v>
      </c>
      <c r="V84" cm="1">
        <f t="array" aca="1" ref="V84" ca="1">_xll.BDP(S84&amp;" Index","PX_LAST")</f>
        <v>30.184000000000001</v>
      </c>
      <c r="W84" t="str" cm="1">
        <f t="array" aca="1" ref="W84" ca="1">_xll.QIns_CreateAsianCrackDiffSwap(S84,T84:U84,$J$70,R$70,"USD",V84,1000,1000,"LON","LON","NYC","2b","0b","0b","USD.LIBOR.3M")</f>
        <v>FS1SM G22¬6</v>
      </c>
      <c r="X84" s="14" cm="1">
        <f t="array" aca="1" ref="X84" ca="1">_xll.QCurves_GetAveragePrice(W$70,_xll.QDates_ListBusinessDaysInPeriod(T84,U84,"ICE"))</f>
        <v>337.83832499999983</v>
      </c>
    </row>
    <row r="85" spans="2:24" x14ac:dyDescent="0.25">
      <c r="B85" s="75">
        <f t="shared" ca="1" si="8"/>
        <v>44621</v>
      </c>
      <c r="C85" t="str" cm="1">
        <f t="array" aca="1" ref="C85" ca="1">"FDBSM "&amp;_xll.QDates_GetMonthCodeAndYear(B85,2)</f>
        <v>FDBSM H22</v>
      </c>
      <c r="D85" s="1">
        <f t="shared" ca="1" si="9"/>
        <v>44621</v>
      </c>
      <c r="E85" s="1" cm="1">
        <f t="array" aca="1" ref="E85" ca="1">_xll.QDates_LastDay(B85)</f>
        <v>44651</v>
      </c>
      <c r="F85" cm="1">
        <f t="array" aca="1" ref="F85" ca="1">_xll.BDP(C85&amp;" Index","PX_LAST")</f>
        <v>-0.1</v>
      </c>
      <c r="G85" t="str" cm="1">
        <f t="array" aca="1" ref="G85" ca="1">_xll.QIns_CreateAsianCrackDiffSwap(C85,D85:E85,"CO","Dated","USD",F85,1,1,"ICE","LON","NYC","2b","0b","0b","USD.LIBOR.3M")</f>
        <v>FDBSM H22¬6</v>
      </c>
      <c r="H85" s="14" cm="1">
        <f t="array" aca="1" ref="H85" ca="1">_xll.QCurves_GetAveragePrice(G$70,_xll.QDates_ListBusinessDaysInPeriod(D85,E85,"ICE"))</f>
        <v>56.837391304419491</v>
      </c>
      <c r="J85" s="75">
        <f t="shared" ca="1" si="10"/>
        <v>44621</v>
      </c>
      <c r="K85" t="str" cm="1">
        <f t="array" aca="1" ref="K85" ca="1">"FROSM "&amp;_xll.QDates_GetMonthCodeAndYear(J85,2)</f>
        <v>FROSM H22</v>
      </c>
      <c r="L85" s="1">
        <f t="shared" ca="1" si="11"/>
        <v>44621</v>
      </c>
      <c r="M85" s="1" cm="1">
        <f t="array" aca="1" ref="M85" ca="1">_xll.QDates_LastDay(J85)</f>
        <v>44651</v>
      </c>
      <c r="N85" cm="1">
        <f t="array" aca="1" ref="N85" ca="1">_xll.BDP(K85&amp;" Index","PX_LAST")</f>
        <v>-8.75</v>
      </c>
      <c r="O85" t="str" cm="1">
        <f t="array" aca="1" ref="O85" ca="1">_xll.QIns_CreateAsianCrackDiffSwap(K85,L85:M85,"CO",J$70,"USD",N85,6350,1000,"ICE","LON","NYC","2b","0b","0b","USD.LIBOR.3M")</f>
        <v>FROSM H22¬6</v>
      </c>
      <c r="P85" s="14" cm="1">
        <f t="array" aca="1" ref="P85" ca="1">_xll.QCurves_GetAveragePrice(O$70,_xll.QDates_ListBusinessDaysInPeriod(L85,M85,"ICE"))</f>
        <v>305.9899347826086</v>
      </c>
      <c r="R85" s="75">
        <f t="shared" ca="1" si="12"/>
        <v>44621</v>
      </c>
      <c r="S85" t="str" cm="1">
        <f t="array" aca="1" ref="S85" ca="1">"FS1SM "&amp;_xll.QDates_GetMonthCodeAndYear(R85,2)</f>
        <v>FS1SM H22</v>
      </c>
      <c r="T85" s="1">
        <f t="shared" ca="1" si="13"/>
        <v>44621</v>
      </c>
      <c r="U85" s="1" cm="1">
        <f t="array" aca="1" ref="U85" ca="1">_xll.QDates_LastDay(R85)</f>
        <v>44651</v>
      </c>
      <c r="V85" cm="1">
        <f t="array" aca="1" ref="V85" ca="1">_xll.BDP(S85&amp;" Index","PX_LAST")</f>
        <v>35.75</v>
      </c>
      <c r="W85" t="str" cm="1">
        <f t="array" aca="1" ref="W85" ca="1">_xll.QIns_CreateAsianCrackDiffSwap(S85,T85:U85,$J$70,R$70,"USD",V85,1000,1000,"LON","LON","NYC","2b","0b","0b","USD.LIBOR.3M")</f>
        <v>FS1SM H22¬6</v>
      </c>
      <c r="X85" s="14" cm="1">
        <f t="array" aca="1" ref="X85" ca="1">_xll.QCurves_GetAveragePrice(W$70,_xll.QDates_ListBusinessDaysInPeriod(T85,U85,"ICE"))</f>
        <v>341.73993478260849</v>
      </c>
    </row>
    <row r="86" spans="2:24" x14ac:dyDescent="0.25">
      <c r="B86" s="75">
        <f t="shared" ca="1" si="8"/>
        <v>44652</v>
      </c>
      <c r="C86" t="str" cm="1">
        <f t="array" aca="1" ref="C86" ca="1">"FDBSM "&amp;_xll.QDates_GetMonthCodeAndYear(B86,2)</f>
        <v>FDBSM J22</v>
      </c>
      <c r="D86" s="1">
        <f t="shared" ca="1" si="9"/>
        <v>44652</v>
      </c>
      <c r="E86" s="1" cm="1">
        <f t="array" aca="1" ref="E86" ca="1">_xll.QDates_LastDay(B86)</f>
        <v>44681</v>
      </c>
      <c r="F86" cm="1">
        <f t="array" aca="1" ref="F86" ca="1">_xll.BDP(C86&amp;" Index","PX_LAST")</f>
        <v>-0.1</v>
      </c>
      <c r="G86" t="str" cm="1">
        <f t="array" aca="1" ref="G86" ca="1">_xll.QIns_CreateAsianCrackDiffSwap(C86,D86:E86,"CO","Dated","USD",F86,1,1,"ICE","LON","NYC","2b","0b","0b","USD.LIBOR.3M")</f>
        <v>FDBSM J22¬6</v>
      </c>
      <c r="H86" s="14" cm="1">
        <f t="array" aca="1" ref="H86" ca="1">_xll.QCurves_GetAveragePrice(G$70,_xll.QDates_ListBusinessDaysInPeriod(D86,E86,"ICE"))</f>
        <v>56.130999999945843</v>
      </c>
      <c r="J86" s="75">
        <f t="shared" ca="1" si="10"/>
        <v>44652</v>
      </c>
      <c r="K86" t="str" cm="1">
        <f t="array" aca="1" ref="K86" ca="1">"FROSM "&amp;_xll.QDates_GetMonthCodeAndYear(J86,2)</f>
        <v>FROSM J22</v>
      </c>
      <c r="L86" s="1">
        <f t="shared" ca="1" si="11"/>
        <v>44652</v>
      </c>
      <c r="M86" s="1" cm="1">
        <f t="array" aca="1" ref="M86" ca="1">_xll.QDates_LastDay(J86)</f>
        <v>44681</v>
      </c>
      <c r="N86" cm="1">
        <f t="array" aca="1" ref="N86" ca="1">_xll.BDP(K86&amp;" Index","PX_LAST")</f>
        <v>-8.7899999999999991</v>
      </c>
      <c r="O86" t="str" cm="1">
        <f t="array" aca="1" ref="O86" ca="1">_xll.QIns_CreateAsianCrackDiffSwap(K86,L86:M86,"CO",J$70,"USD",N86,6350,1000,"ICE","LON","NYC","2b","0b","0b","USD.LIBOR.3M")</f>
        <v>FROSM J22¬6</v>
      </c>
      <c r="P86" s="14" cm="1">
        <f t="array" aca="1" ref="P86" ca="1">_xll.QCurves_GetAveragePrice(O$70,_xll.QDates_ListBusinessDaysInPeriod(L86,M86,"ICE"))</f>
        <v>301.25035000000014</v>
      </c>
      <c r="R86" s="75">
        <f t="shared" ca="1" si="12"/>
        <v>44652</v>
      </c>
      <c r="S86" t="str" cm="1">
        <f t="array" aca="1" ref="S86" ca="1">"FS1SM "&amp;_xll.QDates_GetMonthCodeAndYear(R86,2)</f>
        <v>FS1SM J22</v>
      </c>
      <c r="T86" s="1">
        <f t="shared" ca="1" si="13"/>
        <v>44652</v>
      </c>
      <c r="U86" s="1" cm="1">
        <f t="array" aca="1" ref="U86" ca="1">_xll.QDates_LastDay(R86)</f>
        <v>44681</v>
      </c>
      <c r="V86" cm="1">
        <f t="array" aca="1" ref="V86" ca="1">_xll.BDP(S86&amp;" Index","PX_LAST")</f>
        <v>35.024000000000001</v>
      </c>
      <c r="W86" t="str" cm="1">
        <f t="array" aca="1" ref="W86" ca="1">_xll.QIns_CreateAsianCrackDiffSwap(S86,T86:U86,$J$70,R$70,"USD",V86,1000,1000,"LON","LON","NYC","2b","0b","0b","USD.LIBOR.3M")</f>
        <v>FS1SM J22¬6</v>
      </c>
      <c r="X86" s="14" cm="1">
        <f t="array" aca="1" ref="X86" ca="1">_xll.QCurves_GetAveragePrice(W$70,_xll.QDates_ListBusinessDaysInPeriod(T86,U86,"ICE"))</f>
        <v>336.27434999999997</v>
      </c>
    </row>
    <row r="87" spans="2:24" x14ac:dyDescent="0.25">
      <c r="B87" s="75">
        <f t="shared" ca="1" si="8"/>
        <v>44682</v>
      </c>
      <c r="C87" t="str" cm="1">
        <f t="array" aca="1" ref="C87" ca="1">"FDBSM "&amp;_xll.QDates_GetMonthCodeAndYear(B87,2)</f>
        <v>FDBSM K22</v>
      </c>
      <c r="D87" s="1">
        <f t="shared" ca="1" si="9"/>
        <v>44682</v>
      </c>
      <c r="E87" s="1" cm="1">
        <f t="array" aca="1" ref="E87" ca="1">_xll.QDates_LastDay(B87)</f>
        <v>44712</v>
      </c>
      <c r="F87" cm="1">
        <f t="array" aca="1" ref="F87" ca="1">_xll.BDP(C87&amp;" Index","PX_LAST")</f>
        <v>-0.1</v>
      </c>
      <c r="G87" t="str" cm="1">
        <f t="array" aca="1" ref="G87" ca="1">_xll.QIns_CreateAsianCrackDiffSwap(C87,D87:E87,"CO","Dated","USD",F87,1,1,"ICE","LON","NYC","2b","0b","0b","USD.LIBOR.3M")</f>
        <v>FDBSM K22¬6</v>
      </c>
      <c r="H87" s="14" cm="1">
        <f t="array" aca="1" ref="H87" ca="1">_xll.QCurves_GetAveragePrice(G$70,_xll.QDates_ListBusinessDaysInPeriod(D87,E87,"ICE"))</f>
        <v>56.330909090907952</v>
      </c>
      <c r="J87" s="75">
        <f t="shared" ca="1" si="10"/>
        <v>44682</v>
      </c>
      <c r="K87" t="str" cm="1">
        <f t="array" aca="1" ref="K87" ca="1">"FROSM "&amp;_xll.QDates_GetMonthCodeAndYear(J87,2)</f>
        <v>FROSM K22</v>
      </c>
      <c r="L87" s="1">
        <f t="shared" ca="1" si="11"/>
        <v>44682</v>
      </c>
      <c r="M87" s="1" cm="1">
        <f t="array" aca="1" ref="M87" ca="1">_xll.QDates_LastDay(J87)</f>
        <v>44712</v>
      </c>
      <c r="N87" cm="1">
        <f t="array" aca="1" ref="N87" ca="1">_xll.BDP(K87&amp;" Index","PX_LAST")</f>
        <v>-8.84</v>
      </c>
      <c r="O87" t="str" cm="1">
        <f t="array" aca="1" ref="O87" ca="1">_xll.QIns_CreateAsianCrackDiffSwap(K87,L87:M87,"CO",J$70,"USD",N87,6350,1000,"ICE","LON","NYC","2b","0b","0b","USD.LIBOR.3M")</f>
        <v>FROSM K22¬6</v>
      </c>
      <c r="P87" s="14" cm="1">
        <f t="array" aca="1" ref="P87" ca="1">_xll.QCurves_GetAveragePrice(O$70,_xll.QDates_ListBusinessDaysInPeriod(L87,M87,"ICE"))</f>
        <v>302.20227272727277</v>
      </c>
      <c r="R87" s="75">
        <f t="shared" ca="1" si="12"/>
        <v>44682</v>
      </c>
      <c r="S87" t="str" cm="1">
        <f t="array" aca="1" ref="S87" ca="1">"FS1SM "&amp;_xll.QDates_GetMonthCodeAndYear(R87,2)</f>
        <v>FS1SM K22</v>
      </c>
      <c r="T87" s="1">
        <f t="shared" ca="1" si="13"/>
        <v>44682</v>
      </c>
      <c r="U87" s="1" cm="1">
        <f t="array" aca="1" ref="U87" ca="1">_xll.QDates_LastDay(R87)</f>
        <v>44712</v>
      </c>
      <c r="V87" cm="1">
        <f t="array" aca="1" ref="V87" ca="1">_xll.BDP(S87&amp;" Index","PX_LAST")</f>
        <v>35.024000000000001</v>
      </c>
      <c r="W87" t="str" cm="1">
        <f t="array" aca="1" ref="W87" ca="1">_xll.QIns_CreateAsianCrackDiffSwap(S87,T87:U87,$J$70,R$70,"USD",V87,1000,1000,"LON","LON","NYC","2b","0b","0b","USD.LIBOR.3M")</f>
        <v>FS1SM K22¬6</v>
      </c>
      <c r="X87" s="14" cm="1">
        <f t="array" aca="1" ref="X87" ca="1">_xll.QCurves_GetAveragePrice(W$70,_xll.QDates_ListBusinessDaysInPeriod(T87,U87,"ICE"))</f>
        <v>337.22627272727283</v>
      </c>
    </row>
    <row r="88" spans="2:24" x14ac:dyDescent="0.25">
      <c r="B88" s="75">
        <f t="shared" ca="1" si="8"/>
        <v>44713</v>
      </c>
      <c r="C88" t="str" cm="1">
        <f t="array" aca="1" ref="C88" ca="1">"FDBSM "&amp;_xll.QDates_GetMonthCodeAndYear(B88,2)</f>
        <v>FDBSM M22</v>
      </c>
      <c r="D88" s="1">
        <f t="shared" ca="1" si="9"/>
        <v>44713</v>
      </c>
      <c r="E88" s="1" cm="1">
        <f t="array" aca="1" ref="E88" ca="1">_xll.QDates_LastDay(B88)</f>
        <v>44742</v>
      </c>
      <c r="F88" cm="1">
        <f t="array" aca="1" ref="F88" ca="1">_xll.BDP(C88&amp;" Index","PX_LAST")</f>
        <v>-0.1</v>
      </c>
      <c r="G88" t="str" cm="1">
        <f t="array" aca="1" ref="G88" ca="1">_xll.QIns_CreateAsianCrackDiffSwap(C88,D88:E88,"CO","Dated","USD",F88,1,1,"ICE","LON","NYC","2b","0b","0b","USD.LIBOR.3M")</f>
        <v>FDBSM M22¬6</v>
      </c>
      <c r="H88" s="14" cm="1">
        <f t="array" aca="1" ref="H88" ca="1">_xll.QCurves_GetAveragePrice(G$70,_xll.QDates_ListBusinessDaysInPeriod(D88,E88,"ICE"))</f>
        <v>56.133181818187246</v>
      </c>
      <c r="J88" s="75">
        <f t="shared" ca="1" si="10"/>
        <v>44713</v>
      </c>
      <c r="K88" t="str" cm="1">
        <f t="array" aca="1" ref="K88" ca="1">"FROSM "&amp;_xll.QDates_GetMonthCodeAndYear(J88,2)</f>
        <v>FROSM M22</v>
      </c>
      <c r="L88" s="1">
        <f t="shared" ca="1" si="11"/>
        <v>44713</v>
      </c>
      <c r="M88" s="1" cm="1">
        <f t="array" aca="1" ref="M88" ca="1">_xll.QDates_LastDay(J88)</f>
        <v>44742</v>
      </c>
      <c r="N88" cm="1">
        <f t="array" aca="1" ref="N88" ca="1">_xll.BDP(K88&amp;" Index","PX_LAST")</f>
        <v>-8.9</v>
      </c>
      <c r="O88" t="str" cm="1">
        <f t="array" aca="1" ref="O88" ca="1">_xll.QIns_CreateAsianCrackDiffSwap(K88,L88:M88,"CO",J$70,"USD",N88,6350,1000,"ICE","LON","NYC","2b","0b","0b","USD.LIBOR.3M")</f>
        <v>FROSM M22¬6</v>
      </c>
      <c r="P88" s="14" cm="1">
        <f t="array" aca="1" ref="P88" ca="1">_xll.QCurves_GetAveragePrice(O$70,_xll.QDates_ListBusinessDaysInPeriod(L88,M88,"ICE"))</f>
        <v>300.56570454545448</v>
      </c>
      <c r="R88" s="75">
        <f t="shared" ca="1" si="12"/>
        <v>44713</v>
      </c>
      <c r="S88" t="str" cm="1">
        <f t="array" aca="1" ref="S88" ca="1">"FS1SM "&amp;_xll.QDates_GetMonthCodeAndYear(R88,2)</f>
        <v>FS1SM M22</v>
      </c>
      <c r="T88" s="1">
        <f t="shared" ca="1" si="13"/>
        <v>44713</v>
      </c>
      <c r="U88" s="1" cm="1">
        <f t="array" aca="1" ref="U88" ca="1">_xll.QDates_LastDay(R88)</f>
        <v>44742</v>
      </c>
      <c r="V88" cm="1">
        <f t="array" aca="1" ref="V88" ca="1">_xll.BDP(S88&amp;" Index","PX_LAST")</f>
        <v>35.024000000000001</v>
      </c>
      <c r="W88" t="str" cm="1">
        <f t="array" aca="1" ref="W88" ca="1">_xll.QIns_CreateAsianCrackDiffSwap(S88,T88:U88,$J$70,R$70,"USD",V88,1000,1000,"LON","LON","NYC","2b","0b","0b","USD.LIBOR.3M")</f>
        <v>FS1SM M22¬6</v>
      </c>
      <c r="X88" s="14" cm="1">
        <f t="array" aca="1" ref="X88" ca="1">_xll.QCurves_GetAveragePrice(W$70,_xll.QDates_ListBusinessDaysInPeriod(T88,U88,"ICE"))</f>
        <v>335.58970454545465</v>
      </c>
    </row>
    <row r="89" spans="2:24" x14ac:dyDescent="0.25">
      <c r="B89" s="75">
        <f t="shared" ca="1" si="8"/>
        <v>44743</v>
      </c>
      <c r="C89" t="str" cm="1">
        <f t="array" aca="1" ref="C89" ca="1">"FDBSM "&amp;_xll.QDates_GetMonthCodeAndYear(B89,2)</f>
        <v>FDBSM N22</v>
      </c>
      <c r="D89" s="1">
        <f t="shared" ca="1" si="9"/>
        <v>44743</v>
      </c>
      <c r="E89" s="1" cm="1">
        <f t="array" aca="1" ref="E89" ca="1">_xll.QDates_LastDay(B89)</f>
        <v>44773</v>
      </c>
      <c r="F89" cm="1">
        <f t="array" aca="1" ref="F89" ca="1">_xll.BDP(C89&amp;" Index","PX_LAST")</f>
        <v>-0.1</v>
      </c>
      <c r="G89" t="str" cm="1">
        <f t="array" aca="1" ref="G89" ca="1">_xll.QIns_CreateAsianCrackDiffSwap(C89,D89:E89,"CO","Dated","USD",F89,1,1,"ICE","LON","NYC","2b","0b","0b","USD.LIBOR.3M")</f>
        <v>FDBSM N22¬6</v>
      </c>
      <c r="H89" s="14" cm="1">
        <f t="array" aca="1" ref="H89" ca="1">_xll.QCurves_GetAveragePrice(G$70,_xll.QDates_ListBusinessDaysInPeriod(D89,E89,"ICE"))</f>
        <v>55.979047619040429</v>
      </c>
      <c r="J89" s="75">
        <f t="shared" ca="1" si="10"/>
        <v>44743</v>
      </c>
      <c r="K89" t="str" cm="1">
        <f t="array" aca="1" ref="K89" ca="1">"FROSM "&amp;_xll.QDates_GetMonthCodeAndYear(J89,2)</f>
        <v>FROSM N22</v>
      </c>
      <c r="L89" s="1">
        <f t="shared" ca="1" si="11"/>
        <v>44743</v>
      </c>
      <c r="M89" s="1" cm="1">
        <f t="array" aca="1" ref="M89" ca="1">_xll.QDates_LastDay(J89)</f>
        <v>44773</v>
      </c>
      <c r="N89" cm="1">
        <f t="array" aca="1" ref="N89" ca="1">_xll.BDP(K89&amp;" Index","PX_LAST")</f>
        <v>-8.98</v>
      </c>
      <c r="O89" t="str" cm="1">
        <f t="array" aca="1" ref="O89" ca="1">_xll.QIns_CreateAsianCrackDiffSwap(K89,L89:M89,"CO",J$70,"USD",N89,6350,1000,"ICE","LON","NYC","2b","0b","0b","USD.LIBOR.3M")</f>
        <v>FROSM N22¬6</v>
      </c>
      <c r="P89" s="14" cm="1">
        <f t="array" aca="1" ref="P89" ca="1">_xll.QCurves_GetAveragePrice(O$70,_xll.QDates_ListBusinessDaysInPeriod(L89,M89,"ICE"))</f>
        <v>299.07895238095256</v>
      </c>
      <c r="R89" s="75">
        <f t="shared" ca="1" si="12"/>
        <v>44743</v>
      </c>
      <c r="S89" t="str" cm="1">
        <f t="array" aca="1" ref="S89" ca="1">"FS1SM "&amp;_xll.QDates_GetMonthCodeAndYear(R89,2)</f>
        <v>FS1SM N22</v>
      </c>
      <c r="T89" s="1">
        <f t="shared" ca="1" si="13"/>
        <v>44743</v>
      </c>
      <c r="U89" s="1" cm="1">
        <f t="array" aca="1" ref="U89" ca="1">_xll.QDates_LastDay(R89)</f>
        <v>44773</v>
      </c>
      <c r="V89" cm="1">
        <f t="array" aca="1" ref="V89" ca="1">_xll.BDP(S89&amp;" Index","PX_LAST")</f>
        <v>35.024000000000001</v>
      </c>
      <c r="W89" t="str" cm="1">
        <f t="array" aca="1" ref="W89" ca="1">_xll.QIns_CreateAsianCrackDiffSwap(S89,T89:U89,$J$70,R$70,"USD",V89,1000,1000,"LON","LON","NYC","2b","0b","0b","USD.LIBOR.3M")</f>
        <v>FS1SM N22¬6</v>
      </c>
      <c r="X89" s="14" cm="1">
        <f t="array" aca="1" ref="X89" ca="1">_xll.QCurves_GetAveragePrice(W$70,_xll.QDates_ListBusinessDaysInPeriod(T89,U89,"ICE"))</f>
        <v>334.10295238095233</v>
      </c>
    </row>
    <row r="90" spans="2:24" x14ac:dyDescent="0.25">
      <c r="B90" s="75">
        <f t="shared" ca="1" si="8"/>
        <v>44774</v>
      </c>
      <c r="C90" t="str" cm="1">
        <f t="array" aca="1" ref="C90" ca="1">"FDBSM "&amp;_xll.QDates_GetMonthCodeAndYear(B90,2)</f>
        <v>FDBSM Q22</v>
      </c>
      <c r="D90" s="1">
        <f t="shared" ca="1" si="9"/>
        <v>44774</v>
      </c>
      <c r="E90" s="1" cm="1">
        <f t="array" aca="1" ref="E90" ca="1">_xll.QDates_LastDay(B90)</f>
        <v>44804</v>
      </c>
      <c r="F90" cm="1">
        <f t="array" aca="1" ref="F90" ca="1">_xll.BDP(C90&amp;" Index","PX_LAST")</f>
        <v>-0.11</v>
      </c>
      <c r="G90" t="str" cm="1">
        <f t="array" aca="1" ref="G90" ca="1">_xll.QIns_CreateAsianCrackDiffSwap(C90,D90:E90,"CO","Dated","USD",F90,1,1,"ICE","LON","NYC","2b","0b","0b","USD.LIBOR.3M")</f>
        <v>FDBSM Q22¬6</v>
      </c>
      <c r="H90" s="14" cm="1">
        <f t="array" aca="1" ref="H90" ca="1">_xll.QCurves_GetAveragePrice(G$70,_xll.QDates_ListBusinessDaysInPeriod(D90,E90,"ICE"))</f>
        <v>55.740434782615218</v>
      </c>
      <c r="J90" s="75">
        <f t="shared" ca="1" si="10"/>
        <v>44774</v>
      </c>
      <c r="K90" t="str" cm="1">
        <f t="array" aca="1" ref="K90" ca="1">"FROSM "&amp;_xll.QDates_GetMonthCodeAndYear(J90,2)</f>
        <v>FROSM Q22</v>
      </c>
      <c r="L90" s="1">
        <f t="shared" ca="1" si="11"/>
        <v>44774</v>
      </c>
      <c r="M90" s="1" cm="1">
        <f t="array" aca="1" ref="M90" ca="1">_xll.QDates_LastDay(J90)</f>
        <v>44804</v>
      </c>
      <c r="N90" cm="1">
        <f t="array" aca="1" ref="N90" ca="1">_xll.BDP(K90&amp;" Index","PX_LAST")</f>
        <v>-9.06</v>
      </c>
      <c r="O90" t="str" cm="1">
        <f t="array" aca="1" ref="O90" ca="1">_xll.QIns_CreateAsianCrackDiffSwap(K90,L90:M90,"CO",J$70,"USD",N90,6350,1000,"ICE","LON","NYC","2b","0b","0b","USD.LIBOR.3M")</f>
        <v>FROSM Q22¬6</v>
      </c>
      <c r="P90" s="14" cm="1">
        <f t="array" aca="1" ref="P90" ca="1">_xll.QCurves_GetAveragePrice(O$70,_xll.QDates_ListBusinessDaysInPeriod(L90,M90,"ICE"))</f>
        <v>297.11926086956538</v>
      </c>
      <c r="R90" s="75">
        <f t="shared" ca="1" si="12"/>
        <v>44774</v>
      </c>
      <c r="S90" t="str" cm="1">
        <f t="array" aca="1" ref="S90" ca="1">"FS1SM "&amp;_xll.QDates_GetMonthCodeAndYear(R90,2)</f>
        <v>FS1SM Q22</v>
      </c>
      <c r="T90" s="1">
        <f t="shared" ca="1" si="13"/>
        <v>44774</v>
      </c>
      <c r="U90" s="1" cm="1">
        <f t="array" aca="1" ref="U90" ca="1">_xll.QDates_LastDay(R90)</f>
        <v>44804</v>
      </c>
      <c r="V90" cm="1">
        <f t="array" aca="1" ref="V90" ca="1">_xll.BDP(S90&amp;" Index","PX_LAST")</f>
        <v>35.031999999999996</v>
      </c>
      <c r="W90" t="str" cm="1">
        <f t="array" aca="1" ref="W90" ca="1">_xll.QIns_CreateAsianCrackDiffSwap(S90,T90:U90,$J$70,R$70,"USD",V90,1000,1000,"LON","LON","NYC","2b","0b","0b","USD.LIBOR.3M")</f>
        <v>FS1SM Q22¬6</v>
      </c>
      <c r="X90" s="14" cm="1">
        <f t="array" aca="1" ref="X90" ca="1">_xll.QCurves_GetAveragePrice(W$70,_xll.QDates_ListBusinessDaysInPeriod(T90,U90,"ICE"))</f>
        <v>332.15126086956502</v>
      </c>
    </row>
    <row r="91" spans="2:24" x14ac:dyDescent="0.25">
      <c r="B91" s="75">
        <f t="shared" ref="B91:B100" ca="1" si="14">EDATE(B90,1)</f>
        <v>44805</v>
      </c>
      <c r="C91" t="str" cm="1">
        <f t="array" aca="1" ref="C91" ca="1">"FDBSM "&amp;_xll.QDates_GetMonthCodeAndYear(B91,2)</f>
        <v>FDBSM U22</v>
      </c>
      <c r="D91" s="1">
        <f t="shared" ref="D91:D100" ca="1" si="15">B91</f>
        <v>44805</v>
      </c>
      <c r="E91" s="1" cm="1">
        <f t="array" aca="1" ref="E91" ca="1">_xll.QDates_LastDay(B91)</f>
        <v>44834</v>
      </c>
      <c r="F91" cm="1">
        <f t="array" aca="1" ref="F91" ca="1">_xll.BDP(C91&amp;" Index","PX_LAST")</f>
        <v>-0.1</v>
      </c>
      <c r="G91" t="str" cm="1">
        <f t="array" aca="1" ref="G91" ca="1">_xll.QIns_CreateAsianCrackDiffSwap(C91,D91:E91,"CO","Dated","USD",F91,1,1,"ICE","LON","NYC","2b","0b","0b","USD.LIBOR.3M")</f>
        <v>FDBSM U22¬6</v>
      </c>
      <c r="H91" s="14" cm="1">
        <f t="array" aca="1" ref="H91" ca="1">_xll.QCurves_GetAveragePrice(G$70,_xll.QDates_ListBusinessDaysInPeriod(D91,E91,"ICE"))</f>
        <v>55.509090909115436</v>
      </c>
      <c r="J91" s="75">
        <f t="shared" ca="1" si="10"/>
        <v>44805</v>
      </c>
      <c r="K91" t="str" cm="1">
        <f t="array" aca="1" ref="K91" ca="1">"FROSM "&amp;_xll.QDates_GetMonthCodeAndYear(J91,2)</f>
        <v>FROSM U22</v>
      </c>
      <c r="L91" s="1">
        <f t="shared" ca="1" si="11"/>
        <v>44805</v>
      </c>
      <c r="M91" s="1" cm="1">
        <f t="array" aca="1" ref="M91" ca="1">_xll.QDates_LastDay(J91)</f>
        <v>44834</v>
      </c>
      <c r="N91" cm="1">
        <f t="array" aca="1" ref="N91" ca="1">_xll.BDP(K91&amp;" Index","PX_LAST")</f>
        <v>-9.1199999999999992</v>
      </c>
      <c r="O91" t="str" cm="1">
        <f t="array" aca="1" ref="O91" ca="1">_xll.QIns_CreateAsianCrackDiffSwap(K91,L91:M91,"CO",J$70,"USD",N91,6350,1000,"ICE","LON","NYC","2b","0b","0b","USD.LIBOR.3M")</f>
        <v>FROSM U22¬6</v>
      </c>
      <c r="P91" s="14" cm="1">
        <f t="array" aca="1" ref="P91" ca="1">_xll.QCurves_GetAveragePrice(O$70,_xll.QDates_ListBusinessDaysInPeriod(L91,M91,"ICE"))</f>
        <v>295.20572727272724</v>
      </c>
      <c r="R91" s="75">
        <f t="shared" ca="1" si="12"/>
        <v>44805</v>
      </c>
      <c r="S91" t="str" cm="1">
        <f t="array" aca="1" ref="S91" ca="1">"FS1SM "&amp;_xll.QDates_GetMonthCodeAndYear(R91,2)</f>
        <v>FS1SM U22</v>
      </c>
      <c r="T91" s="1">
        <f t="shared" ca="1" si="13"/>
        <v>44805</v>
      </c>
      <c r="U91" s="1" cm="1">
        <f t="array" aca="1" ref="U91" ca="1">_xll.QDates_LastDay(R91)</f>
        <v>44834</v>
      </c>
      <c r="V91" cm="1">
        <f t="array" aca="1" ref="V91" ca="1">_xll.BDP(S91&amp;" Index","PX_LAST")</f>
        <v>35.031999999999996</v>
      </c>
      <c r="W91" t="str" cm="1">
        <f t="array" aca="1" ref="W91" ca="1">_xll.QIns_CreateAsianCrackDiffSwap(S91,T91:U91,$J$70,R$70,"USD",V91,1000,1000,"LON","LON","NYC","2b","0b","0b","USD.LIBOR.3M")</f>
        <v>FS1SM U22¬6</v>
      </c>
      <c r="X91" s="14" cm="1">
        <f t="array" aca="1" ref="X91" ca="1">_xll.QCurves_GetAveragePrice(W$70,_xll.QDates_ListBusinessDaysInPeriod(T91,U91,"ICE"))</f>
        <v>330.23772727272711</v>
      </c>
    </row>
    <row r="92" spans="2:24" x14ac:dyDescent="0.25">
      <c r="B92" s="75">
        <f t="shared" ca="1" si="14"/>
        <v>44835</v>
      </c>
      <c r="C92" t="str" cm="1">
        <f t="array" aca="1" ref="C92" ca="1">"FDBSM "&amp;_xll.QDates_GetMonthCodeAndYear(B92,2)</f>
        <v>FDBSM V22</v>
      </c>
      <c r="D92" s="1">
        <f t="shared" ca="1" si="15"/>
        <v>44835</v>
      </c>
      <c r="E92" s="1" cm="1">
        <f t="array" aca="1" ref="E92" ca="1">_xll.QDates_LastDay(B92)</f>
        <v>44865</v>
      </c>
      <c r="F92" cm="1">
        <f t="array" aca="1" ref="F92" ca="1">_xll.BDP(C92&amp;" Index","PX_LAST")</f>
        <v>-0.1</v>
      </c>
      <c r="G92" t="str" cm="1">
        <f t="array" aca="1" ref="G92" ca="1">_xll.QIns_CreateAsianCrackDiffSwap(C92,D92:E92,"CO","Dated","USD",F92,1,1,"ICE","LON","NYC","2b","0b","0b","USD.LIBOR.3M")</f>
        <v>FDBSM V22¬6</v>
      </c>
      <c r="H92" s="14" cm="1">
        <f t="array" aca="1" ref="H92" ca="1">_xll.QCurves_GetAveragePrice(G$70,_xll.QDates_ListBusinessDaysInPeriod(D92,E92,"ICE"))</f>
        <v>54.874761904706801</v>
      </c>
      <c r="J92" s="75">
        <f t="shared" ca="1" si="10"/>
        <v>44835</v>
      </c>
      <c r="K92" t="str" cm="1">
        <f t="array" aca="1" ref="K92" ca="1">"FROSM "&amp;_xll.QDates_GetMonthCodeAndYear(J92,2)</f>
        <v>FROSM V22</v>
      </c>
      <c r="L92" s="1">
        <f t="shared" ca="1" si="11"/>
        <v>44835</v>
      </c>
      <c r="M92" s="1" cm="1">
        <f t="array" aca="1" ref="M92" ca="1">_xll.QDates_LastDay(J92)</f>
        <v>44865</v>
      </c>
      <c r="N92" cm="1">
        <f t="array" aca="1" ref="N92" ca="1">_xll.BDP(K92&amp;" Index","PX_LAST")</f>
        <v>-9.19</v>
      </c>
      <c r="O92" t="str" cm="1">
        <f t="array" aca="1" ref="O92" ca="1">_xll.QIns_CreateAsianCrackDiffSwap(K92,L92:M92,"CO",J$70,"USD",N92,6350,1000,"ICE","LON","NYC","2b","0b","0b","USD.LIBOR.3M")</f>
        <v>FROSM V22¬6</v>
      </c>
      <c r="P92" s="14" cm="1">
        <f t="array" aca="1" ref="P92" ca="1">_xll.QCurves_GetAveragePrice(O$70,_xll.QDates_ListBusinessDaysInPeriod(L92,M92,"ICE"))</f>
        <v>290.73323809523833</v>
      </c>
      <c r="R92" s="75">
        <f t="shared" ca="1" si="12"/>
        <v>44835</v>
      </c>
      <c r="S92" t="str" cm="1">
        <f t="array" aca="1" ref="S92" ca="1">"FS1SM "&amp;_xll.QDates_GetMonthCodeAndYear(R92,2)</f>
        <v>FS1SM V22</v>
      </c>
      <c r="T92" s="1">
        <f t="shared" ca="1" si="13"/>
        <v>44835</v>
      </c>
      <c r="U92" s="1" cm="1">
        <f t="array" aca="1" ref="U92" ca="1">_xll.QDates_LastDay(R92)</f>
        <v>44865</v>
      </c>
      <c r="V92" cm="1">
        <f t="array" aca="1" ref="V92" ca="1">_xll.BDP(S92&amp;" Index","PX_LAST")</f>
        <v>35.274000000000001</v>
      </c>
      <c r="W92" t="str" cm="1">
        <f t="array" aca="1" ref="W92" ca="1">_xll.QIns_CreateAsianCrackDiffSwap(S92,T92:U92,$J$70,R$70,"USD",V92,1000,1000,"LON","LON","NYC","2b","0b","0b","USD.LIBOR.3M")</f>
        <v>FS1SM V22¬6</v>
      </c>
      <c r="X92" s="14" cm="1">
        <f t="array" aca="1" ref="X92" ca="1">_xll.QCurves_GetAveragePrice(W$70,_xll.QDates_ListBusinessDaysInPeriod(T92,U92,"ICE"))</f>
        <v>326.00723809523816</v>
      </c>
    </row>
    <row r="93" spans="2:24" x14ac:dyDescent="0.25">
      <c r="B93" s="75">
        <f t="shared" ca="1" si="14"/>
        <v>44866</v>
      </c>
      <c r="C93" t="str" cm="1">
        <f t="array" aca="1" ref="C93" ca="1">"FDBSM "&amp;_xll.QDates_GetMonthCodeAndYear(B93,2)</f>
        <v>FDBSM X22</v>
      </c>
      <c r="D93" s="1">
        <f t="shared" ca="1" si="15"/>
        <v>44866</v>
      </c>
      <c r="E93" s="1" cm="1">
        <f t="array" aca="1" ref="E93" ca="1">_xll.QDates_LastDay(B93)</f>
        <v>44895</v>
      </c>
      <c r="F93" cm="1">
        <f t="array" aca="1" ref="F93" ca="1">_xll.BDP(C93&amp;" Index","PX_LAST")</f>
        <v>-0.1</v>
      </c>
      <c r="G93" t="str" cm="1">
        <f t="array" aca="1" ref="G93" ca="1">_xll.QIns_CreateAsianCrackDiffSwap(C93,D93:E93,"CO","Dated","USD",F93,1,1,"ICE","LON","NYC","2b","0b","0b","USD.LIBOR.3M")</f>
        <v>FDBSM X22¬6</v>
      </c>
      <c r="H93" s="14" cm="1">
        <f t="array" aca="1" ref="H93" ca="1">_xll.QCurves_GetAveragePrice(G$70,_xll.QDates_ListBusinessDaysInPeriod(D93,E93,"ICE"))</f>
        <v>55.164090909091712</v>
      </c>
      <c r="J93" s="75">
        <f t="shared" ca="1" si="10"/>
        <v>44866</v>
      </c>
      <c r="K93" t="str" cm="1">
        <f t="array" aca="1" ref="K93" ca="1">"FROSM "&amp;_xll.QDates_GetMonthCodeAndYear(J93,2)</f>
        <v>FROSM X22</v>
      </c>
      <c r="L93" s="1">
        <f t="shared" ca="1" si="11"/>
        <v>44866</v>
      </c>
      <c r="M93" s="1" cm="1">
        <f t="array" aca="1" ref="M93" ca="1">_xll.QDates_LastDay(J93)</f>
        <v>44895</v>
      </c>
      <c r="N93" cm="1">
        <f t="array" aca="1" ref="N93" ca="1">_xll.BDP(K93&amp;" Index","PX_LAST")</f>
        <v>-9.27</v>
      </c>
      <c r="O93" t="str" cm="1">
        <f t="array" aca="1" ref="O93" ca="1">_xll.QIns_CreateAsianCrackDiffSwap(K93,L93:M93,"CO",J$70,"USD",N93,6350,1000,"ICE","LON","NYC","2b","0b","0b","USD.LIBOR.3M")</f>
        <v>FROSM X22¬6</v>
      </c>
      <c r="P93" s="14" cm="1">
        <f t="array" aca="1" ref="P93" ca="1">_xll.QCurves_GetAveragePrice(O$70,_xll.QDates_ListBusinessDaysInPeriod(L93,M93,"ICE"))</f>
        <v>292.06247727272716</v>
      </c>
      <c r="R93" s="75">
        <f t="shared" ca="1" si="12"/>
        <v>44866</v>
      </c>
      <c r="S93" t="str" cm="1">
        <f t="array" aca="1" ref="S93" ca="1">"FS1SM "&amp;_xll.QDates_GetMonthCodeAndYear(R93,2)</f>
        <v>FS1SM X22</v>
      </c>
      <c r="T93" s="1">
        <f t="shared" ca="1" si="13"/>
        <v>44866</v>
      </c>
      <c r="U93" s="1" cm="1">
        <f t="array" aca="1" ref="U93" ca="1">_xll.QDates_LastDay(R93)</f>
        <v>44895</v>
      </c>
      <c r="V93" cm="1">
        <f t="array" aca="1" ref="V93" ca="1">_xll.BDP(S93&amp;" Index","PX_LAST")</f>
        <v>35.515999999999998</v>
      </c>
      <c r="W93" t="str" cm="1">
        <f t="array" aca="1" ref="W93" ca="1">_xll.QIns_CreateAsianCrackDiffSwap(S93,T93:U93,$J$70,R$70,"USD",V93,1000,1000,"LON","LON","NYC","2b","0b","0b","USD.LIBOR.3M")</f>
        <v>FS1SM X22¬6</v>
      </c>
      <c r="X93" s="14" cm="1">
        <f t="array" aca="1" ref="X93" ca="1">_xll.QCurves_GetAveragePrice(W$70,_xll.QDates_ListBusinessDaysInPeriod(T93,U93,"ICE"))</f>
        <v>327.57847727272724</v>
      </c>
    </row>
    <row r="94" spans="2:24" x14ac:dyDescent="0.25">
      <c r="B94" s="75">
        <f t="shared" ca="1" si="14"/>
        <v>44896</v>
      </c>
      <c r="C94" t="str" cm="1">
        <f t="array" aca="1" ref="C94" ca="1">"FDBSM "&amp;_xll.QDates_GetMonthCodeAndYear(B94,2)</f>
        <v>FDBSM Z22</v>
      </c>
      <c r="D94" s="1">
        <f t="shared" ca="1" si="15"/>
        <v>44896</v>
      </c>
      <c r="E94" s="1" cm="1">
        <f t="array" aca="1" ref="E94" ca="1">_xll.QDates_LastDay(B94)</f>
        <v>44926</v>
      </c>
      <c r="F94" cm="1">
        <f t="array" aca="1" ref="F94" ca="1">_xll.BDP(C94&amp;" Index","PX_LAST")</f>
        <v>-0.11</v>
      </c>
      <c r="G94" t="str" cm="1">
        <f t="array" aca="1" ref="G94" ca="1">_xll.QIns_CreateAsianCrackDiffSwap(C94,D94:E94,"CO","Dated","USD",F94,1,1,"ICE","LON","NYC","2b","0b","0b","USD.LIBOR.3M")</f>
        <v>FDBSM Z22¬6</v>
      </c>
      <c r="H94" s="14" cm="1">
        <f t="array" aca="1" ref="H94" ca="1">_xll.QCurves_GetAveragePrice(G$70,_xll.QDates_ListBusinessDaysInPeriod(D94,E94,"ICE"))</f>
        <v>55.024285714286556</v>
      </c>
      <c r="J94" s="75">
        <f t="shared" ca="1" si="10"/>
        <v>44896</v>
      </c>
      <c r="K94" t="str" cm="1">
        <f t="array" aca="1" ref="K94" ca="1">"FROSM "&amp;_xll.QDates_GetMonthCodeAndYear(J94,2)</f>
        <v>FROSM Z22</v>
      </c>
      <c r="L94" s="1">
        <f t="shared" ca="1" si="11"/>
        <v>44896</v>
      </c>
      <c r="M94" s="1" cm="1">
        <f t="array" aca="1" ref="M94" ca="1">_xll.QDates_LastDay(J94)</f>
        <v>44926</v>
      </c>
      <c r="N94" cm="1">
        <f t="array" aca="1" ref="N94" ca="1">_xll.BDP(K94&amp;" Index","PX_LAST")</f>
        <v>-9.3800000000000008</v>
      </c>
      <c r="O94" t="str" cm="1">
        <f t="array" aca="1" ref="O94" ca="1">_xll.QIns_CreateAsianCrackDiffSwap(K94,L94:M94,"CO",J$70,"USD",N94,6350,1000,"ICE","LON","NYC","2b","0b","0b","USD.LIBOR.3M")</f>
        <v>FROSM Z22¬6</v>
      </c>
      <c r="P94" s="14" cm="1">
        <f t="array" aca="1" ref="P94" ca="1">_xll.QCurves_GetAveragePrice(O$70,_xll.QDates_ListBusinessDaysInPeriod(L94,M94,"ICE"))</f>
        <v>290.5397142857143</v>
      </c>
      <c r="R94" s="75">
        <f t="shared" ca="1" si="12"/>
        <v>44896</v>
      </c>
      <c r="S94" t="str" cm="1">
        <f t="array" aca="1" ref="S94" ca="1">"FS1SM "&amp;_xll.QDates_GetMonthCodeAndYear(R94,2)</f>
        <v>FS1SM Z22</v>
      </c>
      <c r="T94" s="1">
        <f t="shared" ca="1" si="13"/>
        <v>44896</v>
      </c>
      <c r="U94" s="1" cm="1">
        <f t="array" aca="1" ref="U94" ca="1">_xll.QDates_LastDay(R94)</f>
        <v>44926</v>
      </c>
      <c r="V94" cm="1">
        <f t="array" aca="1" ref="V94" ca="1">_xll.BDP(S94&amp;" Index","PX_LAST")</f>
        <v>35.758000000000003</v>
      </c>
      <c r="W94" t="str" cm="1">
        <f t="array" aca="1" ref="W94" ca="1">_xll.QIns_CreateAsianCrackDiffSwap(S94,T94:U94,$J$70,R$70,"USD",V94,1000,1000,"LON","LON","NYC","2b","0b","0b","USD.LIBOR.3M")</f>
        <v>FS1SM Z22¬6</v>
      </c>
      <c r="X94" s="14" cm="1">
        <f t="array" aca="1" ref="X94" ca="1">_xll.QCurves_GetAveragePrice(W$70,_xll.QDates_ListBusinessDaysInPeriod(T94,U94,"ICE"))</f>
        <v>326.29771428571433</v>
      </c>
    </row>
    <row r="95" spans="2:24" x14ac:dyDescent="0.25">
      <c r="B95" s="75">
        <f t="shared" ca="1" si="14"/>
        <v>44927</v>
      </c>
      <c r="C95" t="str" cm="1">
        <f t="array" aca="1" ref="C95" ca="1">"FDBSM "&amp;_xll.QDates_GetMonthCodeAndYear(B95,2)</f>
        <v>FDBSM F23</v>
      </c>
      <c r="D95" s="1">
        <f t="shared" ca="1" si="15"/>
        <v>44927</v>
      </c>
      <c r="E95" s="1" cm="1">
        <f t="array" aca="1" ref="E95" ca="1">_xll.QDates_LastDay(B95)</f>
        <v>44957</v>
      </c>
      <c r="F95" cm="1">
        <f t="array" aca="1" ref="F95" ca="1">_xll.BDP(C95&amp;" Index","PX_LAST")</f>
        <v>-0.25</v>
      </c>
      <c r="G95" t="str" cm="1">
        <f t="array" aca="1" ref="G95" ca="1">_xll.QIns_CreateAsianCrackDiffSwap(C95,D95:E95,"CO","Dated","USD",F95,1,1,"ICE","LON","NYC","2b","0b","0b","USD.LIBOR.3M")</f>
        <v>FDBSM F23¬6</v>
      </c>
      <c r="H95" s="14" cm="1">
        <f t="array" aca="1" ref="H95" ca="1">_xll.QCurves_GetAveragePrice(G$70,_xll.QDates_ListBusinessDaysInPeriod(D95,E95,"ICE"))</f>
        <v>54.765714285762797</v>
      </c>
      <c r="J95" s="75">
        <f t="shared" ca="1" si="10"/>
        <v>44927</v>
      </c>
      <c r="K95" t="str" cm="1">
        <f t="array" aca="1" ref="K95" ca="1">"FROSM "&amp;_xll.QDates_GetMonthCodeAndYear(J95,2)</f>
        <v>FROSM F23</v>
      </c>
      <c r="L95" s="1">
        <f t="shared" ca="1" si="11"/>
        <v>44927</v>
      </c>
      <c r="M95" s="1" cm="1">
        <f t="array" aca="1" ref="M95" ca="1">_xll.QDates_LastDay(J95)</f>
        <v>44957</v>
      </c>
      <c r="N95" cm="1">
        <f t="array" aca="1" ref="N95" ca="1">_xll.BDP(K95&amp;" Index","PX_LAST")</f>
        <v>-9.42</v>
      </c>
      <c r="O95" t="str" cm="1">
        <f t="array" aca="1" ref="O95" ca="1">_xll.QIns_CreateAsianCrackDiffSwap(K95,L95:M95,"CO",J$70,"USD",N95,6350,1000,"ICE","LON","NYC","2b","0b","0b","USD.LIBOR.3M")</f>
        <v>FROSM F23¬6</v>
      </c>
      <c r="P95" s="14" cm="1">
        <f t="array" aca="1" ref="P95" ca="1">_xll.QCurves_GetAveragePrice(O$70,_xll.QDates_ListBusinessDaysInPeriod(L95,M95,"ICE"))</f>
        <v>289.53278571428558</v>
      </c>
      <c r="R95" s="75">
        <f t="shared" ca="1" si="12"/>
        <v>44927</v>
      </c>
      <c r="S95" t="str" cm="1">
        <f t="array" aca="1" ref="S95" ca="1">"FS1SM "&amp;_xll.QDates_GetMonthCodeAndYear(R95,2)</f>
        <v>FS1SM F23</v>
      </c>
      <c r="T95" s="1">
        <f t="shared" ca="1" si="13"/>
        <v>44927</v>
      </c>
      <c r="U95" s="1" cm="1">
        <f t="array" aca="1" ref="U95" ca="1">_xll.QDates_LastDay(R95)</f>
        <v>44957</v>
      </c>
      <c r="V95" cm="1">
        <f t="array" aca="1" ref="V95" ca="1">_xll.BDP(S95&amp;" Index","PX_LAST")</f>
        <v>35.758000000000003</v>
      </c>
      <c r="W95" t="str" cm="1">
        <f t="array" aca="1" ref="W95" ca="1">_xll.QIns_CreateAsianCrackDiffSwap(S95,T95:U95,$J$70,R$70,"USD",V95,1000,1000,"LON","LON","NYC","2b","0b","0b","USD.LIBOR.3M")</f>
        <v>FS1SM F23¬6</v>
      </c>
      <c r="X95" s="14" cm="1">
        <f t="array" aca="1" ref="X95" ca="1">_xll.QCurves_GetAveragePrice(W$70,_xll.QDates_ListBusinessDaysInPeriod(T95,U95,"ICE"))</f>
        <v>325.29078571428556</v>
      </c>
    </row>
    <row r="96" spans="2:24" x14ac:dyDescent="0.25">
      <c r="B96" s="75">
        <f t="shared" ca="1" si="14"/>
        <v>44958</v>
      </c>
      <c r="C96" t="str" cm="1">
        <f t="array" aca="1" ref="C96" ca="1">"FDBSM "&amp;_xll.QDates_GetMonthCodeAndYear(B96,2)</f>
        <v>FDBSM G23</v>
      </c>
      <c r="D96" s="1">
        <f t="shared" ca="1" si="15"/>
        <v>44958</v>
      </c>
      <c r="E96" s="1" cm="1">
        <f t="array" aca="1" ref="E96" ca="1">_xll.QDates_LastDay(B96)</f>
        <v>44985</v>
      </c>
      <c r="F96" cm="1">
        <f t="array" aca="1" ref="F96" ca="1">_xll.BDP(C96&amp;" Index","PX_LAST")</f>
        <v>-0.25</v>
      </c>
      <c r="G96" t="str" cm="1">
        <f t="array" aca="1" ref="G96" ca="1">_xll.QIns_CreateAsianCrackDiffSwap(C96,D96:E96,"CO","Dated","USD",F96,1,1,"ICE","LON","NYC","2b","0b","0b","USD.LIBOR.3M")</f>
        <v>FDBSM G23¬6</v>
      </c>
      <c r="H96" s="14" cm="1">
        <f t="array" aca="1" ref="H96" ca="1">_xll.QCurves_GetAveragePrice(G$70,_xll.QDates_ListBusinessDaysInPeriod(D96,E96,"ICE"))</f>
        <v>54.675499999978605</v>
      </c>
      <c r="J96" s="75">
        <f t="shared" ca="1" si="10"/>
        <v>44958</v>
      </c>
      <c r="K96" t="str" cm="1">
        <f t="array" aca="1" ref="K96" ca="1">"FROSM "&amp;_xll.QDates_GetMonthCodeAndYear(J96,2)</f>
        <v>FROSM G23</v>
      </c>
      <c r="L96" s="1">
        <f t="shared" ca="1" si="11"/>
        <v>44958</v>
      </c>
      <c r="M96" s="1" cm="1">
        <f t="array" aca="1" ref="M96" ca="1">_xll.QDates_LastDay(J96)</f>
        <v>44985</v>
      </c>
      <c r="N96" cm="1">
        <f t="array" aca="1" ref="N96" ca="1">_xll.BDP(K96&amp;" Index","PX_LAST")</f>
        <v>-9.18</v>
      </c>
      <c r="O96" t="str" cm="1">
        <f t="array" aca="1" ref="O96" ca="1">_xll.QIns_CreateAsianCrackDiffSwap(K96,L96:M96,"CO",J$70,"USD",N96,6350,1000,"ICE","LON","NYC","2b","0b","0b","USD.LIBOR.3M")</f>
        <v>FROSM G23¬6</v>
      </c>
      <c r="P96" s="14" cm="1">
        <f t="array" aca="1" ref="P96" ca="1">_xll.QCurves_GetAveragePrice(O$70,_xll.QDates_ListBusinessDaysInPeriod(L96,M96,"ICE"))</f>
        <v>290.48392499999989</v>
      </c>
      <c r="R96" s="75">
        <f t="shared" ca="1" si="12"/>
        <v>44958</v>
      </c>
      <c r="S96" t="str" cm="1">
        <f t="array" aca="1" ref="S96" ca="1">"FS1SM "&amp;_xll.QDates_GetMonthCodeAndYear(R96,2)</f>
        <v>FS1SM G23</v>
      </c>
      <c r="T96" s="1">
        <f t="shared" ca="1" si="13"/>
        <v>44958</v>
      </c>
      <c r="U96" s="1" cm="1">
        <f t="array" aca="1" ref="U96" ca="1">_xll.QDates_LastDay(R96)</f>
        <v>44985</v>
      </c>
      <c r="V96" cm="1">
        <f t="array" aca="1" ref="V96" ca="1">_xll.BDP(S96&amp;" Index","PX_LAST")</f>
        <v>35.758000000000003</v>
      </c>
      <c r="W96" t="str" cm="1">
        <f t="array" aca="1" ref="W96" ca="1">_xll.QIns_CreateAsianCrackDiffSwap(S96,T96:U96,$J$70,R$70,"USD",V96,1000,1000,"LON","LON","NYC","2b","0b","0b","USD.LIBOR.3M")</f>
        <v>FS1SM G23¬6</v>
      </c>
      <c r="X96" s="14" cm="1">
        <f t="array" aca="1" ref="X96" ca="1">_xll.QCurves_GetAveragePrice(W$70,_xll.QDates_ListBusinessDaysInPeriod(T96,U96,"ICE"))</f>
        <v>326.24192499999998</v>
      </c>
    </row>
    <row r="97" spans="1:24" x14ac:dyDescent="0.25">
      <c r="B97" s="75">
        <f t="shared" ca="1" si="14"/>
        <v>44986</v>
      </c>
      <c r="C97" t="str" cm="1">
        <f t="array" aca="1" ref="C97" ca="1">"FDBSM "&amp;_xll.QDates_GetMonthCodeAndYear(B97,2)</f>
        <v>FDBSM H23</v>
      </c>
      <c r="D97" s="1">
        <f t="shared" ca="1" si="15"/>
        <v>44986</v>
      </c>
      <c r="E97" s="1" cm="1">
        <f t="array" aca="1" ref="E97" ca="1">_xll.QDates_LastDay(B97)</f>
        <v>45016</v>
      </c>
      <c r="F97" cm="1">
        <f t="array" aca="1" ref="F97" ca="1">_xll.BDP(C97&amp;" Index","PX_LAST")</f>
        <v>-0.25</v>
      </c>
      <c r="G97" t="str" cm="1">
        <f t="array" aca="1" ref="G97" ca="1">_xll.QIns_CreateAsianCrackDiffSwap(C97,D97:E97,"CO","Dated","USD",F97,1,1,"ICE","LON","NYC","2b","0b","0b","USD.LIBOR.3M")</f>
        <v>FDBSM H23¬6</v>
      </c>
      <c r="H97" s="14" cm="1">
        <f t="array" aca="1" ref="H97" ca="1">_xll.QCurves_GetAveragePrice(G$70,_xll.QDates_ListBusinessDaysInPeriod(D97,E97,"ICE"))</f>
        <v>54.560869565131341</v>
      </c>
      <c r="J97" s="75">
        <f t="shared" ca="1" si="10"/>
        <v>44986</v>
      </c>
      <c r="K97" t="str" cm="1">
        <f t="array" aca="1" ref="K97" ca="1">"FROSM "&amp;_xll.QDates_GetMonthCodeAndYear(J97,2)</f>
        <v>FROSM H23</v>
      </c>
      <c r="L97" s="1">
        <f t="shared" ca="1" si="11"/>
        <v>44986</v>
      </c>
      <c r="M97" s="1" cm="1">
        <f t="array" aca="1" ref="M97" ca="1">_xll.QDates_LastDay(J97)</f>
        <v>45016</v>
      </c>
      <c r="N97" cm="1">
        <f t="array" aca="1" ref="N97" ca="1">_xll.BDP(K97&amp;" Index","PX_LAST")</f>
        <v>-8.9600000000000009</v>
      </c>
      <c r="O97" t="str" cm="1">
        <f t="array" aca="1" ref="O97" ca="1">_xll.QIns_CreateAsianCrackDiffSwap(K97,L97:M97,"CO",J$70,"USD",N97,6350,1000,"ICE","LON","NYC","2b","0b","0b","USD.LIBOR.3M")</f>
        <v>FROSM H23¬6</v>
      </c>
      <c r="P97" s="14" cm="1">
        <f t="array" aca="1" ref="P97" ca="1">_xll.QCurves_GetAveragePrice(O$70,_xll.QDates_ListBusinessDaysInPeriod(L97,M97,"ICE"))</f>
        <v>291.15302173913039</v>
      </c>
      <c r="R97" s="75">
        <f t="shared" ca="1" si="12"/>
        <v>44986</v>
      </c>
      <c r="S97" t="str" cm="1">
        <f t="array" aca="1" ref="S97" ca="1">"FS1SM "&amp;_xll.QDates_GetMonthCodeAndYear(R97,2)</f>
        <v>FS1SM H23</v>
      </c>
      <c r="T97" s="1">
        <f t="shared" ca="1" si="13"/>
        <v>44986</v>
      </c>
      <c r="U97" s="1" cm="1">
        <f t="array" aca="1" ref="U97" ca="1">_xll.QDates_LastDay(R97)</f>
        <v>45016</v>
      </c>
      <c r="V97" cm="1">
        <f t="array" aca="1" ref="V97" ca="1">_xll.BDP(S97&amp;" Index","PX_LAST")</f>
        <v>35.758000000000003</v>
      </c>
      <c r="W97" t="str" cm="1">
        <f t="array" aca="1" ref="W97" ca="1">_xll.QIns_CreateAsianCrackDiffSwap(S97,T97:U97,$J$70,R$70,"USD",V97,1000,1000,"LON","LON","NYC","2b","0b","0b","USD.LIBOR.3M")</f>
        <v>FS1SM H23¬6</v>
      </c>
      <c r="X97" s="14" cm="1">
        <f t="array" aca="1" ref="X97" ca="1">_xll.QCurves_GetAveragePrice(W$70,_xll.QDates_ListBusinessDaysInPeriod(T97,U97,"ICE"))</f>
        <v>326.91102173913004</v>
      </c>
    </row>
    <row r="98" spans="1:24" x14ac:dyDescent="0.25">
      <c r="B98" s="75">
        <f t="shared" ca="1" si="14"/>
        <v>45017</v>
      </c>
      <c r="C98" t="str" cm="1">
        <f t="array" aca="1" ref="C98" ca="1">"FDBSM "&amp;_xll.QDates_GetMonthCodeAndYear(B98,2)</f>
        <v>FDBSM J23</v>
      </c>
      <c r="D98" s="1">
        <f t="shared" ca="1" si="15"/>
        <v>45017</v>
      </c>
      <c r="E98" s="1" cm="1">
        <f t="array" aca="1" ref="E98" ca="1">_xll.QDates_LastDay(B98)</f>
        <v>45046</v>
      </c>
      <c r="F98" cm="1">
        <f t="array" aca="1" ref="F98" ca="1">_xll.BDP(C98&amp;" Index","PX_LAST")</f>
        <v>-0.22</v>
      </c>
      <c r="G98" t="str" cm="1">
        <f t="array" aca="1" ref="G98" ca="1">_xll.QIns_CreateAsianCrackDiffSwap(C98,D98:E98,"CO","Dated","USD",F98,1,1,"ICE","LON","NYC","2b","0b","0b","USD.LIBOR.3M")</f>
        <v>FDBSM J23¬6</v>
      </c>
      <c r="H98" s="14" cm="1">
        <f t="array" aca="1" ref="H98" ca="1">_xll.QCurves_GetAveragePrice(G$70,_xll.QDates_ListBusinessDaysInPeriod(D98,E98,"ICE"))</f>
        <v>53.943245614064573</v>
      </c>
      <c r="J98" s="75">
        <f t="shared" ca="1" si="10"/>
        <v>45017</v>
      </c>
      <c r="K98" t="str" cm="1">
        <f t="array" aca="1" ref="K98" ca="1">"FROSM "&amp;_xll.QDates_GetMonthCodeAndYear(J98,2)</f>
        <v>FROSM J23</v>
      </c>
      <c r="L98" s="1">
        <f t="shared" ca="1" si="11"/>
        <v>45017</v>
      </c>
      <c r="M98" s="1" cm="1">
        <f t="array" aca="1" ref="M98" ca="1">_xll.QDates_LastDay(J98)</f>
        <v>45046</v>
      </c>
      <c r="N98" cm="1">
        <f t="array" aca="1" ref="N98" ca="1">_xll.BDP(K98&amp;" Index","PX_LAST")</f>
        <v>-8.77</v>
      </c>
      <c r="O98" t="str" cm="1">
        <f t="array" aca="1" ref="O98" ca="1">_xll.QIns_CreateAsianCrackDiffSwap(K98,L98:M98,"CO",J$70,"USD",N98,6350,1000,"ICE","LON","NYC","2b","0b","0b","USD.LIBOR.3M")</f>
        <v>FROSM J23¬6</v>
      </c>
      <c r="P98" s="14" cm="1">
        <f t="array" aca="1" ref="P98" ca="1">_xll.QCurves_GetAveragePrice(O$70,_xll.QDates_ListBusinessDaysInPeriod(L98,M98,"ICE"))</f>
        <v>288.24710964912271</v>
      </c>
      <c r="R98" s="75">
        <f t="shared" ca="1" si="12"/>
        <v>45017</v>
      </c>
      <c r="S98" t="str" cm="1">
        <f t="array" aca="1" ref="S98" ca="1">"FS1SM "&amp;_xll.QDates_GetMonthCodeAndYear(R98,2)</f>
        <v>FS1SM J23</v>
      </c>
      <c r="T98" s="1">
        <f t="shared" ca="1" si="13"/>
        <v>45017</v>
      </c>
      <c r="U98" s="1" cm="1">
        <f t="array" aca="1" ref="U98" ca="1">_xll.QDates_LastDay(R98)</f>
        <v>45046</v>
      </c>
      <c r="V98" cm="1">
        <f t="array" aca="1" ref="V98" ca="1">_xll.BDP(S98&amp;" Index","PX_LAST")</f>
        <v>35.758000000000003</v>
      </c>
      <c r="W98" t="str" cm="1">
        <f t="array" aca="1" ref="W98" ca="1">_xll.QIns_CreateAsianCrackDiffSwap(S98,T98:U98,$J$70,R$70,"USD",V98,1000,1000,"LON","LON","NYC","2b","0b","0b","USD.LIBOR.3M")</f>
        <v>FS1SM J23¬6</v>
      </c>
      <c r="X98" s="14" cm="1">
        <f t="array" aca="1" ref="X98" ca="1">_xll.QCurves_GetAveragePrice(W$70,_xll.QDates_ListBusinessDaysInPeriod(T98,U98,"ICE"))</f>
        <v>324.00510964912274</v>
      </c>
    </row>
    <row r="99" spans="1:24" x14ac:dyDescent="0.25">
      <c r="B99" s="75">
        <f t="shared" ca="1" si="14"/>
        <v>45047</v>
      </c>
      <c r="C99" t="str" cm="1">
        <f t="array" aca="1" ref="C99" ca="1">"FDBSM "&amp;_xll.QDates_GetMonthCodeAndYear(B99,2)</f>
        <v>FDBSM K23</v>
      </c>
      <c r="D99" s="1">
        <f t="shared" ca="1" si="15"/>
        <v>45047</v>
      </c>
      <c r="E99" s="1" cm="1">
        <f t="array" aca="1" ref="E99" ca="1">_xll.QDates_LastDay(B99)</f>
        <v>45077</v>
      </c>
      <c r="F99" cm="1">
        <f t="array" aca="1" ref="F99" ca="1">_xll.BDP(C99&amp;" Index","PX_LAST")</f>
        <v>-0.22</v>
      </c>
      <c r="G99" t="str" cm="1">
        <f t="array" aca="1" ref="G99" ca="1">_xll.QIns_CreateAsianCrackDiffSwap(C99,D99:E99,"CO","Dated","USD",F99,1,1,"ICE","LON","NYC","2b","0b","0b","USD.LIBOR.3M")</f>
        <v>FDBSM K23¬6</v>
      </c>
      <c r="H99" s="14" cm="1">
        <f t="array" aca="1" ref="H99" ca="1">_xll.QCurves_GetAveragePrice(G$70,_xll.QDates_ListBusinessDaysInPeriod(D99,E99,"ICE"))</f>
        <v>53.816086956553214</v>
      </c>
      <c r="J99" s="75">
        <f t="shared" ca="1" si="10"/>
        <v>45047</v>
      </c>
      <c r="K99" t="str" cm="1">
        <f t="array" aca="1" ref="K99" ca="1">"FROSM "&amp;_xll.QDates_GetMonthCodeAndYear(J99,2)</f>
        <v>FROSM K23</v>
      </c>
      <c r="L99" s="1">
        <f t="shared" ca="1" si="11"/>
        <v>45047</v>
      </c>
      <c r="M99" s="1" cm="1">
        <f t="array" aca="1" ref="M99" ca="1">_xll.QDates_LastDay(J99)</f>
        <v>45077</v>
      </c>
      <c r="N99" cm="1">
        <f t="array" aca="1" ref="N99" ca="1">_xll.BDP(K99&amp;" Index","PX_LAST")</f>
        <v>-8.58</v>
      </c>
      <c r="O99" t="str" cm="1">
        <f t="array" aca="1" ref="O99" ca="1">_xll.QIns_CreateAsianCrackDiffSwap(K99,L99:M99,"CO",J$70,"USD",N99,6350,1000,"ICE","LON","NYC","2b","0b","0b","USD.LIBOR.3M")</f>
        <v>FROSM K23¬6</v>
      </c>
      <c r="P99" s="14" cm="1">
        <f t="array" aca="1" ref="P99" ca="1">_xll.QCurves_GetAveragePrice(O$70,_xll.QDates_ListBusinessDaysInPeriod(L99,M99,"ICE"))</f>
        <v>288.64615217391298</v>
      </c>
      <c r="R99" s="75">
        <f t="shared" ca="1" si="12"/>
        <v>45047</v>
      </c>
      <c r="S99" t="str" cm="1">
        <f t="array" aca="1" ref="S99" ca="1">"FS1SM "&amp;_xll.QDates_GetMonthCodeAndYear(R99,2)</f>
        <v>FS1SM K23</v>
      </c>
      <c r="T99" s="1">
        <f t="shared" ca="1" si="13"/>
        <v>45047</v>
      </c>
      <c r="U99" s="1" cm="1">
        <f t="array" aca="1" ref="U99" ca="1">_xll.QDates_LastDay(R99)</f>
        <v>45077</v>
      </c>
      <c r="V99" cm="1">
        <f t="array" aca="1" ref="V99" ca="1">_xll.BDP(S99&amp;" Index","PX_LAST")</f>
        <v>37.694000000000003</v>
      </c>
      <c r="W99" t="str" cm="1">
        <f t="array" aca="1" ref="W99" ca="1">_xll.QIns_CreateAsianCrackDiffSwap(S99,T99:U99,$J$70,R$70,"USD",V99,1000,1000,"LON","LON","NYC","2b","0b","0b","USD.LIBOR.3M")</f>
        <v>FS1SM K23¬6</v>
      </c>
      <c r="X99" s="14" cm="1">
        <f t="array" aca="1" ref="X99" ca="1">_xll.QCurves_GetAveragePrice(W$70,_xll.QDates_ListBusinessDaysInPeriod(T99,U99,"ICE"))</f>
        <v>326.34015217391311</v>
      </c>
    </row>
    <row r="100" spans="1:24" x14ac:dyDescent="0.25">
      <c r="B100" s="75">
        <f t="shared" ca="1" si="14"/>
        <v>45078</v>
      </c>
      <c r="C100" t="str" cm="1">
        <f t="array" aca="1" ref="C100" ca="1">"FDBSM "&amp;_xll.QDates_GetMonthCodeAndYear(B100,2)</f>
        <v>FDBSM M23</v>
      </c>
      <c r="D100" s="1">
        <f t="shared" ca="1" si="15"/>
        <v>45078</v>
      </c>
      <c r="E100" s="1" cm="1">
        <f t="array" aca="1" ref="E100" ca="1">_xll.QDates_LastDay(B100)</f>
        <v>45107</v>
      </c>
      <c r="F100" cm="1">
        <f t="array" aca="1" ref="F100" ca="1">_xll.BDP(C100&amp;" Index","PX_LAST")</f>
        <v>-0.22</v>
      </c>
      <c r="G100" t="str" cm="1">
        <f t="array" aca="1" ref="G100" ca="1">_xll.QIns_CreateAsianCrackDiffSwap(C100,D100:E100,"CO","Dated","USD",F100,1,1,"ICE","LON","NYC","2b","0b","0b","USD.LIBOR.3M")</f>
        <v>FDBSM M23¬6</v>
      </c>
      <c r="H100" s="14" cm="1">
        <f t="array" aca="1" ref="H100" ca="1">_xll.QCurves_GetAveragePrice(G$70,_xll.QDates_ListBusinessDaysInPeriod(D100,E100,"ICE"))</f>
        <v>53.687954545493398</v>
      </c>
      <c r="J100" s="75">
        <f t="shared" ca="1" si="10"/>
        <v>45078</v>
      </c>
      <c r="K100" t="str" cm="1">
        <f t="array" aca="1" ref="K100" ca="1">"FROSM "&amp;_xll.QDates_GetMonthCodeAndYear(J100,2)</f>
        <v>FROSM M23</v>
      </c>
      <c r="L100" s="1">
        <f t="shared" ca="1" si="11"/>
        <v>45078</v>
      </c>
      <c r="M100" s="1" cm="1">
        <f t="array" aca="1" ref="M100" ca="1">_xll.QDates_LastDay(J100)</f>
        <v>45107</v>
      </c>
      <c r="N100" cm="1">
        <f t="array" aca="1" ref="N100" ca="1">_xll.BDP(K100&amp;" Index","PX_LAST")</f>
        <v>-8.42</v>
      </c>
      <c r="O100" t="str" cm="1">
        <f t="array" aca="1" ref="O100" ca="1">_xll.QIns_CreateAsianCrackDiffSwap(K100,L100:M100,"CO",J$70,"USD",N100,6350,1000,"ICE","LON","NYC","2b","0b","0b","USD.LIBOR.3M")</f>
        <v>FROSM M23¬6</v>
      </c>
      <c r="P100" s="14" cm="1">
        <f t="array" aca="1" ref="P100" ca="1">_xll.QCurves_GetAveragePrice(O$70,_xll.QDates_ListBusinessDaysInPeriod(L100,M100,"ICE"))</f>
        <v>288.84851136363619</v>
      </c>
      <c r="R100" s="75">
        <f t="shared" ca="1" si="12"/>
        <v>45078</v>
      </c>
      <c r="S100" t="str" cm="1">
        <f t="array" aca="1" ref="S100" ca="1">"FS1SM "&amp;_xll.QDates_GetMonthCodeAndYear(R100,2)</f>
        <v>FS1SM M23</v>
      </c>
      <c r="T100" s="1">
        <f t="shared" ca="1" si="13"/>
        <v>45078</v>
      </c>
      <c r="U100" s="1" cm="1">
        <f t="array" aca="1" ref="U100" ca="1">_xll.QDates_LastDay(R100)</f>
        <v>45107</v>
      </c>
      <c r="V100" cm="1">
        <f t="array" aca="1" ref="V100" ca="1">_xll.BDP(S100&amp;" Index","PX_LAST")</f>
        <v>37.694000000000003</v>
      </c>
      <c r="W100" t="str" cm="1">
        <f t="array" aca="1" ref="W100" ca="1">_xll.QIns_CreateAsianCrackDiffSwap(S100,T100:U100,$J$70,R$70,"USD",V100,1000,1000,"LON","LON","NYC","2b","0b","0b","USD.LIBOR.3M")</f>
        <v>FS1SM M23¬6</v>
      </c>
      <c r="X100" s="14" cm="1">
        <f t="array" aca="1" ref="X100" ca="1">_xll.QCurves_GetAveragePrice(W$70,_xll.QDates_ListBusinessDaysInPeriod(T100,U100,"ICE"))</f>
        <v>326.54251136363649</v>
      </c>
    </row>
    <row r="101" spans="1:24" x14ac:dyDescent="0.25">
      <c r="P101" s="14"/>
    </row>
    <row r="102" spans="1:24" x14ac:dyDescent="0.25">
      <c r="A102" s="3" t="s">
        <v>121</v>
      </c>
      <c r="B102" s="1"/>
    </row>
    <row r="103" spans="1:24" x14ac:dyDescent="0.25">
      <c r="A103" s="3"/>
      <c r="B103" s="12" t="s">
        <v>122</v>
      </c>
      <c r="C103" s="71">
        <f ca="1">C104-365</f>
        <v>43873</v>
      </c>
    </row>
    <row r="104" spans="1:24" x14ac:dyDescent="0.25">
      <c r="A104" s="3"/>
      <c r="B104" s="12" t="s">
        <v>123</v>
      </c>
      <c r="C104" s="71">
        <f ca="1">valDate</f>
        <v>44238</v>
      </c>
    </row>
    <row r="105" spans="1:24" x14ac:dyDescent="0.25">
      <c r="A105" s="3"/>
      <c r="B105" s="8" t="s">
        <v>129</v>
      </c>
      <c r="C105" s="76" t="str">
        <f ca="1">_xll.QCurves_CreateFixingDictionaryForRollingFuture("fixings."&amp;B105,B105,B105,_xll.BDH(B105&amp;"1 Comdty","PX_LAST",$C$103,$C$104,"Array=true"),_xll.BDH(B105&amp;"2 Comdty","PX_LAST",$C$103,$C$104,"Array=true"))</f>
        <v>fixings.CO¬7</v>
      </c>
    </row>
    <row r="106" spans="1:24" x14ac:dyDescent="0.25">
      <c r="A106" s="3"/>
      <c r="B106" s="8" t="s">
        <v>134</v>
      </c>
      <c r="C106" s="76" t="str">
        <f ca="1">_xll.QCurves_CreateFixingDictionaryForRollingFuture("fixings."&amp;B106,B106,B106,_xll.BDH(B106&amp;"1 Comdty","PX_LAST",$C$103,$C$104,"Array=true"),_xll.BDH(B106&amp;"2 Comdty","PX_LAST",$C$103,$C$104,"Array=true"))</f>
        <v>fixings.QS¬6</v>
      </c>
    </row>
    <row r="107" spans="1:24" x14ac:dyDescent="0.25">
      <c r="A107" s="3"/>
      <c r="B107" s="8" t="s">
        <v>136</v>
      </c>
      <c r="C107" t="str">
        <f ca="1">_xll.QCurves_CreateFixingDictionary("Fixings."&amp;B107,B107,_xll.BDH(B107&amp;"1 Comdty","PX_SETTLE",$C$103,$C$104,"Array=true"))</f>
        <v>Fixings.CL¬6</v>
      </c>
    </row>
    <row r="108" spans="1:24" x14ac:dyDescent="0.25">
      <c r="A108" s="3"/>
      <c r="B108" s="8" t="s">
        <v>135</v>
      </c>
      <c r="C108" t="str">
        <f ca="1">_xll.QCurves_CreateFixingDictionary("Fixings."&amp;B108,B108,_xll.BDH(B108&amp;"1 Comdty","PX_SETTLE",$C$103,$C$104,"Array=true"))</f>
        <v>Fixings.XB¬6</v>
      </c>
    </row>
    <row r="109" spans="1:24" x14ac:dyDescent="0.25">
      <c r="A109" s="3"/>
      <c r="B109" s="8"/>
      <c r="C109" s="77"/>
    </row>
    <row r="110" spans="1:24" x14ac:dyDescent="0.25">
      <c r="A110" s="3" t="s">
        <v>114</v>
      </c>
      <c r="B110" s="8"/>
      <c r="C110" s="77"/>
    </row>
    <row r="111" spans="1:24" x14ac:dyDescent="0.25">
      <c r="B111" s="78" t="s">
        <v>129</v>
      </c>
      <c r="D111" s="12" t="s">
        <v>139</v>
      </c>
      <c r="E111" s="190">
        <v>0.02</v>
      </c>
      <c r="G111" s="12" t="s">
        <v>117</v>
      </c>
      <c r="H111" s="48">
        <v>1</v>
      </c>
      <c r="J111" t="str" cm="1">
        <f t="array" aca="1" ref="J111" ca="1">_xll.QVol_CreateRiskyFlyVolSurface("vol_"&amp;B111,B111,valDate,H113:J113,$C$132:$C$173,D132:D173,E132:G173,H132:J173,,,"Simple",,"NextValue",$B$132:$B$173,"USD","0b")</f>
        <v>vol_CO¬6</v>
      </c>
      <c r="K111" t="str">
        <f ca="1">_xll.QVol_CreateRiskyFlyVolSurface("vol_"&amp;"Dated","Dated",valDate,H113:J113,$C$132:$C$173,D132:D173,E132:G173,H132:J173,,,"Simple",,"NextValue",$B$132:$B$173,"USD","0b")</f>
        <v>vol_Dated¬6</v>
      </c>
      <c r="L111" s="78" t="s">
        <v>134</v>
      </c>
      <c r="M111" s="12" t="s">
        <v>139</v>
      </c>
      <c r="N111" s="48">
        <v>0.01</v>
      </c>
      <c r="O111" s="12" t="s">
        <v>117</v>
      </c>
      <c r="P111" s="48">
        <v>1</v>
      </c>
      <c r="R111" t="str" cm="1">
        <f t="array" aca="1" ref="R111" ca="1">_xll.QVol_CreateRiskyFlyVolSurface("vol_"&amp;L111,L111,valDate,Q131:R131,$M$132:$M$173,N132:N173,O132:P173,Q132:R173,,,"Simple",,"NextValue",$L$132:$L$173,"USD","0b")</f>
        <v>vol_QS¬6</v>
      </c>
    </row>
    <row r="112" spans="1:24" x14ac:dyDescent="0.25">
      <c r="C112" s="79"/>
      <c r="E112" s="208" t="str">
        <f ca="1">[1]Surface!E37</f>
        <v>RR</v>
      </c>
      <c r="F112" s="208"/>
      <c r="G112" s="208"/>
      <c r="H112" s="208" t="str">
        <f ca="1">[1]Surface!H37</f>
        <v>BF</v>
      </c>
      <c r="I112" s="208"/>
      <c r="J112" s="208"/>
      <c r="M112" s="79"/>
      <c r="O112" s="208" t="s">
        <v>87</v>
      </c>
      <c r="P112" s="208"/>
      <c r="Q112" s="208" t="s">
        <v>88</v>
      </c>
      <c r="R112" s="208"/>
      <c r="T112" s="92"/>
    </row>
    <row r="113" spans="2:20" x14ac:dyDescent="0.25">
      <c r="B113" s="79" t="s">
        <v>155</v>
      </c>
      <c r="C113" s="4"/>
      <c r="D113" s="80" t="str">
        <f ca="1">[1]Surface!D38</f>
        <v>ATM</v>
      </c>
      <c r="E113" s="81">
        <f ca="1">[1]Surface!E38</f>
        <v>0.25</v>
      </c>
      <c r="F113" s="81">
        <f ca="1">[1]Surface!F38</f>
        <v>0.1</v>
      </c>
      <c r="G113" s="81">
        <f ca="1">[1]Surface!G38</f>
        <v>0.05</v>
      </c>
      <c r="H113" s="81">
        <f ca="1">[1]Surface!H38</f>
        <v>0.25</v>
      </c>
      <c r="I113" s="81">
        <f ca="1">[1]Surface!I38</f>
        <v>0.1</v>
      </c>
      <c r="J113" s="81">
        <f ca="1">[1]Surface!J38</f>
        <v>0.05</v>
      </c>
      <c r="L113" s="79" t="s">
        <v>155</v>
      </c>
      <c r="M113" s="4"/>
      <c r="N113" s="80" t="s">
        <v>85</v>
      </c>
      <c r="O113" s="81">
        <v>0.25</v>
      </c>
      <c r="P113" s="81">
        <v>0.1</v>
      </c>
      <c r="Q113" s="81">
        <v>0.25</v>
      </c>
      <c r="R113" s="81">
        <v>0.1</v>
      </c>
      <c r="T113" s="81"/>
    </row>
    <row r="114" spans="2:20" x14ac:dyDescent="0.25">
      <c r="C114" s="1">
        <f ca="1">[1]Surface!C39</f>
        <v>44250</v>
      </c>
      <c r="D114" s="11">
        <f ca="1">[1]Surface!D39</f>
        <v>0.28316479294117686</v>
      </c>
      <c r="E114" s="11">
        <f ca="1">[1]Surface!E39</f>
        <v>-3.9702532133656765E-2</v>
      </c>
      <c r="F114" s="11">
        <f ca="1">[1]Surface!F39</f>
        <v>-7.8383399452020996E-2</v>
      </c>
      <c r="G114" s="11">
        <f ca="1">[1]Surface!G39</f>
        <v>-0.12702750229297088</v>
      </c>
      <c r="H114" s="11">
        <f ca="1">[1]Surface!H39</f>
        <v>8.9516716743850977E-3</v>
      </c>
      <c r="I114" s="11">
        <f ca="1">[1]Surface!I39</f>
        <v>4.1002359761388496E-2</v>
      </c>
      <c r="J114" s="11">
        <f ca="1">[1]Surface!J39</f>
        <v>8.6110292019898393E-2</v>
      </c>
      <c r="M114" s="1">
        <f ca="1">[1]Surface!L39</f>
        <v>44259</v>
      </c>
      <c r="N114" s="11">
        <f ca="1">[1]Surface!M39</f>
        <v>0.29401379428002555</v>
      </c>
      <c r="O114" s="11">
        <f ca="1">[1]Surface!N39</f>
        <v>-3.4249032216078834E-2</v>
      </c>
      <c r="P114" s="11">
        <f ca="1">[1]Surface!O39</f>
        <v>-5.3162610732991999E-2</v>
      </c>
      <c r="Q114" s="11">
        <f ca="1">[1]Surface!P39</f>
        <v>1.3575037798182754E-2</v>
      </c>
      <c r="R114" s="11">
        <f ca="1">[1]Surface!Q39</f>
        <v>3.7951314215877052E-2</v>
      </c>
      <c r="T114" s="11"/>
    </row>
    <row r="115" spans="2:20" x14ac:dyDescent="0.25">
      <c r="C115" s="1">
        <f ca="1">[1]Surface!C40</f>
        <v>44281</v>
      </c>
      <c r="D115" s="11">
        <f ca="1">[1]Surface!D40</f>
        <v>0.29197925245633222</v>
      </c>
      <c r="E115" s="11">
        <f ca="1">[1]Surface!E40</f>
        <v>-5.7157865366799454E-2</v>
      </c>
      <c r="F115" s="11">
        <f ca="1">[1]Surface!F40</f>
        <v>-0.12198978568688851</v>
      </c>
      <c r="G115" s="11">
        <f ca="1">[1]Surface!G40</f>
        <v>-0.16973485832912505</v>
      </c>
      <c r="H115" s="11">
        <f ca="1">[1]Surface!H40</f>
        <v>1.3095028281808807E-2</v>
      </c>
      <c r="I115" s="11">
        <f ca="1">[1]Surface!I40</f>
        <v>5.286044540350282E-2</v>
      </c>
      <c r="J115" s="11">
        <f ca="1">[1]Surface!J40</f>
        <v>9.7359577325969782E-2</v>
      </c>
      <c r="M115" s="1">
        <f ca="1">[1]Surface!L40</f>
        <v>44287</v>
      </c>
      <c r="N115" s="11">
        <f ca="1">[1]Surface!M40</f>
        <v>0.29622921154919185</v>
      </c>
      <c r="O115" s="11">
        <f ca="1">[1]Surface!N40</f>
        <v>-3.4628225261861878E-2</v>
      </c>
      <c r="P115" s="11">
        <f ca="1">[1]Surface!O40</f>
        <v>-6.8246305433500298E-2</v>
      </c>
      <c r="Q115" s="11">
        <f ca="1">[1]Surface!P40</f>
        <v>6.181462915345215E-3</v>
      </c>
      <c r="R115" s="11">
        <f ca="1">[1]Surface!Q40</f>
        <v>2.101148318854823E-2</v>
      </c>
      <c r="T115" s="11"/>
    </row>
    <row r="116" spans="2:20" x14ac:dyDescent="0.25">
      <c r="C116" s="1">
        <f ca="1">[1]Surface!C41</f>
        <v>44313</v>
      </c>
      <c r="D116" s="11">
        <f ca="1">[1]Surface!D41</f>
        <v>0.28753049517152118</v>
      </c>
      <c r="E116" s="11">
        <f ca="1">[1]Surface!E41</f>
        <v>-6.7378756964503295E-2</v>
      </c>
      <c r="F116" s="11">
        <f ca="1">[1]Surface!F41</f>
        <v>-0.13468762177194332</v>
      </c>
      <c r="G116" s="11">
        <f ca="1">[1]Surface!G41</f>
        <v>-0.19052858247734727</v>
      </c>
      <c r="H116" s="11">
        <f ca="1">[1]Surface!H41</f>
        <v>1.0718623466554611E-2</v>
      </c>
      <c r="I116" s="11">
        <f ca="1">[1]Surface!I41</f>
        <v>5.080573927005605E-2</v>
      </c>
      <c r="J116" s="11">
        <f ca="1">[1]Surface!J41</f>
        <v>9.395431267559734E-2</v>
      </c>
      <c r="M116" s="1">
        <f ca="1">[1]Surface!L41</f>
        <v>44321</v>
      </c>
      <c r="N116" s="11">
        <f ca="1">[1]Surface!M41</f>
        <v>0.29226127526549872</v>
      </c>
      <c r="O116" s="11">
        <f ca="1">[1]Surface!N41</f>
        <v>-5.3052123529208683E-2</v>
      </c>
      <c r="P116" s="11">
        <f ca="1">[1]Surface!O41</f>
        <v>-9.2755267905423822E-2</v>
      </c>
      <c r="Q116" s="11">
        <f ca="1">[1]Surface!P41</f>
        <v>5.6296429976719908E-3</v>
      </c>
      <c r="R116" s="11">
        <f ca="1">[1]Surface!Q41</f>
        <v>1.9628810471695068E-2</v>
      </c>
      <c r="T116" s="11"/>
    </row>
    <row r="117" spans="2:20" x14ac:dyDescent="0.25">
      <c r="C117" s="1">
        <f ca="1">[1]Surface!C42</f>
        <v>44341</v>
      </c>
      <c r="D117" s="11">
        <f ca="1">[1]Surface!D42</f>
        <v>0.28612189749892347</v>
      </c>
      <c r="E117" s="11">
        <f ca="1">[1]Surface!E42</f>
        <v>-6.8110004499519483E-2</v>
      </c>
      <c r="F117" s="11">
        <f ca="1">[1]Surface!F42</f>
        <v>-0.14287103684224833</v>
      </c>
      <c r="G117" s="11">
        <f ca="1">[1]Surface!G42</f>
        <v>-0.20830064507113039</v>
      </c>
      <c r="H117" s="11">
        <f ca="1">[1]Surface!H42</f>
        <v>1.2546023055170941E-2</v>
      </c>
      <c r="I117" s="11">
        <f ca="1">[1]Surface!I42</f>
        <v>5.0880048703671521E-2</v>
      </c>
      <c r="J117" s="11">
        <f ca="1">[1]Surface!J42</f>
        <v>9.4649565774814204E-2</v>
      </c>
      <c r="M117" s="1">
        <f ca="1">[1]Surface!L42</f>
        <v>44350</v>
      </c>
      <c r="N117" s="11">
        <f ca="1">[1]Surface!M42</f>
        <v>0.29160102625567252</v>
      </c>
      <c r="O117" s="11">
        <f ca="1">[1]Surface!N42</f>
        <v>-5.7755026627867245E-2</v>
      </c>
      <c r="P117" s="11">
        <f ca="1">[1]Surface!O42</f>
        <v>-0.10236946217262</v>
      </c>
      <c r="Q117" s="11">
        <f ca="1">[1]Surface!P42</f>
        <v>5.606590557293567E-3</v>
      </c>
      <c r="R117" s="11">
        <f ca="1">[1]Surface!Q42</f>
        <v>1.9464926754219625E-2</v>
      </c>
      <c r="T117" s="11"/>
    </row>
    <row r="118" spans="2:20" x14ac:dyDescent="0.25">
      <c r="C118" s="1">
        <f ca="1">[1]Surface!C43</f>
        <v>44372</v>
      </c>
      <c r="D118" s="11">
        <f ca="1">[1]Surface!D43</f>
        <v>0.28558276971029867</v>
      </c>
      <c r="E118" s="11">
        <f ca="1">[1]Surface!E43</f>
        <v>-7.2472040521191272E-2</v>
      </c>
      <c r="F118" s="11">
        <f ca="1">[1]Surface!F43</f>
        <v>-0.15459889991618248</v>
      </c>
      <c r="G118" s="11">
        <f ca="1">[1]Surface!G43</f>
        <v>-0.21102202667672587</v>
      </c>
      <c r="H118" s="11">
        <f ca="1">[1]Surface!H43</f>
        <v>1.4046472055656067E-2</v>
      </c>
      <c r="I118" s="11">
        <f ca="1">[1]Surface!I43</f>
        <v>5.6561648590479741E-2</v>
      </c>
      <c r="J118" s="11">
        <f ca="1">[1]Surface!J43</f>
        <v>9.9194215777988926E-2</v>
      </c>
      <c r="M118" s="1">
        <f ca="1">[1]Surface!L43</f>
        <v>44382</v>
      </c>
      <c r="N118" s="11">
        <f ca="1">[1]Surface!M43</f>
        <v>0.29167762252386392</v>
      </c>
      <c r="O118" s="11">
        <f ca="1">[1]Surface!N43</f>
        <v>-2.9376994659051692E-2</v>
      </c>
      <c r="P118" s="11">
        <f ca="1">[1]Surface!O43</f>
        <v>-7.2718192767371459E-2</v>
      </c>
      <c r="Q118" s="11">
        <f ca="1">[1]Surface!P43</f>
        <v>6.4303149234005708E-3</v>
      </c>
      <c r="R118" s="11">
        <f ca="1">[1]Surface!Q43</f>
        <v>2.2947212292219299E-2</v>
      </c>
      <c r="T118" s="11"/>
    </row>
    <row r="119" spans="2:20" x14ac:dyDescent="0.25">
      <c r="C119" s="1">
        <f ca="1">[1]Surface!C44</f>
        <v>44404</v>
      </c>
      <c r="D119" s="11">
        <f ca="1">[1]Surface!D44</f>
        <v>0.28147764517666457</v>
      </c>
      <c r="E119" s="11">
        <f ca="1">[1]Surface!E44</f>
        <v>-7.4072627081955E-2</v>
      </c>
      <c r="F119" s="11">
        <f ca="1">[1]Surface!F44</f>
        <v>-0.14160644211393142</v>
      </c>
      <c r="G119" s="11">
        <f ca="1">[1]Surface!G44</f>
        <v>-0.19063294073721904</v>
      </c>
      <c r="H119" s="11">
        <f ca="1">[1]Surface!H44</f>
        <v>1.4195529680441854E-2</v>
      </c>
      <c r="I119" s="11">
        <f ca="1">[1]Surface!I44</f>
        <v>5.1270600937207755E-2</v>
      </c>
      <c r="J119" s="11">
        <f ca="1">[1]Surface!J44</f>
        <v>9.0434022489627064E-2</v>
      </c>
      <c r="M119" s="1">
        <f ca="1">[1]Surface!L44</f>
        <v>44413</v>
      </c>
      <c r="N119" s="11">
        <f ca="1">[1]Surface!M44</f>
        <v>0.29318341704410228</v>
      </c>
      <c r="O119" s="11">
        <f ca="1">[1]Surface!N44</f>
        <v>-2.8034911488855396E-2</v>
      </c>
      <c r="P119" s="11">
        <f ca="1">[1]Surface!O44</f>
        <v>-6.6606971720531802E-2</v>
      </c>
      <c r="Q119" s="11">
        <f ca="1">[1]Surface!P44</f>
        <v>6.1474283413442965E-3</v>
      </c>
      <c r="R119" s="11">
        <f ca="1">[1]Surface!Q44</f>
        <v>2.080062009108043E-2</v>
      </c>
      <c r="T119" s="11"/>
    </row>
    <row r="120" spans="2:20" x14ac:dyDescent="0.25">
      <c r="C120" s="1">
        <f ca="1">[1]Surface!C45</f>
        <v>44433</v>
      </c>
      <c r="D120" s="11">
        <f ca="1">[1]Surface!D45</f>
        <v>0.27940188255535692</v>
      </c>
      <c r="E120" s="11">
        <f ca="1">[1]Surface!E45</f>
        <v>-7.3838968060472909E-2</v>
      </c>
      <c r="F120" s="11">
        <f ca="1">[1]Surface!F45</f>
        <v>-0.14680472927393412</v>
      </c>
      <c r="G120" s="11">
        <f ca="1">[1]Surface!G45</f>
        <v>-0.18729628945745391</v>
      </c>
      <c r="H120" s="11">
        <f ca="1">[1]Surface!H45</f>
        <v>1.4866353405793453E-2</v>
      </c>
      <c r="I120" s="11">
        <f ca="1">[1]Surface!I45</f>
        <v>5.3307780428185625E-2</v>
      </c>
      <c r="J120" s="11">
        <f ca="1">[1]Surface!J45</f>
        <v>8.9581113348796704E-2</v>
      </c>
      <c r="M120" s="1">
        <f ca="1">[1]Surface!L45</f>
        <v>44442</v>
      </c>
      <c r="N120" s="11">
        <f ca="1">[1]Surface!M45</f>
        <v>0.29248533563231405</v>
      </c>
      <c r="O120" s="11">
        <f ca="1">[1]Surface!N45</f>
        <v>-2.6771053893962504E-2</v>
      </c>
      <c r="P120" s="11">
        <f ca="1">[1]Surface!O45</f>
        <v>-6.9052073515992005E-2</v>
      </c>
      <c r="Q120" s="11">
        <f ca="1">[1]Surface!P45</f>
        <v>6.1502817428785717E-3</v>
      </c>
      <c r="R120" s="11">
        <f ca="1">[1]Surface!Q45</f>
        <v>2.162710926566741E-2</v>
      </c>
      <c r="T120" s="11"/>
    </row>
    <row r="121" spans="2:20" x14ac:dyDescent="0.25">
      <c r="C121" s="1">
        <f ca="1">[1]Surface!C46</f>
        <v>44466</v>
      </c>
      <c r="D121" s="11">
        <f ca="1">[1]Surface!D46</f>
        <v>0.27595570871542596</v>
      </c>
      <c r="E121" s="11">
        <f ca="1">[1]Surface!E46</f>
        <v>-7.4255122754601832E-2</v>
      </c>
      <c r="F121" s="11">
        <f ca="1">[1]Surface!F46</f>
        <v>-0.13799219798881224</v>
      </c>
      <c r="G121" s="11">
        <f ca="1">[1]Surface!G46</f>
        <v>-0.17324057098433659</v>
      </c>
      <c r="H121" s="11">
        <f ca="1">[1]Surface!H46</f>
        <v>1.4606297680702207E-2</v>
      </c>
      <c r="I121" s="11">
        <f ca="1">[1]Surface!I46</f>
        <v>5.1719437772069721E-2</v>
      </c>
      <c r="J121" s="11">
        <f ca="1">[1]Surface!J46</f>
        <v>8.7363387776727808E-2</v>
      </c>
      <c r="M121" s="1">
        <f ca="1">[1]Surface!L46</f>
        <v>44474</v>
      </c>
      <c r="N121" s="11">
        <f ca="1">[1]Surface!M46</f>
        <v>0.28810788469039289</v>
      </c>
      <c r="O121" s="11">
        <f ca="1">[1]Surface!N46</f>
        <v>-4.9230427593717319E-2</v>
      </c>
      <c r="P121" s="11">
        <f ca="1">[1]Surface!O46</f>
        <v>-6.4906951208476116E-2</v>
      </c>
      <c r="Q121" s="11">
        <f ca="1">[1]Surface!P46</f>
        <v>1.0295412751909427E-2</v>
      </c>
      <c r="R121" s="11">
        <f ca="1">[1]Surface!Q46</f>
        <v>2.098271439686555E-2</v>
      </c>
      <c r="T121" s="11"/>
    </row>
    <row r="122" spans="2:20" x14ac:dyDescent="0.25">
      <c r="C122" s="1">
        <f ca="1">[1]Surface!C47</f>
        <v>44495</v>
      </c>
      <c r="D122" s="11">
        <f ca="1">[1]Surface!D47</f>
        <v>0.27281671484629788</v>
      </c>
      <c r="E122" s="11">
        <f ca="1">[1]Surface!E47</f>
        <v>-7.3773803549100181E-2</v>
      </c>
      <c r="F122" s="11">
        <f ca="1">[1]Surface!F47</f>
        <v>-0.12662749715159771</v>
      </c>
      <c r="G122" s="11">
        <f ca="1">[1]Surface!G47</f>
        <v>-0.16476886417689235</v>
      </c>
      <c r="H122" s="11">
        <f ca="1">[1]Surface!H47</f>
        <v>1.4484777212143474E-2</v>
      </c>
      <c r="I122" s="11">
        <f ca="1">[1]Surface!I47</f>
        <v>5.0529622418559572E-2</v>
      </c>
      <c r="J122" s="11">
        <f ca="1">[1]Surface!J47</f>
        <v>8.7590301384204206E-2</v>
      </c>
      <c r="M122" s="1">
        <f ca="1">[1]Surface!L47</f>
        <v>44504</v>
      </c>
      <c r="N122" s="11">
        <f ca="1">[1]Surface!M47</f>
        <v>0.29189189699604906</v>
      </c>
      <c r="O122" s="11">
        <f ca="1">[1]Surface!N47</f>
        <v>-1.1748786172760484E-2</v>
      </c>
      <c r="P122" s="11">
        <f ca="1">[1]Surface!O47</f>
        <v>-5.9561373027311001E-2</v>
      </c>
      <c r="Q122" s="11">
        <f ca="1">[1]Surface!P47</f>
        <v>2.4810367953273516E-3</v>
      </c>
      <c r="R122" s="11">
        <f ca="1">[1]Surface!Q47</f>
        <v>2.0500003121895132E-2</v>
      </c>
      <c r="T122" s="11"/>
    </row>
    <row r="123" spans="2:20" x14ac:dyDescent="0.25">
      <c r="C123" s="1">
        <f ca="1">[1]Surface!C48</f>
        <v>44677</v>
      </c>
      <c r="D123" s="11">
        <f ca="1">[1]Surface!D48</f>
        <v>0.25701479350730844</v>
      </c>
      <c r="E123" s="11">
        <f ca="1">[1]Surface!E48</f>
        <v>-7.4443413207040343E-2</v>
      </c>
      <c r="F123" s="11">
        <f ca="1">[1]Surface!F48</f>
        <v>-0.1221880372581988</v>
      </c>
      <c r="G123" s="11">
        <f ca="1">[1]Surface!G48</f>
        <v>-0.15400199771669931</v>
      </c>
      <c r="H123" s="11">
        <f ca="1">[1]Surface!H48</f>
        <v>1.523542898777569E-2</v>
      </c>
      <c r="I123" s="11">
        <f ca="1">[1]Surface!I48</f>
        <v>4.7033525615607918E-2</v>
      </c>
      <c r="J123" s="11">
        <f ca="1">[1]Surface!J48</f>
        <v>8.1797843229671707E-2</v>
      </c>
      <c r="M123" s="1">
        <f ca="1">[1]Surface!L48</f>
        <v>44533</v>
      </c>
      <c r="N123" s="11">
        <f ca="1">[1]Surface!M48</f>
        <v>0.29088076630194459</v>
      </c>
      <c r="O123" s="11">
        <f ca="1">[1]Surface!N48</f>
        <v>-1.1520407338901917E-2</v>
      </c>
      <c r="P123" s="11">
        <f ca="1">[1]Surface!O48</f>
        <v>-5.7473198399378839E-2</v>
      </c>
      <c r="Q123" s="11">
        <f ca="1">[1]Surface!P48</f>
        <v>2.5207002155879787E-3</v>
      </c>
      <c r="R123" s="11">
        <f ca="1">[1]Surface!Q48</f>
        <v>1.9081627287195996E-2</v>
      </c>
      <c r="T123" s="11"/>
    </row>
    <row r="124" spans="2:20" x14ac:dyDescent="0.25">
      <c r="C124" s="1">
        <f ca="1">[1]Surface!C49</f>
        <v>44860</v>
      </c>
      <c r="D124" s="11">
        <f ca="1">[1]Surface!D49</f>
        <v>0.24217228359442541</v>
      </c>
      <c r="E124" s="11">
        <f ca="1">[1]Surface!E49</f>
        <v>-6.7610041403239479E-2</v>
      </c>
      <c r="F124" s="11">
        <f ca="1">[1]Surface!F49</f>
        <v>-0.1224624765285692</v>
      </c>
      <c r="G124" s="11">
        <f ca="1">[1]Surface!G49</f>
        <v>-0.16277280783474318</v>
      </c>
      <c r="H124" s="11">
        <f ca="1">[1]Surface!H49</f>
        <v>1.2150520710160567E-2</v>
      </c>
      <c r="I124" s="11">
        <f ca="1">[1]Surface!I49</f>
        <v>4.2945711564660621E-2</v>
      </c>
      <c r="J124" s="11">
        <f ca="1">[1]Surface!J49</f>
        <v>7.6675187763417335E-2</v>
      </c>
      <c r="M124" s="1">
        <f ca="1">[1]Surface!L49</f>
        <v>44715</v>
      </c>
      <c r="N124" s="11">
        <f ca="1">[1]Surface!M49</f>
        <v>0.27815697442648901</v>
      </c>
      <c r="O124" s="11">
        <f ca="1">[1]Surface!N49</f>
        <v>-1.0462916510814688E-2</v>
      </c>
      <c r="P124" s="11">
        <f ca="1">[1]Surface!O49</f>
        <v>-5.7602285525979041E-2</v>
      </c>
      <c r="Q124" s="11">
        <f ca="1">[1]Surface!P49</f>
        <v>2.0103024468941769E-3</v>
      </c>
      <c r="R124" s="11">
        <f ca="1">[1]Surface!Q49</f>
        <v>1.7423190180502587E-2</v>
      </c>
      <c r="T124" s="11"/>
    </row>
    <row r="125" spans="2:20" x14ac:dyDescent="0.25">
      <c r="C125" s="1">
        <f ca="1">[1]Surface!C50</f>
        <v>45041</v>
      </c>
      <c r="D125" s="11">
        <f ca="1">[1]Surface!D50</f>
        <v>0.23633511605997165</v>
      </c>
      <c r="E125" s="11">
        <f ca="1">[1]Surface!E50</f>
        <v>-6.4373537188734342E-2</v>
      </c>
      <c r="F125" s="11">
        <f ca="1">[1]Surface!F50</f>
        <v>-0.14063514077001638</v>
      </c>
      <c r="G125" s="11">
        <f ca="1">[1]Surface!G50</f>
        <v>-0.18240229634928978</v>
      </c>
      <c r="H125" s="11">
        <f ca="1">[1]Surface!H50</f>
        <v>1.1936381791758682E-2</v>
      </c>
      <c r="I125" s="11">
        <f ca="1">[1]Surface!I50</f>
        <v>4.6229523958248753E-2</v>
      </c>
      <c r="J125" s="11">
        <f ca="1">[1]Surface!J50</f>
        <v>7.1873342699856166E-2</v>
      </c>
      <c r="M125" s="1">
        <f ca="1">[1]Surface!L50</f>
        <v>44900</v>
      </c>
      <c r="N125" s="11">
        <f ca="1">[1]Surface!M50</f>
        <v>0.26724858483759123</v>
      </c>
      <c r="O125" s="11">
        <f ca="1">[1]Surface!N50</f>
        <v>-9.962054912737859E-3</v>
      </c>
      <c r="P125" s="11">
        <f ca="1">[1]Surface!O50</f>
        <v>-6.615010379714871E-2</v>
      </c>
      <c r="Q125" s="11">
        <f ca="1">[1]Surface!P50</f>
        <v>1.9748731840743047E-3</v>
      </c>
      <c r="R125" s="11">
        <f ca="1">[1]Surface!Q50</f>
        <v>1.8755441661874206E-2</v>
      </c>
      <c r="T125" s="11"/>
    </row>
    <row r="126" spans="2:20" x14ac:dyDescent="0.25">
      <c r="C126" s="1">
        <f ca="1">[1]Surface!C51</f>
        <v>45225</v>
      </c>
      <c r="D126" s="11">
        <f ca="1">[1]Surface!D51</f>
        <v>0.22933609864029308</v>
      </c>
      <c r="E126" s="11">
        <f ca="1">[1]Surface!E51</f>
        <v>-6.1051044722030184E-2</v>
      </c>
      <c r="F126" s="11">
        <f ca="1">[1]Surface!F51</f>
        <v>-0.11394872115369968</v>
      </c>
      <c r="G126" s="11">
        <f ca="1">[1]Surface!G51</f>
        <v>-0.14763226120170864</v>
      </c>
      <c r="H126" s="11">
        <f ca="1">[1]Surface!H51</f>
        <v>1.1949429380199217E-2</v>
      </c>
      <c r="I126" s="11">
        <f ca="1">[1]Surface!I51</f>
        <v>4.1391670089950788E-2</v>
      </c>
      <c r="J126" s="11">
        <f ca="1">[1]Surface!J51</f>
        <v>6.7372217030495785E-2</v>
      </c>
      <c r="M126" s="1">
        <f ca="1">[1]Surface!L51</f>
        <v>45082</v>
      </c>
      <c r="N126" s="11">
        <f ca="1">[1]Surface!M51</f>
        <v>0.25681380597882136</v>
      </c>
      <c r="O126" s="11">
        <f ca="1">[1]Surface!N51</f>
        <v>-9.4478862986468945E-3</v>
      </c>
      <c r="P126" s="11">
        <f ca="1">[1]Surface!O51</f>
        <v>-5.3597697492948661E-2</v>
      </c>
      <c r="Q126" s="11">
        <f ca="1">[1]Surface!P51</f>
        <v>1.9770319062882543E-3</v>
      </c>
      <c r="R126" s="11">
        <f ca="1">[1]Surface!Q51</f>
        <v>1.6792711392847829E-2</v>
      </c>
      <c r="T126" s="11"/>
    </row>
    <row r="127" spans="2:20" x14ac:dyDescent="0.25">
      <c r="C127" s="1">
        <f ca="1">[1]Surface!C52</f>
        <v>45593</v>
      </c>
      <c r="D127" s="11">
        <f ca="1">[1]Surface!D52</f>
        <v>0.22460224873410739</v>
      </c>
      <c r="E127" s="11">
        <f ca="1">[1]Surface!E52</f>
        <v>-5.9856465543180054E-2</v>
      </c>
      <c r="F127" s="11">
        <f ca="1">[1]Surface!F52</f>
        <v>-0.11691509418514839</v>
      </c>
      <c r="G127" s="11">
        <f ca="1">[1]Surface!G52</f>
        <v>-0.15281044705463998</v>
      </c>
      <c r="H127" s="11">
        <f ca="1">[1]Surface!H52</f>
        <v>1.181334624101027E-2</v>
      </c>
      <c r="I127" s="11">
        <f ca="1">[1]Surface!I52</f>
        <v>4.2802138371563617E-2</v>
      </c>
      <c r="J127" s="11">
        <f ca="1">[1]Surface!J52</f>
        <v>6.3152977962346937E-2</v>
      </c>
      <c r="M127" s="1">
        <f ca="1">[1]Surface!L52</f>
        <v>45265</v>
      </c>
      <c r="N127" s="11">
        <f ca="1">[1]Surface!M52</f>
        <v>0.24770722266871248</v>
      </c>
      <c r="O127" s="11">
        <f ca="1">[1]Surface!N52</f>
        <v>-9.2630205308636554E-3</v>
      </c>
      <c r="P127" s="11">
        <f ca="1">[1]Surface!O52</f>
        <v>-5.4992980939582298E-2</v>
      </c>
      <c r="Q127" s="11">
        <f ca="1">[1]Surface!P52</f>
        <v>1.9545169644007172E-3</v>
      </c>
      <c r="R127" s="11">
        <f ca="1">[1]Surface!Q52</f>
        <v>1.7364942151607204E-2</v>
      </c>
      <c r="T127" s="11"/>
    </row>
    <row r="128" spans="2:20" x14ac:dyDescent="0.25">
      <c r="D128" s="77" t="str" cm="1">
        <f t="array" aca="1" ref="D128" ca="1">_xll.QInterp_Create1dInterpolator($B$111&amp;"_"&amp;D113,$C$114:$C$127,D114:D127,"Linear")</f>
        <v>CO_ATM¬6</v>
      </c>
      <c r="E128" s="77" t="str" cm="1">
        <f t="array" aca="1" ref="E128" ca="1">_xll.QInterp_Create1dInterpolator($B$111&amp;"_RR"&amp;E113,$C$114:$C$127,E114:E127,"Linear")</f>
        <v>CO_RR0.25¬6</v>
      </c>
      <c r="F128" s="77" t="str" cm="1">
        <f t="array" aca="1" ref="F128" ca="1">_xll.QInterp_Create1dInterpolator($B$111&amp;"_RR"&amp;F113,$C$114:$C$127,F114:F127,"Linear")</f>
        <v>CO_RR0.1¬6</v>
      </c>
      <c r="G128" s="77" t="str" cm="1">
        <f t="array" aca="1" ref="G128" ca="1">_xll.QInterp_Create1dInterpolator($B$111&amp;"_RR"&amp;G113,$C$114:$C$127,G114:G127,"Linear")</f>
        <v>CO_RR0.05¬6</v>
      </c>
      <c r="H128" s="77" t="str" cm="1">
        <f t="array" aca="1" ref="H128" ca="1">_xll.QInterp_Create1dInterpolator($B$111&amp;"_BF"&amp;H113,$C$114:$C$127,H114:H127,"Linear")</f>
        <v>CO_BF0.25¬6</v>
      </c>
      <c r="I128" s="77" t="str" cm="1">
        <f t="array" aca="1" ref="I128" ca="1">_xll.QInterp_Create1dInterpolator($B$111&amp;"_BF"&amp;I113,$C$114:$C$127,I114:I127,"Linear")</f>
        <v>CO_BF0.1¬6</v>
      </c>
      <c r="J128" s="77" t="str" cm="1">
        <f t="array" aca="1" ref="J128" ca="1">_xll.QInterp_Create1dInterpolator($B$111&amp;"_BF"&amp;J113,$C$114:$C$127,J114:J127,"Linear")</f>
        <v>CO_BF0.05¬6</v>
      </c>
      <c r="N128" s="77" t="str" cm="1">
        <f t="array" aca="1" ref="N128" ca="1">_xll.QInterp_Create1dInterpolator($L$111&amp;"_"&amp;N113,$M$114:$M$127,N114:N127,"LinearFlatExtrap")</f>
        <v>QS_ATM¬6</v>
      </c>
      <c r="O128" s="77" t="str" cm="1">
        <f t="array" aca="1" ref="O128" ca="1">_xll.QInterp_Create1dInterpolator($L$111&amp;"_RR"&amp;O113,$M$114:$M$127,O114:O127,"Linear")</f>
        <v>QS_RR0.25¬6</v>
      </c>
      <c r="P128" s="77" t="str" cm="1">
        <f t="array" aca="1" ref="P128" ca="1">_xll.QInterp_Create1dInterpolator($L$111&amp;"_RR"&amp;P113,$M$114:$M$127,P114:P127,"Linear")</f>
        <v>QS_RR0.1¬6</v>
      </c>
      <c r="Q128" s="77" t="str" cm="1">
        <f t="array" aca="1" ref="Q128" ca="1">_xll.QInterp_Create1dInterpolator($L$111&amp;"_BF"&amp;Q113,$M$114:$M$127,Q114:Q127,"Linear")</f>
        <v>QS_BF0.25¬6</v>
      </c>
      <c r="R128" s="77" t="str" cm="1">
        <f t="array" aca="1" ref="R128" ca="1">_xll.QInterp_Create1dInterpolator($L$111&amp;"_BF"&amp;R113,$M$114:$M$127,R114:R127,"Linear")</f>
        <v>QS_BF0.1¬6</v>
      </c>
      <c r="T128" s="77"/>
    </row>
    <row r="129" spans="2:18" x14ac:dyDescent="0.25">
      <c r="C129" s="77"/>
      <c r="M129" s="77"/>
    </row>
    <row r="130" spans="2:18" x14ac:dyDescent="0.25">
      <c r="C130" s="77"/>
      <c r="E130" s="206" t="str">
        <f ca="1">E112</f>
        <v>RR</v>
      </c>
      <c r="F130" s="209"/>
      <c r="G130" s="207"/>
      <c r="H130" s="206" t="str">
        <f ca="1">H112</f>
        <v>BF</v>
      </c>
      <c r="I130" s="209"/>
      <c r="J130" s="207"/>
      <c r="M130" s="77"/>
      <c r="O130" s="206" t="str">
        <f ca="1">O112</f>
        <v>RR</v>
      </c>
      <c r="P130" s="207"/>
      <c r="Q130" s="206" t="str">
        <f ca="1">Q112</f>
        <v>BF</v>
      </c>
      <c r="R130" s="207"/>
    </row>
    <row r="131" spans="2:18" x14ac:dyDescent="0.25">
      <c r="B131" s="24" t="s">
        <v>156</v>
      </c>
      <c r="C131" s="82" t="s">
        <v>130</v>
      </c>
      <c r="D131" s="89" t="s">
        <v>85</v>
      </c>
      <c r="E131" s="51">
        <f ca="1">E113</f>
        <v>0.25</v>
      </c>
      <c r="F131" s="52">
        <f ca="1">F113</f>
        <v>0.1</v>
      </c>
      <c r="G131" s="53">
        <f ca="1">G113</f>
        <v>0.05</v>
      </c>
      <c r="H131" s="51">
        <f ca="1">H113</f>
        <v>0.25</v>
      </c>
      <c r="I131" s="52">
        <f ca="1">I113</f>
        <v>0.1</v>
      </c>
      <c r="J131" s="53">
        <f ca="1">J113</f>
        <v>0.05</v>
      </c>
      <c r="L131" s="24" t="s">
        <v>156</v>
      </c>
      <c r="M131" s="82" t="s">
        <v>130</v>
      </c>
      <c r="N131" s="89" t="s">
        <v>85</v>
      </c>
      <c r="O131" s="51">
        <f ca="1">O113</f>
        <v>0.25</v>
      </c>
      <c r="P131" s="53">
        <f ca="1">P113</f>
        <v>0.1</v>
      </c>
      <c r="Q131" s="51">
        <f ca="1">Q113</f>
        <v>0.25</v>
      </c>
      <c r="R131" s="53">
        <f ca="1">R113</f>
        <v>0.1</v>
      </c>
    </row>
    <row r="132" spans="2:18" x14ac:dyDescent="0.25">
      <c r="B132" s="8" t="str">
        <f ca="1">B11</f>
        <v>COJ1</v>
      </c>
      <c r="C132" s="1">
        <f ca="1">C11</f>
        <v>44253</v>
      </c>
      <c r="D132" s="90" cm="1">
        <f t="array" aca="1" ref="D132" ca="1">_xll.QInterp_Interpolate1d(D$128,$C132)+E$111</f>
        <v>0.30401780515232096</v>
      </c>
      <c r="E132" s="83" cm="1">
        <f t="array" aca="1" ref="E132" ca="1">_xll.QInterp_Interpolate1d(E$128,$C132)*$H$111</f>
        <v>-4.1391757930412512E-2</v>
      </c>
      <c r="F132" s="84" cm="1">
        <f t="array" aca="1" ref="F132" ca="1">_xll.QInterp_Interpolate1d(F$128,$C132)*$H$111</f>
        <v>-8.2603372313459794E-2</v>
      </c>
      <c r="G132" s="85" cm="1">
        <f t="array" aca="1" ref="G132" ca="1">_xll.QInterp_Interpolate1d(G$128,$C132)*$H$111</f>
        <v>-0.13116047223195354</v>
      </c>
      <c r="H132" s="83" cm="1">
        <f t="array" aca="1" ref="H132" ca="1">_xll.QInterp_Interpolate1d(H$128,$C132)*$H$111</f>
        <v>9.3526416686519082E-3</v>
      </c>
      <c r="I132" s="84" cm="1">
        <f t="array" aca="1" ref="I132" ca="1">_xll.QInterp_Interpolate1d(I$128,$C132)*$H$111</f>
        <v>4.2149916436431817E-2</v>
      </c>
      <c r="J132" s="85" cm="1">
        <f t="array" aca="1" ref="J132" ca="1">_xll.QInterp_Interpolate1d(J$128,$C132)*$H$111</f>
        <v>8.7198932533389173E-2</v>
      </c>
      <c r="L132" s="8" t="str">
        <f ca="1">K11</f>
        <v>QSH1</v>
      </c>
      <c r="M132" s="1">
        <f ca="1">L11</f>
        <v>44266</v>
      </c>
      <c r="N132" s="90" cm="1">
        <f t="array" aca="1" ref="N132" ca="1">_xll.QInterp_Interpolate1d(N$128,$M132)+N$111</f>
        <v>0.30456764859731711</v>
      </c>
      <c r="O132" s="83" cm="1">
        <f t="array" aca="1" ref="O132" ca="1">_xll.QInterp_Interpolate1d(O$128,$M132)*$P$111</f>
        <v>-3.4343830477524595E-2</v>
      </c>
      <c r="P132" s="85" cm="1">
        <f t="array" aca="1" ref="P132" ca="1">_xll.QInterp_Interpolate1d(P$128,$M132)*$P$111</f>
        <v>-5.6933534408119074E-2</v>
      </c>
      <c r="Q132" s="83" cm="1">
        <f t="array" aca="1" ref="Q132" ca="1">_xll.QInterp_Interpolate1d(Q$128,$M132)*$P$111</f>
        <v>1.1726644077473369E-2</v>
      </c>
      <c r="R132" s="85" cm="1">
        <f t="array" aca="1" ref="R132" ca="1">_xll.QInterp_Interpolate1d(R$128,$M132)*$P$111</f>
        <v>3.3716356459044847E-2</v>
      </c>
    </row>
    <row r="133" spans="2:18" x14ac:dyDescent="0.25">
      <c r="B133" s="8" t="str">
        <f t="shared" ref="B133:B173" ca="1" si="16">B12</f>
        <v>COK1</v>
      </c>
      <c r="C133" s="1">
        <f t="shared" ref="C133:C173" ca="1" si="17">C12</f>
        <v>44286</v>
      </c>
      <c r="D133" s="90" cm="1">
        <f t="array" aca="1" ref="D133" ca="1">_xll.QInterp_Interpolate1d(D$128,$C133)+E$111</f>
        <v>0.31128413413058054</v>
      </c>
      <c r="E133" s="83" cm="1">
        <f t="array" aca="1" ref="E133" ca="1">_xll.QInterp_Interpolate1d(E$128,$C133)*$H$111</f>
        <v>-5.8754879678940677E-2</v>
      </c>
      <c r="F133" s="84" cm="1">
        <f t="array" aca="1" ref="F133" ca="1">_xll.QInterp_Interpolate1d(F$128,$C133)*$H$111</f>
        <v>-0.12397382257517832</v>
      </c>
      <c r="G133" s="85" cm="1">
        <f t="array" aca="1" ref="G133" ca="1">_xll.QInterp_Interpolate1d(G$128,$C133)*$H$111</f>
        <v>-0.17298387772728477</v>
      </c>
      <c r="H133" s="83" cm="1">
        <f t="array" aca="1" ref="H133" ca="1">_xll.QInterp_Interpolate1d(H$128,$C133)*$H$111</f>
        <v>1.2723715029425339E-2</v>
      </c>
      <c r="I133" s="84" cm="1">
        <f t="array" aca="1" ref="I133" ca="1">_xll.QInterp_Interpolate1d(I$128,$C133)*$H$111</f>
        <v>5.2539397570151761E-2</v>
      </c>
      <c r="J133" s="85" cm="1">
        <f t="array" aca="1" ref="J133" ca="1">_xll.QInterp_Interpolate1d(J$128,$C133)*$H$111</f>
        <v>9.6827504724349089E-2</v>
      </c>
      <c r="L133" s="8" t="str">
        <f t="shared" ref="L133:M173" ca="1" si="18">K12</f>
        <v>QSJ1</v>
      </c>
      <c r="M133" s="1">
        <f t="shared" ca="1" si="18"/>
        <v>44298</v>
      </c>
      <c r="N133" s="90" cm="1">
        <f t="array" aca="1" ref="N133" ca="1">_xll.QInterp_Interpolate1d(N$128,$M133)+N$111</f>
        <v>0.3049454674574088</v>
      </c>
      <c r="O133" s="83" cm="1">
        <f t="array" aca="1" ref="O133" ca="1">_xll.QInterp_Interpolate1d(O$128,$M133)*$P$111</f>
        <v>-4.0588898230709373E-2</v>
      </c>
      <c r="P133" s="85" cm="1">
        <f t="array" aca="1" ref="P133" ca="1">_xll.QInterp_Interpolate1d(P$128,$M133)*$P$111</f>
        <v>-7.6175675645004964E-2</v>
      </c>
      <c r="Q133" s="83" cm="1">
        <f t="array" aca="1" ref="Q133" ca="1">_xll.QInterp_Interpolate1d(Q$128,$M133)*$P$111</f>
        <v>6.0029329419803486E-3</v>
      </c>
      <c r="R133" s="85" cm="1">
        <f t="array" aca="1" ref="R133" ca="1">_xll.QInterp_Interpolate1d(R$128,$M133)*$P$111</f>
        <v>2.0564147897801619E-2</v>
      </c>
    </row>
    <row r="134" spans="2:18" x14ac:dyDescent="0.25">
      <c r="B134" s="8" t="str">
        <f t="shared" ca="1" si="16"/>
        <v>COM1</v>
      </c>
      <c r="C134" s="1">
        <f t="shared" ca="1" si="17"/>
        <v>44316</v>
      </c>
      <c r="D134" s="90" cm="1">
        <f t="array" aca="1" ref="D134" ca="1">_xll.QInterp_Interpolate1d(D$128,$C134)+E$111</f>
        <v>0.3073795739923143</v>
      </c>
      <c r="E134" s="83" cm="1">
        <f t="array" aca="1" ref="E134" ca="1">_xll.QInterp_Interpolate1d(E$128,$C134)*$H$111</f>
        <v>-6.7457104914683597E-2</v>
      </c>
      <c r="F134" s="84" cm="1">
        <f t="array" aca="1" ref="F134" ca="1">_xll.QInterp_Interpolate1d(F$128,$C134)*$H$111</f>
        <v>-0.13556441624376173</v>
      </c>
      <c r="G134" s="85" cm="1">
        <f t="array" aca="1" ref="G134" ca="1">_xll.QInterp_Interpolate1d(G$128,$C134)*$H$111</f>
        <v>-0.19243273204096689</v>
      </c>
      <c r="H134" s="83" cm="1">
        <f t="array" aca="1" ref="H134" ca="1">_xll.QInterp_Interpolate1d(H$128,$C134)*$H$111</f>
        <v>1.0914416279620646E-2</v>
      </c>
      <c r="I134" s="84" cm="1">
        <f t="array" aca="1" ref="I134" ca="1">_xll.QInterp_Interpolate1d(I$128,$C134)*$H$111</f>
        <v>5.0813700995086281E-2</v>
      </c>
      <c r="J134" s="85" cm="1">
        <f t="array" aca="1" ref="J134" ca="1">_xll.QInterp_Interpolate1d(J$128,$C134)*$H$111</f>
        <v>9.4028804079084857E-2</v>
      </c>
      <c r="L134" s="8" t="str">
        <f t="shared" ca="1" si="18"/>
        <v>QSK1</v>
      </c>
      <c r="M134" s="1">
        <f t="shared" ca="1" si="18"/>
        <v>44328</v>
      </c>
      <c r="N134" s="90" cm="1">
        <f t="array" aca="1" ref="N134" ca="1">_xll.QInterp_Interpolate1d(N$128,$M134)+N$111</f>
        <v>0.30210190481485105</v>
      </c>
      <c r="O134" s="83" cm="1">
        <f t="array" aca="1" ref="O134" ca="1">_xll.QInterp_Interpolate1d(O$128,$M134)*$P$111</f>
        <v>-5.4187307035781437E-2</v>
      </c>
      <c r="P134" s="85" cm="1">
        <f t="array" aca="1" ref="P134" ca="1">_xll.QInterp_Interpolate1d(P$128,$M134)*$P$111</f>
        <v>-9.5075935487160826E-2</v>
      </c>
      <c r="Q134" s="83" cm="1">
        <f t="array" aca="1" ref="Q134" ca="1">_xll.QInterp_Interpolate1d(Q$128,$M134)*$P$111</f>
        <v>5.6240786155116818E-3</v>
      </c>
      <c r="R134" s="85" cm="1">
        <f t="array" aca="1" ref="R134" ca="1">_xll.QInterp_Interpolate1d(R$128,$M134)*$P$111</f>
        <v>1.9589252332994099E-2</v>
      </c>
    </row>
    <row r="135" spans="2:18" x14ac:dyDescent="0.25">
      <c r="B135" s="8" t="str">
        <f t="shared" ca="1" si="16"/>
        <v>CON1</v>
      </c>
      <c r="C135" s="1">
        <f t="shared" ca="1" si="17"/>
        <v>44344</v>
      </c>
      <c r="D135" s="90" cm="1">
        <f t="array" aca="1" ref="D135" ca="1">_xll.QInterp_Interpolate1d(D$128,$C135)+E$111</f>
        <v>0.3060697238419598</v>
      </c>
      <c r="E135" s="83" cm="1">
        <f t="array" aca="1" ref="E135" ca="1">_xll.QInterp_Interpolate1d(E$128,$C135)*$H$111</f>
        <v>-6.8532137017745784E-2</v>
      </c>
      <c r="F135" s="84" cm="1">
        <f t="array" aca="1" ref="F135" ca="1">_xll.QInterp_Interpolate1d(F$128,$C135)*$H$111</f>
        <v>-0.14400599133327421</v>
      </c>
      <c r="G135" s="85" cm="1">
        <f t="array" aca="1" ref="G135" ca="1">_xll.QInterp_Interpolate1d(G$128,$C135)*$H$111</f>
        <v>-0.2085640045813493</v>
      </c>
      <c r="H135" s="83" cm="1">
        <f t="array" aca="1" ref="H135" ca="1">_xll.QInterp_Interpolate1d(H$128,$C135)*$H$111</f>
        <v>1.2691227797153372E-2</v>
      </c>
      <c r="I135" s="84" cm="1">
        <f t="array" aca="1" ref="I135" ca="1">_xll.QInterp_Interpolate1d(I$128,$C135)*$H$111</f>
        <v>5.1429880950781992E-2</v>
      </c>
      <c r="J135" s="85" cm="1">
        <f t="array" aca="1" ref="J135" ca="1">_xll.QInterp_Interpolate1d(J$128,$C135)*$H$111</f>
        <v>9.5089370613831117E-2</v>
      </c>
      <c r="L135" s="8" t="str">
        <f t="shared" ca="1" si="18"/>
        <v>QSM1</v>
      </c>
      <c r="M135" s="1">
        <f t="shared" ca="1" si="18"/>
        <v>44357</v>
      </c>
      <c r="N135" s="90" cm="1">
        <f t="array" aca="1" ref="N135" ca="1">_xll.QInterp_Interpolate1d(N$128,$M135)+N$111</f>
        <v>0.30161778168933939</v>
      </c>
      <c r="O135" s="83" cm="1">
        <f t="array" aca="1" ref="O135" ca="1">_xll.QInterp_Interpolate1d(O$128,$M135)*$P$111</f>
        <v>-5.1547332134688845E-2</v>
      </c>
      <c r="P135" s="85" cm="1">
        <f t="array" aca="1" ref="P135" ca="1">_xll.QInterp_Interpolate1d(P$128,$M135)*$P$111</f>
        <v>-9.5883246990221882E-2</v>
      </c>
      <c r="Q135" s="83" cm="1">
        <f t="array" aca="1" ref="Q135" ca="1">_xll.QInterp_Interpolate1d(Q$128,$M135)*$P$111</f>
        <v>5.7867802623794741E-3</v>
      </c>
      <c r="R135" s="85" cm="1">
        <f t="array" aca="1" ref="R135" ca="1">_xll.QInterp_Interpolate1d(R$128,$M135)*$P$111</f>
        <v>2.0226676715657053E-2</v>
      </c>
    </row>
    <row r="136" spans="2:18" x14ac:dyDescent="0.25">
      <c r="B136" s="8" t="str">
        <f t="shared" ca="1" si="16"/>
        <v>COQ1</v>
      </c>
      <c r="C136" s="1">
        <f t="shared" ca="1" si="17"/>
        <v>44377</v>
      </c>
      <c r="D136" s="90" cm="1">
        <f t="array" aca="1" ref="D136" ca="1">_xll.QInterp_Interpolate1d(D$128,$C136)+E$111</f>
        <v>0.30494134400191836</v>
      </c>
      <c r="E136" s="83" cm="1">
        <f t="array" aca="1" ref="E136" ca="1">_xll.QInterp_Interpolate1d(E$128,$C136)*$H$111</f>
        <v>-7.2722132171310599E-2</v>
      </c>
      <c r="F136" s="84" cm="1">
        <f t="array" aca="1" ref="F136" ca="1">_xll.QInterp_Interpolate1d(F$128,$C136)*$H$111</f>
        <v>-0.15256882838458075</v>
      </c>
      <c r="G136" s="85" cm="1">
        <f t="array" aca="1" ref="G136" ca="1">_xll.QInterp_Interpolate1d(G$128,$C136)*$H$111</f>
        <v>-0.20783623199867793</v>
      </c>
      <c r="H136" s="83" cm="1">
        <f t="array" aca="1" ref="H136" ca="1">_xll.QInterp_Interpolate1d(H$128,$C136)*$H$111</f>
        <v>1.4069762309528847E-2</v>
      </c>
      <c r="I136" s="84" cm="1">
        <f t="array" aca="1" ref="I136" ca="1">_xll.QInterp_Interpolate1d(I$128,$C136)*$H$111</f>
        <v>5.5734922394655995E-2</v>
      </c>
      <c r="J136" s="85" cm="1">
        <f t="array" aca="1" ref="J136" ca="1">_xll.QInterp_Interpolate1d(J$128,$C136)*$H$111</f>
        <v>9.7825435576682385E-2</v>
      </c>
      <c r="L136" s="8" t="str">
        <f t="shared" ca="1" si="18"/>
        <v>QSN1</v>
      </c>
      <c r="M136" s="1">
        <f t="shared" ca="1" si="18"/>
        <v>44389</v>
      </c>
      <c r="N136" s="90" cm="1">
        <f t="array" aca="1" ref="N136" ca="1">_xll.QInterp_Interpolate1d(N$128,$M136)+N$111</f>
        <v>0.30201764064133713</v>
      </c>
      <c r="O136" s="83" cm="1">
        <f t="array" aca="1" ref="O136" ca="1">_xll.QInterp_Interpolate1d(O$128,$M136)*$P$111</f>
        <v>-2.9073943620620272E-2</v>
      </c>
      <c r="P136" s="85" cm="1">
        <f t="array" aca="1" ref="P136" ca="1">_xll.QInterp_Interpolate1d(P$128,$M136)*$P$111</f>
        <v>-7.1338239627762506E-2</v>
      </c>
      <c r="Q136" s="83" cm="1">
        <f t="array" aca="1" ref="Q136" ca="1">_xll.QInterp_Interpolate1d(Q$128,$M136)*$P$111</f>
        <v>6.3664373080975414E-3</v>
      </c>
      <c r="R136" s="85" cm="1">
        <f t="array" aca="1" ref="R136" ca="1">_xll.QInterp_Interpolate1d(R$128,$M136)*$P$111</f>
        <v>2.2462497924220198E-2</v>
      </c>
    </row>
    <row r="137" spans="2:18" x14ac:dyDescent="0.25">
      <c r="B137" s="8" t="str">
        <f t="shared" ca="1" si="16"/>
        <v>COU1</v>
      </c>
      <c r="C137" s="1">
        <f t="shared" ca="1" si="17"/>
        <v>44407</v>
      </c>
      <c r="D137" s="90" cm="1">
        <f t="array" aca="1" ref="D137" ca="1">_xll.QInterp_Interpolate1d(D$128,$C137)+E$111</f>
        <v>0.3012629111123914</v>
      </c>
      <c r="E137" s="83" cm="1">
        <f t="array" aca="1" ref="E137" ca="1">_xll.QInterp_Interpolate1d(E$128,$C137)*$H$111</f>
        <v>-7.4048455459043067E-2</v>
      </c>
      <c r="F137" s="84" cm="1">
        <f t="array" aca="1" ref="F137" ca="1">_xll.QInterp_Interpolate1d(F$128,$C137)*$H$111</f>
        <v>-0.14214419595806962</v>
      </c>
      <c r="G137" s="85" cm="1">
        <f t="array" aca="1" ref="G137" ca="1">_xll.QInterp_Interpolate1d(G$128,$C137)*$H$111</f>
        <v>-0.19028776991517438</v>
      </c>
      <c r="H137" s="83" cm="1">
        <f t="array" aca="1" ref="H137" ca="1">_xll.QInterp_Interpolate1d(H$128,$C137)*$H$111</f>
        <v>1.4264925238236846E-2</v>
      </c>
      <c r="I137" s="84" cm="1">
        <f t="array" aca="1" ref="I137" ca="1">_xll.QInterp_Interpolate1d(I$128,$C137)*$H$111</f>
        <v>5.1481343643170981E-2</v>
      </c>
      <c r="J137" s="85" cm="1">
        <f t="array" aca="1" ref="J137" ca="1">_xll.QInterp_Interpolate1d(J$128,$C137)*$H$111</f>
        <v>9.0345790509541168E-2</v>
      </c>
      <c r="L137" s="8" t="str">
        <f t="shared" ca="1" si="18"/>
        <v>QSQ1</v>
      </c>
      <c r="M137" s="1">
        <f t="shared" ca="1" si="18"/>
        <v>44420</v>
      </c>
      <c r="N137" s="90" cm="1">
        <f t="array" aca="1" ref="N137" ca="1">_xll.QInterp_Interpolate1d(N$128,$M137)+N$111</f>
        <v>0.30301491463436031</v>
      </c>
      <c r="O137" s="83" cm="1">
        <f t="array" aca="1" ref="O137" ca="1">_xll.QInterp_Interpolate1d(O$128,$M137)*$P$111</f>
        <v>-2.7729842414226078E-2</v>
      </c>
      <c r="P137" s="85" cm="1">
        <f t="array" aca="1" ref="P137" ca="1">_xll.QInterp_Interpolate1d(P$128,$M137)*$P$111</f>
        <v>-6.7197168705642879E-2</v>
      </c>
      <c r="Q137" s="83" cm="1">
        <f t="array" aca="1" ref="Q137" ca="1">_xll.QInterp_Interpolate1d(Q$128,$M137)*$P$111</f>
        <v>6.1481170934387765E-3</v>
      </c>
      <c r="R137" s="85" cm="1">
        <f t="array" aca="1" ref="R137" ca="1">_xll.QInterp_Interpolate1d(R$128,$M137)*$P$111</f>
        <v>2.1000117478049703E-2</v>
      </c>
    </row>
    <row r="138" spans="2:18" x14ac:dyDescent="0.25">
      <c r="B138" s="8" t="str">
        <f t="shared" ca="1" si="16"/>
        <v>COV1</v>
      </c>
      <c r="C138" s="1">
        <f t="shared" ca="1" si="17"/>
        <v>44439</v>
      </c>
      <c r="D138" s="90" cm="1">
        <f t="array" aca="1" ref="D138" ca="1">_xll.QInterp_Interpolate1d(D$128,$C138)+E$111</f>
        <v>0.2987753054935513</v>
      </c>
      <c r="E138" s="83" cm="1">
        <f t="array" aca="1" ref="E138" ca="1">_xll.QInterp_Interpolate1d(E$128,$C138)*$H$111</f>
        <v>-7.3914632550314538E-2</v>
      </c>
      <c r="F138" s="84" cm="1">
        <f t="array" aca="1" ref="F138" ca="1">_xll.QInterp_Interpolate1d(F$128,$C138)*$H$111</f>
        <v>-0.14520245085845743</v>
      </c>
      <c r="G138" s="85" cm="1">
        <f t="array" aca="1" ref="G138" ca="1">_xll.QInterp_Interpolate1d(G$128,$C138)*$H$111</f>
        <v>-0.1847407042805235</v>
      </c>
      <c r="H138" s="83" cm="1">
        <f t="array" aca="1" ref="H138" ca="1">_xll.QInterp_Interpolate1d(H$128,$C138)*$H$111</f>
        <v>1.4819070546685954E-2</v>
      </c>
      <c r="I138" s="84" cm="1">
        <f t="array" aca="1" ref="I138" ca="1">_xll.QInterp_Interpolate1d(I$128,$C138)*$H$111</f>
        <v>5.3018990854346366E-2</v>
      </c>
      <c r="J138" s="85" cm="1">
        <f t="array" aca="1" ref="J138" ca="1">_xll.QInterp_Interpolate1d(J$128,$C138)*$H$111</f>
        <v>8.9177890517511446E-2</v>
      </c>
      <c r="L138" s="8" t="str">
        <f t="shared" ca="1" si="18"/>
        <v>QSU1</v>
      </c>
      <c r="M138" s="1">
        <f t="shared" ca="1" si="18"/>
        <v>44449</v>
      </c>
      <c r="N138" s="90" cm="1">
        <f t="array" aca="1" ref="N138" ca="1">_xll.QInterp_Interpolate1d(N$128,$M138)+N$111</f>
        <v>0.30152776823876881</v>
      </c>
      <c r="O138" s="83" cm="1">
        <f t="array" aca="1" ref="O138" ca="1">_xll.QInterp_Interpolate1d(O$128,$M138)*$P$111</f>
        <v>-3.1684041890783873E-2</v>
      </c>
      <c r="P138" s="85" cm="1">
        <f t="array" aca="1" ref="P138" ca="1">_xll.QInterp_Interpolate1d(P$128,$M138)*$P$111</f>
        <v>-6.8145328011222903E-2</v>
      </c>
      <c r="Q138" s="83" cm="1">
        <f t="array" aca="1" ref="Q138" ca="1">_xll.QInterp_Interpolate1d(Q$128,$M138)*$P$111</f>
        <v>7.0570291511040713E-3</v>
      </c>
      <c r="R138" s="85" cm="1">
        <f t="array" aca="1" ref="R138" ca="1">_xll.QInterp_Interpolate1d(R$128,$M138)*$P$111</f>
        <v>2.1486147888117004E-2</v>
      </c>
    </row>
    <row r="139" spans="2:18" x14ac:dyDescent="0.25">
      <c r="B139" s="8" t="str">
        <f t="shared" ca="1" si="16"/>
        <v>COX1</v>
      </c>
      <c r="C139" s="1">
        <f t="shared" ca="1" si="17"/>
        <v>44469</v>
      </c>
      <c r="D139" s="90" cm="1">
        <f t="array" aca="1" ref="D139" ca="1">_xll.QInterp_Interpolate1d(D$128,$C139)+E$111</f>
        <v>0.2956309852117231</v>
      </c>
      <c r="E139" s="83" cm="1">
        <f t="array" aca="1" ref="E139" ca="1">_xll.QInterp_Interpolate1d(E$128,$C139)*$H$111</f>
        <v>-7.4205331112653386E-2</v>
      </c>
      <c r="F139" s="84" cm="1">
        <f t="array" aca="1" ref="F139" ca="1">_xll.QInterp_Interpolate1d(F$128,$C139)*$H$111</f>
        <v>-0.13681653928151419</v>
      </c>
      <c r="G139" s="85" cm="1">
        <f t="array" aca="1" ref="G139" ca="1">_xll.QInterp_Interpolate1d(G$128,$C139)*$H$111</f>
        <v>-0.17236418752149754</v>
      </c>
      <c r="H139" s="83" cm="1">
        <f t="array" aca="1" ref="H139" ca="1">_xll.QInterp_Interpolate1d(H$128,$C139)*$H$111</f>
        <v>1.4593726597747856E-2</v>
      </c>
      <c r="I139" s="84" cm="1">
        <f t="array" aca="1" ref="I139" ca="1">_xll.QInterp_Interpolate1d(I$128,$C139)*$H$111</f>
        <v>5.1596353425154881E-2</v>
      </c>
      <c r="J139" s="85" cm="1">
        <f t="array" aca="1" ref="J139" ca="1">_xll.QInterp_Interpolate1d(J$128,$C139)*$H$111</f>
        <v>8.7386861598190882E-2</v>
      </c>
      <c r="L139" s="8" t="str">
        <f t="shared" ca="1" si="18"/>
        <v>QSV1</v>
      </c>
      <c r="M139" s="1">
        <f t="shared" ca="1" si="18"/>
        <v>44481</v>
      </c>
      <c r="N139" s="90" cm="1">
        <f t="array" aca="1" ref="N139" ca="1">_xll.QInterp_Interpolate1d(N$128,$M139)+N$111</f>
        <v>0.29899082089504603</v>
      </c>
      <c r="O139" s="83" cm="1">
        <f t="array" aca="1" ref="O139" ca="1">_xll.QInterp_Interpolate1d(O$128,$M139)*$P$111</f>
        <v>-4.0484711262160723E-2</v>
      </c>
      <c r="P139" s="85" cm="1">
        <f t="array" aca="1" ref="P139" ca="1">_xll.QInterp_Interpolate1d(P$128,$M139)*$P$111</f>
        <v>-6.3659649632870921E-2</v>
      </c>
      <c r="Q139" s="83" cm="1">
        <f t="array" aca="1" ref="Q139" ca="1">_xll.QInterp_Interpolate1d(Q$128,$M139)*$P$111</f>
        <v>8.4720583620402773E-3</v>
      </c>
      <c r="R139" s="85" cm="1">
        <f t="array" aca="1" ref="R139" ca="1">_xll.QInterp_Interpolate1d(R$128,$M139)*$P$111</f>
        <v>2.087008176603912E-2</v>
      </c>
    </row>
    <row r="140" spans="2:18" x14ac:dyDescent="0.25">
      <c r="B140" s="8" t="str">
        <f t="shared" ca="1" si="16"/>
        <v>COZ1</v>
      </c>
      <c r="C140" s="1">
        <f t="shared" ca="1" si="17"/>
        <v>44498</v>
      </c>
      <c r="D140" s="90" cm="1">
        <f t="array" aca="1" ref="D140" ca="1">_xll.QInterp_Interpolate1d(D$128,$C140)+E$111</f>
        <v>0.29255624361543542</v>
      </c>
      <c r="E140" s="83" cm="1">
        <f t="array" aca="1" ref="E140" ca="1">_xll.QInterp_Interpolate1d(E$128,$C140)*$H$111</f>
        <v>-7.3784841070934359E-2</v>
      </c>
      <c r="F140" s="84" cm="1">
        <f t="array" aca="1" ref="F140" ca="1">_xll.QInterp_Interpolate1d(F$128,$C140)*$H$111</f>
        <v>-0.12655431924126695</v>
      </c>
      <c r="G140" s="85" cm="1">
        <f t="array" aca="1" ref="G140" ca="1">_xll.QInterp_Interpolate1d(G$128,$C140)*$H$111</f>
        <v>-0.16459138835611994</v>
      </c>
      <c r="H140" s="83" cm="1">
        <f t="array" aca="1" ref="H140" ca="1">_xll.QInterp_Interpolate1d(H$128,$C140)*$H$111</f>
        <v>1.4497150593060488E-2</v>
      </c>
      <c r="I140" s="84" cm="1">
        <f t="array" aca="1" ref="I140" ca="1">_xll.QInterp_Interpolate1d(I$128,$C140)*$H$111</f>
        <v>5.0471994449280147E-2</v>
      </c>
      <c r="J140" s="85" cm="1">
        <f t="array" aca="1" ref="J140" ca="1">_xll.QInterp_Interpolate1d(J$128,$C140)*$H$111</f>
        <v>8.7494821304733891E-2</v>
      </c>
      <c r="L140" s="8" t="str">
        <f t="shared" ca="1" si="18"/>
        <v>QSX1</v>
      </c>
      <c r="M140" s="1">
        <f t="shared" ca="1" si="18"/>
        <v>44511</v>
      </c>
      <c r="N140" s="90" cm="1">
        <f t="array" aca="1" ref="N140" ca="1">_xll.QInterp_Interpolate1d(N$128,$M140)+N$111</f>
        <v>0.30164783096643766</v>
      </c>
      <c r="O140" s="83" cm="1">
        <f t="array" aca="1" ref="O140" ca="1">_xll.QInterp_Interpolate1d(O$128,$M140)*$P$111</f>
        <v>-1.1693660247346346E-2</v>
      </c>
      <c r="P140" s="85" cm="1">
        <f t="array" aca="1" ref="P140" ca="1">_xll.QInterp_Interpolate1d(P$128,$M140)*$P$111</f>
        <v>-5.9057330875741172E-2</v>
      </c>
      <c r="Q140" s="83" cm="1">
        <f t="array" aca="1" ref="Q140" ca="1">_xll.QInterp_Interpolate1d(Q$128,$M140)*$P$111</f>
        <v>2.4906107243557788E-3</v>
      </c>
      <c r="R140" s="85" cm="1">
        <f t="array" aca="1" ref="R140" ca="1">_xll.QInterp_Interpolate1d(R$128,$M140)*$P$111</f>
        <v>2.0157636541105684E-2</v>
      </c>
    </row>
    <row r="141" spans="2:18" x14ac:dyDescent="0.25">
      <c r="B141" s="8" t="str">
        <f t="shared" ca="1" si="16"/>
        <v>COF2</v>
      </c>
      <c r="C141" s="1">
        <f t="shared" ca="1" si="17"/>
        <v>44530</v>
      </c>
      <c r="D141" s="90" cm="1">
        <f t="array" aca="1" ref="D141" ca="1">_xll.QInterp_Interpolate1d(D$128,$C141)+E$111</f>
        <v>0.28977788381956915</v>
      </c>
      <c r="E141" s="83" cm="1">
        <f t="array" aca="1" ref="E141" ca="1">_xll.QInterp_Interpolate1d(E$128,$C141)*$H$111</f>
        <v>-7.3902574637165597E-2</v>
      </c>
      <c r="F141" s="84" cm="1">
        <f t="array" aca="1" ref="F141" ca="1">_xll.QInterp_Interpolate1d(F$128,$C141)*$H$111</f>
        <v>-0.12577375486440562</v>
      </c>
      <c r="G141" s="85" cm="1">
        <f t="array" aca="1" ref="G141" ca="1">_xll.QInterp_Interpolate1d(G$128,$C141)*$H$111</f>
        <v>-0.16269831293454753</v>
      </c>
      <c r="H141" s="83" cm="1">
        <f t="array" aca="1" ref="H141" ca="1">_xll.QInterp_Interpolate1d(H$128,$C141)*$H$111</f>
        <v>1.4629133322841976E-2</v>
      </c>
      <c r="I141" s="84" cm="1">
        <f t="array" aca="1" ref="I141" ca="1">_xll.QInterp_Interpolate1d(I$128,$C141)*$H$111</f>
        <v>4.985729611029964E-2</v>
      </c>
      <c r="J141" s="85" cm="1">
        <f t="array" aca="1" ref="J141" ca="1">_xll.QInterp_Interpolate1d(J$128,$C141)*$H$111</f>
        <v>8.6476367123717188E-2</v>
      </c>
      <c r="L141" s="8" t="str">
        <f t="shared" ca="1" si="18"/>
        <v>QSZ1</v>
      </c>
      <c r="M141" s="1">
        <f t="shared" ca="1" si="18"/>
        <v>44540</v>
      </c>
      <c r="N141" s="90" cm="1">
        <f t="array" aca="1" ref="N141" ca="1">_xll.QInterp_Interpolate1d(N$128,$M141)+N$111</f>
        <v>0.30039138969135015</v>
      </c>
      <c r="O141" s="83" cm="1">
        <f t="array" aca="1" ref="O141" ca="1">_xll.QInterp_Interpolate1d(O$128,$M141)*$P$111</f>
        <v>-1.1479734614744715E-2</v>
      </c>
      <c r="P141" s="85" cm="1">
        <f t="array" aca="1" ref="P141" ca="1">_xll.QInterp_Interpolate1d(P$128,$M141)*$P$111</f>
        <v>-5.747816328886346E-2</v>
      </c>
      <c r="Q141" s="83" cm="1">
        <f t="array" aca="1" ref="Q141" ca="1">_xll.QInterp_Interpolate1d(Q$128,$M141)*$P$111</f>
        <v>2.5010695321766785E-3</v>
      </c>
      <c r="R141" s="85" cm="1">
        <f t="array" aca="1" ref="R141" ca="1">_xll.QInterp_Interpolate1d(R$128,$M141)*$P$111</f>
        <v>1.9017841244630865E-2</v>
      </c>
    </row>
    <row r="142" spans="2:18" x14ac:dyDescent="0.25">
      <c r="B142" s="8" t="str">
        <f t="shared" ca="1" si="16"/>
        <v>COG2</v>
      </c>
      <c r="C142" s="1">
        <f t="shared" ca="1" si="17"/>
        <v>44561</v>
      </c>
      <c r="D142" s="90" cm="1">
        <f t="array" aca="1" ref="D142" ca="1">_xll.QInterp_Interpolate1d(D$128,$C142)+E$111</f>
        <v>0.28708634776732372</v>
      </c>
      <c r="E142" s="83" cm="1">
        <f t="array" aca="1" ref="E142" ca="1">_xll.QInterp_Interpolate1d(E$128,$C142)*$H$111</f>
        <v>-7.4016629029452108E-2</v>
      </c>
      <c r="F142" s="84" cm="1">
        <f t="array" aca="1" ref="F142" ca="1">_xll.QInterp_Interpolate1d(F$128,$C142)*$H$111</f>
        <v>-0.12501758312432118</v>
      </c>
      <c r="G142" s="85" cm="1">
        <f t="array" aca="1" ref="G142" ca="1">_xll.QInterp_Interpolate1d(G$128,$C142)*$H$111</f>
        <v>-0.16086439611989928</v>
      </c>
      <c r="H142" s="83" cm="1">
        <f t="array" aca="1" ref="H142" ca="1">_xll.QInterp_Interpolate1d(H$128,$C142)*$H$111</f>
        <v>1.4756991592317794E-2</v>
      </c>
      <c r="I142" s="84" cm="1">
        <f t="array" aca="1" ref="I142" ca="1">_xll.QInterp_Interpolate1d(I$128,$C142)*$H$111</f>
        <v>4.9261807094412267E-2</v>
      </c>
      <c r="J142" s="85" cm="1">
        <f t="array" aca="1" ref="J142" ca="1">_xll.QInterp_Interpolate1d(J$128,$C142)*$H$111</f>
        <v>8.5489739635857251E-2</v>
      </c>
      <c r="L142" s="8" t="str">
        <f t="shared" ca="1" si="18"/>
        <v>QSF2</v>
      </c>
      <c r="M142" s="1">
        <f t="shared" ca="1" si="18"/>
        <v>44573</v>
      </c>
      <c r="N142" s="90" cm="1">
        <f t="array" aca="1" ref="N142" ca="1">_xll.QInterp_Interpolate1d(N$128,$M142)+N$111</f>
        <v>0.29808432852711919</v>
      </c>
      <c r="O142" s="83" cm="1">
        <f t="array" aca="1" ref="O142" ca="1">_xll.QInterp_Interpolate1d(O$128,$M142)*$P$111</f>
        <v>-1.1287991772289339E-2</v>
      </c>
      <c r="P142" s="85" cm="1">
        <f t="array" aca="1" ref="P142" ca="1">_xll.QInterp_Interpolate1d(P$128,$M142)*$P$111</f>
        <v>-5.750156919643383E-2</v>
      </c>
      <c r="Q142" s="83" cm="1">
        <f t="array" aca="1" ref="Q142" ca="1">_xll.QInterp_Interpolate1d(Q$128,$M142)*$P$111</f>
        <v>2.4085248818091214E-3</v>
      </c>
      <c r="R142" s="85" cm="1">
        <f t="array" aca="1" ref="R142" ca="1">_xll.QInterp_Interpolate1d(R$128,$M142)*$P$111</f>
        <v>1.8717135615395248E-2</v>
      </c>
    </row>
    <row r="143" spans="2:18" x14ac:dyDescent="0.25">
      <c r="B143" s="8" t="str">
        <f t="shared" ca="1" si="16"/>
        <v>COH2</v>
      </c>
      <c r="C143" s="1">
        <f t="shared" ca="1" si="17"/>
        <v>44592</v>
      </c>
      <c r="D143" s="90" cm="1">
        <f t="array" aca="1" ref="D143" ca="1">_xll.QInterp_Interpolate1d(D$128,$C143)+E$111</f>
        <v>0.28439481171507824</v>
      </c>
      <c r="E143" s="83" cm="1">
        <f t="array" aca="1" ref="E143" ca="1">_xll.QInterp_Interpolate1d(E$128,$C143)*$H$111</f>
        <v>-7.4130683421738619E-2</v>
      </c>
      <c r="F143" s="84" cm="1">
        <f t="array" aca="1" ref="F143" ca="1">_xll.QInterp_Interpolate1d(F$128,$C143)*$H$111</f>
        <v>-0.12426141138423676</v>
      </c>
      <c r="G143" s="85" cm="1">
        <f t="array" aca="1" ref="G143" ca="1">_xll.QInterp_Interpolate1d(G$128,$C143)*$H$111</f>
        <v>-0.15903047930525099</v>
      </c>
      <c r="H143" s="83" cm="1">
        <f t="array" aca="1" ref="H143" ca="1">_xll.QInterp_Interpolate1d(H$128,$C143)*$H$111</f>
        <v>1.4884849861793611E-2</v>
      </c>
      <c r="I143" s="84" cm="1">
        <f t="array" aca="1" ref="I143" ca="1">_xll.QInterp_Interpolate1d(I$128,$C143)*$H$111</f>
        <v>4.8666318078524902E-2</v>
      </c>
      <c r="J143" s="85" cm="1">
        <f t="array" aca="1" ref="J143" ca="1">_xll.QInterp_Interpolate1d(J$128,$C143)*$H$111</f>
        <v>8.4503112147997328E-2</v>
      </c>
      <c r="L143" s="8" t="str">
        <f t="shared" ca="1" si="18"/>
        <v>QSG2</v>
      </c>
      <c r="M143" s="1">
        <f t="shared" ca="1" si="18"/>
        <v>44602</v>
      </c>
      <c r="N143" s="90" cm="1">
        <f t="array" aca="1" ref="N143" ca="1">_xll.QInterp_Interpolate1d(N$128,$M143)+N$111</f>
        <v>0.2960569111403708</v>
      </c>
      <c r="O143" s="83" cm="1">
        <f t="array" aca="1" ref="O143" ca="1">_xll.QInterp_Interpolate1d(O$128,$M143)*$P$111</f>
        <v>-1.111949048649522E-2</v>
      </c>
      <c r="P143" s="85" cm="1">
        <f t="array" aca="1" ref="P143" ca="1">_xll.QInterp_Interpolate1d(P$128,$M143)*$P$111</f>
        <v>-5.7522138024298695E-2</v>
      </c>
      <c r="Q143" s="83" cm="1">
        <f t="array" aca="1" ref="Q143" ca="1">_xll.QInterp_Interpolate1d(Q$128,$M143)*$P$111</f>
        <v>2.3271977648194496E-3</v>
      </c>
      <c r="R143" s="85" cm="1">
        <f t="array" aca="1" ref="R143" ca="1">_xll.QInterp_Interpolate1d(R$128,$M143)*$P$111</f>
        <v>1.8452879153339704E-2</v>
      </c>
    </row>
    <row r="144" spans="2:18" x14ac:dyDescent="0.25">
      <c r="B144" s="8" t="str">
        <f t="shared" ca="1" si="16"/>
        <v>COJ2</v>
      </c>
      <c r="C144" s="1">
        <f t="shared" ca="1" si="17"/>
        <v>44620</v>
      </c>
      <c r="D144" s="90" cm="1">
        <f t="array" aca="1" ref="D144" ca="1">_xll.QInterp_Interpolate1d(D$128,$C144)+E$111</f>
        <v>0.28196374689369524</v>
      </c>
      <c r="E144" s="83" cm="1">
        <f t="array" aca="1" ref="E144" ca="1">_xll.QInterp_Interpolate1d(E$128,$C144)*$H$111</f>
        <v>-7.4233700292190952E-2</v>
      </c>
      <c r="F144" s="84" cm="1">
        <f t="array" aca="1" ref="F144" ca="1">_xll.QInterp_Interpolate1d(F$128,$C144)*$H$111</f>
        <v>-0.12357841755448307</v>
      </c>
      <c r="G144" s="85" cm="1">
        <f t="array" aca="1" ref="G144" ca="1">_xll.QInterp_Interpolate1d(G$128,$C144)*$H$111</f>
        <v>-0.15737403831137514</v>
      </c>
      <c r="H144" s="83" cm="1">
        <f t="array" aca="1" ref="H144" ca="1">_xll.QInterp_Interpolate1d(H$128,$C144)*$H$111</f>
        <v>1.5000334750352413E-2</v>
      </c>
      <c r="I144" s="84" cm="1">
        <f t="array" aca="1" ref="I144" ca="1">_xll.QInterp_Interpolate1d(I$128,$C144)*$H$111</f>
        <v>4.8128457031916955E-2</v>
      </c>
      <c r="J144" s="85" cm="1">
        <f t="array" aca="1" ref="J144" ca="1">_xll.QInterp_Interpolate1d(J$128,$C144)*$H$111</f>
        <v>8.3611964739607705E-2</v>
      </c>
      <c r="L144" s="8" t="str">
        <f t="shared" ca="1" si="18"/>
        <v>QSH2</v>
      </c>
      <c r="M144" s="1">
        <f t="shared" ca="1" si="18"/>
        <v>44630</v>
      </c>
      <c r="N144" s="90" cm="1">
        <f t="array" aca="1" ref="N144" ca="1">_xll.QInterp_Interpolate1d(N$128,$M144)+N$111</f>
        <v>0.29409940469799301</v>
      </c>
      <c r="O144" s="83" cm="1">
        <f t="array" aca="1" ref="O144" ca="1">_xll.QInterp_Interpolate1d(O$128,$M144)*$P$111</f>
        <v>-1.0956799589866416E-2</v>
      </c>
      <c r="P144" s="85" cm="1">
        <f t="array" aca="1" ref="P144" ca="1">_xll.QInterp_Interpolate1d(P$128,$M144)*$P$111</f>
        <v>-5.7541997582237187E-2</v>
      </c>
      <c r="Q144" s="83" cm="1">
        <f t="array" aca="1" ref="Q144" ca="1">_xll.QInterp_Interpolate1d(Q$128,$M144)*$P$111</f>
        <v>2.2486750311742493E-3</v>
      </c>
      <c r="R144" s="85" cm="1">
        <f t="array" aca="1" ref="R144" ca="1">_xll.QInterp_Interpolate1d(R$128,$M144)*$P$111</f>
        <v>1.8197734983079181E-2</v>
      </c>
    </row>
    <row r="145" spans="2:18" x14ac:dyDescent="0.25">
      <c r="B145" s="8" t="str">
        <f t="shared" ca="1" si="16"/>
        <v>COK2</v>
      </c>
      <c r="C145" s="1">
        <f t="shared" ca="1" si="17"/>
        <v>44651</v>
      </c>
      <c r="D145" s="90" cm="1">
        <f t="array" aca="1" ref="D145" ca="1">_xll.QInterp_Interpolate1d(D$128,$C145)+E$111</f>
        <v>0.27927221084144982</v>
      </c>
      <c r="E145" s="83" cm="1">
        <f t="array" aca="1" ref="E145" ca="1">_xll.QInterp_Interpolate1d(E$128,$C145)*$H$111</f>
        <v>-7.4347754684477463E-2</v>
      </c>
      <c r="F145" s="84" cm="1">
        <f t="array" aca="1" ref="F145" ca="1">_xll.QInterp_Interpolate1d(F$128,$C145)*$H$111</f>
        <v>-0.12282224581439864</v>
      </c>
      <c r="G145" s="85" cm="1">
        <f t="array" aca="1" ref="G145" ca="1">_xll.QInterp_Interpolate1d(G$128,$C145)*$H$111</f>
        <v>-0.15554012149672689</v>
      </c>
      <c r="H145" s="83" cm="1">
        <f t="array" aca="1" ref="H145" ca="1">_xll.QInterp_Interpolate1d(H$128,$C145)*$H$111</f>
        <v>1.5128193019828231E-2</v>
      </c>
      <c r="I145" s="84" cm="1">
        <f t="array" aca="1" ref="I145" ca="1">_xll.QInterp_Interpolate1d(I$128,$C145)*$H$111</f>
        <v>4.7532968016029582E-2</v>
      </c>
      <c r="J145" s="85" cm="1">
        <f t="array" aca="1" ref="J145" ca="1">_xll.QInterp_Interpolate1d(J$128,$C145)*$H$111</f>
        <v>8.2625337251747782E-2</v>
      </c>
      <c r="L145" s="8" t="str">
        <f t="shared" ca="1" si="18"/>
        <v>QSJ2</v>
      </c>
      <c r="M145" s="1">
        <f t="shared" ca="1" si="18"/>
        <v>44663</v>
      </c>
      <c r="N145" s="90" cm="1">
        <f t="array" aca="1" ref="N145" ca="1">_xll.QInterp_Interpolate1d(N$128,$M145)+N$111</f>
        <v>0.29179234353376204</v>
      </c>
      <c r="O145" s="83" cm="1">
        <f t="array" aca="1" ref="O145" ca="1">_xll.QInterp_Interpolate1d(O$128,$M145)*$P$111</f>
        <v>-1.076505674741104E-2</v>
      </c>
      <c r="P145" s="85" cm="1">
        <f t="array" aca="1" ref="P145" ca="1">_xll.QInterp_Interpolate1d(P$128,$M145)*$P$111</f>
        <v>-5.7565403489807557E-2</v>
      </c>
      <c r="Q145" s="83" cm="1">
        <f t="array" aca="1" ref="Q145" ca="1">_xll.QInterp_Interpolate1d(Q$128,$M145)*$P$111</f>
        <v>2.1561303808066918E-3</v>
      </c>
      <c r="R145" s="85" cm="1">
        <f t="array" aca="1" ref="R145" ca="1">_xll.QInterp_Interpolate1d(R$128,$M145)*$P$111</f>
        <v>1.789702935384356E-2</v>
      </c>
    </row>
    <row r="146" spans="2:18" x14ac:dyDescent="0.25">
      <c r="B146" s="8" t="str">
        <f t="shared" ca="1" si="16"/>
        <v>COM2</v>
      </c>
      <c r="C146" s="1">
        <f t="shared" ca="1" si="17"/>
        <v>44680</v>
      </c>
      <c r="D146" s="90" cm="1">
        <f t="array" aca="1" ref="D146" ca="1">_xll.QInterp_Interpolate1d(D$128,$C146)+E$111</f>
        <v>0.27677147367267102</v>
      </c>
      <c r="E146" s="83" cm="1">
        <f t="array" aca="1" ref="E146" ca="1">_xll.QInterp_Interpolate1d(E$128,$C146)*$H$111</f>
        <v>-7.4331390718453447E-2</v>
      </c>
      <c r="F146" s="84" cm="1">
        <f t="array" aca="1" ref="F146" ca="1">_xll.QInterp_Interpolate1d(F$128,$C146)*$H$111</f>
        <v>-0.1221925362626311</v>
      </c>
      <c r="G146" s="85" cm="1">
        <f t="array" aca="1" ref="G146" ca="1">_xll.QInterp_Interpolate1d(G$128,$C146)*$H$111</f>
        <v>-0.15414578148912625</v>
      </c>
      <c r="H146" s="83" cm="1">
        <f t="array" aca="1" ref="H146" ca="1">_xll.QInterp_Interpolate1d(H$128,$C146)*$H$111</f>
        <v>1.518485672092954E-2</v>
      </c>
      <c r="I146" s="84" cm="1">
        <f t="array" aca="1" ref="I146" ca="1">_xll.QInterp_Interpolate1d(I$128,$C146)*$H$111</f>
        <v>4.6966512270510422E-2</v>
      </c>
      <c r="J146" s="85" cm="1">
        <f t="array" aca="1" ref="J146" ca="1">_xll.QInterp_Interpolate1d(J$128,$C146)*$H$111</f>
        <v>8.1713865271208524E-2</v>
      </c>
      <c r="L146" s="8" t="str">
        <f t="shared" ca="1" si="18"/>
        <v>QSK2</v>
      </c>
      <c r="M146" s="1">
        <f t="shared" ca="1" si="18"/>
        <v>44693</v>
      </c>
      <c r="N146" s="90" cm="1">
        <f t="array" aca="1" ref="N146" ca="1">_xll.QInterp_Interpolate1d(N$128,$M146)+N$111</f>
        <v>0.28969501520264301</v>
      </c>
      <c r="O146" s="83" cm="1">
        <f t="array" aca="1" ref="O146" ca="1">_xll.QInterp_Interpolate1d(O$128,$M146)*$P$111</f>
        <v>-1.0590745072451606E-2</v>
      </c>
      <c r="P146" s="85" cm="1">
        <f t="array" aca="1" ref="P146" ca="1">_xll.QInterp_Interpolate1d(P$128,$M146)*$P$111</f>
        <v>-5.7586681587598797E-2</v>
      </c>
      <c r="Q146" s="83" cm="1">
        <f t="array" aca="1" ref="Q146" ca="1">_xll.QInterp_Interpolate1d(Q$128,$M146)*$P$111</f>
        <v>2.0719988804725484E-3</v>
      </c>
      <c r="R146" s="85" cm="1">
        <f t="array" aca="1" ref="R146" ca="1">_xll.QInterp_Interpolate1d(R$128,$M146)*$P$111</f>
        <v>1.7623660599992999E-2</v>
      </c>
    </row>
    <row r="147" spans="2:18" x14ac:dyDescent="0.25">
      <c r="B147" s="8" t="str">
        <f t="shared" ca="1" si="16"/>
        <v>CON2</v>
      </c>
      <c r="C147" s="1">
        <f t="shared" ca="1" si="17"/>
        <v>44712</v>
      </c>
      <c r="D147" s="90" cm="1">
        <f t="array" aca="1" ref="D147" ca="1">_xll.QInterp_Interpolate1d(D$128,$C147)+E$111</f>
        <v>0.27417606210320516</v>
      </c>
      <c r="E147" s="83" cm="1">
        <f t="array" aca="1" ref="E147" ca="1">_xll.QInterp_Interpolate1d(E$128,$C147)*$H$111</f>
        <v>-7.3136484173526514E-2</v>
      </c>
      <c r="F147" s="84" cm="1">
        <f t="array" aca="1" ref="F147" ca="1">_xll.QInterp_Interpolate1d(F$128,$C147)*$H$111</f>
        <v>-0.12224052564324231</v>
      </c>
      <c r="G147" s="85" cm="1">
        <f t="array" aca="1" ref="G147" ca="1">_xll.QInterp_Interpolate1d(G$128,$C147)*$H$111</f>
        <v>-0.15567947506168039</v>
      </c>
      <c r="H147" s="83" cm="1">
        <f t="array" aca="1" ref="H147" ca="1">_xll.QInterp_Interpolate1d(H$128,$C147)*$H$111</f>
        <v>1.4645419207903946E-2</v>
      </c>
      <c r="I147" s="84" cm="1">
        <f t="array" aca="1" ref="I147" ca="1">_xll.QInterp_Interpolate1d(I$128,$C147)*$H$111</f>
        <v>4.6251703256137124E-2</v>
      </c>
      <c r="J147" s="85" cm="1">
        <f t="array" aca="1" ref="J147" ca="1">_xll.QInterp_Interpolate1d(J$128,$C147)*$H$111</f>
        <v>8.0818100380934538E-2</v>
      </c>
      <c r="L147" s="8" t="str">
        <f t="shared" ca="1" si="18"/>
        <v>QSM2</v>
      </c>
      <c r="M147" s="1">
        <f t="shared" ca="1" si="18"/>
        <v>44722</v>
      </c>
      <c r="N147" s="90" cm="1">
        <f t="array" aca="1" ref="N147" ca="1">_xll.QInterp_Interpolate1d(N$128,$M147)+N$111</f>
        <v>0.28774422455015236</v>
      </c>
      <c r="O147" s="83" cm="1">
        <f t="array" aca="1" ref="O147" ca="1">_xll.QInterp_Interpolate1d(O$128,$M147)*$P$111</f>
        <v>-1.0443964990887457E-2</v>
      </c>
      <c r="P147" s="85" cm="1">
        <f t="array" aca="1" ref="P147" ca="1">_xll.QInterp_Interpolate1d(P$128,$M147)*$P$111</f>
        <v>-5.7925716487590866E-2</v>
      </c>
      <c r="Q147" s="83" cm="1">
        <f t="array" aca="1" ref="Q147" ca="1">_xll.QInterp_Interpolate1d(Q$128,$M147)*$P$111</f>
        <v>2.0089618801928844E-3</v>
      </c>
      <c r="R147" s="85" cm="1">
        <f t="array" aca="1" ref="R147" ca="1">_xll.QInterp_Interpolate1d(R$128,$M147)*$P$111</f>
        <v>1.7473599696013944E-2</v>
      </c>
    </row>
    <row r="148" spans="2:18" x14ac:dyDescent="0.25">
      <c r="B148" s="8" t="str">
        <f t="shared" ca="1" si="16"/>
        <v>COQ2</v>
      </c>
      <c r="C148" s="1">
        <f t="shared" ca="1" si="17"/>
        <v>44742</v>
      </c>
      <c r="D148" s="90" cm="1">
        <f t="array" aca="1" ref="D148" ca="1">_xll.QInterp_Interpolate1d(D$128,$C148)+E$111</f>
        <v>0.27174286375683088</v>
      </c>
      <c r="E148" s="83" cm="1">
        <f t="array" aca="1" ref="E148" ca="1">_xll.QInterp_Interpolate1d(E$128,$C148)*$H$111</f>
        <v>-7.2016259287657522E-2</v>
      </c>
      <c r="F148" s="84" cm="1">
        <f t="array" aca="1" ref="F148" ca="1">_xll.QInterp_Interpolate1d(F$128,$C148)*$H$111</f>
        <v>-0.12228551568756534</v>
      </c>
      <c r="G148" s="85" cm="1">
        <f t="array" aca="1" ref="G148" ca="1">_xll.QInterp_Interpolate1d(G$128,$C148)*$H$111</f>
        <v>-0.15711731278594987</v>
      </c>
      <c r="H148" s="83" cm="1">
        <f t="array" aca="1" ref="H148" ca="1">_xll.QInterp_Interpolate1d(H$128,$C148)*$H$111</f>
        <v>1.4139696539442449E-2</v>
      </c>
      <c r="I148" s="84" cm="1">
        <f t="array" aca="1" ref="I148" ca="1">_xll.QInterp_Interpolate1d(I$128,$C148)*$H$111</f>
        <v>4.5581569805162155E-2</v>
      </c>
      <c r="J148" s="85" cm="1">
        <f t="array" aca="1" ref="J148" ca="1">_xll.QInterp_Interpolate1d(J$128,$C148)*$H$111</f>
        <v>7.9978320796302668E-2</v>
      </c>
      <c r="L148" s="8" t="str">
        <f t="shared" ca="1" si="18"/>
        <v>QSN2</v>
      </c>
      <c r="M148" s="1">
        <f t="shared" ca="1" si="18"/>
        <v>44754</v>
      </c>
      <c r="N148" s="90" cm="1">
        <f t="array" aca="1" ref="N148" ca="1">_xll.QInterp_Interpolate1d(N$128,$M148)+N$111</f>
        <v>0.2858573679726133</v>
      </c>
      <c r="O148" s="83" cm="1">
        <f t="array" aca="1" ref="O148" ca="1">_xll.QInterp_Interpolate1d(O$128,$M148)*$P$111</f>
        <v>-1.0357329471220113E-2</v>
      </c>
      <c r="P148" s="85" cm="1">
        <f t="array" aca="1" ref="P148" ca="1">_xll.QInterp_Interpolate1d(P$128,$M148)*$P$111</f>
        <v>-5.9404258026387782E-2</v>
      </c>
      <c r="Q148" s="83" cm="1">
        <f t="array" aca="1" ref="Q148" ca="1">_xll.QInterp_Interpolate1d(Q$128,$M148)*$P$111</f>
        <v>2.0028335752726905E-3</v>
      </c>
      <c r="R148" s="85" cm="1">
        <f t="array" aca="1" ref="R148" ca="1">_xll.QInterp_Interpolate1d(R$128,$M148)*$P$111</f>
        <v>1.7704043195494443E-2</v>
      </c>
    </row>
    <row r="149" spans="2:18" x14ac:dyDescent="0.25">
      <c r="B149" s="8" t="str">
        <f t="shared" ca="1" si="16"/>
        <v>COU2</v>
      </c>
      <c r="C149" s="1">
        <f t="shared" ca="1" si="17"/>
        <v>44771</v>
      </c>
      <c r="D149" s="90" cm="1">
        <f t="array" aca="1" ref="D149" ca="1">_xll.QInterp_Interpolate1d(D$128,$C149)+E$111</f>
        <v>0.2693907720220024</v>
      </c>
      <c r="E149" s="83" cm="1">
        <f t="array" aca="1" ref="E149" ca="1">_xll.QInterp_Interpolate1d(E$128,$C149)*$H$111</f>
        <v>-7.09333752313175E-2</v>
      </c>
      <c r="F149" s="84" cm="1">
        <f t="array" aca="1" ref="F149" ca="1">_xll.QInterp_Interpolate1d(F$128,$C149)*$H$111</f>
        <v>-0.12232900606374425</v>
      </c>
      <c r="G149" s="85" cm="1">
        <f t="array" aca="1" ref="G149" ca="1">_xll.QInterp_Interpolate1d(G$128,$C149)*$H$111</f>
        <v>-0.15850722258607705</v>
      </c>
      <c r="H149" s="83" cm="1">
        <f t="array" aca="1" ref="H149" ca="1">_xll.QInterp_Interpolate1d(H$128,$C149)*$H$111</f>
        <v>1.3650831293263005E-2</v>
      </c>
      <c r="I149" s="84" cm="1">
        <f t="array" aca="1" ref="I149" ca="1">_xll.QInterp_Interpolate1d(I$128,$C149)*$H$111</f>
        <v>4.4933774135886353E-2</v>
      </c>
      <c r="J149" s="85" cm="1">
        <f t="array" aca="1" ref="J149" ca="1">_xll.QInterp_Interpolate1d(J$128,$C149)*$H$111</f>
        <v>7.9166533864491864E-2</v>
      </c>
      <c r="L149" s="8" t="str">
        <f t="shared" ca="1" si="18"/>
        <v>QSQ2</v>
      </c>
      <c r="M149" s="1">
        <f t="shared" ca="1" si="18"/>
        <v>44784</v>
      </c>
      <c r="N149" s="90" cm="1">
        <f t="array" aca="1" ref="N149" ca="1">_xll.QInterp_Interpolate1d(N$128,$M149)+N$111</f>
        <v>0.28408843993117039</v>
      </c>
      <c r="O149" s="83" cm="1">
        <f t="array" aca="1" ref="O149" ca="1">_xll.QInterp_Interpolate1d(O$128,$M149)*$P$111</f>
        <v>-1.0276108671531978E-2</v>
      </c>
      <c r="P149" s="85" cm="1">
        <f t="array" aca="1" ref="P149" ca="1">_xll.QInterp_Interpolate1d(P$128,$M149)*$P$111</f>
        <v>-6.0790390719009893E-2</v>
      </c>
      <c r="Q149" s="83" cm="1">
        <f t="array" aca="1" ref="Q149" ca="1">_xll.QInterp_Interpolate1d(Q$128,$M149)*$P$111</f>
        <v>1.9970882894100083E-3</v>
      </c>
      <c r="R149" s="85" cm="1">
        <f t="array" aca="1" ref="R149" ca="1">_xll.QInterp_Interpolate1d(R$128,$M149)*$P$111</f>
        <v>1.7920083976257408E-2</v>
      </c>
    </row>
    <row r="150" spans="2:18" x14ac:dyDescent="0.25">
      <c r="B150" s="8" t="str">
        <f t="shared" ca="1" si="16"/>
        <v>COV2</v>
      </c>
      <c r="C150" s="1">
        <f t="shared" ca="1" si="17"/>
        <v>44804</v>
      </c>
      <c r="D150" s="90" cm="1">
        <f t="array" aca="1" ref="D150" ca="1">_xll.QInterp_Interpolate1d(D$128,$C150)+E$111</f>
        <v>0.26671425384099073</v>
      </c>
      <c r="E150" s="83" cm="1">
        <f t="array" aca="1" ref="E150" ca="1">_xll.QInterp_Interpolate1d(E$128,$C150)*$H$111</f>
        <v>-6.9701127856861597E-2</v>
      </c>
      <c r="F150" s="84" cm="1">
        <f t="array" aca="1" ref="F150" ca="1">_xll.QInterp_Interpolate1d(F$128,$C150)*$H$111</f>
        <v>-0.12237849511249957</v>
      </c>
      <c r="G150" s="85" cm="1">
        <f t="array" aca="1" ref="G150" ca="1">_xll.QInterp_Interpolate1d(G$128,$C150)*$H$111</f>
        <v>-0.16008884408277346</v>
      </c>
      <c r="H150" s="83" cm="1">
        <f t="array" aca="1" ref="H150" ca="1">_xll.QInterp_Interpolate1d(H$128,$C150)*$H$111</f>
        <v>1.3094536357955358E-2</v>
      </c>
      <c r="I150" s="84" cm="1">
        <f t="array" aca="1" ref="I150" ca="1">_xll.QInterp_Interpolate1d(I$128,$C150)*$H$111</f>
        <v>4.4196627339813895E-2</v>
      </c>
      <c r="J150" s="85" cm="1">
        <f t="array" aca="1" ref="J150" ca="1">_xll.QInterp_Interpolate1d(J$128,$C150)*$H$111</f>
        <v>7.8242776321396812E-2</v>
      </c>
      <c r="L150" s="8" t="str">
        <f t="shared" ca="1" si="18"/>
        <v>QSU2</v>
      </c>
      <c r="M150" s="1">
        <f t="shared" ca="1" si="18"/>
        <v>44816</v>
      </c>
      <c r="N150" s="90" cm="1">
        <f t="array" aca="1" ref="N150" ca="1">_xll.QInterp_Interpolate1d(N$128,$M150)+N$111</f>
        <v>0.28220158335363132</v>
      </c>
      <c r="O150" s="83" cm="1">
        <f t="array" aca="1" ref="O150" ca="1">_xll.QInterp_Interpolate1d(O$128,$M150)*$P$111</f>
        <v>-1.0189473151864636E-2</v>
      </c>
      <c r="P150" s="85" cm="1">
        <f t="array" aca="1" ref="P150" ca="1">_xll.QInterp_Interpolate1d(P$128,$M150)*$P$111</f>
        <v>-6.2268932257806803E-2</v>
      </c>
      <c r="Q150" s="83" cm="1">
        <f t="array" aca="1" ref="Q150" ca="1">_xll.QInterp_Interpolate1d(Q$128,$M150)*$P$111</f>
        <v>1.9909599844898144E-3</v>
      </c>
      <c r="R150" s="85" cm="1">
        <f t="array" aca="1" ref="R150" ca="1">_xll.QInterp_Interpolate1d(R$128,$M150)*$P$111</f>
        <v>1.8150527475737904E-2</v>
      </c>
    </row>
    <row r="151" spans="2:18" x14ac:dyDescent="0.25">
      <c r="B151" s="8" t="str">
        <f t="shared" ca="1" si="16"/>
        <v>COX2</v>
      </c>
      <c r="C151" s="1">
        <f t="shared" ca="1" si="17"/>
        <v>44834</v>
      </c>
      <c r="D151" s="90" cm="1">
        <f t="array" aca="1" ref="D151" ca="1">_xll.QInterp_Interpolate1d(D$128,$C151)+E$111</f>
        <v>0.26428105549461645</v>
      </c>
      <c r="E151" s="83" cm="1">
        <f t="array" aca="1" ref="E151" ca="1">_xll.QInterp_Interpolate1d(E$128,$C151)*$H$111</f>
        <v>-6.8580902970992605E-2</v>
      </c>
      <c r="F151" s="84" cm="1">
        <f t="array" aca="1" ref="F151" ca="1">_xll.QInterp_Interpolate1d(F$128,$C151)*$H$111</f>
        <v>-0.12242348515682258</v>
      </c>
      <c r="G151" s="85" cm="1">
        <f t="array" aca="1" ref="G151" ca="1">_xll.QInterp_Interpolate1d(G$128,$C151)*$H$111</f>
        <v>-0.16152668180704297</v>
      </c>
      <c r="H151" s="83" cm="1">
        <f t="array" aca="1" ref="H151" ca="1">_xll.QInterp_Interpolate1d(H$128,$C151)*$H$111</f>
        <v>1.2588813689493864E-2</v>
      </c>
      <c r="I151" s="84" cm="1">
        <f t="array" aca="1" ref="I151" ca="1">_xll.QInterp_Interpolate1d(I$128,$C151)*$H$111</f>
        <v>4.3526493888838926E-2</v>
      </c>
      <c r="J151" s="85" cm="1">
        <f t="array" aca="1" ref="J151" ca="1">_xll.QInterp_Interpolate1d(J$128,$C151)*$H$111</f>
        <v>7.7402996736764956E-2</v>
      </c>
      <c r="L151" s="8" t="str">
        <f t="shared" ca="1" si="18"/>
        <v>QSV2</v>
      </c>
      <c r="M151" s="1">
        <f t="shared" ca="1" si="18"/>
        <v>44846</v>
      </c>
      <c r="N151" s="90" cm="1">
        <f t="array" aca="1" ref="N151" ca="1">_xll.QInterp_Interpolate1d(N$128,$M151)+N$111</f>
        <v>0.28043265531218842</v>
      </c>
      <c r="O151" s="83" cm="1">
        <f t="array" aca="1" ref="O151" ca="1">_xll.QInterp_Interpolate1d(O$128,$M151)*$P$111</f>
        <v>-1.0108252352176501E-2</v>
      </c>
      <c r="P151" s="85" cm="1">
        <f t="array" aca="1" ref="P151" ca="1">_xll.QInterp_Interpolate1d(P$128,$M151)*$P$111</f>
        <v>-6.3655064950428913E-2</v>
      </c>
      <c r="Q151" s="83" cm="1">
        <f t="array" aca="1" ref="Q151" ca="1">_xll.QInterp_Interpolate1d(Q$128,$M151)*$P$111</f>
        <v>1.9852146986271322E-3</v>
      </c>
      <c r="R151" s="85" cm="1">
        <f t="array" aca="1" ref="R151" ca="1">_xll.QInterp_Interpolate1d(R$128,$M151)*$P$111</f>
        <v>1.8366568256500869E-2</v>
      </c>
    </row>
    <row r="152" spans="2:18" x14ac:dyDescent="0.25">
      <c r="B152" s="8" t="str">
        <f t="shared" ca="1" si="16"/>
        <v>COZ2</v>
      </c>
      <c r="C152" s="1">
        <f t="shared" ca="1" si="17"/>
        <v>44865</v>
      </c>
      <c r="D152" s="90" cm="1">
        <f t="array" aca="1" ref="D152" ca="1">_xll.QInterp_Interpolate1d(D$128,$C152)+E$111</f>
        <v>0.2620110358724792</v>
      </c>
      <c r="E152" s="83" cm="1">
        <f t="array" aca="1" ref="E152" ca="1">_xll.QInterp_Interpolate1d(E$128,$C152)*$H$111</f>
        <v>-6.7520635209468619E-2</v>
      </c>
      <c r="F152" s="84" cm="1">
        <f t="array" aca="1" ref="F152" ca="1">_xll.QInterp_Interpolate1d(F$128,$C152)*$H$111</f>
        <v>-0.12296448382805669</v>
      </c>
      <c r="G152" s="85" cm="1">
        <f t="array" aca="1" ref="G152" ca="1">_xll.QInterp_Interpolate1d(G$128,$C152)*$H$111</f>
        <v>-0.16331505889868092</v>
      </c>
      <c r="H152" s="83" cm="1">
        <f t="array" aca="1" ref="H152" ca="1">_xll.QInterp_Interpolate1d(H$128,$C152)*$H$111</f>
        <v>1.2144605270425709E-2</v>
      </c>
      <c r="I152" s="84" cm="1">
        <f t="array" aca="1" ref="I152" ca="1">_xll.QInterp_Interpolate1d(I$128,$C152)*$H$111</f>
        <v>4.3036424614207258E-2</v>
      </c>
      <c r="J152" s="85" cm="1">
        <f t="array" aca="1" ref="J152" ca="1">_xll.QInterp_Interpolate1d(J$128,$C152)*$H$111</f>
        <v>7.6542540109727802E-2</v>
      </c>
      <c r="L152" s="8" t="str">
        <f t="shared" ca="1" si="18"/>
        <v>QSX2</v>
      </c>
      <c r="M152" s="1">
        <f t="shared" ca="1" si="18"/>
        <v>44875</v>
      </c>
      <c r="N152" s="90" cm="1">
        <f t="array" aca="1" ref="N152" ca="1">_xll.QInterp_Interpolate1d(N$128,$M152)+N$111</f>
        <v>0.27872269153879364</v>
      </c>
      <c r="O152" s="83" cm="1">
        <f t="array" aca="1" ref="O152" ca="1">_xll.QInterp_Interpolate1d(O$128,$M152)*$P$111</f>
        <v>-1.0029738912477972E-2</v>
      </c>
      <c r="P152" s="85" cm="1">
        <f t="array" aca="1" ref="P152" ca="1">_xll.QInterp_Interpolate1d(P$128,$M152)*$P$111</f>
        <v>-6.4994993219963618E-2</v>
      </c>
      <c r="Q152" s="83" cm="1">
        <f t="array" aca="1" ref="Q152" ca="1">_xll.QInterp_Interpolate1d(Q$128,$M152)*$P$111</f>
        <v>1.9796609222932065E-3</v>
      </c>
      <c r="R152" s="85" cm="1">
        <f t="array" aca="1" ref="R152" ca="1">_xll.QInterp_Interpolate1d(R$128,$M152)*$P$111</f>
        <v>1.8575407677905068E-2</v>
      </c>
    </row>
    <row r="153" spans="2:18" x14ac:dyDescent="0.25">
      <c r="B153" s="8" t="str">
        <f t="shared" ca="1" si="16"/>
        <v>COF3</v>
      </c>
      <c r="C153" s="1">
        <f t="shared" ca="1" si="17"/>
        <v>44895</v>
      </c>
      <c r="D153" s="90" cm="1">
        <f t="array" aca="1" ref="D153" ca="1">_xll.QInterp_Interpolate1d(D$128,$C153)+E$111</f>
        <v>0.26104354954080178</v>
      </c>
      <c r="E153" s="83" cm="1">
        <f t="array" aca="1" ref="E153" ca="1">_xll.QInterp_Interpolate1d(E$128,$C153)*$H$111</f>
        <v>-6.6984198046843454E-2</v>
      </c>
      <c r="F153" s="84" cm="1">
        <f t="array" aca="1" ref="F153" ca="1">_xll.QInterp_Interpolate1d(F$128,$C153)*$H$111</f>
        <v>-0.12597652762498163</v>
      </c>
      <c r="G153" s="85" cm="1">
        <f t="array" aca="1" ref="G153" ca="1">_xll.QInterp_Interpolate1d(G$128,$C153)*$H$111</f>
        <v>-0.16656856528230743</v>
      </c>
      <c r="H153" s="83" cm="1">
        <f t="array" aca="1" ref="H153" ca="1">_xll.QInterp_Interpolate1d(H$128,$C153)*$H$111</f>
        <v>1.2109112632016557E-2</v>
      </c>
      <c r="I153" s="84" cm="1">
        <f t="array" aca="1" ref="I153" ca="1">_xll.QInterp_Interpolate1d(I$128,$C153)*$H$111</f>
        <v>4.3580702911487058E-2</v>
      </c>
      <c r="J153" s="85" cm="1">
        <f t="array" aca="1" ref="J153" ca="1">_xll.QInterp_Interpolate1d(J$128,$C153)*$H$111</f>
        <v>7.5746654187590592E-2</v>
      </c>
      <c r="L153" s="8" t="str">
        <f t="shared" ca="1" si="18"/>
        <v>QSZ2</v>
      </c>
      <c r="M153" s="1">
        <f t="shared" ca="1" si="18"/>
        <v>44907</v>
      </c>
      <c r="N153" s="90" cm="1">
        <f t="array" aca="1" ref="N153" ca="1">_xll.QInterp_Interpolate1d(N$128,$M153)+N$111</f>
        <v>0.27684724718917703</v>
      </c>
      <c r="O153" s="83" cm="1">
        <f t="array" aca="1" ref="O153" ca="1">_xll.QInterp_Interpolate1d(O$128,$M153)*$P$111</f>
        <v>-9.9422791968112826E-3</v>
      </c>
      <c r="P153" s="85" cm="1">
        <f t="array" aca="1" ref="P153" ca="1">_xll.QInterp_Interpolate1d(P$128,$M153)*$P$111</f>
        <v>-6.5667318939294866E-2</v>
      </c>
      <c r="Q153" s="83" cm="1">
        <f t="array" aca="1" ref="Q153" ca="1">_xll.QInterp_Interpolate1d(Q$128,$M153)*$P$111</f>
        <v>1.9749562118517644E-3</v>
      </c>
      <c r="R153" s="85" cm="1">
        <f t="array" aca="1" ref="R153" ca="1">_xll.QInterp_Interpolate1d(R$128,$M153)*$P$111</f>
        <v>1.8679952036142422E-2</v>
      </c>
    </row>
    <row r="154" spans="2:18" x14ac:dyDescent="0.25">
      <c r="B154" s="8" t="str">
        <f t="shared" ca="1" si="16"/>
        <v>COG3</v>
      </c>
      <c r="C154" s="1">
        <f t="shared" ca="1" si="17"/>
        <v>44925</v>
      </c>
      <c r="D154" s="90" cm="1">
        <f t="array" aca="1" ref="D154" ca="1">_xll.QInterp_Interpolate1d(D$128,$C154)+E$111</f>
        <v>0.26007606320912435</v>
      </c>
      <c r="E154" s="83" cm="1">
        <f t="array" aca="1" ref="E154" ca="1">_xll.QInterp_Interpolate1d(E$128,$C154)*$H$111</f>
        <v>-6.6447760884218304E-2</v>
      </c>
      <c r="F154" s="84" cm="1">
        <f t="array" aca="1" ref="F154" ca="1">_xll.QInterp_Interpolate1d(F$128,$C154)*$H$111</f>
        <v>-0.12898857142190659</v>
      </c>
      <c r="G154" s="85" cm="1">
        <f t="array" aca="1" ref="G154" ca="1">_xll.QInterp_Interpolate1d(G$128,$C154)*$H$111</f>
        <v>-0.16982207166593394</v>
      </c>
      <c r="H154" s="83" cm="1">
        <f t="array" aca="1" ref="H154" ca="1">_xll.QInterp_Interpolate1d(H$128,$C154)*$H$111</f>
        <v>1.2073619993607404E-2</v>
      </c>
      <c r="I154" s="84" cm="1">
        <f t="array" aca="1" ref="I154" ca="1">_xll.QInterp_Interpolate1d(I$128,$C154)*$H$111</f>
        <v>4.4124981208766859E-2</v>
      </c>
      <c r="J154" s="85" cm="1">
        <f t="array" aca="1" ref="J154" ca="1">_xll.QInterp_Interpolate1d(J$128,$C154)*$H$111</f>
        <v>7.4950768265453382E-2</v>
      </c>
      <c r="L154" s="8" t="str">
        <f t="shared" ca="1" si="18"/>
        <v>QSF3</v>
      </c>
      <c r="M154" s="1">
        <f t="shared" ca="1" si="18"/>
        <v>44938</v>
      </c>
      <c r="N154" s="90" cm="1">
        <f t="array" aca="1" ref="N154" ca="1">_xll.QInterp_Interpolate1d(N$128,$M154)+N$111</f>
        <v>0.27506989474619975</v>
      </c>
      <c r="O154" s="83" cm="1">
        <f t="array" aca="1" ref="O154" ca="1">_xll.QInterp_Interpolate1d(O$128,$M154)*$P$111</f>
        <v>-9.8547010262793056E-3</v>
      </c>
      <c r="P154" s="85" cm="1">
        <f t="array" aca="1" ref="P154" ca="1">_xll.QInterp_Interpolate1d(P$128,$M154)*$P$111</f>
        <v>-6.3529271711656399E-2</v>
      </c>
      <c r="Q154" s="83" cm="1">
        <f t="array" aca="1" ref="Q154" ca="1">_xll.QInterp_Interpolate1d(Q$128,$M154)*$P$111</f>
        <v>1.9753239062947998E-3</v>
      </c>
      <c r="R154" s="85" cm="1">
        <f t="array" aca="1" ref="R154" ca="1">_xll.QInterp_Interpolate1d(R$128,$M154)*$P$111</f>
        <v>1.8345640836473096E-2</v>
      </c>
    </row>
    <row r="155" spans="2:18" x14ac:dyDescent="0.25">
      <c r="B155" s="8" t="str">
        <f t="shared" ca="1" si="16"/>
        <v>COH3</v>
      </c>
      <c r="C155" s="1">
        <f t="shared" ca="1" si="17"/>
        <v>44957</v>
      </c>
      <c r="D155" s="90" cm="1">
        <f t="array" aca="1" ref="D155" ca="1">_xll.QInterp_Interpolate1d(D$128,$C155)+E$111</f>
        <v>0.25904407778866845</v>
      </c>
      <c r="E155" s="83" cm="1">
        <f t="array" aca="1" ref="E155" ca="1">_xll.QInterp_Interpolate1d(E$128,$C155)*$H$111</f>
        <v>-6.5875561244084793E-2</v>
      </c>
      <c r="F155" s="84" cm="1">
        <f t="array" aca="1" ref="F155" ca="1">_xll.QInterp_Interpolate1d(F$128,$C155)*$H$111</f>
        <v>-0.13220141813862651</v>
      </c>
      <c r="G155" s="85" cm="1">
        <f t="array" aca="1" ref="G155" ca="1">_xll.QInterp_Interpolate1d(G$128,$C155)*$H$111</f>
        <v>-0.17329247847513557</v>
      </c>
      <c r="H155" s="83" cm="1">
        <f t="array" aca="1" ref="H155" ca="1">_xll.QInterp_Interpolate1d(H$128,$C155)*$H$111</f>
        <v>1.2035761179304308E-2</v>
      </c>
      <c r="I155" s="84" cm="1">
        <f t="array" aca="1" ref="I155" ca="1">_xll.QInterp_Interpolate1d(I$128,$C155)*$H$111</f>
        <v>4.4705544725865312E-2</v>
      </c>
      <c r="J155" s="85" cm="1">
        <f t="array" aca="1" ref="J155" ca="1">_xll.QInterp_Interpolate1d(J$128,$C155)*$H$111</f>
        <v>7.4101823281840354E-2</v>
      </c>
      <c r="L155" s="8" t="str">
        <f t="shared" ca="1" si="18"/>
        <v>QSG3</v>
      </c>
      <c r="M155" s="1">
        <f t="shared" ca="1" si="18"/>
        <v>44967</v>
      </c>
      <c r="N155" s="90" cm="1">
        <f t="array" aca="1" ref="N155" ca="1">_xll.QInterp_Interpolate1d(N$128,$M155)+N$111</f>
        <v>0.27340721020276937</v>
      </c>
      <c r="O155" s="83" cm="1">
        <f t="array" aca="1" ref="O155" ca="1">_xll.QInterp_Interpolate1d(O$128,$M155)*$P$111</f>
        <v>-9.7727730602977791E-3</v>
      </c>
      <c r="P155" s="85" cm="1">
        <f t="array" aca="1" ref="P155" ca="1">_xll.QInterp_Interpolate1d(P$128,$M155)*$P$111</f>
        <v>-6.1529163014833306E-2</v>
      </c>
      <c r="Q155" s="83" cm="1">
        <f t="array" aca="1" ref="Q155" ca="1">_xll.QInterp_Interpolate1d(Q$128,$M155)*$P$111</f>
        <v>1.9756678785157037E-3</v>
      </c>
      <c r="R155" s="85" cm="1">
        <f t="array" aca="1" ref="R155" ca="1">_xll.QInterp_Interpolate1d(R$128,$M155)*$P$111</f>
        <v>1.8032898101298562E-2</v>
      </c>
    </row>
    <row r="156" spans="2:18" x14ac:dyDescent="0.25">
      <c r="B156" s="8" t="str">
        <f t="shared" ca="1" si="16"/>
        <v>COJ3</v>
      </c>
      <c r="C156" s="1">
        <f t="shared" ca="1" si="17"/>
        <v>44985</v>
      </c>
      <c r="D156" s="90" cm="1">
        <f t="array" aca="1" ref="D156" ca="1">_xll.QInterp_Interpolate1d(D$128,$C156)+E$111</f>
        <v>0.2581410905457695</v>
      </c>
      <c r="E156" s="83" cm="1">
        <f t="array" aca="1" ref="E156" ca="1">_xll.QInterp_Interpolate1d(E$128,$C156)*$H$111</f>
        <v>-6.5374886558967976E-2</v>
      </c>
      <c r="F156" s="84" cm="1">
        <f t="array" aca="1" ref="F156" ca="1">_xll.QInterp_Interpolate1d(F$128,$C156)*$H$111</f>
        <v>-0.13501265901575649</v>
      </c>
      <c r="G156" s="85" cm="1">
        <f t="array" aca="1" ref="G156" ca="1">_xll.QInterp_Interpolate1d(G$128,$C156)*$H$111</f>
        <v>-0.17632908443318696</v>
      </c>
      <c r="H156" s="83" cm="1">
        <f t="array" aca="1" ref="H156" ca="1">_xll.QInterp_Interpolate1d(H$128,$C156)*$H$111</f>
        <v>1.20026347167891E-2</v>
      </c>
      <c r="I156" s="84" cm="1">
        <f t="array" aca="1" ref="I156" ca="1">_xll.QInterp_Interpolate1d(I$128,$C156)*$H$111</f>
        <v>4.5213537803326459E-2</v>
      </c>
      <c r="J156" s="85" cm="1">
        <f t="array" aca="1" ref="J156" ca="1">_xll.QInterp_Interpolate1d(J$128,$C156)*$H$111</f>
        <v>7.3358996421178962E-2</v>
      </c>
      <c r="L156" s="8" t="str">
        <f t="shared" ca="1" si="18"/>
        <v>QSH3</v>
      </c>
      <c r="M156" s="1">
        <f t="shared" ca="1" si="18"/>
        <v>44995</v>
      </c>
      <c r="N156" s="90" cm="1">
        <f t="array" aca="1" ref="N156" ca="1">_xll.QInterp_Interpolate1d(N$128,$M156)+N$111</f>
        <v>0.27180185960911246</v>
      </c>
      <c r="O156" s="83" cm="1">
        <f t="array" aca="1" ref="O156" ca="1">_xll.QInterp_Interpolate1d(O$128,$M156)*$P$111</f>
        <v>-9.6936701965914772E-3</v>
      </c>
      <c r="P156" s="85" cm="1">
        <f t="array" aca="1" ref="P156" ca="1">_xll.QInterp_Interpolate1d(P$128,$M156)*$P$111</f>
        <v>-5.9598023583417911E-2</v>
      </c>
      <c r="Q156" s="83" cm="1">
        <f t="array" aca="1" ref="Q156" ca="1">_xll.QInterp_Interpolate1d(Q$128,$M156)*$P$111</f>
        <v>1.9759999896255421E-3</v>
      </c>
      <c r="R156" s="85" cm="1">
        <f t="array" aca="1" ref="R156" ca="1">_xll.QInterp_Interpolate1d(R$128,$M156)*$P$111</f>
        <v>1.7730939598371426E-2</v>
      </c>
    </row>
    <row r="157" spans="2:18" x14ac:dyDescent="0.25">
      <c r="B157" s="8" t="str">
        <f t="shared" ca="1" si="16"/>
        <v>COK3</v>
      </c>
      <c r="C157" s="1">
        <f t="shared" ca="1" si="17"/>
        <v>45016</v>
      </c>
      <c r="D157" s="90" cm="1">
        <f t="array" aca="1" ref="D157" ca="1">_xll.QInterp_Interpolate1d(D$128,$C157)+E$111</f>
        <v>0.25714135466970284</v>
      </c>
      <c r="E157" s="83" cm="1">
        <f t="array" aca="1" ref="E157" ca="1">_xll.QInterp_Interpolate1d(E$128,$C157)*$H$111</f>
        <v>-6.4820568157588646E-2</v>
      </c>
      <c r="F157" s="84" cm="1">
        <f t="array" aca="1" ref="F157" ca="1">_xll.QInterp_Interpolate1d(F$128,$C157)*$H$111</f>
        <v>-0.13812510427257893</v>
      </c>
      <c r="G157" s="85" cm="1">
        <f t="array" aca="1" ref="G157" ca="1">_xll.QInterp_Interpolate1d(G$128,$C157)*$H$111</f>
        <v>-0.17969104102960104</v>
      </c>
      <c r="H157" s="83" cm="1">
        <f t="array" aca="1" ref="H157" ca="1">_xll.QInterp_Interpolate1d(H$128,$C157)*$H$111</f>
        <v>1.1965958990432976E-2</v>
      </c>
      <c r="I157" s="84" cm="1">
        <f t="array" aca="1" ref="I157" ca="1">_xll.QInterp_Interpolate1d(I$128,$C157)*$H$111</f>
        <v>4.5775958710515582E-2</v>
      </c>
      <c r="J157" s="85" cm="1">
        <f t="array" aca="1" ref="J157" ca="1">_xll.QInterp_Interpolate1d(J$128,$C157)*$H$111</f>
        <v>7.2536580968303843E-2</v>
      </c>
      <c r="L157" s="8" t="str">
        <f t="shared" ca="1" si="18"/>
        <v>QSJ3</v>
      </c>
      <c r="M157" s="1">
        <f t="shared" ca="1" si="18"/>
        <v>45028</v>
      </c>
      <c r="N157" s="90" cm="1">
        <f t="array" aca="1" ref="N157" ca="1">_xll.QInterp_Interpolate1d(N$128,$M157)+N$111</f>
        <v>0.26990983926658824</v>
      </c>
      <c r="O157" s="83" cm="1">
        <f t="array" aca="1" ref="O157" ca="1">_xll.QInterp_Interpolate1d(O$128,$M157)*$P$111</f>
        <v>-9.6004418215090495E-3</v>
      </c>
      <c r="P157" s="85" cm="1">
        <f t="array" aca="1" ref="P157" ca="1">_xll.QInterp_Interpolate1d(P$128,$M157)*$P$111</f>
        <v>-5.7322037824964062E-2</v>
      </c>
      <c r="Q157" s="83" cm="1">
        <f t="array" aca="1" ref="Q157" ca="1">_xll.QInterp_Interpolate1d(Q$128,$M157)*$P$111</f>
        <v>1.9763914062907086E-3</v>
      </c>
      <c r="R157" s="85" cm="1">
        <f t="array" aca="1" ref="R157" ca="1">_xll.QInterp_Interpolate1d(R$128,$M157)*$P$111</f>
        <v>1.7375059934207304E-2</v>
      </c>
    </row>
    <row r="158" spans="2:18" x14ac:dyDescent="0.25">
      <c r="B158" s="8" t="str">
        <f t="shared" ca="1" si="16"/>
        <v>COM3</v>
      </c>
      <c r="C158" s="1">
        <f t="shared" ca="1" si="17"/>
        <v>45044</v>
      </c>
      <c r="D158" s="90" cm="1">
        <f t="array" aca="1" ref="D158" ca="1">_xll.QInterp_Interpolate1d(D$128,$C158)+E$111</f>
        <v>0.25622100164552036</v>
      </c>
      <c r="E158" s="83" cm="1">
        <f t="array" aca="1" ref="E158" ca="1">_xll.QInterp_Interpolate1d(E$128,$C158)*$H$111</f>
        <v>-6.4319366115907647E-2</v>
      </c>
      <c r="F158" s="84" cm="1">
        <f t="array" aca="1" ref="F158" ca="1">_xll.QInterp_Interpolate1d(F$128,$C158)*$H$111</f>
        <v>-0.14020003610235904</v>
      </c>
      <c r="G158" s="85" cm="1">
        <f t="array" aca="1" ref="G158" ca="1">_xll.QInterp_Interpolate1d(G$128,$C158)*$H$111</f>
        <v>-0.18183539360231835</v>
      </c>
      <c r="H158" s="83" cm="1">
        <f t="array" aca="1" ref="H158" ca="1">_xll.QInterp_Interpolate1d(H$128,$C158)*$H$111</f>
        <v>1.1936594524178909E-2</v>
      </c>
      <c r="I158" s="84" cm="1">
        <f t="array" aca="1" ref="I158" ca="1">_xll.QInterp_Interpolate1d(I$128,$C158)*$H$111</f>
        <v>4.615064590604824E-2</v>
      </c>
      <c r="J158" s="85" cm="1">
        <f t="array" aca="1" ref="J158" ca="1">_xll.QInterp_Interpolate1d(J$128,$C158)*$H$111</f>
        <v>7.1799954781333983E-2</v>
      </c>
      <c r="L158" s="8" t="str">
        <f t="shared" ca="1" si="18"/>
        <v>QSK3</v>
      </c>
      <c r="M158" s="1">
        <f t="shared" ca="1" si="18"/>
        <v>45057</v>
      </c>
      <c r="N158" s="90" cm="1">
        <f t="array" aca="1" ref="N158" ca="1">_xll.QInterp_Interpolate1d(N$128,$M158)+N$111</f>
        <v>0.26824715472315791</v>
      </c>
      <c r="O158" s="83" cm="1">
        <f t="array" aca="1" ref="O158" ca="1">_xll.QInterp_Interpolate1d(O$128,$M158)*$P$111</f>
        <v>-9.5185138555275214E-3</v>
      </c>
      <c r="P158" s="85" cm="1">
        <f t="array" aca="1" ref="P158" ca="1">_xll.QInterp_Interpolate1d(P$128,$M158)*$P$111</f>
        <v>-5.5321929128140976E-2</v>
      </c>
      <c r="Q158" s="83" cm="1">
        <f t="array" aca="1" ref="Q158" ca="1">_xll.QInterp_Interpolate1d(Q$128,$M158)*$P$111</f>
        <v>1.976735378511613E-3</v>
      </c>
      <c r="R158" s="85" cm="1">
        <f t="array" aca="1" ref="R158" ca="1">_xll.QInterp_Interpolate1d(R$128,$M158)*$P$111</f>
        <v>1.706231719903277E-2</v>
      </c>
    </row>
    <row r="159" spans="2:18" x14ac:dyDescent="0.25">
      <c r="B159" s="8" t="str">
        <f t="shared" ca="1" si="16"/>
        <v>CON3</v>
      </c>
      <c r="C159" s="1">
        <f t="shared" ca="1" si="17"/>
        <v>45077</v>
      </c>
      <c r="D159" s="90" cm="1">
        <f t="array" aca="1" ref="D159" ca="1">_xll.QInterp_Interpolate1d(D$128,$C159)+E$111</f>
        <v>0.25496574308655628</v>
      </c>
      <c r="E159" s="83" cm="1">
        <f t="array" aca="1" ref="E159" ca="1">_xll.QInterp_Interpolate1d(E$128,$C159)*$H$111</f>
        <v>-6.3723484314813963E-2</v>
      </c>
      <c r="F159" s="84" cm="1">
        <f t="array" aca="1" ref="F159" ca="1">_xll.QInterp_Interpolate1d(F$128,$C159)*$H$111</f>
        <v>-0.13541388475812832</v>
      </c>
      <c r="G159" s="85" cm="1">
        <f t="array" aca="1" ref="G159" ca="1">_xll.QInterp_Interpolate1d(G$128,$C159)*$H$111</f>
        <v>-0.17559946338563259</v>
      </c>
      <c r="H159" s="83" cm="1">
        <f t="array" aca="1" ref="H159" ca="1">_xll.QInterp_Interpolate1d(H$128,$C159)*$H$111</f>
        <v>1.1938934580801395E-2</v>
      </c>
      <c r="I159" s="84" cm="1">
        <f t="array" aca="1" ref="I159" ca="1">_xll.QInterp_Interpolate1d(I$128,$C159)*$H$111</f>
        <v>4.5282987331842627E-2</v>
      </c>
      <c r="J159" s="85" cm="1">
        <f t="array" aca="1" ref="J159" ca="1">_xll.QInterp_Interpolate1d(J$128,$C159)*$H$111</f>
        <v>7.0992687677590011E-2</v>
      </c>
      <c r="L159" s="8" t="str">
        <f t="shared" ca="1" si="18"/>
        <v>QSM3</v>
      </c>
      <c r="M159" s="1">
        <f t="shared" ca="1" si="18"/>
        <v>45089</v>
      </c>
      <c r="N159" s="90" cm="1">
        <f t="array" aca="1" ref="N159" ca="1">_xll.QInterp_Interpolate1d(N$128,$M159)+N$111</f>
        <v>0.2664654667265221</v>
      </c>
      <c r="O159" s="83" cm="1">
        <f t="array" aca="1" ref="O159" ca="1">_xll.QInterp_Interpolate1d(O$128,$M159)*$P$111</f>
        <v>-9.4408149304803218E-3</v>
      </c>
      <c r="P159" s="85" cm="1">
        <f t="array" aca="1" ref="P159" ca="1">_xll.QInterp_Interpolate1d(P$128,$M159)*$P$111</f>
        <v>-5.3651068990907325E-2</v>
      </c>
      <c r="Q159" s="83" cm="1">
        <f t="array" aca="1" ref="Q159" ca="1">_xll.QInterp_Interpolate1d(Q$128,$M159)*$P$111</f>
        <v>1.9761706790029387E-3</v>
      </c>
      <c r="R159" s="85" cm="1">
        <f t="array" aca="1" ref="R159" ca="1">_xll.QInterp_Interpolate1d(R$128,$M159)*$P$111</f>
        <v>1.6814600001106385E-2</v>
      </c>
    </row>
    <row r="160" spans="2:18" x14ac:dyDescent="0.25">
      <c r="B160" s="8" t="str">
        <f t="shared" ca="1" si="16"/>
        <v>COQ3</v>
      </c>
      <c r="C160" s="1">
        <f t="shared" ca="1" si="17"/>
        <v>45107</v>
      </c>
      <c r="D160" s="90" cm="1">
        <f t="array" aca="1" ref="D160" ca="1">_xll.QInterp_Interpolate1d(D$128,$C160)+E$111</f>
        <v>0.25382459894204346</v>
      </c>
      <c r="E160" s="83" cm="1">
        <f t="array" aca="1" ref="E160" ca="1">_xll.QInterp_Interpolate1d(E$128,$C160)*$H$111</f>
        <v>-6.3181773586546974E-2</v>
      </c>
      <c r="F160" s="84" cm="1">
        <f t="array" aca="1" ref="F160" ca="1">_xll.QInterp_Interpolate1d(F$128,$C160)*$H$111</f>
        <v>-0.13106283808155494</v>
      </c>
      <c r="G160" s="85" cm="1">
        <f t="array" aca="1" ref="G160" ca="1">_xll.QInterp_Interpolate1d(G$128,$C160)*$H$111</f>
        <v>-0.16993043591591828</v>
      </c>
      <c r="H160" s="83" cm="1">
        <f t="array" aca="1" ref="H160" ca="1">_xll.QInterp_Interpolate1d(H$128,$C160)*$H$111</f>
        <v>1.1941061905003656E-2</v>
      </c>
      <c r="I160" s="84" cm="1">
        <f t="array" aca="1" ref="I160" ca="1">_xll.QInterp_Interpolate1d(I$128,$C160)*$H$111</f>
        <v>4.4494206809837525E-2</v>
      </c>
      <c r="J160" s="85" cm="1">
        <f t="array" aca="1" ref="J160" ca="1">_xll.QInterp_Interpolate1d(J$128,$C160)*$H$111</f>
        <v>7.0258808492368208E-2</v>
      </c>
      <c r="L160" s="8" t="str">
        <f t="shared" ca="1" si="18"/>
        <v>QSN3</v>
      </c>
      <c r="M160" s="1">
        <f t="shared" ca="1" si="18"/>
        <v>45119</v>
      </c>
      <c r="N160" s="90" cm="1">
        <f t="array" aca="1" ref="N160" ca="1">_xll.QInterp_Interpolate1d(N$128,$M160)+N$111</f>
        <v>0.26497258421666819</v>
      </c>
      <c r="O160" s="83" cm="1">
        <f t="array" aca="1" ref="O160" ca="1">_xll.QInterp_Interpolate1d(O$128,$M160)*$P$111</f>
        <v>-9.4105090669093002E-3</v>
      </c>
      <c r="P160" s="85" cm="1">
        <f t="array" aca="1" ref="P160" ca="1">_xll.QInterp_Interpolate1d(P$128,$M160)*$P$111</f>
        <v>-5.387980398215874E-2</v>
      </c>
      <c r="Q160" s="83" cm="1">
        <f t="array" aca="1" ref="Q160" ca="1">_xll.QInterp_Interpolate1d(Q$128,$M160)*$P$111</f>
        <v>1.9724797049230146E-3</v>
      </c>
      <c r="R160" s="85" cm="1">
        <f t="array" aca="1" ref="R160" ca="1">_xll.QInterp_Interpolate1d(R$128,$M160)*$P$111</f>
        <v>1.6908408322214477E-2</v>
      </c>
    </row>
    <row r="161" spans="2:18" x14ac:dyDescent="0.25">
      <c r="B161" s="8" t="str">
        <f t="shared" ca="1" si="16"/>
        <v>COU3</v>
      </c>
      <c r="C161" s="1">
        <f t="shared" ca="1" si="17"/>
        <v>45138</v>
      </c>
      <c r="D161" s="90" cm="1">
        <f t="array" aca="1" ref="D161" ca="1">_xll.QInterp_Interpolate1d(D$128,$C161)+E$111</f>
        <v>0.25264541665938023</v>
      </c>
      <c r="E161" s="83" cm="1">
        <f t="array" aca="1" ref="E161" ca="1">_xll.QInterp_Interpolate1d(E$128,$C161)*$H$111</f>
        <v>-6.2622005834004429E-2</v>
      </c>
      <c r="F161" s="84" cm="1">
        <f t="array" aca="1" ref="F161" ca="1">_xll.QInterp_Interpolate1d(F$128,$C161)*$H$111</f>
        <v>-0.12656675651576246</v>
      </c>
      <c r="G161" s="85" cm="1">
        <f t="array" aca="1" ref="G161" ca="1">_xll.QInterp_Interpolate1d(G$128,$C161)*$H$111</f>
        <v>-0.16407244086388015</v>
      </c>
      <c r="H161" s="83" cm="1">
        <f t="array" aca="1" ref="H161" ca="1">_xll.QInterp_Interpolate1d(H$128,$C161)*$H$111</f>
        <v>1.194326014001266E-2</v>
      </c>
      <c r="I161" s="84" cm="1">
        <f t="array" aca="1" ref="I161" ca="1">_xll.QInterp_Interpolate1d(I$128,$C161)*$H$111</f>
        <v>4.3679133603765588E-2</v>
      </c>
      <c r="J161" s="85" cm="1">
        <f t="array" aca="1" ref="J161" ca="1">_xll.QInterp_Interpolate1d(J$128,$C161)*$H$111</f>
        <v>6.950046666763901E-2</v>
      </c>
      <c r="L161" s="8" t="str">
        <f t="shared" ca="1" si="18"/>
        <v>QSQ3</v>
      </c>
      <c r="M161" s="1">
        <f t="shared" ca="1" si="18"/>
        <v>45148</v>
      </c>
      <c r="N161" s="90" cm="1">
        <f t="array" aca="1" ref="N161" ca="1">_xll.QInterp_Interpolate1d(N$128,$M161)+N$111</f>
        <v>0.26352946445714276</v>
      </c>
      <c r="O161" s="83" cm="1">
        <f t="array" aca="1" ref="O161" ca="1">_xll.QInterp_Interpolate1d(O$128,$M161)*$P$111</f>
        <v>-9.381213398790644E-3</v>
      </c>
      <c r="P161" s="85" cm="1">
        <f t="array" aca="1" ref="P161" ca="1">_xll.QInterp_Interpolate1d(P$128,$M161)*$P$111</f>
        <v>-5.4100914473701779E-2</v>
      </c>
      <c r="Q161" s="83" cm="1">
        <f t="array" aca="1" ref="Q161" ca="1">_xll.QInterp_Interpolate1d(Q$128,$M161)*$P$111</f>
        <v>1.9689117633124214E-3</v>
      </c>
      <c r="R161" s="85" cm="1">
        <f t="array" aca="1" ref="R161" ca="1">_xll.QInterp_Interpolate1d(R$128,$M161)*$P$111</f>
        <v>1.6999089699285635E-2</v>
      </c>
    </row>
    <row r="162" spans="2:18" x14ac:dyDescent="0.25">
      <c r="B162" s="8" t="str">
        <f t="shared" ca="1" si="16"/>
        <v>COV3</v>
      </c>
      <c r="C162" s="1">
        <f t="shared" ca="1" si="17"/>
        <v>45169</v>
      </c>
      <c r="D162" s="90" cm="1">
        <f t="array" aca="1" ref="D162" ca="1">_xll.QInterp_Interpolate1d(D$128,$C162)+E$111</f>
        <v>0.251466234376717</v>
      </c>
      <c r="E162" s="83" cm="1">
        <f t="array" aca="1" ref="E162" ca="1">_xll.QInterp_Interpolate1d(E$128,$C162)*$H$111</f>
        <v>-6.2062238081461885E-2</v>
      </c>
      <c r="F162" s="84" cm="1">
        <f t="array" aca="1" ref="F162" ca="1">_xll.QInterp_Interpolate1d(F$128,$C162)*$H$111</f>
        <v>-0.12207067494996998</v>
      </c>
      <c r="G162" s="85" cm="1">
        <f t="array" aca="1" ref="G162" ca="1">_xll.QInterp_Interpolate1d(G$128,$C162)*$H$111</f>
        <v>-0.15821444581184202</v>
      </c>
      <c r="H162" s="83" cm="1">
        <f t="array" aca="1" ref="H162" ca="1">_xll.QInterp_Interpolate1d(H$128,$C162)*$H$111</f>
        <v>1.1945458375021662E-2</v>
      </c>
      <c r="I162" s="84" cm="1">
        <f t="array" aca="1" ref="I162" ca="1">_xll.QInterp_Interpolate1d(I$128,$C162)*$H$111</f>
        <v>4.2864060397693644E-2</v>
      </c>
      <c r="J162" s="85" cm="1">
        <f t="array" aca="1" ref="J162" ca="1">_xll.QInterp_Interpolate1d(J$128,$C162)*$H$111</f>
        <v>6.8742124842909813E-2</v>
      </c>
      <c r="L162" s="8" t="str">
        <f t="shared" ca="1" si="18"/>
        <v>QSU3</v>
      </c>
      <c r="M162" s="1">
        <f t="shared" ca="1" si="18"/>
        <v>45181</v>
      </c>
      <c r="N162" s="90" cm="1">
        <f t="array" aca="1" ref="N162" ca="1">_xll.QInterp_Interpolate1d(N$128,$M162)+N$111</f>
        <v>0.26188729369630342</v>
      </c>
      <c r="O162" s="83" cm="1">
        <f t="array" aca="1" ref="O162" ca="1">_xll.QInterp_Interpolate1d(O$128,$M162)*$P$111</f>
        <v>-9.3478769488625196E-3</v>
      </c>
      <c r="P162" s="85" cm="1">
        <f t="array" aca="1" ref="P162" ca="1">_xll.QInterp_Interpolate1d(P$128,$M162)*$P$111</f>
        <v>-5.4352522964078331E-2</v>
      </c>
      <c r="Q162" s="83" cm="1">
        <f t="array" aca="1" ref="Q162" ca="1">_xll.QInterp_Interpolate1d(Q$128,$M162)*$P$111</f>
        <v>1.9648516918245049E-3</v>
      </c>
      <c r="R162" s="85" cm="1">
        <f t="array" aca="1" ref="R162" ca="1">_xll.QInterp_Interpolate1d(R$128,$M162)*$P$111</f>
        <v>1.7102278852504541E-2</v>
      </c>
    </row>
    <row r="163" spans="2:18" x14ac:dyDescent="0.25">
      <c r="B163" s="8" t="str">
        <f t="shared" ca="1" si="16"/>
        <v>COX3</v>
      </c>
      <c r="C163" s="1">
        <f t="shared" ca="1" si="17"/>
        <v>45198</v>
      </c>
      <c r="D163" s="90" cm="1">
        <f t="array" aca="1" ref="D163" ca="1">_xll.QInterp_Interpolate1d(D$128,$C163)+E$111</f>
        <v>0.25036312837035463</v>
      </c>
      <c r="E163" s="83" cm="1">
        <f t="array" aca="1" ref="E163" ca="1">_xll.QInterp_Interpolate1d(E$128,$C163)*$H$111</f>
        <v>-6.1538584377470465E-2</v>
      </c>
      <c r="F163" s="84" cm="1">
        <f t="array" aca="1" ref="F163" ca="1">_xll.QInterp_Interpolate1d(F$128,$C163)*$H$111</f>
        <v>-0.11786466316261572</v>
      </c>
      <c r="G163" s="85" cm="1">
        <f t="array" aca="1" ref="G163" ca="1">_xll.QInterp_Interpolate1d(G$128,$C163)*$H$111</f>
        <v>-0.15273438592445152</v>
      </c>
      <c r="H163" s="83" cm="1">
        <f t="array" aca="1" ref="H163" ca="1">_xll.QInterp_Interpolate1d(H$128,$C163)*$H$111</f>
        <v>1.1947514788417182E-2</v>
      </c>
      <c r="I163" s="84" cm="1">
        <f t="array" aca="1" ref="I163" ca="1">_xll.QInterp_Interpolate1d(I$128,$C163)*$H$111</f>
        <v>4.2101572559755378E-2</v>
      </c>
      <c r="J163" s="85" cm="1">
        <f t="array" aca="1" ref="J163" ca="1">_xll.QInterp_Interpolate1d(J$128,$C163)*$H$111</f>
        <v>6.8032708297195404E-2</v>
      </c>
      <c r="L163" s="8" t="str">
        <f t="shared" ca="1" si="18"/>
        <v>QSV3</v>
      </c>
      <c r="M163" s="1">
        <f t="shared" ca="1" si="18"/>
        <v>45211</v>
      </c>
      <c r="N163" s="90" cm="1">
        <f t="array" aca="1" ref="N163" ca="1">_xll.QInterp_Interpolate1d(N$128,$M163)+N$111</f>
        <v>0.26039441118644951</v>
      </c>
      <c r="O163" s="83" cm="1">
        <f t="array" aca="1" ref="O163" ca="1">_xll.QInterp_Interpolate1d(O$128,$M163)*$P$111</f>
        <v>-9.3175710852914963E-3</v>
      </c>
      <c r="P163" s="85" cm="1">
        <f t="array" aca="1" ref="P163" ca="1">_xll.QInterp_Interpolate1d(P$128,$M163)*$P$111</f>
        <v>-5.4581257955329747E-2</v>
      </c>
      <c r="Q163" s="83" cm="1">
        <f t="array" aca="1" ref="Q163" ca="1">_xll.QInterp_Interpolate1d(Q$128,$M163)*$P$111</f>
        <v>1.9611607177445808E-3</v>
      </c>
      <c r="R163" s="85" cm="1">
        <f t="array" aca="1" ref="R163" ca="1">_xll.QInterp_Interpolate1d(R$128,$M163)*$P$111</f>
        <v>1.7196087173612633E-2</v>
      </c>
    </row>
    <row r="164" spans="2:18" x14ac:dyDescent="0.25">
      <c r="B164" s="8" t="str">
        <f t="shared" ca="1" si="16"/>
        <v>COZ3</v>
      </c>
      <c r="C164" s="1">
        <f t="shared" ca="1" si="17"/>
        <v>45230</v>
      </c>
      <c r="D164" s="90" cm="1">
        <f t="array" aca="1" ref="D164" ca="1">_xll.QInterp_Interpolate1d(D$128,$C164)+E$111</f>
        <v>0.2492717800274373</v>
      </c>
      <c r="E164" s="83" cm="1">
        <f t="array" aca="1" ref="E164" ca="1">_xll.QInterp_Interpolate1d(E$128,$C164)*$H$111</f>
        <v>-6.1034814026665371E-2</v>
      </c>
      <c r="F164" s="84" cm="1">
        <f t="array" aca="1" ref="F164" ca="1">_xll.QInterp_Interpolate1d(F$128,$C164)*$H$111</f>
        <v>-0.11398902513510524</v>
      </c>
      <c r="G164" s="85" cm="1">
        <f t="array" aca="1" ref="G164" ca="1">_xll.QInterp_Interpolate1d(G$128,$C164)*$H$111</f>
        <v>-0.14770261698775389</v>
      </c>
      <c r="H164" s="83" cm="1">
        <f t="array" aca="1" ref="H164" ca="1">_xll.QInterp_Interpolate1d(H$128,$C164)*$H$111</f>
        <v>1.1947580424503714E-2</v>
      </c>
      <c r="I164" s="84" cm="1">
        <f t="array" aca="1" ref="I164" ca="1">_xll.QInterp_Interpolate1d(I$128,$C164)*$H$111</f>
        <v>4.1410834061168356E-2</v>
      </c>
      <c r="J164" s="85" cm="1">
        <f t="array" aca="1" ref="J164" ca="1">_xll.QInterp_Interpolate1d(J$128,$C164)*$H$111</f>
        <v>6.7314890412722025E-2</v>
      </c>
      <c r="L164" s="8" t="str">
        <f t="shared" ca="1" si="18"/>
        <v>QSX3</v>
      </c>
      <c r="M164" s="1">
        <f t="shared" ca="1" si="18"/>
        <v>45240</v>
      </c>
      <c r="N164" s="90" cm="1">
        <f t="array" aca="1" ref="N164" ca="1">_xll.QInterp_Interpolate1d(N$128,$M164)+N$111</f>
        <v>0.25895129142692408</v>
      </c>
      <c r="O164" s="83" cm="1">
        <f t="array" aca="1" ref="O164" ca="1">_xll.QInterp_Interpolate1d(O$128,$M164)*$P$111</f>
        <v>-9.2882754171728418E-3</v>
      </c>
      <c r="P164" s="85" cm="1">
        <f t="array" aca="1" ref="P164" ca="1">_xll.QInterp_Interpolate1d(P$128,$M164)*$P$111</f>
        <v>-5.4802368446872786E-2</v>
      </c>
      <c r="Q164" s="83" cm="1">
        <f t="array" aca="1" ref="Q164" ca="1">_xll.QInterp_Interpolate1d(Q$128,$M164)*$P$111</f>
        <v>1.9575927761339871E-3</v>
      </c>
      <c r="R164" s="85" cm="1">
        <f t="array" aca="1" ref="R164" ca="1">_xll.QInterp_Interpolate1d(R$128,$M164)*$P$111</f>
        <v>1.7286768550683791E-2</v>
      </c>
    </row>
    <row r="165" spans="2:18" x14ac:dyDescent="0.25">
      <c r="B165" s="8" t="str">
        <f t="shared" ca="1" si="16"/>
        <v>COF4</v>
      </c>
      <c r="C165" s="1">
        <f t="shared" ca="1" si="17"/>
        <v>45260</v>
      </c>
      <c r="D165" s="90" cm="1">
        <f t="array" aca="1" ref="D165" ca="1">_xll.QInterp_Interpolate1d(D$128,$C165)+E$111</f>
        <v>0.24888586835030257</v>
      </c>
      <c r="E165" s="83" cm="1">
        <f t="array" aca="1" ref="E165" ca="1">_xll.QInterp_Interpolate1d(E$128,$C165)*$H$111</f>
        <v>-6.0937429854476505E-2</v>
      </c>
      <c r="F165" s="84" cm="1">
        <f t="array" aca="1" ref="F165" ca="1">_xll.QInterp_Interpolate1d(F$128,$C165)*$H$111</f>
        <v>-0.11423084902353856</v>
      </c>
      <c r="G165" s="85" cm="1">
        <f t="array" aca="1" ref="G165" ca="1">_xll.QInterp_Interpolate1d(G$128,$C165)*$H$111</f>
        <v>-0.14812475170402548</v>
      </c>
      <c r="H165" s="83" cm="1">
        <f t="array" aca="1" ref="H165" ca="1">_xll.QInterp_Interpolate1d(H$128,$C165)*$H$111</f>
        <v>1.1936486690330704E-2</v>
      </c>
      <c r="I165" s="84" cm="1">
        <f t="array" aca="1" ref="I165" ca="1">_xll.QInterp_Interpolate1d(I$128,$C165)*$H$111</f>
        <v>4.1525817888473746E-2</v>
      </c>
      <c r="J165" s="85" cm="1">
        <f t="array" aca="1" ref="J165" ca="1">_xll.QInterp_Interpolate1d(J$128,$C165)*$H$111</f>
        <v>6.6970930706079457E-2</v>
      </c>
      <c r="L165" s="8" t="str">
        <f t="shared" ca="1" si="18"/>
        <v>QSZ3</v>
      </c>
      <c r="M165" s="1">
        <f t="shared" ca="1" si="18"/>
        <v>45272</v>
      </c>
      <c r="N165" s="90" cm="1">
        <f t="array" aca="1" ref="N165" ca="1">_xll.QInterp_Interpolate1d(N$128,$M165)+N$111</f>
        <v>0.25770722266871249</v>
      </c>
      <c r="O165" s="83" cm="1">
        <f t="array" aca="1" ref="O165" ca="1">_xll.QInterp_Interpolate1d(O$128,$M165)*$P$111</f>
        <v>-9.2559491626970827E-3</v>
      </c>
      <c r="P165" s="85" cm="1">
        <f t="array" aca="1" ref="P165" ca="1">_xll.QInterp_Interpolate1d(P$128,$M165)*$P$111</f>
        <v>-5.5046352437540962E-2</v>
      </c>
      <c r="Q165" s="83" cm="1">
        <f t="array" aca="1" ref="Q165" ca="1">_xll.QInterp_Interpolate1d(Q$128,$M165)*$P$111</f>
        <v>1.9536557371154016E-3</v>
      </c>
      <c r="R165" s="85" cm="1">
        <f t="array" aca="1" ref="R165" ca="1">_xll.QInterp_Interpolate1d(R$128,$M165)*$P$111</f>
        <v>1.738683075986576E-2</v>
      </c>
    </row>
    <row r="166" spans="2:18" x14ac:dyDescent="0.25">
      <c r="B166" s="8" t="str">
        <f t="shared" ca="1" si="16"/>
        <v>COG4</v>
      </c>
      <c r="C166" s="1">
        <f t="shared" ca="1" si="17"/>
        <v>45289</v>
      </c>
      <c r="D166" s="90" cm="1">
        <f t="array" aca="1" ref="D166" ca="1">_xll.QInterp_Interpolate1d(D$128,$C166)+E$111</f>
        <v>0.24851282039573905</v>
      </c>
      <c r="E166" s="83" cm="1">
        <f t="array" aca="1" ref="E166" ca="1">_xll.QInterp_Interpolate1d(E$128,$C166)*$H$111</f>
        <v>-6.0843291821360598E-2</v>
      </c>
      <c r="F166" s="84" cm="1">
        <f t="array" aca="1" ref="F166" ca="1">_xll.QInterp_Interpolate1d(F$128,$C166)*$H$111</f>
        <v>-0.11446461211569076</v>
      </c>
      <c r="G166" s="85" cm="1">
        <f t="array" aca="1" ref="G166" ca="1">_xll.QInterp_Interpolate1d(G$128,$C166)*$H$111</f>
        <v>-0.14853281526308801</v>
      </c>
      <c r="H166" s="83" cm="1">
        <f t="array" aca="1" ref="H166" ca="1">_xll.QInterp_Interpolate1d(H$128,$C166)*$H$111</f>
        <v>1.1925762747296792E-2</v>
      </c>
      <c r="I166" s="84" cm="1">
        <f t="array" aca="1" ref="I166" ca="1">_xll.QInterp_Interpolate1d(I$128,$C166)*$H$111</f>
        <v>4.1636968921535629E-2</v>
      </c>
      <c r="J166" s="85" cm="1">
        <f t="array" aca="1" ref="J166" ca="1">_xll.QInterp_Interpolate1d(J$128,$C166)*$H$111</f>
        <v>6.6638436322991643E-2</v>
      </c>
      <c r="L166" s="8" t="str">
        <f t="shared" ca="1" si="18"/>
        <v>QSF4</v>
      </c>
      <c r="M166" s="1">
        <f t="shared" ca="1" si="18"/>
        <v>45302</v>
      </c>
      <c r="N166" s="90" cm="1">
        <f t="array" aca="1" ref="N166" ca="1">_xll.QInterp_Interpolate1d(N$128,$M166)+N$111</f>
        <v>0.25770722266871249</v>
      </c>
      <c r="O166" s="83" cm="1">
        <f t="array" aca="1" ref="O166" ca="1">_xll.QInterp_Interpolate1d(O$128,$M166)*$P$111</f>
        <v>-9.2256432991260611E-3</v>
      </c>
      <c r="P166" s="85" cm="1">
        <f t="array" aca="1" ref="P166" ca="1">_xll.QInterp_Interpolate1d(P$128,$M166)*$P$111</f>
        <v>-5.5275087428792377E-2</v>
      </c>
      <c r="Q166" s="83" cm="1">
        <f t="array" aca="1" ref="Q166" ca="1">_xll.QInterp_Interpolate1d(Q$128,$M166)*$P$111</f>
        <v>1.9499647630354775E-3</v>
      </c>
      <c r="R166" s="85" cm="1">
        <f t="array" aca="1" ref="R166" ca="1">_xll.QInterp_Interpolate1d(R$128,$M166)*$P$111</f>
        <v>1.7480639080973852E-2</v>
      </c>
    </row>
    <row r="167" spans="2:18" x14ac:dyDescent="0.25">
      <c r="B167" s="8" t="str">
        <f t="shared" ca="1" si="16"/>
        <v>COH4</v>
      </c>
      <c r="C167" s="1">
        <f t="shared" ca="1" si="17"/>
        <v>45322</v>
      </c>
      <c r="D167" s="90" cm="1">
        <f t="array" aca="1" ref="D167" ca="1">_xll.QInterp_Interpolate1d(D$128,$C167)+E$111</f>
        <v>0.24808831755089086</v>
      </c>
      <c r="E167" s="83" cm="1">
        <f t="array" aca="1" ref="E167" ca="1">_xll.QInterp_Interpolate1d(E$128,$C167)*$H$111</f>
        <v>-6.0736169231952838E-2</v>
      </c>
      <c r="F167" s="84" cm="1">
        <f t="array" aca="1" ref="F167" ca="1">_xll.QInterp_Interpolate1d(F$128,$C167)*$H$111</f>
        <v>-0.11473061839296742</v>
      </c>
      <c r="G167" s="85" cm="1">
        <f t="array" aca="1" ref="G167" ca="1">_xll.QInterp_Interpolate1d(G$128,$C167)*$H$111</f>
        <v>-0.14899716345098674</v>
      </c>
      <c r="H167" s="83" cm="1">
        <f t="array" aca="1" ref="H167" ca="1">_xll.QInterp_Interpolate1d(H$128,$C167)*$H$111</f>
        <v>1.1913559639706478E-2</v>
      </c>
      <c r="I167" s="84" cm="1">
        <f t="array" aca="1" ref="I167" ca="1">_xll.QInterp_Interpolate1d(I$128,$C167)*$H$111</f>
        <v>4.1763451131571559E-2</v>
      </c>
      <c r="J167" s="85" cm="1">
        <f t="array" aca="1" ref="J167" ca="1">_xll.QInterp_Interpolate1d(J$128,$C167)*$H$111</f>
        <v>6.626008064568481E-2</v>
      </c>
      <c r="L167" s="8" t="str">
        <f t="shared" ca="1" si="18"/>
        <v>QSG4</v>
      </c>
      <c r="M167" s="1">
        <f t="shared" ca="1" si="18"/>
        <v>45334</v>
      </c>
      <c r="N167" s="90" cm="1">
        <f t="array" aca="1" ref="N167" ca="1">_xll.QInterp_Interpolate1d(N$128,$M167)+N$111</f>
        <v>0.25770722266871249</v>
      </c>
      <c r="O167" s="83" cm="1">
        <f t="array" aca="1" ref="O167" ca="1">_xll.QInterp_Interpolate1d(O$128,$M167)*$P$111</f>
        <v>-9.1933170446503037E-3</v>
      </c>
      <c r="P167" s="85" cm="1">
        <f t="array" aca="1" ref="P167" ca="1">_xll.QInterp_Interpolate1d(P$128,$M167)*$P$111</f>
        <v>-5.5519071419460553E-2</v>
      </c>
      <c r="Q167" s="83" cm="1">
        <f t="array" aca="1" ref="Q167" ca="1">_xll.QInterp_Interpolate1d(Q$128,$M167)*$P$111</f>
        <v>1.9460277240168917E-3</v>
      </c>
      <c r="R167" s="85" cm="1">
        <f t="array" aca="1" ref="R167" ca="1">_xll.QInterp_Interpolate1d(R$128,$M167)*$P$111</f>
        <v>1.758070129015582E-2</v>
      </c>
    </row>
    <row r="168" spans="2:18" x14ac:dyDescent="0.25">
      <c r="B168" s="8" t="str">
        <f t="shared" ca="1" si="16"/>
        <v>COJ4</v>
      </c>
      <c r="C168" s="1">
        <f t="shared" ca="1" si="17"/>
        <v>45351</v>
      </c>
      <c r="D168" s="90" cm="1">
        <f t="array" aca="1" ref="D168" ca="1">_xll.QInterp_Interpolate1d(D$128,$C168)+E$111</f>
        <v>0.24771526959632731</v>
      </c>
      <c r="E168" s="83" cm="1">
        <f t="array" aca="1" ref="E168" ca="1">_xll.QInterp_Interpolate1d(E$128,$C168)*$H$111</f>
        <v>-6.0642031198836932E-2</v>
      </c>
      <c r="F168" s="84" cm="1">
        <f t="array" aca="1" ref="F168" ca="1">_xll.QInterp_Interpolate1d(F$128,$C168)*$H$111</f>
        <v>-0.11496438148511962</v>
      </c>
      <c r="G168" s="85" cm="1">
        <f t="array" aca="1" ref="G168" ca="1">_xll.QInterp_Interpolate1d(G$128,$C168)*$H$111</f>
        <v>-0.14940522701004927</v>
      </c>
      <c r="H168" s="83" cm="1">
        <f t="array" aca="1" ref="H168" ca="1">_xll.QInterp_Interpolate1d(H$128,$C168)*$H$111</f>
        <v>1.1902835696672566E-2</v>
      </c>
      <c r="I168" s="84" cm="1">
        <f t="array" aca="1" ref="I168" ca="1">_xll.QInterp_Interpolate1d(I$128,$C168)*$H$111</f>
        <v>4.1874602164633443E-2</v>
      </c>
      <c r="J168" s="85" cm="1">
        <f t="array" aca="1" ref="J168" ca="1">_xll.QInterp_Interpolate1d(J$128,$C168)*$H$111</f>
        <v>6.5927586262596996E-2</v>
      </c>
      <c r="L168" s="8" t="str">
        <f t="shared" ca="1" si="18"/>
        <v>QSH4</v>
      </c>
      <c r="M168" s="1">
        <f t="shared" ca="1" si="18"/>
        <v>45363</v>
      </c>
      <c r="N168" s="90" cm="1">
        <f t="array" aca="1" ref="N168" ca="1">_xll.QInterp_Interpolate1d(N$128,$M168)+N$111</f>
        <v>0.25770722266871249</v>
      </c>
      <c r="O168" s="83" cm="1">
        <f t="array" aca="1" ref="O168" ca="1">_xll.QInterp_Interpolate1d(O$128,$M168)*$P$111</f>
        <v>-9.1640213765316475E-3</v>
      </c>
      <c r="P168" s="85" cm="1">
        <f t="array" aca="1" ref="P168" ca="1">_xll.QInterp_Interpolate1d(P$128,$M168)*$P$111</f>
        <v>-5.5740181911003592E-2</v>
      </c>
      <c r="Q168" s="83" cm="1">
        <f t="array" aca="1" ref="Q168" ca="1">_xll.QInterp_Interpolate1d(Q$128,$M168)*$P$111</f>
        <v>1.9424597824062983E-3</v>
      </c>
      <c r="R168" s="85" cm="1">
        <f t="array" aca="1" ref="R168" ca="1">_xll.QInterp_Interpolate1d(R$128,$M168)*$P$111</f>
        <v>1.7671382667226978E-2</v>
      </c>
    </row>
    <row r="169" spans="2:18" x14ac:dyDescent="0.25">
      <c r="B169" s="8" t="str">
        <f t="shared" ca="1" si="16"/>
        <v>COK4</v>
      </c>
      <c r="C169" s="1">
        <f t="shared" ca="1" si="17"/>
        <v>45379</v>
      </c>
      <c r="D169" s="90" cm="1">
        <f t="array" aca="1" ref="D169" ca="1">_xll.QInterp_Interpolate1d(D$128,$C169)+E$111</f>
        <v>0.24735508536433493</v>
      </c>
      <c r="E169" s="83" cm="1">
        <f t="array" aca="1" ref="E169" ca="1">_xll.QInterp_Interpolate1d(E$128,$C169)*$H$111</f>
        <v>-6.0551139304793986E-2</v>
      </c>
      <c r="F169" s="84" cm="1">
        <f t="array" aca="1" ref="F169" ca="1">_xll.QInterp_Interpolate1d(F$128,$C169)*$H$111</f>
        <v>-0.11519008378099072</v>
      </c>
      <c r="G169" s="85" cm="1">
        <f t="array" aca="1" ref="G169" ca="1">_xll.QInterp_Interpolate1d(G$128,$C169)*$H$111</f>
        <v>-0.14979921941190272</v>
      </c>
      <c r="H169" s="83" cm="1">
        <f t="array" aca="1" ref="H169" ca="1">_xll.QInterp_Interpolate1d(H$128,$C169)*$H$111</f>
        <v>1.1892481544777756E-2</v>
      </c>
      <c r="I169" s="84" cm="1">
        <f t="array" aca="1" ref="I169" ca="1">_xll.QInterp_Interpolate1d(I$128,$C169)*$H$111</f>
        <v>4.1981920403451806E-2</v>
      </c>
      <c r="J169" s="85" cm="1">
        <f t="array" aca="1" ref="J169" ca="1">_xll.QInterp_Interpolate1d(J$128,$C169)*$H$111</f>
        <v>6.5606557203063937E-2</v>
      </c>
      <c r="L169" s="8" t="str">
        <f t="shared" ca="1" si="18"/>
        <v>QSJ4</v>
      </c>
      <c r="M169" s="1">
        <f t="shared" ca="1" si="18"/>
        <v>45393</v>
      </c>
      <c r="N169" s="90" cm="1">
        <f t="array" aca="1" ref="N169" ca="1">_xll.QInterp_Interpolate1d(N$128,$M169)+N$111</f>
        <v>0.25770722266871249</v>
      </c>
      <c r="O169" s="83" cm="1">
        <f t="array" aca="1" ref="O169" ca="1">_xll.QInterp_Interpolate1d(O$128,$M169)*$P$111</f>
        <v>-9.1337155129606242E-3</v>
      </c>
      <c r="P169" s="85" cm="1">
        <f t="array" aca="1" ref="P169" ca="1">_xll.QInterp_Interpolate1d(P$128,$M169)*$P$111</f>
        <v>-5.5968916902255007E-2</v>
      </c>
      <c r="Q169" s="83" cm="1">
        <f t="array" aca="1" ref="Q169" ca="1">_xll.QInterp_Interpolate1d(Q$128,$M169)*$P$111</f>
        <v>1.9387688083263744E-3</v>
      </c>
      <c r="R169" s="85" cm="1">
        <f t="array" aca="1" ref="R169" ca="1">_xll.QInterp_Interpolate1d(R$128,$M169)*$P$111</f>
        <v>1.7765190988335074E-2</v>
      </c>
    </row>
    <row r="170" spans="2:18" x14ac:dyDescent="0.25">
      <c r="B170" s="8" t="str">
        <f t="shared" ca="1" si="16"/>
        <v>COM4</v>
      </c>
      <c r="C170" s="1">
        <f t="shared" ca="1" si="17"/>
        <v>45412</v>
      </c>
      <c r="D170" s="90" cm="1">
        <f t="array" aca="1" ref="D170" ca="1">_xll.QInterp_Interpolate1d(D$128,$C170)+E$111</f>
        <v>0.24693058251948677</v>
      </c>
      <c r="E170" s="83" cm="1">
        <f t="array" aca="1" ref="E170" ca="1">_xll.QInterp_Interpolate1d(E$128,$C170)*$H$111</f>
        <v>-6.0444016715386233E-2</v>
      </c>
      <c r="F170" s="84" cm="1">
        <f t="array" aca="1" ref="F170" ca="1">_xll.QInterp_Interpolate1d(F$128,$C170)*$H$111</f>
        <v>-0.11545609005826737</v>
      </c>
      <c r="G170" s="85" cm="1">
        <f t="array" aca="1" ref="G170" ca="1">_xll.QInterp_Interpolate1d(G$128,$C170)*$H$111</f>
        <v>-0.15026356759980147</v>
      </c>
      <c r="H170" s="83" cm="1">
        <f t="array" aca="1" ref="H170" ca="1">_xll.QInterp_Interpolate1d(H$128,$C170)*$H$111</f>
        <v>1.1880278437187442E-2</v>
      </c>
      <c r="I170" s="84" cm="1">
        <f t="array" aca="1" ref="I170" ca="1">_xll.QInterp_Interpolate1d(I$128,$C170)*$H$111</f>
        <v>4.2108402613487743E-2</v>
      </c>
      <c r="J170" s="85" cm="1">
        <f t="array" aca="1" ref="J170" ca="1">_xll.QInterp_Interpolate1d(J$128,$C170)*$H$111</f>
        <v>6.5228201525757104E-2</v>
      </c>
      <c r="L170" s="8" t="str">
        <f t="shared" ca="1" si="18"/>
        <v>QSK4</v>
      </c>
      <c r="M170" s="1">
        <f t="shared" ca="1" si="18"/>
        <v>45422</v>
      </c>
      <c r="N170" s="90" cm="1">
        <f t="array" aca="1" ref="N170" ca="1">_xll.QInterp_Interpolate1d(N$128,$M170)+N$111</f>
        <v>0.25770722266871249</v>
      </c>
      <c r="O170" s="83" cm="1">
        <f t="array" aca="1" ref="O170" ca="1">_xll.QInterp_Interpolate1d(O$128,$M170)*$P$111</f>
        <v>-9.1044198448419697E-3</v>
      </c>
      <c r="P170" s="85" cm="1">
        <f t="array" aca="1" ref="P170" ca="1">_xll.QInterp_Interpolate1d(P$128,$M170)*$P$111</f>
        <v>-5.6190027393798039E-2</v>
      </c>
      <c r="Q170" s="83" cm="1">
        <f t="array" aca="1" ref="Q170" ca="1">_xll.QInterp_Interpolate1d(Q$128,$M170)*$P$111</f>
        <v>1.9352008667157809E-3</v>
      </c>
      <c r="R170" s="85" cm="1">
        <f t="array" aca="1" ref="R170" ca="1">_xll.QInterp_Interpolate1d(R$128,$M170)*$P$111</f>
        <v>1.7855872365406231E-2</v>
      </c>
    </row>
    <row r="171" spans="2:18" x14ac:dyDescent="0.25">
      <c r="B171" s="8" t="str">
        <f t="shared" ca="1" si="16"/>
        <v>CON4</v>
      </c>
      <c r="C171" s="1">
        <f t="shared" ca="1" si="17"/>
        <v>45443</v>
      </c>
      <c r="D171" s="90" cm="1">
        <f t="array" aca="1" ref="D171" ca="1">_xll.QInterp_Interpolate1d(D$128,$C171)+E$111</f>
        <v>0.2465318071197809</v>
      </c>
      <c r="E171" s="83" cm="1">
        <f t="array" aca="1" ref="E171" ca="1">_xll.QInterp_Interpolate1d(E$128,$C171)*$H$111</f>
        <v>-6.0343386404124399E-2</v>
      </c>
      <c r="F171" s="84" cm="1">
        <f t="array" aca="1" ref="F171" ca="1">_xll.QInterp_Interpolate1d(F$128,$C171)*$H$111</f>
        <v>-0.1157059747429818</v>
      </c>
      <c r="G171" s="85" cm="1">
        <f t="array" aca="1" ref="G171" ca="1">_xll.QInterp_Interpolate1d(G$128,$C171)*$H$111</f>
        <v>-0.15069977347328209</v>
      </c>
      <c r="H171" s="83" cm="1">
        <f t="array" aca="1" ref="H171" ca="1">_xll.QInterp_Interpolate1d(H$128,$C171)*$H$111</f>
        <v>1.1868814911875329E-2</v>
      </c>
      <c r="I171" s="84" cm="1">
        <f t="array" aca="1" ref="I171" ca="1">_xll.QInterp_Interpolate1d(I$128,$C171)*$H$111</f>
        <v>4.2227219235036646E-2</v>
      </c>
      <c r="J171" s="85" cm="1">
        <f t="array" aca="1" ref="J171" ca="1">_xll.QInterp_Interpolate1d(J$128,$C171)*$H$111</f>
        <v>6.4872776495559781E-2</v>
      </c>
      <c r="L171" s="8" t="str">
        <f t="shared" ca="1" si="18"/>
        <v>QSM4</v>
      </c>
      <c r="M171" s="1">
        <f t="shared" ca="1" si="18"/>
        <v>45455</v>
      </c>
      <c r="N171" s="90" cm="1">
        <f t="array" aca="1" ref="N171" ca="1">_xll.QInterp_Interpolate1d(N$128,$M171)+N$111</f>
        <v>0.25770722266871249</v>
      </c>
      <c r="O171" s="83" cm="1">
        <f t="array" aca="1" ref="O171" ca="1">_xll.QInterp_Interpolate1d(O$128,$M171)*$P$111</f>
        <v>-9.0710833949138436E-3</v>
      </c>
      <c r="P171" s="85" cm="1">
        <f t="array" aca="1" ref="P171" ca="1">_xll.QInterp_Interpolate1d(P$128,$M171)*$P$111</f>
        <v>-5.6441635884174599E-2</v>
      </c>
      <c r="Q171" s="83" cm="1">
        <f t="array" aca="1" ref="Q171" ca="1">_xll.QInterp_Interpolate1d(Q$128,$M171)*$P$111</f>
        <v>1.9311407952278645E-3</v>
      </c>
      <c r="R171" s="85" cm="1">
        <f t="array" aca="1" ref="R171" ca="1">_xll.QInterp_Interpolate1d(R$128,$M171)*$P$111</f>
        <v>1.7959061518625134E-2</v>
      </c>
    </row>
    <row r="172" spans="2:18" x14ac:dyDescent="0.25">
      <c r="B172" s="8" t="str">
        <f t="shared" ca="1" si="16"/>
        <v>COQ4</v>
      </c>
      <c r="C172" s="1">
        <f t="shared" ca="1" si="17"/>
        <v>45471</v>
      </c>
      <c r="D172" s="90" cm="1">
        <f t="array" aca="1" ref="D172" ca="1">_xll.QInterp_Interpolate1d(D$128,$C172)+E$111</f>
        <v>0.24617162288778852</v>
      </c>
      <c r="E172" s="83" cm="1">
        <f t="array" aca="1" ref="E172" ca="1">_xll.QInterp_Interpolate1d(E$128,$C172)*$H$111</f>
        <v>-6.0252494510081453E-2</v>
      </c>
      <c r="F172" s="84" cm="1">
        <f t="array" aca="1" ref="F172" ca="1">_xll.QInterp_Interpolate1d(F$128,$C172)*$H$111</f>
        <v>-0.11593167703885289</v>
      </c>
      <c r="G172" s="85" cm="1">
        <f t="array" aca="1" ref="G172" ca="1">_xll.QInterp_Interpolate1d(G$128,$C172)*$H$111</f>
        <v>-0.15109376587513557</v>
      </c>
      <c r="H172" s="83" cm="1">
        <f t="array" aca="1" ref="H172" ca="1">_xll.QInterp_Interpolate1d(H$128,$C172)*$H$111</f>
        <v>1.1858460759980519E-2</v>
      </c>
      <c r="I172" s="84" cm="1">
        <f t="array" aca="1" ref="I172" ca="1">_xll.QInterp_Interpolate1d(I$128,$C172)*$H$111</f>
        <v>4.2334537473855016E-2</v>
      </c>
      <c r="J172" s="85" cm="1">
        <f t="array" aca="1" ref="J172" ca="1">_xll.QInterp_Interpolate1d(J$128,$C172)*$H$111</f>
        <v>6.4551747436026721E-2</v>
      </c>
      <c r="L172" s="8" t="str">
        <f t="shared" ca="1" si="18"/>
        <v>QSN4</v>
      </c>
      <c r="M172" s="1">
        <f t="shared" ca="1" si="18"/>
        <v>45484</v>
      </c>
      <c r="N172" s="90" cm="1">
        <f t="array" aca="1" ref="N172" ca="1">_xll.QInterp_Interpolate1d(N$128,$M172)+N$111</f>
        <v>0.25770722266871249</v>
      </c>
      <c r="O172" s="83" cm="1">
        <f t="array" aca="1" ref="O172" ca="1">_xll.QInterp_Interpolate1d(O$128,$M172)*$P$111</f>
        <v>-9.0417877267951891E-3</v>
      </c>
      <c r="P172" s="85" cm="1">
        <f t="array" aca="1" ref="P172" ca="1">_xll.QInterp_Interpolate1d(P$128,$M172)*$P$111</f>
        <v>-5.6662746375717631E-2</v>
      </c>
      <c r="Q172" s="83" cm="1">
        <f t="array" aca="1" ref="Q172" ca="1">_xll.QInterp_Interpolate1d(Q$128,$M172)*$P$111</f>
        <v>1.9275728536172711E-3</v>
      </c>
      <c r="R172" s="85" cm="1">
        <f t="array" aca="1" ref="R172" ca="1">_xll.QInterp_Interpolate1d(R$128,$M172)*$P$111</f>
        <v>1.8049742895696292E-2</v>
      </c>
    </row>
    <row r="173" spans="2:18" x14ac:dyDescent="0.25">
      <c r="B173" s="8" t="str">
        <f t="shared" ca="1" si="16"/>
        <v>COU4</v>
      </c>
      <c r="C173" s="1">
        <f t="shared" ca="1" si="17"/>
        <v>45504</v>
      </c>
      <c r="D173" s="91" cm="1">
        <f t="array" aca="1" ref="D173" ca="1">_xll.QInterp_Interpolate1d(D$128,$C173)+E$111</f>
        <v>0.24574712004294033</v>
      </c>
      <c r="E173" s="86" cm="1">
        <f t="array" aca="1" ref="E173" ca="1">_xll.QInterp_Interpolate1d(E$128,$C173)*$H$111</f>
        <v>-6.01453719206737E-2</v>
      </c>
      <c r="F173" s="87" cm="1">
        <f t="array" aca="1" ref="F173" ca="1">_xll.QInterp_Interpolate1d(F$128,$C173)*$H$111</f>
        <v>-0.11619768331612955</v>
      </c>
      <c r="G173" s="88" cm="1">
        <f t="array" aca="1" ref="G173" ca="1">_xll.QInterp_Interpolate1d(G$128,$C173)*$H$111</f>
        <v>-0.15155811406303429</v>
      </c>
      <c r="H173" s="86" cm="1">
        <f t="array" aca="1" ref="H173" ca="1">_xll.QInterp_Interpolate1d(H$128,$C173)*$H$111</f>
        <v>1.1846257652390205E-2</v>
      </c>
      <c r="I173" s="87" cm="1">
        <f t="array" aca="1" ref="I173" ca="1">_xll.QInterp_Interpolate1d(I$128,$C173)*$H$111</f>
        <v>4.2461019683890946E-2</v>
      </c>
      <c r="J173" s="88" cm="1">
        <f t="array" aca="1" ref="J173" ca="1">_xll.QInterp_Interpolate1d(J$128,$C173)*$H$111</f>
        <v>6.4173391758719889E-2</v>
      </c>
      <c r="L173" s="8" t="str">
        <f t="shared" ca="1" si="18"/>
        <v>QSQ4</v>
      </c>
      <c r="M173" s="1">
        <f t="shared" ca="1" si="18"/>
        <v>45516</v>
      </c>
      <c r="N173" s="90" cm="1">
        <f t="array" aca="1" ref="N173" ca="1">_xll.QInterp_Interpolate1d(N$128,$M173)+N$111</f>
        <v>0.25770722266871249</v>
      </c>
      <c r="O173" s="83" cm="1">
        <f t="array" aca="1" ref="O173" ca="1">_xll.QInterp_Interpolate1d(O$128,$M173)*$P$111</f>
        <v>-9.0094614723194317E-3</v>
      </c>
      <c r="P173" s="85" cm="1">
        <f t="array" aca="1" ref="P173" ca="1">_xll.QInterp_Interpolate1d(P$128,$M173)*$P$111</f>
        <v>-5.6906730366385813E-2</v>
      </c>
      <c r="Q173" s="83" cm="1">
        <f t="array" aca="1" ref="Q173" ca="1">_xll.QInterp_Interpolate1d(Q$128,$M173)*$P$111</f>
        <v>1.9236358145986853E-3</v>
      </c>
      <c r="R173" s="85" cm="1">
        <f t="array" aca="1" ref="R173" ca="1">_xll.QInterp_Interpolate1d(R$128,$M173)*$P$111</f>
        <v>1.814980510487826E-2</v>
      </c>
    </row>
    <row r="174" spans="2:18" x14ac:dyDescent="0.25">
      <c r="C174" s="77"/>
    </row>
    <row r="175" spans="2:18" x14ac:dyDescent="0.25">
      <c r="C175" s="77"/>
    </row>
    <row r="176" spans="2:18" x14ac:dyDescent="0.25">
      <c r="C176" s="77"/>
    </row>
    <row r="177" spans="3:3" x14ac:dyDescent="0.25">
      <c r="C177" s="77"/>
    </row>
    <row r="178" spans="3:3" x14ac:dyDescent="0.25">
      <c r="C178" s="77"/>
    </row>
    <row r="179" spans="3:3" x14ac:dyDescent="0.25">
      <c r="C179" s="77"/>
    </row>
    <row r="180" spans="3:3" x14ac:dyDescent="0.25">
      <c r="C180" s="77"/>
    </row>
    <row r="181" spans="3:3" x14ac:dyDescent="0.25">
      <c r="C181" s="77"/>
    </row>
    <row r="182" spans="3:3" x14ac:dyDescent="0.25">
      <c r="C182" s="77"/>
    </row>
    <row r="183" spans="3:3" x14ac:dyDescent="0.25">
      <c r="C183" s="77"/>
    </row>
    <row r="184" spans="3:3" x14ac:dyDescent="0.25">
      <c r="C184" s="77"/>
    </row>
    <row r="185" spans="3:3" x14ac:dyDescent="0.25">
      <c r="C185" s="77"/>
    </row>
    <row r="186" spans="3:3" x14ac:dyDescent="0.25">
      <c r="C186" s="77"/>
    </row>
    <row r="187" spans="3:3" x14ac:dyDescent="0.25">
      <c r="C187" s="77"/>
    </row>
    <row r="188" spans="3:3" x14ac:dyDescent="0.25">
      <c r="C188" s="77"/>
    </row>
    <row r="189" spans="3:3" x14ac:dyDescent="0.25">
      <c r="C189" s="77"/>
    </row>
    <row r="190" spans="3:3" x14ac:dyDescent="0.25">
      <c r="C190" s="77"/>
    </row>
    <row r="191" spans="3:3" x14ac:dyDescent="0.25">
      <c r="C191" s="77"/>
    </row>
    <row r="192" spans="3:3" x14ac:dyDescent="0.25">
      <c r="C192" s="77"/>
    </row>
    <row r="193" spans="3:3" x14ac:dyDescent="0.25">
      <c r="C193" s="77"/>
    </row>
    <row r="194" spans="3:3" x14ac:dyDescent="0.25">
      <c r="C194" s="77"/>
    </row>
    <row r="195" spans="3:3" x14ac:dyDescent="0.25">
      <c r="C195" s="77"/>
    </row>
    <row r="196" spans="3:3" x14ac:dyDescent="0.25">
      <c r="C196" s="77"/>
    </row>
    <row r="197" spans="3:3" x14ac:dyDescent="0.25">
      <c r="C197" s="77"/>
    </row>
    <row r="198" spans="3:3" x14ac:dyDescent="0.25">
      <c r="C198" s="77"/>
    </row>
    <row r="199" spans="3:3" x14ac:dyDescent="0.25">
      <c r="C199" s="77"/>
    </row>
    <row r="200" spans="3:3" x14ac:dyDescent="0.25">
      <c r="C200" s="77"/>
    </row>
    <row r="201" spans="3:3" x14ac:dyDescent="0.25">
      <c r="C201" s="77"/>
    </row>
    <row r="202" spans="3:3" x14ac:dyDescent="0.25">
      <c r="C202" s="77"/>
    </row>
    <row r="203" spans="3:3" x14ac:dyDescent="0.25">
      <c r="C203" s="77"/>
    </row>
    <row r="204" spans="3:3" x14ac:dyDescent="0.25">
      <c r="C204" s="77"/>
    </row>
    <row r="205" spans="3:3" x14ac:dyDescent="0.25">
      <c r="C205" s="77"/>
    </row>
    <row r="206" spans="3:3" x14ac:dyDescent="0.25">
      <c r="C206" s="77"/>
    </row>
    <row r="207" spans="3:3" x14ac:dyDescent="0.25">
      <c r="C207" s="77"/>
    </row>
    <row r="208" spans="3:3" x14ac:dyDescent="0.25">
      <c r="C208" s="77"/>
    </row>
    <row r="209" spans="3:3" x14ac:dyDescent="0.25">
      <c r="C209" s="77"/>
    </row>
    <row r="210" spans="3:3" x14ac:dyDescent="0.25">
      <c r="C210" s="77"/>
    </row>
    <row r="211" spans="3:3" x14ac:dyDescent="0.25">
      <c r="C211" s="77"/>
    </row>
    <row r="212" spans="3:3" x14ac:dyDescent="0.25">
      <c r="C212" s="77"/>
    </row>
    <row r="213" spans="3:3" x14ac:dyDescent="0.25">
      <c r="C213" s="77"/>
    </row>
    <row r="214" spans="3:3" x14ac:dyDescent="0.25">
      <c r="C214" s="77"/>
    </row>
    <row r="215" spans="3:3" x14ac:dyDescent="0.25">
      <c r="C215" s="77"/>
    </row>
    <row r="216" spans="3:3" x14ac:dyDescent="0.25">
      <c r="C216" s="77"/>
    </row>
    <row r="217" spans="3:3" x14ac:dyDescent="0.25">
      <c r="C217" s="77"/>
    </row>
    <row r="218" spans="3:3" x14ac:dyDescent="0.25">
      <c r="C218" s="77"/>
    </row>
    <row r="219" spans="3:3" x14ac:dyDescent="0.25">
      <c r="C219" s="77"/>
    </row>
    <row r="220" spans="3:3" x14ac:dyDescent="0.25">
      <c r="C220" s="77"/>
    </row>
    <row r="221" spans="3:3" x14ac:dyDescent="0.25">
      <c r="C221" s="77"/>
    </row>
    <row r="222" spans="3:3" x14ac:dyDescent="0.25">
      <c r="C222" s="77"/>
    </row>
    <row r="223" spans="3:3" x14ac:dyDescent="0.25">
      <c r="C223" s="77"/>
    </row>
    <row r="224" spans="3:3" x14ac:dyDescent="0.25">
      <c r="C224" s="77"/>
    </row>
    <row r="225" spans="3:3" x14ac:dyDescent="0.25">
      <c r="C225" s="77"/>
    </row>
    <row r="226" spans="3:3" x14ac:dyDescent="0.25">
      <c r="C226" s="77"/>
    </row>
    <row r="227" spans="3:3" x14ac:dyDescent="0.25">
      <c r="C227" s="77"/>
    </row>
    <row r="228" spans="3:3" x14ac:dyDescent="0.25">
      <c r="C228" s="77"/>
    </row>
    <row r="229" spans="3:3" x14ac:dyDescent="0.25">
      <c r="C229" s="77"/>
    </row>
    <row r="230" spans="3:3" x14ac:dyDescent="0.25">
      <c r="C230" s="77"/>
    </row>
    <row r="231" spans="3:3" x14ac:dyDescent="0.25">
      <c r="C231" s="77"/>
    </row>
    <row r="232" spans="3:3" x14ac:dyDescent="0.25">
      <c r="C232" s="77"/>
    </row>
    <row r="233" spans="3:3" x14ac:dyDescent="0.25">
      <c r="C233" s="77"/>
    </row>
    <row r="234" spans="3:3" x14ac:dyDescent="0.25">
      <c r="C234" s="77"/>
    </row>
    <row r="235" spans="3:3" x14ac:dyDescent="0.25">
      <c r="C235" s="77"/>
    </row>
    <row r="236" spans="3:3" x14ac:dyDescent="0.25">
      <c r="C236" s="77"/>
    </row>
    <row r="237" spans="3:3" x14ac:dyDescent="0.25">
      <c r="C237" s="77"/>
    </row>
    <row r="238" spans="3:3" x14ac:dyDescent="0.25">
      <c r="C238" s="77"/>
    </row>
    <row r="239" spans="3:3" x14ac:dyDescent="0.25">
      <c r="C239" s="77"/>
    </row>
    <row r="240" spans="3:3" x14ac:dyDescent="0.25">
      <c r="C240" s="77"/>
    </row>
    <row r="241" spans="3:3" x14ac:dyDescent="0.25">
      <c r="C241" s="77"/>
    </row>
    <row r="242" spans="3:3" x14ac:dyDescent="0.25">
      <c r="C242" s="77"/>
    </row>
    <row r="243" spans="3:3" x14ac:dyDescent="0.25">
      <c r="C243" s="77"/>
    </row>
    <row r="244" spans="3:3" x14ac:dyDescent="0.25">
      <c r="C244" s="77"/>
    </row>
    <row r="245" spans="3:3" x14ac:dyDescent="0.25">
      <c r="C245" s="77"/>
    </row>
    <row r="246" spans="3:3" x14ac:dyDescent="0.25">
      <c r="C246" s="77"/>
    </row>
    <row r="247" spans="3:3" x14ac:dyDescent="0.25">
      <c r="C247" s="77"/>
    </row>
    <row r="248" spans="3:3" x14ac:dyDescent="0.25">
      <c r="C248" s="77"/>
    </row>
    <row r="249" spans="3:3" x14ac:dyDescent="0.25">
      <c r="C249" s="77"/>
    </row>
    <row r="250" spans="3:3" x14ac:dyDescent="0.25">
      <c r="C250" s="77"/>
    </row>
    <row r="251" spans="3:3" x14ac:dyDescent="0.25">
      <c r="C251" s="77"/>
    </row>
    <row r="252" spans="3:3" x14ac:dyDescent="0.25">
      <c r="C252" s="77"/>
    </row>
    <row r="253" spans="3:3" x14ac:dyDescent="0.25">
      <c r="C253" s="77"/>
    </row>
    <row r="254" spans="3:3" x14ac:dyDescent="0.25">
      <c r="C254" s="77"/>
    </row>
    <row r="255" spans="3:3" x14ac:dyDescent="0.25">
      <c r="C255" s="77"/>
    </row>
    <row r="256" spans="3:3" x14ac:dyDescent="0.25">
      <c r="C256" s="77"/>
    </row>
    <row r="257" spans="3:3" x14ac:dyDescent="0.25">
      <c r="C257" s="77"/>
    </row>
    <row r="258" spans="3:3" x14ac:dyDescent="0.25">
      <c r="C258" s="77"/>
    </row>
    <row r="259" spans="3:3" x14ac:dyDescent="0.25">
      <c r="C259" s="77"/>
    </row>
    <row r="260" spans="3:3" x14ac:dyDescent="0.25">
      <c r="C260" s="77"/>
    </row>
    <row r="261" spans="3:3" x14ac:dyDescent="0.25">
      <c r="C261" s="77"/>
    </row>
    <row r="262" spans="3:3" x14ac:dyDescent="0.25">
      <c r="C262" s="77"/>
    </row>
    <row r="263" spans="3:3" x14ac:dyDescent="0.25">
      <c r="C263" s="77"/>
    </row>
    <row r="264" spans="3:3" x14ac:dyDescent="0.25">
      <c r="C264" s="77"/>
    </row>
    <row r="265" spans="3:3" x14ac:dyDescent="0.25">
      <c r="C265" s="77"/>
    </row>
    <row r="266" spans="3:3" x14ac:dyDescent="0.25">
      <c r="C266" s="77"/>
    </row>
    <row r="267" spans="3:3" x14ac:dyDescent="0.25">
      <c r="C267" s="77"/>
    </row>
    <row r="268" spans="3:3" x14ac:dyDescent="0.25">
      <c r="C268" s="77"/>
    </row>
    <row r="269" spans="3:3" x14ac:dyDescent="0.25">
      <c r="C269" s="77"/>
    </row>
    <row r="270" spans="3:3" x14ac:dyDescent="0.25">
      <c r="C270" s="77"/>
    </row>
    <row r="271" spans="3:3" x14ac:dyDescent="0.25">
      <c r="C271" s="77"/>
    </row>
    <row r="272" spans="3:3" x14ac:dyDescent="0.25">
      <c r="C272" s="77"/>
    </row>
    <row r="273" spans="3:3" x14ac:dyDescent="0.25">
      <c r="C273" s="77"/>
    </row>
    <row r="274" spans="3:3" x14ac:dyDescent="0.25">
      <c r="C274" s="77"/>
    </row>
    <row r="275" spans="3:3" x14ac:dyDescent="0.25">
      <c r="C275" s="77"/>
    </row>
    <row r="276" spans="3:3" x14ac:dyDescent="0.25">
      <c r="C276" s="77"/>
    </row>
    <row r="277" spans="3:3" x14ac:dyDescent="0.25">
      <c r="C277" s="77"/>
    </row>
    <row r="278" spans="3:3" x14ac:dyDescent="0.25">
      <c r="C278" s="77"/>
    </row>
    <row r="279" spans="3:3" x14ac:dyDescent="0.25">
      <c r="C279" s="77"/>
    </row>
    <row r="280" spans="3:3" x14ac:dyDescent="0.25">
      <c r="C280" s="77"/>
    </row>
    <row r="281" spans="3:3" x14ac:dyDescent="0.25">
      <c r="C281" s="77"/>
    </row>
    <row r="282" spans="3:3" x14ac:dyDescent="0.25">
      <c r="C282" s="77"/>
    </row>
    <row r="283" spans="3:3" x14ac:dyDescent="0.25">
      <c r="C283" s="77"/>
    </row>
    <row r="284" spans="3:3" x14ac:dyDescent="0.25">
      <c r="C284" s="77"/>
    </row>
    <row r="285" spans="3:3" x14ac:dyDescent="0.25">
      <c r="C285" s="77"/>
    </row>
    <row r="286" spans="3:3" x14ac:dyDescent="0.25">
      <c r="C286" s="77"/>
    </row>
    <row r="287" spans="3:3" x14ac:dyDescent="0.25">
      <c r="C287" s="77"/>
    </row>
    <row r="288" spans="3:3" x14ac:dyDescent="0.25">
      <c r="C288" s="77"/>
    </row>
    <row r="289" spans="3:3" x14ac:dyDescent="0.25">
      <c r="C289" s="77"/>
    </row>
    <row r="290" spans="3:3" x14ac:dyDescent="0.25">
      <c r="C290" s="77"/>
    </row>
    <row r="291" spans="3:3" x14ac:dyDescent="0.25">
      <c r="C291" s="77"/>
    </row>
    <row r="292" spans="3:3" x14ac:dyDescent="0.25">
      <c r="C292" s="77"/>
    </row>
    <row r="293" spans="3:3" x14ac:dyDescent="0.25">
      <c r="C293" s="77"/>
    </row>
    <row r="294" spans="3:3" x14ac:dyDescent="0.25">
      <c r="C294" s="77"/>
    </row>
    <row r="295" spans="3:3" x14ac:dyDescent="0.25">
      <c r="C295" s="77"/>
    </row>
    <row r="296" spans="3:3" x14ac:dyDescent="0.25">
      <c r="C296" s="77"/>
    </row>
    <row r="297" spans="3:3" x14ac:dyDescent="0.25">
      <c r="C297" s="77"/>
    </row>
    <row r="298" spans="3:3" x14ac:dyDescent="0.25">
      <c r="C298" s="77"/>
    </row>
    <row r="299" spans="3:3" x14ac:dyDescent="0.25">
      <c r="C299" s="77"/>
    </row>
    <row r="300" spans="3:3" x14ac:dyDescent="0.25">
      <c r="C300" s="77"/>
    </row>
    <row r="301" spans="3:3" x14ac:dyDescent="0.25">
      <c r="C301" s="77"/>
    </row>
    <row r="302" spans="3:3" x14ac:dyDescent="0.25">
      <c r="C302" s="77"/>
    </row>
    <row r="303" spans="3:3" x14ac:dyDescent="0.25">
      <c r="C303" s="77"/>
    </row>
    <row r="304" spans="3:3" x14ac:dyDescent="0.25">
      <c r="C304" s="77"/>
    </row>
    <row r="305" spans="3:3" x14ac:dyDescent="0.25">
      <c r="C305" s="77"/>
    </row>
    <row r="306" spans="3:3" x14ac:dyDescent="0.25">
      <c r="C306" s="77"/>
    </row>
    <row r="307" spans="3:3" x14ac:dyDescent="0.25">
      <c r="C307" s="77"/>
    </row>
    <row r="308" spans="3:3" x14ac:dyDescent="0.25">
      <c r="C308" s="77"/>
    </row>
    <row r="309" spans="3:3" x14ac:dyDescent="0.25">
      <c r="C309" s="77"/>
    </row>
    <row r="310" spans="3:3" x14ac:dyDescent="0.25">
      <c r="C310" s="77"/>
    </row>
    <row r="311" spans="3:3" x14ac:dyDescent="0.25">
      <c r="C311" s="77"/>
    </row>
    <row r="312" spans="3:3" x14ac:dyDescent="0.25">
      <c r="C312" s="77"/>
    </row>
    <row r="313" spans="3:3" x14ac:dyDescent="0.25">
      <c r="C313" s="77"/>
    </row>
    <row r="314" spans="3:3" x14ac:dyDescent="0.25">
      <c r="C314" s="77"/>
    </row>
    <row r="315" spans="3:3" x14ac:dyDescent="0.25">
      <c r="C315" s="77"/>
    </row>
    <row r="316" spans="3:3" x14ac:dyDescent="0.25">
      <c r="C316" s="77"/>
    </row>
    <row r="317" spans="3:3" x14ac:dyDescent="0.25">
      <c r="C317" s="77"/>
    </row>
    <row r="318" spans="3:3" x14ac:dyDescent="0.25">
      <c r="C318" s="77"/>
    </row>
    <row r="319" spans="3:3" x14ac:dyDescent="0.25">
      <c r="C319" s="77"/>
    </row>
    <row r="320" spans="3:3" x14ac:dyDescent="0.25">
      <c r="C320" s="77"/>
    </row>
    <row r="321" spans="3:3" x14ac:dyDescent="0.25">
      <c r="C321" s="77"/>
    </row>
    <row r="322" spans="3:3" x14ac:dyDescent="0.25">
      <c r="C322" s="77"/>
    </row>
    <row r="323" spans="3:3" x14ac:dyDescent="0.25">
      <c r="C323" s="77"/>
    </row>
    <row r="324" spans="3:3" x14ac:dyDescent="0.25">
      <c r="C324" s="77"/>
    </row>
    <row r="325" spans="3:3" x14ac:dyDescent="0.25">
      <c r="C325" s="77"/>
    </row>
    <row r="326" spans="3:3" x14ac:dyDescent="0.25">
      <c r="C326" s="77"/>
    </row>
    <row r="327" spans="3:3" x14ac:dyDescent="0.25">
      <c r="C327" s="77"/>
    </row>
    <row r="328" spans="3:3" x14ac:dyDescent="0.25">
      <c r="C328" s="77"/>
    </row>
    <row r="329" spans="3:3" x14ac:dyDescent="0.25">
      <c r="C329" s="77"/>
    </row>
    <row r="330" spans="3:3" x14ac:dyDescent="0.25">
      <c r="C330" s="77"/>
    </row>
    <row r="331" spans="3:3" x14ac:dyDescent="0.25">
      <c r="C331" s="77"/>
    </row>
    <row r="332" spans="3:3" x14ac:dyDescent="0.25">
      <c r="C332" s="77"/>
    </row>
    <row r="333" spans="3:3" x14ac:dyDescent="0.25">
      <c r="C333" s="77"/>
    </row>
    <row r="334" spans="3:3" x14ac:dyDescent="0.25">
      <c r="C334" s="77"/>
    </row>
    <row r="335" spans="3:3" x14ac:dyDescent="0.25">
      <c r="C335" s="77"/>
    </row>
    <row r="336" spans="3:3" x14ac:dyDescent="0.25">
      <c r="C336" s="77"/>
    </row>
    <row r="337" spans="3:3" x14ac:dyDescent="0.25">
      <c r="C337" s="77"/>
    </row>
    <row r="338" spans="3:3" x14ac:dyDescent="0.25">
      <c r="C338" s="77"/>
    </row>
    <row r="339" spans="3:3" x14ac:dyDescent="0.25">
      <c r="C339" s="77"/>
    </row>
    <row r="340" spans="3:3" x14ac:dyDescent="0.25">
      <c r="C340" s="77"/>
    </row>
    <row r="341" spans="3:3" x14ac:dyDescent="0.25">
      <c r="C341" s="77"/>
    </row>
    <row r="342" spans="3:3" x14ac:dyDescent="0.25">
      <c r="C342" s="77"/>
    </row>
    <row r="343" spans="3:3" x14ac:dyDescent="0.25">
      <c r="C343" s="77"/>
    </row>
    <row r="344" spans="3:3" x14ac:dyDescent="0.25">
      <c r="C344" s="77"/>
    </row>
    <row r="345" spans="3:3" x14ac:dyDescent="0.25">
      <c r="C345" s="77"/>
    </row>
    <row r="346" spans="3:3" x14ac:dyDescent="0.25">
      <c r="C346" s="77"/>
    </row>
    <row r="347" spans="3:3" x14ac:dyDescent="0.25">
      <c r="C347" s="77"/>
    </row>
    <row r="348" spans="3:3" x14ac:dyDescent="0.25">
      <c r="C348" s="77"/>
    </row>
    <row r="349" spans="3:3" x14ac:dyDescent="0.25">
      <c r="C349" s="77"/>
    </row>
    <row r="350" spans="3:3" x14ac:dyDescent="0.25">
      <c r="C350" s="77"/>
    </row>
    <row r="351" spans="3:3" x14ac:dyDescent="0.25">
      <c r="C351" s="77"/>
    </row>
    <row r="352" spans="3:3" x14ac:dyDescent="0.25">
      <c r="C352" s="77"/>
    </row>
    <row r="353" spans="3:3" x14ac:dyDescent="0.25">
      <c r="C353" s="77"/>
    </row>
    <row r="354" spans="3:3" x14ac:dyDescent="0.25">
      <c r="C354" s="77"/>
    </row>
    <row r="355" spans="3:3" x14ac:dyDescent="0.25">
      <c r="C355" s="77"/>
    </row>
    <row r="356" spans="3:3" x14ac:dyDescent="0.25">
      <c r="C356" s="77"/>
    </row>
    <row r="357" spans="3:3" x14ac:dyDescent="0.25">
      <c r="C357" s="77"/>
    </row>
    <row r="358" spans="3:3" x14ac:dyDescent="0.25">
      <c r="C358" s="77"/>
    </row>
    <row r="359" spans="3:3" x14ac:dyDescent="0.25">
      <c r="C359" s="77"/>
    </row>
    <row r="360" spans="3:3" x14ac:dyDescent="0.25">
      <c r="C360" s="77"/>
    </row>
    <row r="361" spans="3:3" x14ac:dyDescent="0.25">
      <c r="C361" s="77"/>
    </row>
    <row r="362" spans="3:3" x14ac:dyDescent="0.25">
      <c r="C362" s="77"/>
    </row>
    <row r="363" spans="3:3" x14ac:dyDescent="0.25">
      <c r="C363" s="77"/>
    </row>
    <row r="364" spans="3:3" x14ac:dyDescent="0.25">
      <c r="C364" s="77"/>
    </row>
  </sheetData>
  <mergeCells count="8">
    <mergeCell ref="O130:P130"/>
    <mergeCell ref="Q130:R130"/>
    <mergeCell ref="E112:G112"/>
    <mergeCell ref="H112:J112"/>
    <mergeCell ref="E130:G130"/>
    <mergeCell ref="H130:J130"/>
    <mergeCell ref="O112:P112"/>
    <mergeCell ref="Q112:R112"/>
  </mergeCells>
  <dataValidations count="1">
    <dataValidation type="list" allowBlank="1" showInputMessage="1" showErrorMessage="1" sqref="D1" xr:uid="{2561C89D-07C0-4988-A9DC-568535139B73}">
      <formula1>"PX_BID,PX_MID,PX_ASK"</formula1>
    </dataValidation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D5899-F0E5-489F-A882-A0F2FCCE4C34}">
  <sheetPr codeName="Sheet4">
    <tabColor theme="4"/>
  </sheetPr>
  <dimension ref="A1:R41"/>
  <sheetViews>
    <sheetView topLeftCell="A2" workbookViewId="0">
      <selection activeCell="I19" sqref="I19"/>
    </sheetView>
  </sheetViews>
  <sheetFormatPr defaultRowHeight="15" x14ac:dyDescent="0.25"/>
  <cols>
    <col min="1" max="1" width="12.85546875" style="3" customWidth="1"/>
  </cols>
  <sheetData>
    <row r="1" spans="1:5" x14ac:dyDescent="0.25">
      <c r="A1" s="3" t="s">
        <v>185</v>
      </c>
    </row>
    <row r="3" spans="1:5" x14ac:dyDescent="0.25">
      <c r="A3" s="3" t="s">
        <v>39</v>
      </c>
      <c r="B3" t="str">
        <f ca="1">_xll.QCurves_CreateCorrelationMatrix("AssetFxMatrix",B8:B23,C7:E7,C8:E23)</f>
        <v>AssetFxMatrix¬1</v>
      </c>
    </row>
    <row r="4" spans="1:5" x14ac:dyDescent="0.25">
      <c r="B4" t="str">
        <f ca="1">_xll.QCurves_CreateCorrelationMatrix("AssetAssetMatrix",B26:B41,C25:R25,C26:R41)</f>
        <v>AssetAssetMatrix¬1</v>
      </c>
    </row>
    <row r="5" spans="1:5" x14ac:dyDescent="0.25">
      <c r="B5" t="str">
        <f ca="1">_xll.QCurves_CreateCorrelationMatrixCollection("CorrelMatrix",B3:B4)</f>
        <v>CorrelMatrix¬1</v>
      </c>
    </row>
    <row r="7" spans="1:5" x14ac:dyDescent="0.25">
      <c r="A7" s="3" t="s">
        <v>186</v>
      </c>
      <c r="C7" t="s">
        <v>7</v>
      </c>
      <c r="D7" t="s">
        <v>9</v>
      </c>
      <c r="E7" t="s">
        <v>8</v>
      </c>
    </row>
    <row r="8" spans="1:5" x14ac:dyDescent="0.25">
      <c r="B8" t="s">
        <v>129</v>
      </c>
      <c r="C8" s="99">
        <v>-0.3</v>
      </c>
      <c r="D8" s="99">
        <v>0.3</v>
      </c>
      <c r="E8" s="99">
        <v>0.3</v>
      </c>
    </row>
    <row r="9" spans="1:5" x14ac:dyDescent="0.25">
      <c r="B9" t="s">
        <v>134</v>
      </c>
      <c r="C9" s="99">
        <v>-0.3</v>
      </c>
      <c r="D9" s="99">
        <v>0.3</v>
      </c>
      <c r="E9" s="99">
        <v>0.3</v>
      </c>
    </row>
    <row r="10" spans="1:5" x14ac:dyDescent="0.25">
      <c r="B10" t="s">
        <v>135</v>
      </c>
      <c r="C10" s="99">
        <v>-0.3</v>
      </c>
      <c r="D10" s="99">
        <v>0.3</v>
      </c>
      <c r="E10" s="99">
        <v>0.3</v>
      </c>
    </row>
    <row r="11" spans="1:5" x14ac:dyDescent="0.25">
      <c r="B11" t="s">
        <v>136</v>
      </c>
      <c r="C11" s="99">
        <v>-0.3</v>
      </c>
      <c r="D11" s="99">
        <v>0.3</v>
      </c>
      <c r="E11" s="99">
        <v>0.3</v>
      </c>
    </row>
    <row r="12" spans="1:5" x14ac:dyDescent="0.25">
      <c r="B12" t="s">
        <v>153</v>
      </c>
      <c r="C12" s="99">
        <v>-0.3</v>
      </c>
      <c r="D12" s="99">
        <v>0.3</v>
      </c>
      <c r="E12" s="99">
        <v>0.3</v>
      </c>
    </row>
    <row r="13" spans="1:5" x14ac:dyDescent="0.25">
      <c r="B13" t="s">
        <v>143</v>
      </c>
      <c r="C13" s="99">
        <v>-0.3</v>
      </c>
      <c r="D13" s="99">
        <v>0.3</v>
      </c>
      <c r="E13" s="99">
        <v>0.3</v>
      </c>
    </row>
    <row r="14" spans="1:5" x14ac:dyDescent="0.25">
      <c r="B14" t="s">
        <v>10</v>
      </c>
      <c r="C14" s="99">
        <v>-0.3</v>
      </c>
      <c r="D14" s="99">
        <v>0.3</v>
      </c>
      <c r="E14" s="99">
        <v>0.3</v>
      </c>
    </row>
    <row r="15" spans="1:5" x14ac:dyDescent="0.25">
      <c r="B15" t="s">
        <v>11</v>
      </c>
      <c r="C15" s="99">
        <v>-0.3</v>
      </c>
      <c r="D15" s="99">
        <v>0.3</v>
      </c>
      <c r="E15" s="99">
        <v>0.3</v>
      </c>
    </row>
    <row r="16" spans="1:5" x14ac:dyDescent="0.25">
      <c r="B16" t="s">
        <v>13</v>
      </c>
      <c r="C16" s="99">
        <v>-0.3</v>
      </c>
      <c r="D16" s="99">
        <v>0.3</v>
      </c>
      <c r="E16" s="99">
        <v>0.3</v>
      </c>
    </row>
    <row r="17" spans="1:18" x14ac:dyDescent="0.25">
      <c r="B17" t="s">
        <v>12</v>
      </c>
      <c r="C17" s="99">
        <v>-0.3</v>
      </c>
      <c r="D17" s="99">
        <v>0.3</v>
      </c>
      <c r="E17" s="99">
        <v>0.3</v>
      </c>
    </row>
    <row r="18" spans="1:18" x14ac:dyDescent="0.25">
      <c r="B18" t="s">
        <v>104</v>
      </c>
      <c r="C18" s="99">
        <v>-0.3</v>
      </c>
      <c r="D18" s="99">
        <v>0.3</v>
      </c>
      <c r="E18" s="99">
        <v>0.3</v>
      </c>
    </row>
    <row r="19" spans="1:18" x14ac:dyDescent="0.25">
      <c r="B19" t="s">
        <v>108</v>
      </c>
      <c r="C19" s="99">
        <v>-0.3</v>
      </c>
      <c r="D19" s="99">
        <v>0.3</v>
      </c>
      <c r="E19" s="99">
        <v>0.3</v>
      </c>
    </row>
    <row r="20" spans="1:18" x14ac:dyDescent="0.25">
      <c r="B20" t="s">
        <v>109</v>
      </c>
      <c r="C20" s="99">
        <v>-0.3</v>
      </c>
      <c r="D20" s="99">
        <v>0.3</v>
      </c>
      <c r="E20" s="99">
        <v>0.3</v>
      </c>
    </row>
    <row r="21" spans="1:18" x14ac:dyDescent="0.25">
      <c r="B21" t="s">
        <v>110</v>
      </c>
      <c r="C21" s="99">
        <v>-0.3</v>
      </c>
      <c r="D21" s="99">
        <v>0.3</v>
      </c>
      <c r="E21" s="99">
        <v>0.3</v>
      </c>
    </row>
    <row r="22" spans="1:18" x14ac:dyDescent="0.25">
      <c r="B22" t="s">
        <v>111</v>
      </c>
      <c r="C22" s="99">
        <v>-0.3</v>
      </c>
      <c r="D22" s="99">
        <v>0.3</v>
      </c>
      <c r="E22" s="99">
        <v>0.3</v>
      </c>
    </row>
    <row r="23" spans="1:18" x14ac:dyDescent="0.25">
      <c r="B23" t="s">
        <v>112</v>
      </c>
      <c r="C23" s="99">
        <v>-0.3</v>
      </c>
      <c r="D23" s="99">
        <v>0.3</v>
      </c>
      <c r="E23" s="99">
        <v>0.3</v>
      </c>
    </row>
    <row r="25" spans="1:18" x14ac:dyDescent="0.25">
      <c r="A25" s="3" t="s">
        <v>187</v>
      </c>
      <c r="C25" t="str" cm="1">
        <f t="array" ref="C25:R25">TRANSPOSE(B26:B41)</f>
        <v>CO</v>
      </c>
      <c r="D25" t="str">
        <v>QS</v>
      </c>
      <c r="E25" t="str">
        <v>XB</v>
      </c>
      <c r="F25" t="str">
        <v>CL</v>
      </c>
      <c r="G25" t="str">
        <v>Sing180</v>
      </c>
      <c r="H25" t="str">
        <v>Dated</v>
      </c>
      <c r="I25" t="str">
        <v>XAU/USD</v>
      </c>
      <c r="J25" t="str">
        <v>XAG/USD</v>
      </c>
      <c r="K25" t="str">
        <v>XPT/USD</v>
      </c>
      <c r="L25" t="str">
        <v>XPD/USD</v>
      </c>
      <c r="M25" t="str">
        <v>AH</v>
      </c>
      <c r="N25" t="str">
        <v>CA</v>
      </c>
      <c r="O25" t="str">
        <v>ZS</v>
      </c>
      <c r="P25" t="str">
        <v>NI</v>
      </c>
      <c r="Q25" t="str">
        <v>PB</v>
      </c>
      <c r="R25" t="str">
        <v>SN</v>
      </c>
    </row>
    <row r="26" spans="1:18" x14ac:dyDescent="0.25">
      <c r="B26" t="str">
        <f>B8</f>
        <v>CO</v>
      </c>
      <c r="C26">
        <f>IF($B26=C$25,1,0.3)</f>
        <v>1</v>
      </c>
      <c r="D26">
        <f t="shared" ref="D26:R41" si="0">IF($B26=D$25,1,0.3)</f>
        <v>0.3</v>
      </c>
      <c r="E26">
        <f t="shared" si="0"/>
        <v>0.3</v>
      </c>
      <c r="F26">
        <f t="shared" si="0"/>
        <v>0.3</v>
      </c>
      <c r="G26">
        <f t="shared" si="0"/>
        <v>0.3</v>
      </c>
      <c r="H26">
        <f t="shared" si="0"/>
        <v>0.3</v>
      </c>
      <c r="I26">
        <f t="shared" si="0"/>
        <v>0.3</v>
      </c>
      <c r="J26">
        <f t="shared" si="0"/>
        <v>0.3</v>
      </c>
      <c r="K26">
        <f t="shared" si="0"/>
        <v>0.3</v>
      </c>
      <c r="L26">
        <f t="shared" si="0"/>
        <v>0.3</v>
      </c>
      <c r="M26">
        <f t="shared" si="0"/>
        <v>0.3</v>
      </c>
      <c r="N26">
        <f t="shared" si="0"/>
        <v>0.3</v>
      </c>
      <c r="O26">
        <f t="shared" si="0"/>
        <v>0.3</v>
      </c>
      <c r="P26">
        <f t="shared" si="0"/>
        <v>0.3</v>
      </c>
      <c r="Q26">
        <f t="shared" si="0"/>
        <v>0.3</v>
      </c>
      <c r="R26">
        <f>IF($B26=R$25,1,0.3)</f>
        <v>0.3</v>
      </c>
    </row>
    <row r="27" spans="1:18" x14ac:dyDescent="0.25">
      <c r="B27" t="str">
        <f t="shared" ref="B27:B41" si="1">B9</f>
        <v>QS</v>
      </c>
      <c r="C27">
        <f t="shared" ref="C27:C41" si="2">IF($B27=C$25,1,0.3)</f>
        <v>0.3</v>
      </c>
      <c r="D27">
        <f t="shared" si="0"/>
        <v>1</v>
      </c>
      <c r="E27">
        <f t="shared" si="0"/>
        <v>0.3</v>
      </c>
      <c r="F27">
        <f t="shared" si="0"/>
        <v>0.3</v>
      </c>
      <c r="G27">
        <f t="shared" si="0"/>
        <v>0.3</v>
      </c>
      <c r="H27">
        <f t="shared" si="0"/>
        <v>0.3</v>
      </c>
      <c r="I27">
        <f t="shared" si="0"/>
        <v>0.3</v>
      </c>
      <c r="J27">
        <f t="shared" si="0"/>
        <v>0.3</v>
      </c>
      <c r="K27">
        <f t="shared" si="0"/>
        <v>0.3</v>
      </c>
      <c r="L27">
        <f t="shared" si="0"/>
        <v>0.3</v>
      </c>
      <c r="M27">
        <f t="shared" si="0"/>
        <v>0.3</v>
      </c>
      <c r="N27">
        <f t="shared" si="0"/>
        <v>0.3</v>
      </c>
      <c r="O27">
        <f t="shared" si="0"/>
        <v>0.3</v>
      </c>
      <c r="P27">
        <f t="shared" si="0"/>
        <v>0.3</v>
      </c>
      <c r="Q27">
        <f t="shared" si="0"/>
        <v>0.3</v>
      </c>
      <c r="R27">
        <f t="shared" si="0"/>
        <v>0.3</v>
      </c>
    </row>
    <row r="28" spans="1:18" x14ac:dyDescent="0.25">
      <c r="B28" t="str">
        <f t="shared" si="1"/>
        <v>XB</v>
      </c>
      <c r="C28">
        <f t="shared" si="2"/>
        <v>0.3</v>
      </c>
      <c r="D28">
        <f t="shared" si="0"/>
        <v>0.3</v>
      </c>
      <c r="E28">
        <f t="shared" si="0"/>
        <v>1</v>
      </c>
      <c r="F28">
        <f t="shared" si="0"/>
        <v>0.3</v>
      </c>
      <c r="G28">
        <f t="shared" si="0"/>
        <v>0.3</v>
      </c>
      <c r="H28">
        <f t="shared" si="0"/>
        <v>0.3</v>
      </c>
      <c r="I28">
        <f t="shared" si="0"/>
        <v>0.3</v>
      </c>
      <c r="J28">
        <f t="shared" si="0"/>
        <v>0.3</v>
      </c>
      <c r="K28">
        <f t="shared" si="0"/>
        <v>0.3</v>
      </c>
      <c r="L28">
        <f t="shared" si="0"/>
        <v>0.3</v>
      </c>
      <c r="M28">
        <f t="shared" si="0"/>
        <v>0.3</v>
      </c>
      <c r="N28">
        <f t="shared" si="0"/>
        <v>0.3</v>
      </c>
      <c r="O28">
        <f t="shared" si="0"/>
        <v>0.3</v>
      </c>
      <c r="P28">
        <f t="shared" si="0"/>
        <v>0.3</v>
      </c>
      <c r="Q28">
        <f t="shared" si="0"/>
        <v>0.3</v>
      </c>
      <c r="R28">
        <f t="shared" si="0"/>
        <v>0.3</v>
      </c>
    </row>
    <row r="29" spans="1:18" x14ac:dyDescent="0.25">
      <c r="B29" t="str">
        <f t="shared" si="1"/>
        <v>CL</v>
      </c>
      <c r="C29">
        <f t="shared" si="2"/>
        <v>0.3</v>
      </c>
      <c r="D29">
        <f t="shared" si="0"/>
        <v>0.3</v>
      </c>
      <c r="E29">
        <f t="shared" si="0"/>
        <v>0.3</v>
      </c>
      <c r="F29">
        <f t="shared" si="0"/>
        <v>1</v>
      </c>
      <c r="G29">
        <f t="shared" si="0"/>
        <v>0.3</v>
      </c>
      <c r="H29">
        <f t="shared" si="0"/>
        <v>0.3</v>
      </c>
      <c r="I29">
        <f t="shared" si="0"/>
        <v>0.3</v>
      </c>
      <c r="J29">
        <f t="shared" si="0"/>
        <v>0.3</v>
      </c>
      <c r="K29">
        <f t="shared" si="0"/>
        <v>0.3</v>
      </c>
      <c r="L29">
        <f t="shared" si="0"/>
        <v>0.3</v>
      </c>
      <c r="M29">
        <f t="shared" si="0"/>
        <v>0.3</v>
      </c>
      <c r="N29">
        <f t="shared" si="0"/>
        <v>0.3</v>
      </c>
      <c r="O29">
        <f t="shared" si="0"/>
        <v>0.3</v>
      </c>
      <c r="P29">
        <f t="shared" si="0"/>
        <v>0.3</v>
      </c>
      <c r="Q29">
        <f t="shared" si="0"/>
        <v>0.3</v>
      </c>
      <c r="R29">
        <f t="shared" si="0"/>
        <v>0.3</v>
      </c>
    </row>
    <row r="30" spans="1:18" x14ac:dyDescent="0.25">
      <c r="B30" t="str">
        <f t="shared" si="1"/>
        <v>Sing180</v>
      </c>
      <c r="C30">
        <f t="shared" si="2"/>
        <v>0.3</v>
      </c>
      <c r="D30">
        <f t="shared" si="0"/>
        <v>0.3</v>
      </c>
      <c r="E30">
        <f t="shared" si="0"/>
        <v>0.3</v>
      </c>
      <c r="F30">
        <f t="shared" si="0"/>
        <v>0.3</v>
      </c>
      <c r="G30">
        <f t="shared" si="0"/>
        <v>1</v>
      </c>
      <c r="H30">
        <f t="shared" si="0"/>
        <v>0.3</v>
      </c>
      <c r="I30">
        <f t="shared" si="0"/>
        <v>0.3</v>
      </c>
      <c r="J30">
        <f t="shared" si="0"/>
        <v>0.3</v>
      </c>
      <c r="K30">
        <f t="shared" si="0"/>
        <v>0.3</v>
      </c>
      <c r="L30">
        <f t="shared" si="0"/>
        <v>0.3</v>
      </c>
      <c r="M30">
        <f t="shared" si="0"/>
        <v>0.3</v>
      </c>
      <c r="N30">
        <f t="shared" si="0"/>
        <v>0.3</v>
      </c>
      <c r="O30">
        <f t="shared" si="0"/>
        <v>0.3</v>
      </c>
      <c r="P30">
        <f t="shared" si="0"/>
        <v>0.3</v>
      </c>
      <c r="Q30">
        <f t="shared" si="0"/>
        <v>0.3</v>
      </c>
      <c r="R30">
        <f t="shared" si="0"/>
        <v>0.3</v>
      </c>
    </row>
    <row r="31" spans="1:18" x14ac:dyDescent="0.25">
      <c r="B31" t="str">
        <f t="shared" si="1"/>
        <v>Dated</v>
      </c>
      <c r="C31">
        <f t="shared" si="2"/>
        <v>0.3</v>
      </c>
      <c r="D31">
        <f t="shared" si="0"/>
        <v>0.3</v>
      </c>
      <c r="E31">
        <f t="shared" si="0"/>
        <v>0.3</v>
      </c>
      <c r="F31">
        <f t="shared" si="0"/>
        <v>0.3</v>
      </c>
      <c r="G31">
        <f t="shared" si="0"/>
        <v>0.3</v>
      </c>
      <c r="H31">
        <f t="shared" si="0"/>
        <v>1</v>
      </c>
      <c r="I31">
        <f t="shared" si="0"/>
        <v>0.3</v>
      </c>
      <c r="J31">
        <f t="shared" si="0"/>
        <v>0.3</v>
      </c>
      <c r="K31">
        <f t="shared" si="0"/>
        <v>0.3</v>
      </c>
      <c r="L31">
        <f t="shared" si="0"/>
        <v>0.3</v>
      </c>
      <c r="M31">
        <f t="shared" si="0"/>
        <v>0.3</v>
      </c>
      <c r="N31">
        <f t="shared" si="0"/>
        <v>0.3</v>
      </c>
      <c r="O31">
        <f t="shared" si="0"/>
        <v>0.3</v>
      </c>
      <c r="P31">
        <f t="shared" si="0"/>
        <v>0.3</v>
      </c>
      <c r="Q31">
        <f t="shared" si="0"/>
        <v>0.3</v>
      </c>
      <c r="R31">
        <f t="shared" si="0"/>
        <v>0.3</v>
      </c>
    </row>
    <row r="32" spans="1:18" x14ac:dyDescent="0.25">
      <c r="B32" t="str">
        <f t="shared" si="1"/>
        <v>XAU/USD</v>
      </c>
      <c r="C32">
        <f t="shared" si="2"/>
        <v>0.3</v>
      </c>
      <c r="D32">
        <f t="shared" si="0"/>
        <v>0.3</v>
      </c>
      <c r="E32">
        <f t="shared" si="0"/>
        <v>0.3</v>
      </c>
      <c r="F32">
        <f t="shared" si="0"/>
        <v>0.3</v>
      </c>
      <c r="G32">
        <f t="shared" si="0"/>
        <v>0.3</v>
      </c>
      <c r="H32">
        <f t="shared" si="0"/>
        <v>0.3</v>
      </c>
      <c r="I32">
        <f t="shared" si="0"/>
        <v>1</v>
      </c>
      <c r="J32">
        <f t="shared" si="0"/>
        <v>0.3</v>
      </c>
      <c r="K32">
        <f t="shared" si="0"/>
        <v>0.3</v>
      </c>
      <c r="L32">
        <f t="shared" si="0"/>
        <v>0.3</v>
      </c>
      <c r="M32">
        <f t="shared" si="0"/>
        <v>0.3</v>
      </c>
      <c r="N32">
        <f t="shared" si="0"/>
        <v>0.3</v>
      </c>
      <c r="O32">
        <f t="shared" si="0"/>
        <v>0.3</v>
      </c>
      <c r="P32">
        <f t="shared" si="0"/>
        <v>0.3</v>
      </c>
      <c r="Q32">
        <f t="shared" si="0"/>
        <v>0.3</v>
      </c>
      <c r="R32">
        <f t="shared" si="0"/>
        <v>0.3</v>
      </c>
    </row>
    <row r="33" spans="2:18" x14ac:dyDescent="0.25">
      <c r="B33" t="str">
        <f t="shared" si="1"/>
        <v>XAG/USD</v>
      </c>
      <c r="C33">
        <f t="shared" si="2"/>
        <v>0.3</v>
      </c>
      <c r="D33">
        <f t="shared" si="0"/>
        <v>0.3</v>
      </c>
      <c r="E33">
        <f t="shared" si="0"/>
        <v>0.3</v>
      </c>
      <c r="F33">
        <f t="shared" si="0"/>
        <v>0.3</v>
      </c>
      <c r="G33">
        <f t="shared" si="0"/>
        <v>0.3</v>
      </c>
      <c r="H33">
        <f t="shared" si="0"/>
        <v>0.3</v>
      </c>
      <c r="I33">
        <f t="shared" si="0"/>
        <v>0.3</v>
      </c>
      <c r="J33">
        <f t="shared" si="0"/>
        <v>1</v>
      </c>
      <c r="K33">
        <f t="shared" si="0"/>
        <v>0.3</v>
      </c>
      <c r="L33">
        <f t="shared" si="0"/>
        <v>0.3</v>
      </c>
      <c r="M33">
        <f t="shared" si="0"/>
        <v>0.3</v>
      </c>
      <c r="N33">
        <f t="shared" si="0"/>
        <v>0.3</v>
      </c>
      <c r="O33">
        <f t="shared" si="0"/>
        <v>0.3</v>
      </c>
      <c r="P33">
        <f t="shared" si="0"/>
        <v>0.3</v>
      </c>
      <c r="Q33">
        <f t="shared" si="0"/>
        <v>0.3</v>
      </c>
      <c r="R33">
        <f t="shared" si="0"/>
        <v>0.3</v>
      </c>
    </row>
    <row r="34" spans="2:18" x14ac:dyDescent="0.25">
      <c r="B34" t="str">
        <f t="shared" si="1"/>
        <v>XPT/USD</v>
      </c>
      <c r="C34">
        <f t="shared" si="2"/>
        <v>0.3</v>
      </c>
      <c r="D34">
        <f t="shared" si="0"/>
        <v>0.3</v>
      </c>
      <c r="E34">
        <f t="shared" si="0"/>
        <v>0.3</v>
      </c>
      <c r="F34">
        <f t="shared" si="0"/>
        <v>0.3</v>
      </c>
      <c r="G34">
        <f t="shared" si="0"/>
        <v>0.3</v>
      </c>
      <c r="H34">
        <f t="shared" si="0"/>
        <v>0.3</v>
      </c>
      <c r="I34">
        <f t="shared" si="0"/>
        <v>0.3</v>
      </c>
      <c r="J34">
        <f t="shared" si="0"/>
        <v>0.3</v>
      </c>
      <c r="K34">
        <f t="shared" si="0"/>
        <v>1</v>
      </c>
      <c r="L34">
        <f t="shared" si="0"/>
        <v>0.3</v>
      </c>
      <c r="M34">
        <f t="shared" si="0"/>
        <v>0.3</v>
      </c>
      <c r="N34">
        <f t="shared" si="0"/>
        <v>0.3</v>
      </c>
      <c r="O34">
        <f t="shared" si="0"/>
        <v>0.3</v>
      </c>
      <c r="P34">
        <f t="shared" si="0"/>
        <v>0.3</v>
      </c>
      <c r="Q34">
        <f t="shared" si="0"/>
        <v>0.3</v>
      </c>
      <c r="R34">
        <f t="shared" si="0"/>
        <v>0.3</v>
      </c>
    </row>
    <row r="35" spans="2:18" x14ac:dyDescent="0.25">
      <c r="B35" t="str">
        <f t="shared" si="1"/>
        <v>XPD/USD</v>
      </c>
      <c r="C35">
        <f t="shared" si="2"/>
        <v>0.3</v>
      </c>
      <c r="D35">
        <f t="shared" si="0"/>
        <v>0.3</v>
      </c>
      <c r="E35">
        <f t="shared" si="0"/>
        <v>0.3</v>
      </c>
      <c r="F35">
        <f t="shared" si="0"/>
        <v>0.3</v>
      </c>
      <c r="G35">
        <f t="shared" si="0"/>
        <v>0.3</v>
      </c>
      <c r="H35">
        <f t="shared" si="0"/>
        <v>0.3</v>
      </c>
      <c r="I35">
        <f t="shared" si="0"/>
        <v>0.3</v>
      </c>
      <c r="J35">
        <f t="shared" si="0"/>
        <v>0.3</v>
      </c>
      <c r="K35">
        <f t="shared" si="0"/>
        <v>0.3</v>
      </c>
      <c r="L35">
        <f t="shared" si="0"/>
        <v>1</v>
      </c>
      <c r="M35">
        <f t="shared" si="0"/>
        <v>0.3</v>
      </c>
      <c r="N35">
        <f t="shared" si="0"/>
        <v>0.3</v>
      </c>
      <c r="O35">
        <f t="shared" si="0"/>
        <v>0.3</v>
      </c>
      <c r="P35">
        <f t="shared" si="0"/>
        <v>0.3</v>
      </c>
      <c r="Q35">
        <f t="shared" si="0"/>
        <v>0.3</v>
      </c>
      <c r="R35">
        <f t="shared" si="0"/>
        <v>0.3</v>
      </c>
    </row>
    <row r="36" spans="2:18" x14ac:dyDescent="0.25">
      <c r="B36" t="str">
        <f t="shared" si="1"/>
        <v>AH</v>
      </c>
      <c r="C36">
        <f t="shared" si="2"/>
        <v>0.3</v>
      </c>
      <c r="D36">
        <f t="shared" si="0"/>
        <v>0.3</v>
      </c>
      <c r="E36">
        <f t="shared" si="0"/>
        <v>0.3</v>
      </c>
      <c r="F36">
        <f t="shared" si="0"/>
        <v>0.3</v>
      </c>
      <c r="G36">
        <f t="shared" si="0"/>
        <v>0.3</v>
      </c>
      <c r="H36">
        <f t="shared" si="0"/>
        <v>0.3</v>
      </c>
      <c r="I36">
        <f t="shared" si="0"/>
        <v>0.3</v>
      </c>
      <c r="J36">
        <f t="shared" si="0"/>
        <v>0.3</v>
      </c>
      <c r="K36">
        <f t="shared" si="0"/>
        <v>0.3</v>
      </c>
      <c r="L36">
        <f t="shared" si="0"/>
        <v>0.3</v>
      </c>
      <c r="M36">
        <f t="shared" si="0"/>
        <v>1</v>
      </c>
      <c r="N36">
        <f t="shared" si="0"/>
        <v>0.3</v>
      </c>
      <c r="O36">
        <f t="shared" si="0"/>
        <v>0.3</v>
      </c>
      <c r="P36">
        <f t="shared" si="0"/>
        <v>0.3</v>
      </c>
      <c r="Q36">
        <f t="shared" si="0"/>
        <v>0.3</v>
      </c>
      <c r="R36">
        <f t="shared" si="0"/>
        <v>0.3</v>
      </c>
    </row>
    <row r="37" spans="2:18" x14ac:dyDescent="0.25">
      <c r="B37" t="str">
        <f t="shared" si="1"/>
        <v>CA</v>
      </c>
      <c r="C37">
        <f t="shared" si="2"/>
        <v>0.3</v>
      </c>
      <c r="D37">
        <f t="shared" si="0"/>
        <v>0.3</v>
      </c>
      <c r="E37">
        <f t="shared" si="0"/>
        <v>0.3</v>
      </c>
      <c r="F37">
        <f t="shared" si="0"/>
        <v>0.3</v>
      </c>
      <c r="G37">
        <f t="shared" si="0"/>
        <v>0.3</v>
      </c>
      <c r="H37">
        <f t="shared" si="0"/>
        <v>0.3</v>
      </c>
      <c r="I37">
        <f t="shared" si="0"/>
        <v>0.3</v>
      </c>
      <c r="J37">
        <f t="shared" si="0"/>
        <v>0.3</v>
      </c>
      <c r="K37">
        <f t="shared" si="0"/>
        <v>0.3</v>
      </c>
      <c r="L37">
        <f t="shared" si="0"/>
        <v>0.3</v>
      </c>
      <c r="M37">
        <f t="shared" si="0"/>
        <v>0.3</v>
      </c>
      <c r="N37">
        <f t="shared" si="0"/>
        <v>1</v>
      </c>
      <c r="O37">
        <f t="shared" si="0"/>
        <v>0.3</v>
      </c>
      <c r="P37">
        <f t="shared" si="0"/>
        <v>0.3</v>
      </c>
      <c r="Q37">
        <f t="shared" si="0"/>
        <v>0.3</v>
      </c>
      <c r="R37">
        <f t="shared" si="0"/>
        <v>0.3</v>
      </c>
    </row>
    <row r="38" spans="2:18" x14ac:dyDescent="0.25">
      <c r="B38" t="str">
        <f t="shared" si="1"/>
        <v>ZS</v>
      </c>
      <c r="C38">
        <f t="shared" si="2"/>
        <v>0.3</v>
      </c>
      <c r="D38">
        <f t="shared" si="0"/>
        <v>0.3</v>
      </c>
      <c r="E38">
        <f t="shared" si="0"/>
        <v>0.3</v>
      </c>
      <c r="F38">
        <f t="shared" si="0"/>
        <v>0.3</v>
      </c>
      <c r="G38">
        <f t="shared" si="0"/>
        <v>0.3</v>
      </c>
      <c r="H38">
        <f t="shared" si="0"/>
        <v>0.3</v>
      </c>
      <c r="I38">
        <f t="shared" si="0"/>
        <v>0.3</v>
      </c>
      <c r="J38">
        <f t="shared" si="0"/>
        <v>0.3</v>
      </c>
      <c r="K38">
        <f t="shared" si="0"/>
        <v>0.3</v>
      </c>
      <c r="L38">
        <f t="shared" si="0"/>
        <v>0.3</v>
      </c>
      <c r="M38">
        <f t="shared" si="0"/>
        <v>0.3</v>
      </c>
      <c r="N38">
        <f t="shared" si="0"/>
        <v>0.3</v>
      </c>
      <c r="O38">
        <f t="shared" si="0"/>
        <v>1</v>
      </c>
      <c r="P38">
        <f t="shared" si="0"/>
        <v>0.3</v>
      </c>
      <c r="Q38">
        <f t="shared" si="0"/>
        <v>0.3</v>
      </c>
      <c r="R38">
        <f t="shared" si="0"/>
        <v>0.3</v>
      </c>
    </row>
    <row r="39" spans="2:18" x14ac:dyDescent="0.25">
      <c r="B39" t="str">
        <f t="shared" si="1"/>
        <v>NI</v>
      </c>
      <c r="C39">
        <f t="shared" si="2"/>
        <v>0.3</v>
      </c>
      <c r="D39">
        <f t="shared" si="0"/>
        <v>0.3</v>
      </c>
      <c r="E39">
        <f t="shared" si="0"/>
        <v>0.3</v>
      </c>
      <c r="F39">
        <f t="shared" si="0"/>
        <v>0.3</v>
      </c>
      <c r="G39">
        <f t="shared" si="0"/>
        <v>0.3</v>
      </c>
      <c r="H39">
        <f t="shared" si="0"/>
        <v>0.3</v>
      </c>
      <c r="I39">
        <f t="shared" si="0"/>
        <v>0.3</v>
      </c>
      <c r="J39">
        <f t="shared" si="0"/>
        <v>0.3</v>
      </c>
      <c r="K39">
        <f t="shared" si="0"/>
        <v>0.3</v>
      </c>
      <c r="L39">
        <f t="shared" si="0"/>
        <v>0.3</v>
      </c>
      <c r="M39">
        <f t="shared" si="0"/>
        <v>0.3</v>
      </c>
      <c r="N39">
        <f t="shared" si="0"/>
        <v>0.3</v>
      </c>
      <c r="O39">
        <f t="shared" si="0"/>
        <v>0.3</v>
      </c>
      <c r="P39">
        <f t="shared" si="0"/>
        <v>1</v>
      </c>
      <c r="Q39">
        <f t="shared" si="0"/>
        <v>0.3</v>
      </c>
      <c r="R39">
        <f t="shared" si="0"/>
        <v>0.3</v>
      </c>
    </row>
    <row r="40" spans="2:18" x14ac:dyDescent="0.25">
      <c r="B40" t="str">
        <f t="shared" si="1"/>
        <v>PB</v>
      </c>
      <c r="C40">
        <f t="shared" si="2"/>
        <v>0.3</v>
      </c>
      <c r="D40">
        <f t="shared" si="0"/>
        <v>0.3</v>
      </c>
      <c r="E40">
        <f t="shared" si="0"/>
        <v>0.3</v>
      </c>
      <c r="F40">
        <f t="shared" si="0"/>
        <v>0.3</v>
      </c>
      <c r="G40">
        <f t="shared" si="0"/>
        <v>0.3</v>
      </c>
      <c r="H40">
        <f t="shared" si="0"/>
        <v>0.3</v>
      </c>
      <c r="I40">
        <f t="shared" si="0"/>
        <v>0.3</v>
      </c>
      <c r="J40">
        <f t="shared" si="0"/>
        <v>0.3</v>
      </c>
      <c r="K40">
        <f t="shared" si="0"/>
        <v>0.3</v>
      </c>
      <c r="L40">
        <f t="shared" si="0"/>
        <v>0.3</v>
      </c>
      <c r="M40">
        <f t="shared" si="0"/>
        <v>0.3</v>
      </c>
      <c r="N40">
        <f t="shared" si="0"/>
        <v>0.3</v>
      </c>
      <c r="O40">
        <f t="shared" si="0"/>
        <v>0.3</v>
      </c>
      <c r="P40">
        <f t="shared" si="0"/>
        <v>0.3</v>
      </c>
      <c r="Q40">
        <f t="shared" si="0"/>
        <v>1</v>
      </c>
      <c r="R40">
        <f t="shared" si="0"/>
        <v>0.3</v>
      </c>
    </row>
    <row r="41" spans="2:18" x14ac:dyDescent="0.25">
      <c r="B41" t="str">
        <f t="shared" si="1"/>
        <v>SN</v>
      </c>
      <c r="C41">
        <f t="shared" si="2"/>
        <v>0.3</v>
      </c>
      <c r="D41">
        <f t="shared" si="0"/>
        <v>0.3</v>
      </c>
      <c r="E41">
        <f t="shared" si="0"/>
        <v>0.3</v>
      </c>
      <c r="F41">
        <f t="shared" si="0"/>
        <v>0.3</v>
      </c>
      <c r="G41">
        <f t="shared" si="0"/>
        <v>0.3</v>
      </c>
      <c r="H41">
        <f t="shared" si="0"/>
        <v>0.3</v>
      </c>
      <c r="I41">
        <f t="shared" si="0"/>
        <v>0.3</v>
      </c>
      <c r="J41">
        <f t="shared" si="0"/>
        <v>0.3</v>
      </c>
      <c r="K41">
        <f t="shared" si="0"/>
        <v>0.3</v>
      </c>
      <c r="L41">
        <f t="shared" si="0"/>
        <v>0.3</v>
      </c>
      <c r="M41">
        <f t="shared" si="0"/>
        <v>0.3</v>
      </c>
      <c r="N41">
        <f t="shared" si="0"/>
        <v>0.3</v>
      </c>
      <c r="O41">
        <f t="shared" si="0"/>
        <v>0.3</v>
      </c>
      <c r="P41">
        <f t="shared" si="0"/>
        <v>0.3</v>
      </c>
      <c r="Q41">
        <f t="shared" si="0"/>
        <v>0.3</v>
      </c>
      <c r="R41">
        <f t="shared" si="0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5CC6E-1790-4617-951C-4FEDC8B13CA3}">
  <sheetPr codeName="Sheet5">
    <tabColor theme="5"/>
  </sheetPr>
  <dimension ref="A1:AA1332"/>
  <sheetViews>
    <sheetView workbookViewId="0">
      <selection activeCell="A242" sqref="A213:XFD242"/>
    </sheetView>
  </sheetViews>
  <sheetFormatPr defaultRowHeight="15" outlineLevelCol="1" x14ac:dyDescent="0.25"/>
  <cols>
    <col min="1" max="1" width="23.140625" customWidth="1"/>
    <col min="2" max="2" width="10.140625" bestFit="1" customWidth="1"/>
    <col min="3" max="3" width="10.7109375" style="1" bestFit="1" customWidth="1"/>
    <col min="4" max="4" width="10.7109375" style="1" customWidth="1"/>
    <col min="5" max="5" width="10.140625" style="1" customWidth="1"/>
    <col min="6" max="7" width="13.28515625" style="21" bestFit="1" customWidth="1"/>
    <col min="9" max="9" width="24" bestFit="1" customWidth="1"/>
    <col min="10" max="10" width="10.5703125" bestFit="1" customWidth="1"/>
    <col min="11" max="11" width="12.5703125" bestFit="1" customWidth="1"/>
    <col min="12" max="12" width="8.7109375" bestFit="1" customWidth="1"/>
    <col min="13" max="13" width="20" customWidth="1" outlineLevel="1"/>
    <col min="14" max="14" width="10.5703125" bestFit="1" customWidth="1"/>
    <col min="15" max="15" width="14.7109375" customWidth="1" outlineLevel="1"/>
    <col min="16" max="16" width="14.28515625" style="21" bestFit="1" customWidth="1"/>
    <col min="17" max="17" width="23.5703125" customWidth="1" outlineLevel="1"/>
    <col min="18" max="18" width="11.5703125" bestFit="1" customWidth="1"/>
    <col min="19" max="19" width="16.28515625" bestFit="1" customWidth="1"/>
    <col min="20" max="20" width="14.7109375" bestFit="1" customWidth="1"/>
    <col min="21" max="21" width="13.28515625" bestFit="1" customWidth="1"/>
    <col min="22" max="22" width="10.5703125" bestFit="1" customWidth="1"/>
    <col min="23" max="23" width="11.7109375" customWidth="1"/>
    <col min="24" max="24" width="14.140625" customWidth="1"/>
    <col min="27" max="27" width="16.7109375" bestFit="1" customWidth="1"/>
  </cols>
  <sheetData>
    <row r="1" spans="1:25" s="94" customFormat="1" ht="15.75" thickBot="1" x14ac:dyDescent="0.3">
      <c r="A1" s="94" t="s">
        <v>180</v>
      </c>
      <c r="B1" s="94" t="s">
        <v>157</v>
      </c>
      <c r="C1" s="95" t="s">
        <v>144</v>
      </c>
      <c r="D1" s="95" t="s">
        <v>145</v>
      </c>
      <c r="E1" s="95" t="s">
        <v>146</v>
      </c>
      <c r="F1" s="98" t="s">
        <v>158</v>
      </c>
      <c r="G1" s="98" t="s">
        <v>160</v>
      </c>
      <c r="H1" s="94" t="s">
        <v>162</v>
      </c>
      <c r="I1" s="94" t="s">
        <v>167</v>
      </c>
      <c r="J1" s="94" t="s">
        <v>189</v>
      </c>
      <c r="K1" s="94" t="s">
        <v>169</v>
      </c>
      <c r="L1" s="94" t="s">
        <v>170</v>
      </c>
      <c r="M1" s="94" t="s">
        <v>285</v>
      </c>
      <c r="N1" s="94" t="s">
        <v>150</v>
      </c>
      <c r="O1" s="94" t="s">
        <v>163</v>
      </c>
      <c r="P1" s="98" t="s">
        <v>161</v>
      </c>
      <c r="Q1" s="94" t="s">
        <v>172</v>
      </c>
      <c r="R1" s="94" t="s">
        <v>173</v>
      </c>
      <c r="S1" s="94" t="s">
        <v>286</v>
      </c>
    </row>
    <row r="2" spans="1:25" x14ac:dyDescent="0.25">
      <c r="A2" s="6" t="s">
        <v>370</v>
      </c>
      <c r="B2" s="6" t="s">
        <v>10</v>
      </c>
      <c r="C2" s="101"/>
      <c r="D2" s="102">
        <f ca="1">TODAY()+90</f>
        <v>44328</v>
      </c>
      <c r="E2" s="102">
        <f ca="1">D2</f>
        <v>44328</v>
      </c>
      <c r="F2" s="103">
        <f ca="1">N2</f>
        <v>1844.4040407341008</v>
      </c>
      <c r="G2" s="103">
        <f>500*31.99</f>
        <v>15995</v>
      </c>
      <c r="H2" s="6" t="s">
        <v>21</v>
      </c>
      <c r="I2" s="104" t="str">
        <f t="shared" ref="I2:I7" si="0">IF(H2="USD","USD.LIBOR.3M",H2&amp;".DISC.[USD.LIBOR.3M]")</f>
        <v>USD.LIBOR.3M</v>
      </c>
      <c r="J2" s="104" t="str">
        <f t="shared" ref="J2:J7" si="1">VLOOKUP(B2,AssetStatic,3,FALSE)</f>
        <v>LON</v>
      </c>
      <c r="K2" s="105" t="s">
        <v>171</v>
      </c>
      <c r="L2" s="105" t="str">
        <f t="shared" ref="L2:L7" si="2">VLOOKUP(B2,AssetStatic,2,FALSE)</f>
        <v>2b</v>
      </c>
      <c r="M2" t="str" cm="1">
        <f t="array" aca="1" ref="M2" ca="1">_xll.QIns_CreateAsianSwap("AsiSwap_Fwd_"&amp;ROW(),IF(C2="",D2:E2,C2),B2,H2,0,G2,J2,H2,K2,L2,,I2,IF(H2="USD","None","ATC"))</f>
        <v>AsiSwap_Fwd_2¬5</v>
      </c>
      <c r="N2" s="14" cm="1">
        <f t="array" aca="1" ref="N2" ca="1">_xll.QIns_ProductParRate(M2,AModel)</f>
        <v>1844.4040407341008</v>
      </c>
      <c r="O2" t="str" cm="1">
        <f t="array" aca="1" ref="O2" ca="1">_xll.QIns_CreateAsianSwap("AsiSwap_"&amp;ROW(),IF(C2="",D2:E2,C2),B2,H2,F2,G2,J2,H2,K2,L2,,I2,IF(H2="USD","None","ATC"))</f>
        <v>AsiSwap_2¬5</v>
      </c>
      <c r="P2" s="21" cm="1">
        <f t="array" aca="1" ref="P2" ca="1">_xll.QIns_ProductPV(O2,AModel,H2)</f>
        <v>0</v>
      </c>
      <c r="Q2" t="str" cm="1">
        <f t="array" aca="1" ref="Q2" ca="1">IF(VLOOKUP(B2,AssetStatic,4,FALSE),_xll.QRisk_PortfolioFxDeltaSpecific("asiOpt_DeltaA"&amp;ROW(),O2,AModel,B2,"ZAR",FALSE),_xll.QRisk_PortfolioDelta("asiOpt_DeltaA"&amp;ROW(),O2,AModel,FALSE))</f>
        <v>asiOpt_DeltaA2¬4</v>
      </c>
      <c r="R2" s="21" cm="1">
        <f t="array" aca="1" ref="R2" ca="1">_xll.QCube_SumAllRows(Q2)</f>
        <v>15988.608849642555</v>
      </c>
      <c r="S2" s="93" cm="1">
        <f t="array" aca="1" ref="S2" ca="1">_xll.QIns_QuickPFE(O2,AModel,0.95,"ZAR")</f>
        <v>4233449.1923449235</v>
      </c>
      <c r="U2" s="21"/>
      <c r="V2" s="100"/>
      <c r="X2" s="21"/>
      <c r="Y2" s="100"/>
    </row>
    <row r="3" spans="1:25" x14ac:dyDescent="0.25">
      <c r="A3" s="6"/>
      <c r="B3" s="6" t="s">
        <v>104</v>
      </c>
      <c r="C3" s="102"/>
      <c r="D3" s="102">
        <f ca="1">TODAY()</f>
        <v>44238</v>
      </c>
      <c r="E3" s="102" cm="1">
        <f t="array" aca="1" ref="E3" ca="1">_xll.QDates_LastDay(D3)</f>
        <v>44255</v>
      </c>
      <c r="F3" s="103">
        <f ca="1">N3*0.9</f>
        <v>1876.0466250000002</v>
      </c>
      <c r="G3" s="103">
        <v>100</v>
      </c>
      <c r="H3" s="6" t="s">
        <v>21</v>
      </c>
      <c r="I3" s="104" t="str">
        <f t="shared" si="0"/>
        <v>USD.LIBOR.3M</v>
      </c>
      <c r="J3" s="104" t="str">
        <f t="shared" si="1"/>
        <v>LON</v>
      </c>
      <c r="K3" s="105" t="s">
        <v>171</v>
      </c>
      <c r="L3" s="105" t="str">
        <f t="shared" si="2"/>
        <v>2b</v>
      </c>
      <c r="M3" t="str" cm="1">
        <f t="array" aca="1" ref="M3" ca="1">_xll.QIns_CreateAsianSwap("AsiSwap_Fwd_"&amp;ROW(),IF(C3="",D3:E3,C3),B3,H3,0,G3,J3,H3,K3,L3,,I3,IF(H3="USD","None","ATC"))</f>
        <v>AsiSwap_Fwd_3¬5</v>
      </c>
      <c r="N3" s="14" cm="1">
        <f t="array" aca="1" ref="N3" ca="1">_xll.QIns_ProductParRate(M3,AModel)</f>
        <v>2084.4962500000001</v>
      </c>
      <c r="O3" t="str" cm="1">
        <f t="array" aca="1" ref="O3" ca="1">_xll.QIns_CreateAsianSwap("AsiSwap_"&amp;ROW(),IF(C3="",D3:E3,C3),B3,H3,F3,G3,J3,H3,K3,L3,,I3,IF(H3="USD","None","ATC"))</f>
        <v>AsiSwap_3¬1</v>
      </c>
      <c r="P3" s="21" cm="1">
        <f t="array" aca="1" ref="P3" ca="1">_xll.QIns_ProductPV(O3,AModel,H3)</f>
        <v>20843.897244693366</v>
      </c>
      <c r="Q3" t="str" cm="1">
        <f t="array" aca="1" ref="Q3" ca="1">IF(VLOOKUP(B3,AssetStatic,4,FALSE),_xll.QRisk_PortfolioFxDeltaSpecific("asiOpt_DeltaA"&amp;ROW(),O3,AModel,B3,"ZAR",FALSE),_xll.QRisk_PortfolioDelta("asiOpt_DeltaA"&amp;ROW(),O3,AModel,FALSE))</f>
        <v>asiOpt_DeltaA3¬1</v>
      </c>
      <c r="R3" s="21" cm="1">
        <f t="array" aca="1" ref="R3" ca="1">_xll.QCube_SumAllRows(Q3)</f>
        <v>99.997938637006001</v>
      </c>
      <c r="S3" s="93" cm="1">
        <f t="array" aca="1" ref="S3" ca="1">_xll.QIns_QuickPFE(O3,AModel,0.95,"ZAR")</f>
        <v>27905.224289559716</v>
      </c>
      <c r="U3" s="21"/>
      <c r="V3" s="100"/>
      <c r="X3" s="21"/>
      <c r="Y3" s="100"/>
    </row>
    <row r="4" spans="1:25" x14ac:dyDescent="0.25">
      <c r="A4" s="6" t="s">
        <v>182</v>
      </c>
      <c r="B4" s="6" t="s">
        <v>134</v>
      </c>
      <c r="C4" s="101">
        <v>44593</v>
      </c>
      <c r="D4" s="102"/>
      <c r="E4" s="102"/>
      <c r="F4" s="103">
        <f ca="1">N4*0.9</f>
        <v>7090.6327202063976</v>
      </c>
      <c r="G4" s="103">
        <v>100</v>
      </c>
      <c r="H4" s="6" t="s">
        <v>1</v>
      </c>
      <c r="I4" s="104" t="str">
        <f t="shared" si="0"/>
        <v>ZAR.DISC.[USD.LIBOR.3M]</v>
      </c>
      <c r="J4" s="104" t="str">
        <f t="shared" si="1"/>
        <v>ICE</v>
      </c>
      <c r="K4" s="105" t="s">
        <v>171</v>
      </c>
      <c r="L4" s="105" t="str">
        <f t="shared" si="2"/>
        <v>0b</v>
      </c>
      <c r="M4" t="str" cm="1">
        <f t="array" aca="1" ref="M4" ca="1">_xll.QIns_CreateAsianSwap("AsiSwap_Fwd_"&amp;ROW(),IF(C4="",D4:E4,C4),B4,H4,0,G4,J4,H4,K4,L4,,I4,IF(H4="USD","None","ATC"))</f>
        <v>AsiSwap_Fwd_4¬5</v>
      </c>
      <c r="N4" s="14" cm="1">
        <f t="array" aca="1" ref="N4" ca="1">_xll.QIns_ProductParRate(M4,AModel)</f>
        <v>7878.4808002293303</v>
      </c>
      <c r="O4" t="str" cm="1">
        <f t="array" aca="1" ref="O4" ca="1">_xll.QIns_CreateAsianSwap("AsiSwap_"&amp;ROW(),IF(C4="",D4:E4,C4),B4,H4,F4,G4,J4,H4,K4,L4,,I4,IF(H4="USD","None","ATC"))</f>
        <v>AsiSwap_4¬1</v>
      </c>
      <c r="P4" s="21" cm="1">
        <f t="array" aca="1" ref="P4" ca="1">_xll.QIns_ProductPV(O4,AModel,H4)</f>
        <v>75143.195448530198</v>
      </c>
      <c r="Q4" t="str" cm="1">
        <f t="array" aca="1" ref="Q4" ca="1">IF(VLOOKUP(B4,AssetStatic,4,FALSE),_xll.QRisk_PortfolioFxDeltaSpecific("asiOpt_DeltaA"&amp;ROW(),O4,AModel,B4,"ZAR",FALSE),_xll.QRisk_PortfolioDelta("asiOpt_DeltaA"&amp;ROW(),O4,AModel,FALSE))</f>
        <v>asiOpt_DeltaA4¬2</v>
      </c>
      <c r="R4" s="21" cm="1">
        <f t="array" aca="1" ref="R4" ca="1">_xll.QCube_SumAllRows(Q4)</f>
        <v>99.668709689649404</v>
      </c>
      <c r="S4" s="93" cm="1">
        <f t="array" aca="1" ref="S4" ca="1">_xll.QIns_QuickPFE(O4,AModel,0.95,"ZAR")</f>
        <v>506818.47004619078</v>
      </c>
      <c r="U4" s="21"/>
      <c r="V4" s="100"/>
      <c r="X4" s="21"/>
      <c r="Y4" s="100"/>
    </row>
    <row r="5" spans="1:25" x14ac:dyDescent="0.25">
      <c r="A5" s="6" t="s">
        <v>182</v>
      </c>
      <c r="B5" s="6" t="s">
        <v>10</v>
      </c>
      <c r="C5" s="101">
        <v>44594</v>
      </c>
      <c r="D5" s="102"/>
      <c r="E5" s="102"/>
      <c r="F5" s="103">
        <f ca="1">N5*0.9</f>
        <v>1663.9348580407313</v>
      </c>
      <c r="G5" s="103">
        <v>101</v>
      </c>
      <c r="H5" s="6" t="s">
        <v>21</v>
      </c>
      <c r="I5" s="104" t="str">
        <f t="shared" si="0"/>
        <v>USD.LIBOR.3M</v>
      </c>
      <c r="J5" s="104" t="str">
        <f t="shared" si="1"/>
        <v>LON</v>
      </c>
      <c r="K5" s="105" t="s">
        <v>171</v>
      </c>
      <c r="L5" s="105" t="str">
        <f t="shared" si="2"/>
        <v>2b</v>
      </c>
      <c r="M5" t="str" cm="1">
        <f t="array" aca="1" ref="M5" ca="1">_xll.QIns_CreateAsianSwap("AsiSwap_Fwd_"&amp;ROW(),IF(C5="",D5:E5,C5),B5,H5,0,G5,J5,H5,K5,L5,,I5,IF(H5="USD","None","ATC"))</f>
        <v>AsiSwap_Fwd_5¬5</v>
      </c>
      <c r="N5" s="14" cm="1">
        <f t="array" aca="1" ref="N5" ca="1">_xll.QIns_ProductParRate(M5,AModel)</f>
        <v>1848.816508934146</v>
      </c>
      <c r="O5" t="str" cm="1">
        <f t="array" aca="1" ref="O5" ca="1">_xll.QIns_CreateAsianSwap("AsiSwap_"&amp;ROW(),IF(C5="",D5:E5,C5),B5,H5,F5,G5,J5,H5,K5,L5,,I5,IF(H5="USD","None","ATC"))</f>
        <v>AsiSwap_5¬5</v>
      </c>
      <c r="P5" s="21" cm="1">
        <f t="array" aca="1" ref="P5" ca="1">_xll.QIns_ProductPV(O5,AModel,H5)</f>
        <v>18639.332722026447</v>
      </c>
      <c r="Q5" t="str" cm="1">
        <f t="array" aca="1" ref="Q5" ca="1">IF(VLOOKUP(B5,AssetStatic,4,FALSE),_xll.QRisk_PortfolioFxDeltaSpecific("asiOpt_DeltaA"&amp;ROW(),O5,AModel,B5,"ZAR",FALSE),_xll.QRisk_PortfolioDelta("asiOpt_DeltaA"&amp;ROW(),O5,AModel,FALSE))</f>
        <v>asiOpt_DeltaA5¬5</v>
      </c>
      <c r="R5" s="21" cm="1">
        <f t="array" aca="1" ref="R5" ca="1">_xll.QCube_SumAllRows(Q5)</f>
        <v>101.06913484960421</v>
      </c>
      <c r="S5" s="93" cm="1">
        <f t="array" aca="1" ref="S5" ca="1">_xll.QIns_QuickPFE(O5,AModel,0.95,"ZAR")</f>
        <v>81401.957864959419</v>
      </c>
      <c r="U5" s="21"/>
      <c r="V5" s="100"/>
      <c r="X5" s="21"/>
      <c r="Y5" s="100"/>
    </row>
    <row r="6" spans="1:25" x14ac:dyDescent="0.25">
      <c r="A6" s="6" t="s">
        <v>182</v>
      </c>
      <c r="B6" s="6" t="s">
        <v>10</v>
      </c>
      <c r="C6" s="101">
        <v>44595</v>
      </c>
      <c r="D6" s="102"/>
      <c r="E6" s="102"/>
      <c r="F6" s="103">
        <f ca="1">N6*0.9</f>
        <v>25480.453499678762</v>
      </c>
      <c r="G6" s="103">
        <v>102</v>
      </c>
      <c r="H6" s="6" t="s">
        <v>1</v>
      </c>
      <c r="I6" s="104" t="str">
        <f t="shared" si="0"/>
        <v>ZAR.DISC.[USD.LIBOR.3M]</v>
      </c>
      <c r="J6" s="104" t="str">
        <f t="shared" si="1"/>
        <v>LON</v>
      </c>
      <c r="K6" s="105" t="s">
        <v>171</v>
      </c>
      <c r="L6" s="105" t="str">
        <f t="shared" si="2"/>
        <v>2b</v>
      </c>
      <c r="M6" t="str" cm="1">
        <f t="array" aca="1" ref="M6" ca="1">_xll.QIns_CreateAsianSwap("AsiSwap_Fwd_"&amp;ROW(),IF(C6="",D6:E6,C6),B6,H6,0,G6,J6,H6,K6,L6,,I6,IF(H6="USD","None","ATC"))</f>
        <v>AsiSwap_Fwd_6¬5</v>
      </c>
      <c r="N6" s="14" cm="1">
        <f t="array" aca="1" ref="N6" ca="1">_xll.QIns_ProductParRate(M6,AModel)</f>
        <v>28311.614999643069</v>
      </c>
      <c r="O6" t="str" cm="1">
        <f t="array" aca="1" ref="O6" ca="1">_xll.QIns_CreateAsianSwap("AsiSwap_"&amp;ROW(),IF(C6="",D6:E6,C6),B6,H6,F6,G6,J6,H6,K6,L6,,I6,IF(H6="USD","None","ATC"))</f>
        <v>AsiSwap_6¬5</v>
      </c>
      <c r="P6" s="21" cm="1">
        <f t="array" aca="1" ref="P6" ca="1">_xll.QIns_ProductPV(O6,AModel,H6)</f>
        <v>275430.47686378681</v>
      </c>
      <c r="Q6" t="str" cm="1">
        <f t="array" aca="1" ref="Q6" ca="1">IF(VLOOKUP(B6,AssetStatic,4,FALSE),_xll.QRisk_PortfolioFxDeltaSpecific("asiOpt_DeltaA"&amp;ROW(),O6,AModel,B6,"ZAR",FALSE),_xll.QRisk_PortfolioDelta("asiOpt_DeltaA"&amp;ROW(),O6,AModel,FALSE))</f>
        <v>asiOpt_DeltaA6¬6</v>
      </c>
      <c r="R6" s="21" cm="1">
        <f t="array" aca="1" ref="R6" ca="1">_xll.QCube_SumAllRows(Q6)</f>
        <v>101.91567977584231</v>
      </c>
      <c r="S6" s="93" cm="1">
        <f t="array" aca="1" ref="S6" ca="1">_xll.QIns_QuickPFE(O6,AModel,0.95,"ZAR")</f>
        <v>1361885.3194495516</v>
      </c>
      <c r="U6" s="21"/>
      <c r="V6" s="100"/>
      <c r="X6" s="21"/>
      <c r="Y6" s="100"/>
    </row>
    <row r="7" spans="1:25" x14ac:dyDescent="0.25">
      <c r="A7" s="6"/>
      <c r="B7" s="6" t="s">
        <v>134</v>
      </c>
      <c r="C7" s="101">
        <v>43983</v>
      </c>
      <c r="D7" s="102"/>
      <c r="E7" s="102"/>
      <c r="F7" s="103">
        <f ca="1">N7</f>
        <v>1000000</v>
      </c>
      <c r="G7" s="103">
        <f>-1000000/159.6/7.46</f>
        <v>-839.90136198404866</v>
      </c>
      <c r="H7" s="6" t="s">
        <v>1</v>
      </c>
      <c r="I7" s="104" t="str">
        <f t="shared" si="0"/>
        <v>ZAR.DISC.[USD.LIBOR.3M]</v>
      </c>
      <c r="J7" s="104" t="str">
        <f t="shared" si="1"/>
        <v>ICE</v>
      </c>
      <c r="K7" s="105" t="s">
        <v>171</v>
      </c>
      <c r="L7" s="105" t="str">
        <f t="shared" si="2"/>
        <v>0b</v>
      </c>
      <c r="M7" t="str" cm="1">
        <f t="array" aca="1" ref="M7" ca="1">_xll.QIns_CreateAsianSwap("AsiSwap_Fwd_"&amp;ROW(),IF(C7="",D7:E7,C7),B7,H7,0,G7,J7,H7,K7,L7,,I7,IF(H7="USD","None","ATC"))</f>
        <v>AsiSwap_Fwd_7¬5</v>
      </c>
      <c r="N7" s="14" cm="1">
        <f t="array" aca="1" ref="N7" ca="1">_xll.QIns_ProductParRate(M7,AModel)</f>
        <v>1000000</v>
      </c>
      <c r="O7" t="str" cm="1">
        <f t="array" aca="1" ref="O7" ca="1">_xll.QIns_CreateAsianSwap("AsiSwap_"&amp;ROW(),IF(C7="",D7:E7,C7),B7,H7,F7,G7,J7,H7,K7,L7,,I7,IF(H7="USD","None","ATC"))</f>
        <v>AsiSwap_7¬5</v>
      </c>
      <c r="P7" s="21" cm="1">
        <f t="array" aca="1" ref="P7" ca="1">_xll.QIns_ProductPV(O7,AModel,H7)</f>
        <v>0</v>
      </c>
      <c r="Q7" t="str" cm="1">
        <f t="array" aca="1" ref="Q7" ca="1">IF(VLOOKUP(B7,AssetStatic,4,FALSE),_xll.QRisk_PortfolioFxDeltaSpecific("asiOpt_DeltaA"&amp;ROW(),O7,AModel,B7,"ZAR",FALSE),_xll.QRisk_PortfolioDelta("asiOpt_DeltaA"&amp;ROW(),O7,AModel,FALSE))</f>
        <v>asiOpt_DeltaA7¬6</v>
      </c>
      <c r="R7" s="21" cm="1">
        <f t="array" aca="1" ref="R7" ca="1">_xll.QCube_SumAllRows(Q7)</f>
        <v>0</v>
      </c>
      <c r="S7" s="93" cm="1">
        <f t="array" aca="1" ref="S7" ca="1">_xll.QIns_QuickPFE(O7,AModel,0.95,"ZAR")</f>
        <v>0</v>
      </c>
      <c r="U7" s="21"/>
      <c r="V7" s="100"/>
      <c r="X7" s="21"/>
      <c r="Y7" s="100"/>
    </row>
    <row r="8" spans="1:25" x14ac:dyDescent="0.25">
      <c r="A8" s="6"/>
      <c r="B8" s="6" t="s">
        <v>134</v>
      </c>
      <c r="C8" s="101">
        <v>44013</v>
      </c>
      <c r="D8" s="102"/>
      <c r="E8" s="102"/>
      <c r="F8" s="103">
        <f t="shared" ref="F8:F18" ca="1" si="3">N8</f>
        <v>1000000</v>
      </c>
      <c r="G8" s="103">
        <f t="shared" ref="G8:G18" si="4">-1000000/159.6/7.46</f>
        <v>-839.90136198404866</v>
      </c>
      <c r="H8" s="6" t="s">
        <v>1</v>
      </c>
      <c r="I8" s="104" t="str">
        <f t="shared" ref="I8:I18" si="5">IF(H8="USD","USD.LIBOR.3M",H8&amp;".DISC.[USD.LIBOR.3M]")</f>
        <v>ZAR.DISC.[USD.LIBOR.3M]</v>
      </c>
      <c r="J8" s="104" t="str">
        <f t="shared" ref="J8:J18" si="6">VLOOKUP(B8,AssetStatic,3,FALSE)</f>
        <v>ICE</v>
      </c>
      <c r="K8" s="105" t="s">
        <v>171</v>
      </c>
      <c r="L8" s="105" t="str">
        <f t="shared" ref="L8:L18" si="7">VLOOKUP(B8,AssetStatic,2,FALSE)</f>
        <v>0b</v>
      </c>
      <c r="M8" t="str" cm="1">
        <f t="array" aca="1" ref="M8" ca="1">_xll.QIns_CreateAsianSwap("AsiSwap_Fwd_"&amp;ROW(),IF(C8="",D8:E8,C8),B8,H8,0,G8,J8,H8,K8,L8,,I8,IF(H8="USD","None","ATC"))</f>
        <v>AsiSwap_Fwd_8¬5</v>
      </c>
      <c r="N8" s="14" cm="1">
        <f t="array" aca="1" ref="N8" ca="1">_xll.QIns_ProductParRate(M8,AModel)</f>
        <v>1000000</v>
      </c>
      <c r="O8" t="str" cm="1">
        <f t="array" aca="1" ref="O8" ca="1">_xll.QIns_CreateAsianSwap("AsiSwap_"&amp;ROW(),IF(C8="",D8:E8,C8),B8,H8,F8,G8,J8,H8,K8,L8,,I8,IF(H8="USD","None","ATC"))</f>
        <v>AsiSwap_8¬5</v>
      </c>
      <c r="P8" s="21" cm="1">
        <f t="array" aca="1" ref="P8" ca="1">_xll.QIns_ProductPV(O8,AModel,H8)</f>
        <v>0</v>
      </c>
      <c r="Q8" t="str" cm="1">
        <f t="array" aca="1" ref="Q8" ca="1">IF(VLOOKUP(B8,AssetStatic,4,FALSE),_xll.QRisk_PortfolioFxDeltaSpecific("asiOpt_DeltaA"&amp;ROW(),O8,AModel,B8,"ZAR",FALSE),_xll.QRisk_PortfolioDelta("asiOpt_DeltaA"&amp;ROW(),O8,AModel,FALSE))</f>
        <v>asiOpt_DeltaA8¬6</v>
      </c>
      <c r="R8" s="21" cm="1">
        <f t="array" aca="1" ref="R8" ca="1">_xll.QCube_SumAllRows(Q8)</f>
        <v>0</v>
      </c>
      <c r="S8" s="93" cm="1">
        <f t="array" aca="1" ref="S8" ca="1">_xll.QIns_QuickPFE(O8,AModel,0.95,"ZAR")</f>
        <v>0</v>
      </c>
      <c r="U8" s="21"/>
      <c r="V8" s="100"/>
      <c r="X8" s="21"/>
      <c r="Y8" s="100"/>
    </row>
    <row r="9" spans="1:25" x14ac:dyDescent="0.25">
      <c r="A9" s="6"/>
      <c r="B9" s="6" t="s">
        <v>134</v>
      </c>
      <c r="C9" s="101">
        <v>44044</v>
      </c>
      <c r="D9" s="102"/>
      <c r="E9" s="102"/>
      <c r="F9" s="103">
        <f t="shared" ca="1" si="3"/>
        <v>1000000</v>
      </c>
      <c r="G9" s="103">
        <f t="shared" si="4"/>
        <v>-839.90136198404866</v>
      </c>
      <c r="H9" s="6" t="s">
        <v>1</v>
      </c>
      <c r="I9" s="104" t="str">
        <f t="shared" si="5"/>
        <v>ZAR.DISC.[USD.LIBOR.3M]</v>
      </c>
      <c r="J9" s="104" t="str">
        <f t="shared" si="6"/>
        <v>ICE</v>
      </c>
      <c r="K9" s="105" t="s">
        <v>171</v>
      </c>
      <c r="L9" s="105" t="str">
        <f t="shared" si="7"/>
        <v>0b</v>
      </c>
      <c r="M9" t="str" cm="1">
        <f t="array" aca="1" ref="M9" ca="1">_xll.QIns_CreateAsianSwap("AsiSwap_Fwd_"&amp;ROW(),IF(C9="",D9:E9,C9),B9,H9,0,G9,J9,H9,K9,L9,,I9,IF(H9="USD","None","ATC"))</f>
        <v>AsiSwap_Fwd_9¬5</v>
      </c>
      <c r="N9" s="14" cm="1">
        <f t="array" aca="1" ref="N9" ca="1">_xll.QIns_ProductParRate(M9,AModel)</f>
        <v>1000000</v>
      </c>
      <c r="O9" t="str" cm="1">
        <f t="array" aca="1" ref="O9" ca="1">_xll.QIns_CreateAsianSwap("AsiSwap_"&amp;ROW(),IF(C9="",D9:E9,C9),B9,H9,F9,G9,J9,H9,K9,L9,,I9,IF(H9="USD","None","ATC"))</f>
        <v>AsiSwap_9¬5</v>
      </c>
      <c r="P9" s="21" cm="1">
        <f t="array" aca="1" ref="P9" ca="1">_xll.QIns_ProductPV(O9,AModel,H9)</f>
        <v>0</v>
      </c>
      <c r="Q9" t="str" cm="1">
        <f t="array" aca="1" ref="Q9" ca="1">IF(VLOOKUP(B9,AssetStatic,4,FALSE),_xll.QRisk_PortfolioFxDeltaSpecific("asiOpt_DeltaA"&amp;ROW(),O9,AModel,B9,"ZAR",FALSE),_xll.QRisk_PortfolioDelta("asiOpt_DeltaA"&amp;ROW(),O9,AModel,FALSE))</f>
        <v>asiOpt_DeltaA9¬6</v>
      </c>
      <c r="R9" s="21" cm="1">
        <f t="array" aca="1" ref="R9" ca="1">_xll.QCube_SumAllRows(Q9)</f>
        <v>0</v>
      </c>
      <c r="S9" s="93" cm="1">
        <f t="array" aca="1" ref="S9" ca="1">_xll.QIns_QuickPFE(O9,AModel,0.95,"ZAR")</f>
        <v>0</v>
      </c>
      <c r="U9" s="21"/>
      <c r="V9" s="100"/>
      <c r="X9" s="21"/>
      <c r="Y9" s="100"/>
    </row>
    <row r="10" spans="1:25" x14ac:dyDescent="0.25">
      <c r="A10" s="6"/>
      <c r="B10" s="6" t="s">
        <v>134</v>
      </c>
      <c r="C10" s="101">
        <v>44075</v>
      </c>
      <c r="D10" s="102"/>
      <c r="E10" s="102"/>
      <c r="F10" s="103">
        <f t="shared" ca="1" si="3"/>
        <v>1000000</v>
      </c>
      <c r="G10" s="103">
        <f t="shared" si="4"/>
        <v>-839.90136198404866</v>
      </c>
      <c r="H10" s="6" t="s">
        <v>1</v>
      </c>
      <c r="I10" s="104" t="str">
        <f t="shared" si="5"/>
        <v>ZAR.DISC.[USD.LIBOR.3M]</v>
      </c>
      <c r="J10" s="104" t="str">
        <f t="shared" si="6"/>
        <v>ICE</v>
      </c>
      <c r="K10" s="105" t="s">
        <v>171</v>
      </c>
      <c r="L10" s="105" t="str">
        <f t="shared" si="7"/>
        <v>0b</v>
      </c>
      <c r="M10" t="str" cm="1">
        <f t="array" aca="1" ref="M10" ca="1">_xll.QIns_CreateAsianSwap("AsiSwap_Fwd_"&amp;ROW(),IF(C10="",D10:E10,C10),B10,H10,0,G10,J10,H10,K10,L10,,I10,IF(H10="USD","None","ATC"))</f>
        <v>AsiSwap_Fwd_10¬5</v>
      </c>
      <c r="N10" s="14" cm="1">
        <f t="array" aca="1" ref="N10" ca="1">_xll.QIns_ProductParRate(M10,AModel)</f>
        <v>1000000</v>
      </c>
      <c r="O10" t="str" cm="1">
        <f t="array" aca="1" ref="O10" ca="1">_xll.QIns_CreateAsianSwap("AsiSwap_"&amp;ROW(),IF(C10="",D10:E10,C10),B10,H10,F10,G10,J10,H10,K10,L10,,I10,IF(H10="USD","None","ATC"))</f>
        <v>AsiSwap_10¬5</v>
      </c>
      <c r="P10" s="21" cm="1">
        <f t="array" aca="1" ref="P10" ca="1">_xll.QIns_ProductPV(O10,AModel,H10)</f>
        <v>0</v>
      </c>
      <c r="Q10" t="str" cm="1">
        <f t="array" aca="1" ref="Q10" ca="1">IF(VLOOKUP(B10,AssetStatic,4,FALSE),_xll.QRisk_PortfolioFxDeltaSpecific("asiOpt_DeltaA"&amp;ROW(),O10,AModel,B10,"ZAR",FALSE),_xll.QRisk_PortfolioDelta("asiOpt_DeltaA"&amp;ROW(),O10,AModel,FALSE))</f>
        <v>asiOpt_DeltaA10¬4</v>
      </c>
      <c r="R10" s="21" cm="1">
        <f t="array" aca="1" ref="R10" ca="1">_xll.QCube_SumAllRows(Q10)</f>
        <v>0</v>
      </c>
      <c r="S10" s="93" cm="1">
        <f t="array" aca="1" ref="S10" ca="1">_xll.QIns_QuickPFE(O10,AModel,0.95,"ZAR")</f>
        <v>0</v>
      </c>
      <c r="U10" s="21"/>
      <c r="V10" s="100"/>
      <c r="X10" s="21"/>
      <c r="Y10" s="100"/>
    </row>
    <row r="11" spans="1:25" x14ac:dyDescent="0.25">
      <c r="A11" s="6"/>
      <c r="B11" s="6" t="s">
        <v>134</v>
      </c>
      <c r="C11" s="101">
        <v>44105</v>
      </c>
      <c r="D11" s="102"/>
      <c r="E11" s="102"/>
      <c r="F11" s="103">
        <f t="shared" ca="1" si="3"/>
        <v>1000000</v>
      </c>
      <c r="G11" s="103">
        <f t="shared" si="4"/>
        <v>-839.90136198404866</v>
      </c>
      <c r="H11" s="6" t="s">
        <v>1</v>
      </c>
      <c r="I11" s="104" t="str">
        <f t="shared" si="5"/>
        <v>ZAR.DISC.[USD.LIBOR.3M]</v>
      </c>
      <c r="J11" s="104" t="str">
        <f t="shared" si="6"/>
        <v>ICE</v>
      </c>
      <c r="K11" s="105" t="s">
        <v>171</v>
      </c>
      <c r="L11" s="105" t="str">
        <f t="shared" si="7"/>
        <v>0b</v>
      </c>
      <c r="M11" t="str" cm="1">
        <f t="array" aca="1" ref="M11" ca="1">_xll.QIns_CreateAsianSwap("AsiSwap_Fwd_"&amp;ROW(),IF(C11="",D11:E11,C11),B11,H11,0,G11,J11,H11,K11,L11,,I11,IF(H11="USD","None","ATC"))</f>
        <v>AsiSwap_Fwd_11¬5</v>
      </c>
      <c r="N11" s="14" cm="1">
        <f t="array" aca="1" ref="N11" ca="1">_xll.QIns_ProductParRate(M11,AModel)</f>
        <v>1000000</v>
      </c>
      <c r="O11" t="str" cm="1">
        <f t="array" aca="1" ref="O11" ca="1">_xll.QIns_CreateAsianSwap("AsiSwap_"&amp;ROW(),IF(C11="",D11:E11,C11),B11,H11,F11,G11,J11,H11,K11,L11,,I11,IF(H11="USD","None","ATC"))</f>
        <v>AsiSwap_11¬5</v>
      </c>
      <c r="P11" s="21" cm="1">
        <f t="array" aca="1" ref="P11" ca="1">_xll.QIns_ProductPV(O11,AModel,H11)</f>
        <v>0</v>
      </c>
      <c r="Q11" t="str" cm="1">
        <f t="array" aca="1" ref="Q11" ca="1">IF(VLOOKUP(B11,AssetStatic,4,FALSE),_xll.QRisk_PortfolioFxDeltaSpecific("asiOpt_DeltaA"&amp;ROW(),O11,AModel,B11,"ZAR",FALSE),_xll.QRisk_PortfolioDelta("asiOpt_DeltaA"&amp;ROW(),O11,AModel,FALSE))</f>
        <v>asiOpt_DeltaA11¬6</v>
      </c>
      <c r="R11" s="21" cm="1">
        <f t="array" aca="1" ref="R11" ca="1">_xll.QCube_SumAllRows(Q11)</f>
        <v>0</v>
      </c>
      <c r="S11" s="93" cm="1">
        <f t="array" aca="1" ref="S11" ca="1">_xll.QIns_QuickPFE(O11,AModel,0.95,"ZAR")</f>
        <v>0</v>
      </c>
      <c r="U11" s="21"/>
      <c r="V11" s="100"/>
      <c r="X11" s="21"/>
      <c r="Y11" s="100"/>
    </row>
    <row r="12" spans="1:25" x14ac:dyDescent="0.25">
      <c r="A12" s="6"/>
      <c r="B12" s="6" t="s">
        <v>134</v>
      </c>
      <c r="C12" s="101">
        <v>44136</v>
      </c>
      <c r="D12" s="102"/>
      <c r="E12" s="102"/>
      <c r="F12" s="103">
        <f t="shared" ca="1" si="3"/>
        <v>1000000</v>
      </c>
      <c r="G12" s="103">
        <f t="shared" si="4"/>
        <v>-839.90136198404866</v>
      </c>
      <c r="H12" s="6" t="s">
        <v>1</v>
      </c>
      <c r="I12" s="104" t="str">
        <f t="shared" si="5"/>
        <v>ZAR.DISC.[USD.LIBOR.3M]</v>
      </c>
      <c r="J12" s="104" t="str">
        <f t="shared" si="6"/>
        <v>ICE</v>
      </c>
      <c r="K12" s="105" t="s">
        <v>171</v>
      </c>
      <c r="L12" s="105" t="str">
        <f t="shared" si="7"/>
        <v>0b</v>
      </c>
      <c r="M12" t="str" cm="1">
        <f t="array" aca="1" ref="M12" ca="1">_xll.QIns_CreateAsianSwap("AsiSwap_Fwd_"&amp;ROW(),IF(C12="",D12:E12,C12),B12,H12,0,G12,J12,H12,K12,L12,,I12,IF(H12="USD","None","ATC"))</f>
        <v>AsiSwap_Fwd_12¬5</v>
      </c>
      <c r="N12" s="14" cm="1">
        <f t="array" aca="1" ref="N12" ca="1">_xll.QIns_ProductParRate(M12,AModel)</f>
        <v>1000000</v>
      </c>
      <c r="O12" t="str" cm="1">
        <f t="array" aca="1" ref="O12" ca="1">_xll.QIns_CreateAsianSwap("AsiSwap_"&amp;ROW(),IF(C12="",D12:E12,C12),B12,H12,F12,G12,J12,H12,K12,L12,,I12,IF(H12="USD","None","ATC"))</f>
        <v>AsiSwap_12¬5</v>
      </c>
      <c r="P12" s="21" cm="1">
        <f t="array" aca="1" ref="P12" ca="1">_xll.QIns_ProductPV(O12,AModel,H12)</f>
        <v>0</v>
      </c>
      <c r="Q12" t="str" cm="1">
        <f t="array" aca="1" ref="Q12" ca="1">IF(VLOOKUP(B12,AssetStatic,4,FALSE),_xll.QRisk_PortfolioFxDeltaSpecific("asiOpt_DeltaA"&amp;ROW(),O12,AModel,B12,"ZAR",FALSE),_xll.QRisk_PortfolioDelta("asiOpt_DeltaA"&amp;ROW(),O12,AModel,FALSE))</f>
        <v>asiOpt_DeltaA12¬7</v>
      </c>
      <c r="R12" s="21" cm="1">
        <f t="array" aca="1" ref="R12" ca="1">_xll.QCube_SumAllRows(Q12)</f>
        <v>0</v>
      </c>
      <c r="S12" s="93" cm="1">
        <f t="array" aca="1" ref="S12" ca="1">_xll.QIns_QuickPFE(O12,AModel,0.95,"ZAR")</f>
        <v>0</v>
      </c>
      <c r="U12" s="21"/>
      <c r="V12" s="100"/>
      <c r="X12" s="21"/>
      <c r="Y12" s="100"/>
    </row>
    <row r="13" spans="1:25" x14ac:dyDescent="0.25">
      <c r="A13" s="6"/>
      <c r="B13" s="6" t="s">
        <v>134</v>
      </c>
      <c r="C13" s="101">
        <v>44166</v>
      </c>
      <c r="D13" s="102"/>
      <c r="E13" s="102"/>
      <c r="F13" s="103">
        <f t="shared" ca="1" si="3"/>
        <v>1000000</v>
      </c>
      <c r="G13" s="103">
        <f t="shared" si="4"/>
        <v>-839.90136198404866</v>
      </c>
      <c r="H13" s="6" t="s">
        <v>1</v>
      </c>
      <c r="I13" s="104" t="str">
        <f t="shared" si="5"/>
        <v>ZAR.DISC.[USD.LIBOR.3M]</v>
      </c>
      <c r="J13" s="104" t="str">
        <f t="shared" si="6"/>
        <v>ICE</v>
      </c>
      <c r="K13" s="105" t="s">
        <v>171</v>
      </c>
      <c r="L13" s="105" t="str">
        <f t="shared" si="7"/>
        <v>0b</v>
      </c>
      <c r="M13" t="str" cm="1">
        <f t="array" aca="1" ref="M13" ca="1">_xll.QIns_CreateAsianSwap("AsiSwap_Fwd_"&amp;ROW(),IF(C13="",D13:E13,C13),B13,H13,0,G13,J13,H13,K13,L13,,I13,IF(H13="USD","None","ATC"))</f>
        <v>AsiSwap_Fwd_13¬5</v>
      </c>
      <c r="N13" s="14" cm="1">
        <f t="array" aca="1" ref="N13" ca="1">_xll.QIns_ProductParRate(M13,AModel)</f>
        <v>1000000</v>
      </c>
      <c r="O13" t="str" cm="1">
        <f t="array" aca="1" ref="O13" ca="1">_xll.QIns_CreateAsianSwap("AsiSwap_"&amp;ROW(),IF(C13="",D13:E13,C13),B13,H13,F13,G13,J13,H13,K13,L13,,I13,IF(H13="USD","None","ATC"))</f>
        <v>AsiSwap_13¬5</v>
      </c>
      <c r="P13" s="21" cm="1">
        <f t="array" aca="1" ref="P13" ca="1">_xll.QIns_ProductPV(O13,AModel,H13)</f>
        <v>0</v>
      </c>
      <c r="Q13" t="str" cm="1">
        <f t="array" aca="1" ref="Q13" ca="1">IF(VLOOKUP(B13,AssetStatic,4,FALSE),_xll.QRisk_PortfolioFxDeltaSpecific("asiOpt_DeltaA"&amp;ROW(),O13,AModel,B13,"ZAR",FALSE),_xll.QRisk_PortfolioDelta("asiOpt_DeltaA"&amp;ROW(),O13,AModel,FALSE))</f>
        <v>asiOpt_DeltaA13¬7</v>
      </c>
      <c r="R13" s="21" cm="1">
        <f t="array" aca="1" ref="R13" ca="1">_xll.QCube_SumAllRows(Q13)</f>
        <v>0</v>
      </c>
      <c r="S13" s="93" cm="1">
        <f t="array" aca="1" ref="S13" ca="1">_xll.QIns_QuickPFE(O13,AModel,0.95,"ZAR")</f>
        <v>0</v>
      </c>
      <c r="U13" s="21"/>
      <c r="V13" s="100"/>
      <c r="X13" s="21"/>
      <c r="Y13" s="100"/>
    </row>
    <row r="14" spans="1:25" x14ac:dyDescent="0.25">
      <c r="A14" s="6"/>
      <c r="B14" s="6" t="s">
        <v>134</v>
      </c>
      <c r="C14" s="101">
        <v>44197</v>
      </c>
      <c r="D14" s="102"/>
      <c r="E14" s="102"/>
      <c r="F14" s="103">
        <f t="shared" ca="1" si="3"/>
        <v>1000000</v>
      </c>
      <c r="G14" s="103">
        <f t="shared" si="4"/>
        <v>-839.90136198404866</v>
      </c>
      <c r="H14" s="6" t="s">
        <v>1</v>
      </c>
      <c r="I14" s="104" t="str">
        <f t="shared" si="5"/>
        <v>ZAR.DISC.[USD.LIBOR.3M]</v>
      </c>
      <c r="J14" s="104" t="str">
        <f t="shared" si="6"/>
        <v>ICE</v>
      </c>
      <c r="K14" s="105" t="s">
        <v>171</v>
      </c>
      <c r="L14" s="105" t="str">
        <f t="shared" si="7"/>
        <v>0b</v>
      </c>
      <c r="M14" t="str" cm="1">
        <f t="array" aca="1" ref="M14" ca="1">_xll.QIns_CreateAsianSwap("AsiSwap_Fwd_"&amp;ROW(),IF(C14="",D14:E14,C14),B14,H14,0,G14,J14,H14,K14,L14,,I14,IF(H14="USD","None","ATC"))</f>
        <v>AsiSwap_Fwd_14¬5</v>
      </c>
      <c r="N14" s="14" cm="1">
        <f t="array" aca="1" ref="N14" ca="1">_xll.QIns_ProductParRate(M14,AModel)</f>
        <v>1000000</v>
      </c>
      <c r="O14" t="str" cm="1">
        <f t="array" aca="1" ref="O14" ca="1">_xll.QIns_CreateAsianSwap("AsiSwap_"&amp;ROW(),IF(C14="",D14:E14,C14),B14,H14,F14,G14,J14,H14,K14,L14,,I14,IF(H14="USD","None","ATC"))</f>
        <v>AsiSwap_14¬5</v>
      </c>
      <c r="P14" s="21" cm="1">
        <f t="array" aca="1" ref="P14" ca="1">_xll.QIns_ProductPV(O14,AModel,H14)</f>
        <v>0</v>
      </c>
      <c r="Q14" t="str" cm="1">
        <f t="array" aca="1" ref="Q14" ca="1">IF(VLOOKUP(B14,AssetStatic,4,FALSE),_xll.QRisk_PortfolioFxDeltaSpecific("asiOpt_DeltaA"&amp;ROW(),O14,AModel,B14,"ZAR",FALSE),_xll.QRisk_PortfolioDelta("asiOpt_DeltaA"&amp;ROW(),O14,AModel,FALSE))</f>
        <v>asiOpt_DeltaA14¬6</v>
      </c>
      <c r="R14" s="21" cm="1">
        <f t="array" aca="1" ref="R14" ca="1">_xll.QCube_SumAllRows(Q14)</f>
        <v>0</v>
      </c>
      <c r="S14" s="93" cm="1">
        <f t="array" aca="1" ref="S14" ca="1">_xll.QIns_QuickPFE(O14,AModel,0.95,"ZAR")</f>
        <v>0</v>
      </c>
      <c r="U14" s="21"/>
      <c r="V14" s="100"/>
      <c r="X14" s="21"/>
      <c r="Y14" s="100"/>
    </row>
    <row r="15" spans="1:25" x14ac:dyDescent="0.25">
      <c r="A15" s="6"/>
      <c r="B15" s="6" t="s">
        <v>134</v>
      </c>
      <c r="C15" s="101">
        <v>44228</v>
      </c>
      <c r="D15" s="102"/>
      <c r="E15" s="102"/>
      <c r="F15" s="103">
        <f t="shared" ca="1" si="3"/>
        <v>7319.8559001966132</v>
      </c>
      <c r="G15" s="103">
        <f t="shared" si="4"/>
        <v>-839.90136198404866</v>
      </c>
      <c r="H15" s="6" t="s">
        <v>1</v>
      </c>
      <c r="I15" s="104" t="str">
        <f t="shared" si="5"/>
        <v>ZAR.DISC.[USD.LIBOR.3M]</v>
      </c>
      <c r="J15" s="104" t="str">
        <f t="shared" si="6"/>
        <v>ICE</v>
      </c>
      <c r="K15" s="105" t="s">
        <v>171</v>
      </c>
      <c r="L15" s="105" t="str">
        <f t="shared" si="7"/>
        <v>0b</v>
      </c>
      <c r="M15" t="str" cm="1">
        <f t="array" aca="1" ref="M15" ca="1">_xll.QIns_CreateAsianSwap("AsiSwap_Fwd_"&amp;ROW(),IF(C15="",D15:E15,C15),B15,H15,0,G15,J15,H15,K15,L15,,I15,IF(H15="USD","None","ATC"))</f>
        <v>AsiSwap_Fwd_15¬5</v>
      </c>
      <c r="N15" s="14" cm="1">
        <f t="array" aca="1" ref="N15" ca="1">_xll.QIns_ProductParRate(M15,AModel)</f>
        <v>7319.8559001966132</v>
      </c>
      <c r="O15" t="str" cm="1">
        <f t="array" aca="1" ref="O15" ca="1">_xll.QIns_CreateAsianSwap("AsiSwap_"&amp;ROW(),IF(C15="",D15:E15,C15),B15,H15,F15,G15,J15,H15,K15,L15,,I15,IF(H15="USD","None","ATC"))</f>
        <v>AsiSwap_15¬1</v>
      </c>
      <c r="P15" s="21" cm="1">
        <f t="array" aca="1" ref="P15" ca="1">_xll.QIns_ProductPV(O15,AModel,H15)</f>
        <v>0</v>
      </c>
      <c r="Q15" t="str" cm="1">
        <f t="array" aca="1" ref="Q15" ca="1">IF(VLOOKUP(B15,AssetStatic,4,FALSE),_xll.QRisk_PortfolioFxDeltaSpecific("asiOpt_DeltaA"&amp;ROW(),O15,AModel,B15,"ZAR",FALSE),_xll.QRisk_PortfolioDelta("asiOpt_DeltaA"&amp;ROW(),O15,AModel,FALSE))</f>
        <v>asiOpt_DeltaA15¬2</v>
      </c>
      <c r="R15" s="21" cm="1">
        <f t="array" aca="1" ref="R15" ca="1">_xll.QCube_SumAllRows(Q15)</f>
        <v>-464.62284532837225</v>
      </c>
      <c r="S15" s="93" cm="1">
        <f t="array" aca="1" ref="S15" ca="1">_xll.QIns_QuickPFE(O15,AModel,0.95,"ZAR")</f>
        <v>264097.4247567624</v>
      </c>
      <c r="U15" s="21"/>
      <c r="V15" s="100"/>
      <c r="X15" s="21"/>
      <c r="Y15" s="100"/>
    </row>
    <row r="16" spans="1:25" x14ac:dyDescent="0.25">
      <c r="A16" s="6"/>
      <c r="B16" s="6" t="s">
        <v>134</v>
      </c>
      <c r="C16" s="101">
        <v>44256</v>
      </c>
      <c r="D16" s="102"/>
      <c r="E16" s="102"/>
      <c r="F16" s="103">
        <f t="shared" ca="1" si="3"/>
        <v>7445.0006073067707</v>
      </c>
      <c r="G16" s="103">
        <f t="shared" si="4"/>
        <v>-839.90136198404866</v>
      </c>
      <c r="H16" s="6" t="s">
        <v>1</v>
      </c>
      <c r="I16" s="104" t="str">
        <f t="shared" si="5"/>
        <v>ZAR.DISC.[USD.LIBOR.3M]</v>
      </c>
      <c r="J16" s="104" t="str">
        <f t="shared" si="6"/>
        <v>ICE</v>
      </c>
      <c r="K16" s="105" t="s">
        <v>171</v>
      </c>
      <c r="L16" s="105" t="str">
        <f t="shared" si="7"/>
        <v>0b</v>
      </c>
      <c r="M16" t="str" cm="1">
        <f t="array" aca="1" ref="M16" ca="1">_xll.QIns_CreateAsianSwap("AsiSwap_Fwd_"&amp;ROW(),IF(C16="",D16:E16,C16),B16,H16,0,G16,J16,H16,K16,L16,,I16,IF(H16="USD","None","ATC"))</f>
        <v>AsiSwap_Fwd_16¬5</v>
      </c>
      <c r="N16" s="14" cm="1">
        <f t="array" aca="1" ref="N16" ca="1">_xll.QIns_ProductParRate(M16,AModel)</f>
        <v>7445.0006073067707</v>
      </c>
      <c r="O16" t="str" cm="1">
        <f t="array" aca="1" ref="O16" ca="1">_xll.QIns_CreateAsianSwap("AsiSwap_"&amp;ROW(),IF(C16="",D16:E16,C16),B16,H16,F16,G16,J16,H16,K16,L16,,I16,IF(H16="USD","None","ATC"))</f>
        <v>AsiSwap_16¬1</v>
      </c>
      <c r="P16" s="21" cm="1">
        <f t="array" aca="1" ref="P16" ca="1">_xll.QIns_ProductPV(O16,AModel,H16)</f>
        <v>0</v>
      </c>
      <c r="Q16" t="str" cm="1">
        <f t="array" aca="1" ref="Q16" ca="1">IF(VLOOKUP(B16,AssetStatic,4,FALSE),_xll.QRisk_PortfolioFxDeltaSpecific("asiOpt_DeltaA"&amp;ROW(),O16,AModel,B16,"ZAR",FALSE),_xll.QRisk_PortfolioDelta("asiOpt_DeltaA"&amp;ROW(),O16,AModel,FALSE))</f>
        <v>asiOpt_DeltaA16¬2</v>
      </c>
      <c r="R16" s="21" cm="1">
        <f t="array" aca="1" ref="R16" ca="1">_xll.QCube_SumAllRows(Q16)</f>
        <v>-837.63254542279992</v>
      </c>
      <c r="S16" s="93" cm="1">
        <f t="array" aca="1" ref="S16" ca="1">_xll.QIns_QuickPFE(O16,AModel,0.95,"ZAR")</f>
        <v>804806.38650621625</v>
      </c>
      <c r="U16" s="21"/>
      <c r="V16" s="100"/>
      <c r="X16" s="21"/>
      <c r="Y16" s="100"/>
    </row>
    <row r="17" spans="1:25" x14ac:dyDescent="0.25">
      <c r="A17" s="6"/>
      <c r="B17" s="6" t="s">
        <v>134</v>
      </c>
      <c r="C17" s="101">
        <v>44287</v>
      </c>
      <c r="D17" s="102"/>
      <c r="E17" s="102"/>
      <c r="F17" s="103">
        <f t="shared" ca="1" si="3"/>
        <v>7501.2304040172357</v>
      </c>
      <c r="G17" s="103">
        <f t="shared" si="4"/>
        <v>-839.90136198404866</v>
      </c>
      <c r="H17" s="6" t="s">
        <v>1</v>
      </c>
      <c r="I17" s="104" t="str">
        <f t="shared" si="5"/>
        <v>ZAR.DISC.[USD.LIBOR.3M]</v>
      </c>
      <c r="J17" s="104" t="str">
        <f t="shared" si="6"/>
        <v>ICE</v>
      </c>
      <c r="K17" s="105" t="s">
        <v>171</v>
      </c>
      <c r="L17" s="105" t="str">
        <f t="shared" si="7"/>
        <v>0b</v>
      </c>
      <c r="M17" t="str" cm="1">
        <f t="array" aca="1" ref="M17" ca="1">_xll.QIns_CreateAsianSwap("AsiSwap_Fwd_"&amp;ROW(),IF(C17="",D17:E17,C17),B17,H17,0,G17,J17,H17,K17,L17,,I17,IF(H17="USD","None","ATC"))</f>
        <v>AsiSwap_Fwd_17¬5</v>
      </c>
      <c r="N17" s="14" cm="1">
        <f t="array" aca="1" ref="N17" ca="1">_xll.QIns_ProductParRate(M17,AModel)</f>
        <v>7501.2304040172357</v>
      </c>
      <c r="O17" t="str" cm="1">
        <f t="array" aca="1" ref="O17" ca="1">_xll.QIns_CreateAsianSwap("AsiSwap_"&amp;ROW(),IF(C17="",D17:E17,C17),B17,H17,F17,G17,J17,H17,K17,L17,,I17,IF(H17="USD","None","ATC"))</f>
        <v>AsiSwap_17¬1</v>
      </c>
      <c r="P17" s="21" cm="1">
        <f t="array" aca="1" ref="P17" ca="1">_xll.QIns_ProductPV(O17,AModel,H17)</f>
        <v>0</v>
      </c>
      <c r="Q17" t="str" cm="1">
        <f t="array" aca="1" ref="Q17" ca="1">IF(VLOOKUP(B17,AssetStatic,4,FALSE),_xll.QRisk_PortfolioFxDeltaSpecific("asiOpt_DeltaA"&amp;ROW(),O17,AModel,B17,"ZAR",FALSE),_xll.QRisk_PortfolioDelta("asiOpt_DeltaA"&amp;ROW(),O17,AModel,FALSE))</f>
        <v>asiOpt_DeltaA17¬2</v>
      </c>
      <c r="R17" s="21" cm="1">
        <f t="array" aca="1" ref="R17" ca="1">_xll.QCube_SumAllRows(Q17)</f>
        <v>-837.96059659405535</v>
      </c>
      <c r="S17" s="93" cm="1">
        <f t="array" aca="1" ref="S17" ca="1">_xll.QIns_QuickPFE(O17,AModel,0.95,"ZAR")</f>
        <v>1172081.9951363599</v>
      </c>
      <c r="U17" s="21"/>
      <c r="V17" s="100"/>
      <c r="X17" s="21"/>
      <c r="Y17" s="100"/>
    </row>
    <row r="18" spans="1:25" x14ac:dyDescent="0.25">
      <c r="A18" s="6"/>
      <c r="B18" s="6" t="s">
        <v>134</v>
      </c>
      <c r="C18" s="101">
        <v>44317</v>
      </c>
      <c r="D18" s="102"/>
      <c r="E18" s="102"/>
      <c r="F18" s="103">
        <f t="shared" ca="1" si="3"/>
        <v>7541.429682673378</v>
      </c>
      <c r="G18" s="103">
        <f t="shared" si="4"/>
        <v>-839.90136198404866</v>
      </c>
      <c r="H18" s="6" t="s">
        <v>1</v>
      </c>
      <c r="I18" s="104" t="str">
        <f t="shared" si="5"/>
        <v>ZAR.DISC.[USD.LIBOR.3M]</v>
      </c>
      <c r="J18" s="104" t="str">
        <f t="shared" si="6"/>
        <v>ICE</v>
      </c>
      <c r="K18" s="105" t="s">
        <v>171</v>
      </c>
      <c r="L18" s="105" t="str">
        <f t="shared" si="7"/>
        <v>0b</v>
      </c>
      <c r="M18" t="str" cm="1">
        <f t="array" aca="1" ref="M18" ca="1">_xll.QIns_CreateAsianSwap("AsiSwap_Fwd_"&amp;ROW(),IF(C18="",D18:E18,C18),B18,H18,0,G18,J18,H18,K18,L18,,I18,IF(H18="USD","None","ATC"))</f>
        <v>AsiSwap_Fwd_18¬5</v>
      </c>
      <c r="N18" s="14" cm="1">
        <f t="array" aca="1" ref="N18" ca="1">_xll.QIns_ProductParRate(M18,AModel)</f>
        <v>7541.429682673378</v>
      </c>
      <c r="O18" t="str" cm="1">
        <f t="array" aca="1" ref="O18" ca="1">_xll.QIns_CreateAsianSwap("AsiSwap_"&amp;ROW(),IF(C18="",D18:E18,C18),B18,H18,F18,G18,J18,H18,K18,L18,,I18,IF(H18="USD","None","ATC"))</f>
        <v>AsiSwap_18¬1</v>
      </c>
      <c r="P18" s="21" cm="1">
        <f t="array" aca="1" ref="P18" ca="1">_xll.QIns_ProductPV(O18,AModel,H18)</f>
        <v>-7.5240328995631719E-10</v>
      </c>
      <c r="Q18" t="str" cm="1">
        <f t="array" aca="1" ref="Q18" ca="1">IF(VLOOKUP(B18,AssetStatic,4,FALSE),_xll.QRisk_PortfolioFxDeltaSpecific("asiOpt_DeltaA"&amp;ROW(),O18,AModel,B18,"ZAR",FALSE),_xll.QRisk_PortfolioDelta("asiOpt_DeltaA"&amp;ROW(),O18,AModel,FALSE))</f>
        <v>asiOpt_DeltaA18¬2</v>
      </c>
      <c r="R18" s="21" cm="1">
        <f t="array" aca="1" ref="R18" ca="1">_xll.QCube_SumAllRows(Q18)</f>
        <v>-837.94203409979036</v>
      </c>
      <c r="S18" s="93" cm="1">
        <f t="array" aca="1" ref="S18" ca="1">_xll.QIns_QuickPFE(O18,AModel,0.95,"ZAR")</f>
        <v>1417530.1247765305</v>
      </c>
      <c r="U18" s="21"/>
      <c r="V18" s="100"/>
      <c r="X18" s="21"/>
      <c r="Y18" s="100"/>
    </row>
    <row r="19" spans="1:25" x14ac:dyDescent="0.25">
      <c r="A19" s="6"/>
      <c r="B19" s="6"/>
      <c r="C19" s="101"/>
      <c r="D19" s="102"/>
      <c r="E19" s="102"/>
      <c r="F19" s="103"/>
      <c r="G19" s="103"/>
      <c r="H19" s="6"/>
      <c r="I19" s="104"/>
      <c r="J19" s="104"/>
      <c r="K19" s="105"/>
      <c r="L19" s="105"/>
      <c r="N19" s="14"/>
      <c r="R19" s="21"/>
      <c r="S19" s="93"/>
      <c r="U19" s="21"/>
      <c r="V19" s="100"/>
      <c r="X19" s="21"/>
      <c r="Y19" s="100"/>
    </row>
    <row r="20" spans="1:25" x14ac:dyDescent="0.25">
      <c r="A20" s="6"/>
      <c r="B20" s="6" t="s">
        <v>129</v>
      </c>
      <c r="C20" s="101">
        <v>43983</v>
      </c>
      <c r="D20" s="102"/>
      <c r="E20" s="102"/>
      <c r="F20" s="103">
        <f t="shared" ref="F20" ca="1" si="8">N20</f>
        <v>1000000</v>
      </c>
      <c r="G20" s="103">
        <v>-7330</v>
      </c>
      <c r="H20" s="6" t="s">
        <v>1</v>
      </c>
      <c r="I20" s="104" t="str">
        <f t="shared" ref="I20" si="9">IF(H20="USD","USD.LIBOR.3M",H20&amp;".DISC.[USD.LIBOR.3M]")</f>
        <v>ZAR.DISC.[USD.LIBOR.3M]</v>
      </c>
      <c r="J20" s="104" t="str">
        <f t="shared" ref="J20" si="10">VLOOKUP(B20,AssetStatic,3,FALSE)</f>
        <v>ICE</v>
      </c>
      <c r="K20" s="105" t="s">
        <v>171</v>
      </c>
      <c r="L20" s="105" t="str">
        <f t="shared" ref="L20" si="11">VLOOKUP(B20,AssetStatic,2,FALSE)</f>
        <v>0b</v>
      </c>
      <c r="M20" t="str" cm="1">
        <f t="array" aca="1" ref="M20" ca="1">_xll.QIns_CreateAsianSwap("AsiSwap_Fwd_"&amp;ROW(),IF(C20="",D20:E20,C20),B20,H20,0,G20,J20,H20,K20,L20,,I20,IF(H20="USD","None","ATC"))</f>
        <v>AsiSwap_Fwd_20¬5</v>
      </c>
      <c r="N20" s="14" cm="1">
        <f t="array" aca="1" ref="N20" ca="1">_xll.QIns_ProductParRate(M20,AModel)</f>
        <v>1000000</v>
      </c>
      <c r="O20" t="str" cm="1">
        <f t="array" aca="1" ref="O20" ca="1">_xll.QIns_CreateAsianSwap("AsiSwap_"&amp;ROW(),IF(C20="",D20:E20,C20),B20,H20,F20,G20,J20,H20,K20,L20,,I20,IF(H20="USD","None","ATC"))</f>
        <v>AsiSwap_20¬5</v>
      </c>
      <c r="P20" s="21" cm="1">
        <f t="array" aca="1" ref="P20" ca="1">_xll.QIns_ProductPV(O20,AModel,H20)</f>
        <v>0</v>
      </c>
      <c r="Q20" t="str" cm="1">
        <f t="array" aca="1" ref="Q20" ca="1">IF(VLOOKUP(B20,AssetStatic,4,FALSE),_xll.QRisk_PortfolioFxDeltaSpecific("asiOpt_DeltaA"&amp;ROW(),O20,AModel,B20,"ZAR",FALSE),_xll.QRisk_PortfolioDelta("asiOpt_DeltaA"&amp;ROW(),O20,AModel,FALSE))</f>
        <v>asiOpt_DeltaA20¬5</v>
      </c>
      <c r="R20" s="21" cm="1">
        <f t="array" aca="1" ref="R20" ca="1">_xll.QCube_SumAllRows(Q20)</f>
        <v>0</v>
      </c>
      <c r="S20" s="93" cm="1">
        <f t="array" aca="1" ref="S20" ca="1">_xll.QIns_QuickPFE(O20,AModel,0.95,"ZAR")</f>
        <v>0</v>
      </c>
      <c r="U20" s="21"/>
      <c r="V20" s="100"/>
      <c r="X20" s="21"/>
      <c r="Y20" s="100"/>
    </row>
    <row r="21" spans="1:25" x14ac:dyDescent="0.25">
      <c r="A21" s="6"/>
      <c r="B21" s="6" t="s">
        <v>129</v>
      </c>
      <c r="C21" s="101">
        <v>44013</v>
      </c>
      <c r="D21" s="102"/>
      <c r="E21" s="102"/>
      <c r="F21" s="103">
        <f t="shared" ref="F21:F30" ca="1" si="12">N21</f>
        <v>1000000</v>
      </c>
      <c r="G21" s="103">
        <v>-7330</v>
      </c>
      <c r="H21" s="6" t="s">
        <v>1</v>
      </c>
      <c r="I21" s="104" t="str">
        <f t="shared" ref="I21:I30" si="13">IF(H21="USD","USD.LIBOR.3M",H21&amp;".DISC.[USD.LIBOR.3M]")</f>
        <v>ZAR.DISC.[USD.LIBOR.3M]</v>
      </c>
      <c r="J21" s="104" t="str">
        <f t="shared" ref="J21:J30" si="14">VLOOKUP(B21,AssetStatic,3,FALSE)</f>
        <v>ICE</v>
      </c>
      <c r="K21" s="105" t="s">
        <v>171</v>
      </c>
      <c r="L21" s="105" t="str">
        <f t="shared" ref="L21:L30" si="15">VLOOKUP(B21,AssetStatic,2,FALSE)</f>
        <v>0b</v>
      </c>
      <c r="M21" t="str" cm="1">
        <f t="array" aca="1" ref="M21" ca="1">_xll.QIns_CreateAsianSwap("AsiSwap_Fwd_"&amp;ROW(),IF(C21="",D21:E21,C21),B21,H21,0,G21,J21,H21,K21,L21,,I21,IF(H21="USD","None","ATC"))</f>
        <v>AsiSwap_Fwd_21¬5</v>
      </c>
      <c r="N21" s="14" cm="1">
        <f t="array" aca="1" ref="N21" ca="1">_xll.QIns_ProductParRate(M21,AModel)</f>
        <v>1000000</v>
      </c>
      <c r="O21" t="str" cm="1">
        <f t="array" aca="1" ref="O21" ca="1">_xll.QIns_CreateAsianSwap("AsiSwap_"&amp;ROW(),IF(C21="",D21:E21,C21),B21,H21,F21,G21,J21,H21,K21,L21,,I21,IF(H21="USD","None","ATC"))</f>
        <v>AsiSwap_21¬5</v>
      </c>
      <c r="P21" s="21" cm="1">
        <f t="array" aca="1" ref="P21" ca="1">_xll.QIns_ProductPV(O21,AModel,H21)</f>
        <v>0</v>
      </c>
      <c r="Q21" t="str" cm="1">
        <f t="array" aca="1" ref="Q21" ca="1">IF(VLOOKUP(B21,AssetStatic,4,FALSE),_xll.QRisk_PortfolioFxDeltaSpecific("asiOpt_DeltaA"&amp;ROW(),O21,AModel,B21,"ZAR",FALSE),_xll.QRisk_PortfolioDelta("asiOpt_DeltaA"&amp;ROW(),O21,AModel,FALSE))</f>
        <v>asiOpt_DeltaA21¬6</v>
      </c>
      <c r="R21" s="21" cm="1">
        <f t="array" aca="1" ref="R21" ca="1">_xll.QCube_SumAllRows(Q21)</f>
        <v>0</v>
      </c>
      <c r="S21" s="93" cm="1">
        <f t="array" aca="1" ref="S21" ca="1">_xll.QIns_QuickPFE(O21,AModel,0.95,"ZAR")</f>
        <v>0</v>
      </c>
      <c r="U21" s="21"/>
      <c r="V21" s="100"/>
      <c r="X21" s="21"/>
      <c r="Y21" s="100"/>
    </row>
    <row r="22" spans="1:25" x14ac:dyDescent="0.25">
      <c r="A22" s="6"/>
      <c r="B22" s="6" t="s">
        <v>129</v>
      </c>
      <c r="C22" s="101">
        <v>44044</v>
      </c>
      <c r="D22" s="102"/>
      <c r="E22" s="102"/>
      <c r="F22" s="103">
        <f t="shared" ca="1" si="12"/>
        <v>1000000</v>
      </c>
      <c r="G22" s="103">
        <v>-7330</v>
      </c>
      <c r="H22" s="6" t="s">
        <v>1</v>
      </c>
      <c r="I22" s="104" t="str">
        <f t="shared" si="13"/>
        <v>ZAR.DISC.[USD.LIBOR.3M]</v>
      </c>
      <c r="J22" s="104" t="str">
        <f t="shared" si="14"/>
        <v>ICE</v>
      </c>
      <c r="K22" s="105" t="s">
        <v>171</v>
      </c>
      <c r="L22" s="105" t="str">
        <f t="shared" si="15"/>
        <v>0b</v>
      </c>
      <c r="M22" t="str" cm="1">
        <f t="array" aca="1" ref="M22" ca="1">_xll.QIns_CreateAsianSwap("AsiSwap_Fwd_"&amp;ROW(),IF(C22="",D22:E22,C22),B22,H22,0,G22,J22,H22,K22,L22,,I22,IF(H22="USD","None","ATC"))</f>
        <v>AsiSwap_Fwd_22¬5</v>
      </c>
      <c r="N22" s="14" cm="1">
        <f t="array" aca="1" ref="N22" ca="1">_xll.QIns_ProductParRate(M22,AModel)</f>
        <v>1000000</v>
      </c>
      <c r="O22" t="str" cm="1">
        <f t="array" aca="1" ref="O22" ca="1">_xll.QIns_CreateAsianSwap("AsiSwap_"&amp;ROW(),IF(C22="",D22:E22,C22),B22,H22,F22,G22,J22,H22,K22,L22,,I22,IF(H22="USD","None","ATC"))</f>
        <v>AsiSwap_22¬5</v>
      </c>
      <c r="P22" s="21" cm="1">
        <f t="array" aca="1" ref="P22" ca="1">_xll.QIns_ProductPV(O22,AModel,H22)</f>
        <v>0</v>
      </c>
      <c r="Q22" t="str" cm="1">
        <f t="array" aca="1" ref="Q22" ca="1">IF(VLOOKUP(B22,AssetStatic,4,FALSE),_xll.QRisk_PortfolioFxDeltaSpecific("asiOpt_DeltaA"&amp;ROW(),O22,AModel,B22,"ZAR",FALSE),_xll.QRisk_PortfolioDelta("asiOpt_DeltaA"&amp;ROW(),O22,AModel,FALSE))</f>
        <v>asiOpt_DeltaA22¬5</v>
      </c>
      <c r="R22" s="21" cm="1">
        <f t="array" aca="1" ref="R22" ca="1">_xll.QCube_SumAllRows(Q22)</f>
        <v>0</v>
      </c>
      <c r="S22" s="93" cm="1">
        <f t="array" aca="1" ref="S22" ca="1">_xll.QIns_QuickPFE(O22,AModel,0.95,"ZAR")</f>
        <v>0</v>
      </c>
      <c r="U22" s="21"/>
      <c r="V22" s="100"/>
      <c r="X22" s="21"/>
      <c r="Y22" s="100"/>
    </row>
    <row r="23" spans="1:25" x14ac:dyDescent="0.25">
      <c r="A23" s="6"/>
      <c r="B23" s="6" t="s">
        <v>129</v>
      </c>
      <c r="C23" s="101">
        <v>44075</v>
      </c>
      <c r="D23" s="102"/>
      <c r="E23" s="102"/>
      <c r="F23" s="103">
        <f t="shared" ca="1" si="12"/>
        <v>1000000</v>
      </c>
      <c r="G23" s="103">
        <v>-7330</v>
      </c>
      <c r="H23" s="6" t="s">
        <v>1</v>
      </c>
      <c r="I23" s="104" t="str">
        <f t="shared" si="13"/>
        <v>ZAR.DISC.[USD.LIBOR.3M]</v>
      </c>
      <c r="J23" s="104" t="str">
        <f t="shared" si="14"/>
        <v>ICE</v>
      </c>
      <c r="K23" s="105" t="s">
        <v>171</v>
      </c>
      <c r="L23" s="105" t="str">
        <f t="shared" si="15"/>
        <v>0b</v>
      </c>
      <c r="M23" t="str" cm="1">
        <f t="array" aca="1" ref="M23" ca="1">_xll.QIns_CreateAsianSwap("AsiSwap_Fwd_"&amp;ROW(),IF(C23="",D23:E23,C23),B23,H23,0,G23,J23,H23,K23,L23,,I23,IF(H23="USD","None","ATC"))</f>
        <v>AsiSwap_Fwd_23¬5</v>
      </c>
      <c r="N23" s="14" cm="1">
        <f t="array" aca="1" ref="N23" ca="1">_xll.QIns_ProductParRate(M23,AModel)</f>
        <v>1000000</v>
      </c>
      <c r="O23" t="str" cm="1">
        <f t="array" aca="1" ref="O23" ca="1">_xll.QIns_CreateAsianSwap("AsiSwap_"&amp;ROW(),IF(C23="",D23:E23,C23),B23,H23,F23,G23,J23,H23,K23,L23,,I23,IF(H23="USD","None","ATC"))</f>
        <v>AsiSwap_23¬5</v>
      </c>
      <c r="P23" s="21" cm="1">
        <f t="array" aca="1" ref="P23" ca="1">_xll.QIns_ProductPV(O23,AModel,H23)</f>
        <v>0</v>
      </c>
      <c r="Q23" t="str" cm="1">
        <f t="array" aca="1" ref="Q23" ca="1">IF(VLOOKUP(B23,AssetStatic,4,FALSE),_xll.QRisk_PortfolioFxDeltaSpecific("asiOpt_DeltaA"&amp;ROW(),O23,AModel,B23,"ZAR",FALSE),_xll.QRisk_PortfolioDelta("asiOpt_DeltaA"&amp;ROW(),O23,AModel,FALSE))</f>
        <v>asiOpt_DeltaA23¬6</v>
      </c>
      <c r="R23" s="21" cm="1">
        <f t="array" aca="1" ref="R23" ca="1">_xll.QCube_SumAllRows(Q23)</f>
        <v>0</v>
      </c>
      <c r="S23" s="93" cm="1">
        <f t="array" aca="1" ref="S23" ca="1">_xll.QIns_QuickPFE(O23,AModel,0.95,"ZAR")</f>
        <v>0</v>
      </c>
      <c r="U23" s="21"/>
      <c r="V23" s="100"/>
      <c r="X23" s="21"/>
      <c r="Y23" s="100"/>
    </row>
    <row r="24" spans="1:25" x14ac:dyDescent="0.25">
      <c r="A24" s="6"/>
      <c r="B24" s="6" t="s">
        <v>129</v>
      </c>
      <c r="C24" s="101">
        <v>44105</v>
      </c>
      <c r="D24" s="102"/>
      <c r="E24" s="102"/>
      <c r="F24" s="103">
        <f t="shared" ca="1" si="12"/>
        <v>1000000</v>
      </c>
      <c r="G24" s="103">
        <v>-7330</v>
      </c>
      <c r="H24" s="6" t="s">
        <v>1</v>
      </c>
      <c r="I24" s="104" t="str">
        <f t="shared" si="13"/>
        <v>ZAR.DISC.[USD.LIBOR.3M]</v>
      </c>
      <c r="J24" s="104" t="str">
        <f t="shared" si="14"/>
        <v>ICE</v>
      </c>
      <c r="K24" s="105" t="s">
        <v>171</v>
      </c>
      <c r="L24" s="105" t="str">
        <f t="shared" si="15"/>
        <v>0b</v>
      </c>
      <c r="M24" t="str" cm="1">
        <f t="array" aca="1" ref="M24" ca="1">_xll.QIns_CreateAsianSwap("AsiSwap_Fwd_"&amp;ROW(),IF(C24="",D24:E24,C24),B24,H24,0,G24,J24,H24,K24,L24,,I24,IF(H24="USD","None","ATC"))</f>
        <v>AsiSwap_Fwd_24¬5</v>
      </c>
      <c r="N24" s="14" cm="1">
        <f t="array" aca="1" ref="N24" ca="1">_xll.QIns_ProductParRate(M24,AModel)</f>
        <v>1000000</v>
      </c>
      <c r="O24" t="str" cm="1">
        <f t="array" aca="1" ref="O24" ca="1">_xll.QIns_CreateAsianSwap("AsiSwap_"&amp;ROW(),IF(C24="",D24:E24,C24),B24,H24,F24,G24,J24,H24,K24,L24,,I24,IF(H24="USD","None","ATC"))</f>
        <v>AsiSwap_24¬5</v>
      </c>
      <c r="P24" s="21" cm="1">
        <f t="array" aca="1" ref="P24" ca="1">_xll.QIns_ProductPV(O24,AModel,H24)</f>
        <v>0</v>
      </c>
      <c r="Q24" t="str" cm="1">
        <f t="array" aca="1" ref="Q24" ca="1">IF(VLOOKUP(B24,AssetStatic,4,FALSE),_xll.QRisk_PortfolioFxDeltaSpecific("asiOpt_DeltaA"&amp;ROW(),O24,AModel,B24,"ZAR",FALSE),_xll.QRisk_PortfolioDelta("asiOpt_DeltaA"&amp;ROW(),O24,AModel,FALSE))</f>
        <v>asiOpt_DeltaA24¬5</v>
      </c>
      <c r="R24" s="21" cm="1">
        <f t="array" aca="1" ref="R24" ca="1">_xll.QCube_SumAllRows(Q24)</f>
        <v>0</v>
      </c>
      <c r="S24" s="93" cm="1">
        <f t="array" aca="1" ref="S24" ca="1">_xll.QIns_QuickPFE(O24,AModel,0.95,"ZAR")</f>
        <v>0</v>
      </c>
      <c r="U24" s="21"/>
      <c r="V24" s="100"/>
      <c r="X24" s="21"/>
      <c r="Y24" s="100"/>
    </row>
    <row r="25" spans="1:25" x14ac:dyDescent="0.25">
      <c r="A25" s="6"/>
      <c r="B25" s="6" t="s">
        <v>129</v>
      </c>
      <c r="C25" s="101">
        <v>44136</v>
      </c>
      <c r="D25" s="102"/>
      <c r="E25" s="102"/>
      <c r="F25" s="103">
        <f t="shared" ca="1" si="12"/>
        <v>1000000</v>
      </c>
      <c r="G25" s="103">
        <v>-7330</v>
      </c>
      <c r="H25" s="6" t="s">
        <v>1</v>
      </c>
      <c r="I25" s="104" t="str">
        <f t="shared" si="13"/>
        <v>ZAR.DISC.[USD.LIBOR.3M]</v>
      </c>
      <c r="J25" s="104" t="str">
        <f t="shared" si="14"/>
        <v>ICE</v>
      </c>
      <c r="K25" s="105" t="s">
        <v>171</v>
      </c>
      <c r="L25" s="105" t="str">
        <f t="shared" si="15"/>
        <v>0b</v>
      </c>
      <c r="M25" t="str" cm="1">
        <f t="array" aca="1" ref="M25" ca="1">_xll.QIns_CreateAsianSwap("AsiSwap_Fwd_"&amp;ROW(),IF(C25="",D25:E25,C25),B25,H25,0,G25,J25,H25,K25,L25,,I25,IF(H25="USD","None","ATC"))</f>
        <v>AsiSwap_Fwd_25¬5</v>
      </c>
      <c r="N25" s="14" cm="1">
        <f t="array" aca="1" ref="N25" ca="1">_xll.QIns_ProductParRate(M25,AModel)</f>
        <v>1000000</v>
      </c>
      <c r="O25" t="str" cm="1">
        <f t="array" aca="1" ref="O25" ca="1">_xll.QIns_CreateAsianSwap("AsiSwap_"&amp;ROW(),IF(C25="",D25:E25,C25),B25,H25,F25,G25,J25,H25,K25,L25,,I25,IF(H25="USD","None","ATC"))</f>
        <v>AsiSwap_25¬5</v>
      </c>
      <c r="P25" s="21" cm="1">
        <f t="array" aca="1" ref="P25" ca="1">_xll.QIns_ProductPV(O25,AModel,H25)</f>
        <v>0</v>
      </c>
      <c r="Q25" t="str" cm="1">
        <f t="array" aca="1" ref="Q25" ca="1">IF(VLOOKUP(B25,AssetStatic,4,FALSE),_xll.QRisk_PortfolioFxDeltaSpecific("asiOpt_DeltaA"&amp;ROW(),O25,AModel,B25,"ZAR",FALSE),_xll.QRisk_PortfolioDelta("asiOpt_DeltaA"&amp;ROW(),O25,AModel,FALSE))</f>
        <v>asiOpt_DeltaA25¬6</v>
      </c>
      <c r="R25" s="21" cm="1">
        <f t="array" aca="1" ref="R25" ca="1">_xll.QCube_SumAllRows(Q25)</f>
        <v>0</v>
      </c>
      <c r="S25" s="93" cm="1">
        <f t="array" aca="1" ref="S25" ca="1">_xll.QIns_QuickPFE(O25,AModel,0.95,"ZAR")</f>
        <v>0</v>
      </c>
      <c r="U25" s="21"/>
      <c r="V25" s="100"/>
      <c r="X25" s="21"/>
      <c r="Y25" s="100"/>
    </row>
    <row r="26" spans="1:25" x14ac:dyDescent="0.25">
      <c r="A26" s="6"/>
      <c r="B26" s="6" t="s">
        <v>129</v>
      </c>
      <c r="C26" s="101">
        <v>44166</v>
      </c>
      <c r="D26" s="102"/>
      <c r="E26" s="102"/>
      <c r="F26" s="103">
        <f t="shared" ca="1" si="12"/>
        <v>1000000</v>
      </c>
      <c r="G26" s="103">
        <v>-7330</v>
      </c>
      <c r="H26" s="6" t="s">
        <v>1</v>
      </c>
      <c r="I26" s="104" t="str">
        <f t="shared" si="13"/>
        <v>ZAR.DISC.[USD.LIBOR.3M]</v>
      </c>
      <c r="J26" s="104" t="str">
        <f t="shared" si="14"/>
        <v>ICE</v>
      </c>
      <c r="K26" s="105" t="s">
        <v>171</v>
      </c>
      <c r="L26" s="105" t="str">
        <f t="shared" si="15"/>
        <v>0b</v>
      </c>
      <c r="M26" t="str" cm="1">
        <f t="array" aca="1" ref="M26" ca="1">_xll.QIns_CreateAsianSwap("AsiSwap_Fwd_"&amp;ROW(),IF(C26="",D26:E26,C26),B26,H26,0,G26,J26,H26,K26,L26,,I26,IF(H26="USD","None","ATC"))</f>
        <v>AsiSwap_Fwd_26¬5</v>
      </c>
      <c r="N26" s="14" cm="1">
        <f t="array" aca="1" ref="N26" ca="1">_xll.QIns_ProductParRate(M26,AModel)</f>
        <v>1000000</v>
      </c>
      <c r="O26" t="str" cm="1">
        <f t="array" aca="1" ref="O26" ca="1">_xll.QIns_CreateAsianSwap("AsiSwap_"&amp;ROW(),IF(C26="",D26:E26,C26),B26,H26,F26,G26,J26,H26,K26,L26,,I26,IF(H26="USD","None","ATC"))</f>
        <v>AsiSwap_26¬5</v>
      </c>
      <c r="P26" s="21" cm="1">
        <f t="array" aca="1" ref="P26" ca="1">_xll.QIns_ProductPV(O26,AModel,H26)</f>
        <v>0</v>
      </c>
      <c r="Q26" t="str" cm="1">
        <f t="array" aca="1" ref="Q26" ca="1">IF(VLOOKUP(B26,AssetStatic,4,FALSE),_xll.QRisk_PortfolioFxDeltaSpecific("asiOpt_DeltaA"&amp;ROW(),O26,AModel,B26,"ZAR",FALSE),_xll.QRisk_PortfolioDelta("asiOpt_DeltaA"&amp;ROW(),O26,AModel,FALSE))</f>
        <v>asiOpt_DeltaA26¬5</v>
      </c>
      <c r="R26" s="21" cm="1">
        <f t="array" aca="1" ref="R26" ca="1">_xll.QCube_SumAllRows(Q26)</f>
        <v>0</v>
      </c>
      <c r="S26" s="93" cm="1">
        <f t="array" aca="1" ref="S26" ca="1">_xll.QIns_QuickPFE(O26,AModel,0.95,"ZAR")</f>
        <v>0</v>
      </c>
      <c r="U26" s="21"/>
      <c r="V26" s="100"/>
      <c r="X26" s="21"/>
      <c r="Y26" s="100"/>
    </row>
    <row r="27" spans="1:25" x14ac:dyDescent="0.25">
      <c r="A27" s="6"/>
      <c r="B27" s="6" t="s">
        <v>129</v>
      </c>
      <c r="C27" s="101">
        <v>44197</v>
      </c>
      <c r="D27" s="102"/>
      <c r="E27" s="102"/>
      <c r="F27" s="103">
        <f t="shared" ca="1" si="12"/>
        <v>1000000</v>
      </c>
      <c r="G27" s="103">
        <v>-7330</v>
      </c>
      <c r="H27" s="6" t="s">
        <v>1</v>
      </c>
      <c r="I27" s="104" t="str">
        <f t="shared" si="13"/>
        <v>ZAR.DISC.[USD.LIBOR.3M]</v>
      </c>
      <c r="J27" s="104" t="str">
        <f t="shared" si="14"/>
        <v>ICE</v>
      </c>
      <c r="K27" s="105" t="s">
        <v>171</v>
      </c>
      <c r="L27" s="105" t="str">
        <f t="shared" si="15"/>
        <v>0b</v>
      </c>
      <c r="M27" t="str" cm="1">
        <f t="array" aca="1" ref="M27" ca="1">_xll.QIns_CreateAsianSwap("AsiSwap_Fwd_"&amp;ROW(),IF(C27="",D27:E27,C27),B27,H27,0,G27,J27,H27,K27,L27,,I27,IF(H27="USD","None","ATC"))</f>
        <v>AsiSwap_Fwd_27¬5</v>
      </c>
      <c r="N27" s="14" cm="1">
        <f t="array" aca="1" ref="N27" ca="1">_xll.QIns_ProductParRate(M27,AModel)</f>
        <v>1000000</v>
      </c>
      <c r="O27" t="str" cm="1">
        <f t="array" aca="1" ref="O27" ca="1">_xll.QIns_CreateAsianSwap("AsiSwap_"&amp;ROW(),IF(C27="",D27:E27,C27),B27,H27,F27,G27,J27,H27,K27,L27,,I27,IF(H27="USD","None","ATC"))</f>
        <v>AsiSwap_27¬5</v>
      </c>
      <c r="P27" s="21" cm="1">
        <f t="array" aca="1" ref="P27" ca="1">_xll.QIns_ProductPV(O27,AModel,H27)</f>
        <v>0</v>
      </c>
      <c r="Q27" t="str" cm="1">
        <f t="array" aca="1" ref="Q27" ca="1">IF(VLOOKUP(B27,AssetStatic,4,FALSE),_xll.QRisk_PortfolioFxDeltaSpecific("asiOpt_DeltaA"&amp;ROW(),O27,AModel,B27,"ZAR",FALSE),_xll.QRisk_PortfolioDelta("asiOpt_DeltaA"&amp;ROW(),O27,AModel,FALSE))</f>
        <v>asiOpt_DeltaA27¬3</v>
      </c>
      <c r="R27" s="21" cm="1">
        <f t="array" aca="1" ref="R27" ca="1">_xll.QCube_SumAllRows(Q27)</f>
        <v>0</v>
      </c>
      <c r="S27" s="93" cm="1">
        <f t="array" aca="1" ref="S27" ca="1">_xll.QIns_QuickPFE(O27,AModel,0.95,"ZAR")</f>
        <v>0</v>
      </c>
      <c r="U27" s="21"/>
      <c r="V27" s="100"/>
      <c r="X27" s="21"/>
      <c r="Y27" s="100"/>
    </row>
    <row r="28" spans="1:25" x14ac:dyDescent="0.25">
      <c r="A28" s="6"/>
      <c r="B28" s="6" t="s">
        <v>129</v>
      </c>
      <c r="C28" s="101">
        <v>44228</v>
      </c>
      <c r="D28" s="102"/>
      <c r="E28" s="102"/>
      <c r="F28" s="103">
        <f t="shared" ca="1" si="12"/>
        <v>893.01430937093892</v>
      </c>
      <c r="G28" s="103">
        <v>-7330</v>
      </c>
      <c r="H28" s="6" t="s">
        <v>1</v>
      </c>
      <c r="I28" s="104" t="str">
        <f t="shared" si="13"/>
        <v>ZAR.DISC.[USD.LIBOR.3M]</v>
      </c>
      <c r="J28" s="104" t="str">
        <f t="shared" si="14"/>
        <v>ICE</v>
      </c>
      <c r="K28" s="105" t="s">
        <v>171</v>
      </c>
      <c r="L28" s="105" t="str">
        <f t="shared" si="15"/>
        <v>0b</v>
      </c>
      <c r="M28" t="str" cm="1">
        <f t="array" aca="1" ref="M28" ca="1">_xll.QIns_CreateAsianSwap("AsiSwap_Fwd_"&amp;ROW(),IF(C28="",D28:E28,C28),B28,H28,0,G28,J28,H28,K28,L28,,I28,IF(H28="USD","None","ATC"))</f>
        <v>AsiSwap_Fwd_28¬5</v>
      </c>
      <c r="N28" s="14" cm="1">
        <f t="array" aca="1" ref="N28" ca="1">_xll.QIns_ProductParRate(M28,AModel)</f>
        <v>893.01430937093892</v>
      </c>
      <c r="O28" t="str" cm="1">
        <f t="array" aca="1" ref="O28" ca="1">_xll.QIns_CreateAsianSwap("AsiSwap_"&amp;ROW(),IF(C28="",D28:E28,C28),B28,H28,F28,G28,J28,H28,K28,L28,,I28,IF(H28="USD","None","ATC"))</f>
        <v>AsiSwap_28¬1</v>
      </c>
      <c r="P28" s="21" cm="1">
        <f t="array" aca="1" ref="P28" ca="1">_xll.QIns_ProductPV(O28,AModel,H28)</f>
        <v>-8.3135876218654625E-10</v>
      </c>
      <c r="Q28" t="str" cm="1">
        <f t="array" aca="1" ref="Q28" ca="1">IF(VLOOKUP(B28,AssetStatic,4,FALSE),_xll.QRisk_PortfolioFxDeltaSpecific("asiOpt_DeltaA"&amp;ROW(),O28,AModel,B28,"ZAR",FALSE),_xll.QRisk_PortfolioDelta("asiOpt_DeltaA"&amp;ROW(),O28,AModel,FALSE))</f>
        <v>asiOpt_DeltaA28¬1</v>
      </c>
      <c r="R28" s="21" cm="1">
        <f t="array" aca="1" ref="R28" ca="1">_xll.QCube_SumAllRows(Q28)</f>
        <v>-4054.8635951017482</v>
      </c>
      <c r="S28" s="93" cm="1">
        <f t="array" aca="1" ref="S28" ca="1">_xll.QIns_QuickPFE(O28,AModel,0.95,"ZAR")</f>
        <v>272064.70884726505</v>
      </c>
      <c r="U28" s="21"/>
      <c r="V28" s="100"/>
      <c r="X28" s="21"/>
      <c r="Y28" s="100"/>
    </row>
    <row r="29" spans="1:25" x14ac:dyDescent="0.25">
      <c r="A29" s="6"/>
      <c r="B29" s="6" t="s">
        <v>129</v>
      </c>
      <c r="C29" s="101">
        <v>44256</v>
      </c>
      <c r="D29" s="102"/>
      <c r="E29" s="102"/>
      <c r="F29" s="103">
        <f t="shared" ca="1" si="12"/>
        <v>896.52005992971397</v>
      </c>
      <c r="G29" s="103">
        <v>-7330</v>
      </c>
      <c r="H29" s="6" t="s">
        <v>1</v>
      </c>
      <c r="I29" s="104" t="str">
        <f t="shared" si="13"/>
        <v>ZAR.DISC.[USD.LIBOR.3M]</v>
      </c>
      <c r="J29" s="104" t="str">
        <f t="shared" si="14"/>
        <v>ICE</v>
      </c>
      <c r="K29" s="105" t="s">
        <v>171</v>
      </c>
      <c r="L29" s="105" t="str">
        <f t="shared" si="15"/>
        <v>0b</v>
      </c>
      <c r="M29" t="str" cm="1">
        <f t="array" aca="1" ref="M29" ca="1">_xll.QIns_CreateAsianSwap("AsiSwap_Fwd_"&amp;ROW(),IF(C29="",D29:E29,C29),B29,H29,0,G29,J29,H29,K29,L29,,I29,IF(H29="USD","None","ATC"))</f>
        <v>AsiSwap_Fwd_29¬5</v>
      </c>
      <c r="N29" s="14" cm="1">
        <f t="array" aca="1" ref="N29" ca="1">_xll.QIns_ProductParRate(M29,AModel)</f>
        <v>896.52005992971397</v>
      </c>
      <c r="O29" t="str" cm="1">
        <f t="array" aca="1" ref="O29" ca="1">_xll.QIns_CreateAsianSwap("AsiSwap_"&amp;ROW(),IF(C29="",D29:E29,C29),B29,H29,F29,G29,J29,H29,K29,L29,,I29,IF(H29="USD","None","ATC"))</f>
        <v>AsiSwap_29¬1</v>
      </c>
      <c r="P29" s="21" cm="1">
        <f t="array" aca="1" ref="P29" ca="1">_xll.QIns_ProductPV(O29,AModel,H29)</f>
        <v>0</v>
      </c>
      <c r="Q29" t="str" cm="1">
        <f t="array" aca="1" ref="Q29" ca="1">IF(VLOOKUP(B29,AssetStatic,4,FALSE),_xll.QRisk_PortfolioFxDeltaSpecific("asiOpt_DeltaA"&amp;ROW(),O29,AModel,B29,"ZAR",FALSE),_xll.QRisk_PortfolioDelta("asiOpt_DeltaA"&amp;ROW(),O29,AModel,FALSE))</f>
        <v>asiOpt_DeltaA29¬1</v>
      </c>
      <c r="R29" s="21" cm="1">
        <f t="array" aca="1" ref="R29" ca="1">_xll.QCube_SumAllRows(Q29)</f>
        <v>-7310.1995493657614</v>
      </c>
      <c r="S29" s="93" cm="1">
        <f t="array" aca="1" ref="S29" ca="1">_xll.QIns_QuickPFE(O29,AModel,0.95,"ZAR")</f>
        <v>862446.84635687165</v>
      </c>
      <c r="U29" s="21"/>
      <c r="V29" s="100"/>
      <c r="X29" s="21"/>
      <c r="Y29" s="100"/>
    </row>
    <row r="30" spans="1:25" x14ac:dyDescent="0.25">
      <c r="A30" s="6"/>
      <c r="B30" s="6" t="s">
        <v>129</v>
      </c>
      <c r="C30" s="101">
        <v>44287</v>
      </c>
      <c r="D30" s="102"/>
      <c r="E30" s="102"/>
      <c r="F30" s="103">
        <f t="shared" ca="1" si="12"/>
        <v>893.8800762976573</v>
      </c>
      <c r="G30" s="103">
        <v>-7330</v>
      </c>
      <c r="H30" s="6" t="s">
        <v>1</v>
      </c>
      <c r="I30" s="104" t="str">
        <f t="shared" si="13"/>
        <v>ZAR.DISC.[USD.LIBOR.3M]</v>
      </c>
      <c r="J30" s="104" t="str">
        <f t="shared" si="14"/>
        <v>ICE</v>
      </c>
      <c r="K30" s="105" t="s">
        <v>171</v>
      </c>
      <c r="L30" s="105" t="str">
        <f t="shared" si="15"/>
        <v>0b</v>
      </c>
      <c r="M30" t="str" cm="1">
        <f t="array" aca="1" ref="M30" ca="1">_xll.QIns_CreateAsianSwap("AsiSwap_Fwd_"&amp;ROW(),IF(C30="",D30:E30,C30),B30,H30,0,G30,J30,H30,K30,L30,,I30,IF(H30="USD","None","ATC"))</f>
        <v>AsiSwap_Fwd_30¬5</v>
      </c>
      <c r="N30" s="14" cm="1">
        <f t="array" aca="1" ref="N30" ca="1">_xll.QIns_ProductParRate(M30,AModel)</f>
        <v>893.8800762976573</v>
      </c>
      <c r="O30" t="str" cm="1">
        <f t="array" aca="1" ref="O30" ca="1">_xll.QIns_CreateAsianSwap("AsiSwap_"&amp;ROW(),IF(C30="",D30:E30,C30),B30,H30,F30,G30,J30,H30,K30,L30,,I30,IF(H30="USD","None","ATC"))</f>
        <v>AsiSwap_30¬1</v>
      </c>
      <c r="P30" s="21" cm="1">
        <f t="array" aca="1" ref="P30" ca="1">_xll.QIns_ProductPV(O30,AModel,H30)</f>
        <v>-8.2401210104183272E-10</v>
      </c>
      <c r="Q30" t="str" cm="1">
        <f t="array" aca="1" ref="Q30" ca="1">IF(VLOOKUP(B30,AssetStatic,4,FALSE),_xll.QRisk_PortfolioFxDeltaSpecific("asiOpt_DeltaA"&amp;ROW(),O30,AModel,B30,"ZAR",FALSE),_xll.QRisk_PortfolioDelta("asiOpt_DeltaA"&amp;ROW(),O30,AModel,FALSE))</f>
        <v>asiOpt_DeltaA30¬1</v>
      </c>
      <c r="R30" s="21" cm="1">
        <f t="array" aca="1" ref="R30" ca="1">_xll.QCube_SumAllRows(Q30)</f>
        <v>-7313.0625224592404</v>
      </c>
      <c r="S30" s="93" cm="1">
        <f t="array" aca="1" ref="S30" ca="1">_xll.QIns_QuickPFE(O30,AModel,0.95,"ZAR")</f>
        <v>1236078.1992881063</v>
      </c>
      <c r="U30" s="21"/>
      <c r="V30" s="100"/>
      <c r="X30" s="21"/>
      <c r="Y30" s="100"/>
    </row>
    <row r="31" spans="1:25" x14ac:dyDescent="0.25">
      <c r="A31" s="6"/>
      <c r="B31" s="6"/>
      <c r="C31" s="102"/>
      <c r="D31" s="102"/>
      <c r="E31" s="102"/>
      <c r="F31" s="103"/>
      <c r="G31" s="103"/>
      <c r="H31" s="6"/>
      <c r="I31" s="104"/>
      <c r="J31" s="104"/>
      <c r="K31" s="104"/>
      <c r="L31" s="104"/>
      <c r="V31" t="s">
        <v>21</v>
      </c>
      <c r="W31" t="s">
        <v>1</v>
      </c>
    </row>
    <row r="32" spans="1:25" x14ac:dyDescent="0.25">
      <c r="A32" s="6"/>
      <c r="B32" s="6" t="s">
        <v>129</v>
      </c>
      <c r="C32" s="101">
        <v>43983</v>
      </c>
      <c r="D32" s="102"/>
      <c r="E32" s="102"/>
      <c r="F32" s="103">
        <f t="shared" ref="F32:F42" ca="1" si="16">N32</f>
        <v>1000000</v>
      </c>
      <c r="G32" s="103">
        <v>-7330</v>
      </c>
      <c r="H32" s="6" t="s">
        <v>21</v>
      </c>
      <c r="I32" s="104" t="str">
        <f t="shared" ref="I32:I42" si="17">IF(H32="USD","USD.LIBOR.3M",H32&amp;".DISC.[USD.LIBOR.3M]")</f>
        <v>USD.LIBOR.3M</v>
      </c>
      <c r="J32" s="104" t="str">
        <f t="shared" ref="J32:J42" si="18">VLOOKUP(B32,AssetStatic,3,FALSE)</f>
        <v>ICE</v>
      </c>
      <c r="K32" s="105" t="s">
        <v>171</v>
      </c>
      <c r="L32" s="105" t="str">
        <f t="shared" ref="L32:L42" si="19">VLOOKUP(B32,AssetStatic,2,FALSE)</f>
        <v>0b</v>
      </c>
      <c r="M32" t="str" cm="1">
        <f t="array" aca="1" ref="M32" ca="1">_xll.QIns_CreateAsianSwap("AsiSwap_Fwd_"&amp;ROW(),IF(C32="",D32:E32,C32),B32,H32,0,G32,J32,H32,K32,L32,,I32,IF(H32="USD","None","ATC"))</f>
        <v>AsiSwap_Fwd_32¬5</v>
      </c>
      <c r="N32" s="14" cm="1">
        <f t="array" aca="1" ref="N32" ca="1">_xll.QIns_ProductParRate(M32,AModel)</f>
        <v>1000000</v>
      </c>
      <c r="O32" t="str" cm="1">
        <f t="array" aca="1" ref="O32" ca="1">_xll.QIns_CreateAsianSwap("AsiSwap_"&amp;ROW(),IF(C32="",D32:E32,C32),B32,H32,F32,G32,J32,H32,K32,L32,,I32,IF(H32="USD","None","ATC"))</f>
        <v>AsiSwap_32¬5</v>
      </c>
      <c r="P32" s="21" cm="1">
        <f t="array" aca="1" ref="P32" ca="1">_xll.QIns_ProductPV(O32,AModel,H32)</f>
        <v>0</v>
      </c>
      <c r="Q32" t="str" cm="1">
        <f t="array" aca="1" ref="Q32" ca="1">IF(VLOOKUP(B32,AssetStatic,4,FALSE),_xll.QRisk_PortfolioFxDeltaSpecific("asiOpt_DeltaA"&amp;ROW(),O32,AModel,B32,"ZAR",FALSE),_xll.QRisk_PortfolioDelta("asiOpt_DeltaA"&amp;ROW(),O32,AModel,FALSE))</f>
        <v>asiOpt_DeltaA32¬5</v>
      </c>
      <c r="R32" s="21" cm="1">
        <f t="array" aca="1" ref="R32" ca="1">_xll.QCube_SumAllRows(Q32)</f>
        <v>0</v>
      </c>
      <c r="S32" s="93" cm="1">
        <f t="array" aca="1" ref="S32" ca="1">_xll.QIns_QuickPFE(O32,AModel,0.95,"ZAR")</f>
        <v>0</v>
      </c>
      <c r="U32" s="145">
        <f>C32</f>
        <v>43983</v>
      </c>
      <c r="V32" s="100">
        <f ca="1">F32</f>
        <v>1000000</v>
      </c>
      <c r="W32" s="23">
        <f ca="1">F20</f>
        <v>1000000</v>
      </c>
      <c r="X32" s="21"/>
      <c r="Y32" s="100"/>
    </row>
    <row r="33" spans="1:25" x14ac:dyDescent="0.25">
      <c r="A33" s="6"/>
      <c r="B33" s="6" t="s">
        <v>129</v>
      </c>
      <c r="C33" s="101">
        <v>44013</v>
      </c>
      <c r="D33" s="102"/>
      <c r="E33" s="102"/>
      <c r="F33" s="103">
        <f t="shared" ca="1" si="16"/>
        <v>1000000</v>
      </c>
      <c r="G33" s="103">
        <v>-7330</v>
      </c>
      <c r="H33" s="6" t="s">
        <v>21</v>
      </c>
      <c r="I33" s="104" t="str">
        <f t="shared" si="17"/>
        <v>USD.LIBOR.3M</v>
      </c>
      <c r="J33" s="104" t="str">
        <f t="shared" si="18"/>
        <v>ICE</v>
      </c>
      <c r="K33" s="105" t="s">
        <v>171</v>
      </c>
      <c r="L33" s="105" t="str">
        <f t="shared" si="19"/>
        <v>0b</v>
      </c>
      <c r="M33" t="str" cm="1">
        <f t="array" aca="1" ref="M33" ca="1">_xll.QIns_CreateAsianSwap("AsiSwap_Fwd_"&amp;ROW(),IF(C33="",D33:E33,C33),B33,H33,0,G33,J33,H33,K33,L33,,I33,IF(H33="USD","None","ATC"))</f>
        <v>AsiSwap_Fwd_33¬5</v>
      </c>
      <c r="N33" s="14" cm="1">
        <f t="array" aca="1" ref="N33" ca="1">_xll.QIns_ProductParRate(M33,AModel)</f>
        <v>1000000</v>
      </c>
      <c r="O33" t="str" cm="1">
        <f t="array" aca="1" ref="O33" ca="1">_xll.QIns_CreateAsianSwap("AsiSwap_"&amp;ROW(),IF(C33="",D33:E33,C33),B33,H33,F33,G33,J33,H33,K33,L33,,I33,IF(H33="USD","None","ATC"))</f>
        <v>AsiSwap_33¬5</v>
      </c>
      <c r="P33" s="21" cm="1">
        <f t="array" aca="1" ref="P33" ca="1">_xll.QIns_ProductPV(O33,AModel,H33)</f>
        <v>0</v>
      </c>
      <c r="Q33" t="str" cm="1">
        <f t="array" aca="1" ref="Q33" ca="1">IF(VLOOKUP(B33,AssetStatic,4,FALSE),_xll.QRisk_PortfolioFxDeltaSpecific("asiOpt_DeltaA"&amp;ROW(),O33,AModel,B33,"ZAR",FALSE),_xll.QRisk_PortfolioDelta("asiOpt_DeltaA"&amp;ROW(),O33,AModel,FALSE))</f>
        <v>asiOpt_DeltaA33¬5</v>
      </c>
      <c r="R33" s="21" cm="1">
        <f t="array" aca="1" ref="R33" ca="1">_xll.QCube_SumAllRows(Q33)</f>
        <v>0</v>
      </c>
      <c r="S33" s="93" cm="1">
        <f t="array" aca="1" ref="S33" ca="1">_xll.QIns_QuickPFE(O33,AModel,0.95,"ZAR")</f>
        <v>0</v>
      </c>
      <c r="U33" s="145">
        <f t="shared" ref="U33:U42" si="20">C33</f>
        <v>44013</v>
      </c>
      <c r="V33" s="100">
        <f t="shared" ref="V33:V42" ca="1" si="21">F33</f>
        <v>1000000</v>
      </c>
      <c r="W33" s="23">
        <f t="shared" ref="W33:W42" ca="1" si="22">F21</f>
        <v>1000000</v>
      </c>
      <c r="X33" s="21"/>
      <c r="Y33" s="100"/>
    </row>
    <row r="34" spans="1:25" x14ac:dyDescent="0.25">
      <c r="A34" s="6"/>
      <c r="B34" s="6" t="s">
        <v>129</v>
      </c>
      <c r="C34" s="101">
        <v>44044</v>
      </c>
      <c r="D34" s="102"/>
      <c r="E34" s="102"/>
      <c r="F34" s="103">
        <f t="shared" ca="1" si="16"/>
        <v>1000000</v>
      </c>
      <c r="G34" s="103">
        <v>-7330</v>
      </c>
      <c r="H34" s="6" t="s">
        <v>21</v>
      </c>
      <c r="I34" s="104" t="str">
        <f t="shared" si="17"/>
        <v>USD.LIBOR.3M</v>
      </c>
      <c r="J34" s="104" t="str">
        <f t="shared" si="18"/>
        <v>ICE</v>
      </c>
      <c r="K34" s="105" t="s">
        <v>171</v>
      </c>
      <c r="L34" s="105" t="str">
        <f t="shared" si="19"/>
        <v>0b</v>
      </c>
      <c r="M34" t="str" cm="1">
        <f t="array" aca="1" ref="M34" ca="1">_xll.QIns_CreateAsianSwap("AsiSwap_Fwd_"&amp;ROW(),IF(C34="",D34:E34,C34),B34,H34,0,G34,J34,H34,K34,L34,,I34,IF(H34="USD","None","ATC"))</f>
        <v>AsiSwap_Fwd_34¬5</v>
      </c>
      <c r="N34" s="14" cm="1">
        <f t="array" aca="1" ref="N34" ca="1">_xll.QIns_ProductParRate(M34,AModel)</f>
        <v>1000000</v>
      </c>
      <c r="O34" t="str" cm="1">
        <f t="array" aca="1" ref="O34" ca="1">_xll.QIns_CreateAsianSwap("AsiSwap_"&amp;ROW(),IF(C34="",D34:E34,C34),B34,H34,F34,G34,J34,H34,K34,L34,,I34,IF(H34="USD","None","ATC"))</f>
        <v>AsiSwap_34¬5</v>
      </c>
      <c r="P34" s="21" cm="1">
        <f t="array" aca="1" ref="P34" ca="1">_xll.QIns_ProductPV(O34,AModel,H34)</f>
        <v>0</v>
      </c>
      <c r="Q34" t="str" cm="1">
        <f t="array" aca="1" ref="Q34" ca="1">IF(VLOOKUP(B34,AssetStatic,4,FALSE),_xll.QRisk_PortfolioFxDeltaSpecific("asiOpt_DeltaA"&amp;ROW(),O34,AModel,B34,"ZAR",FALSE),_xll.QRisk_PortfolioDelta("asiOpt_DeltaA"&amp;ROW(),O34,AModel,FALSE))</f>
        <v>asiOpt_DeltaA34¬4</v>
      </c>
      <c r="R34" s="21" cm="1">
        <f t="array" aca="1" ref="R34" ca="1">_xll.QCube_SumAllRows(Q34)</f>
        <v>0</v>
      </c>
      <c r="S34" s="93" cm="1">
        <f t="array" aca="1" ref="S34" ca="1">_xll.QIns_QuickPFE(O34,AModel,0.95,"ZAR")</f>
        <v>0</v>
      </c>
      <c r="U34" s="145">
        <f t="shared" si="20"/>
        <v>44044</v>
      </c>
      <c r="V34" s="100">
        <f t="shared" ca="1" si="21"/>
        <v>1000000</v>
      </c>
      <c r="W34" s="23">
        <f t="shared" ca="1" si="22"/>
        <v>1000000</v>
      </c>
      <c r="X34" s="21"/>
      <c r="Y34" s="100"/>
    </row>
    <row r="35" spans="1:25" x14ac:dyDescent="0.25">
      <c r="A35" s="6"/>
      <c r="B35" s="6" t="s">
        <v>129</v>
      </c>
      <c r="C35" s="101">
        <v>44075</v>
      </c>
      <c r="D35" s="102"/>
      <c r="E35" s="102"/>
      <c r="F35" s="103">
        <f t="shared" ca="1" si="16"/>
        <v>1000000</v>
      </c>
      <c r="G35" s="103">
        <v>-7330</v>
      </c>
      <c r="H35" s="6" t="s">
        <v>21</v>
      </c>
      <c r="I35" s="104" t="str">
        <f t="shared" si="17"/>
        <v>USD.LIBOR.3M</v>
      </c>
      <c r="J35" s="104" t="str">
        <f t="shared" si="18"/>
        <v>ICE</v>
      </c>
      <c r="K35" s="105" t="s">
        <v>171</v>
      </c>
      <c r="L35" s="105" t="str">
        <f t="shared" si="19"/>
        <v>0b</v>
      </c>
      <c r="M35" t="str" cm="1">
        <f t="array" aca="1" ref="M35" ca="1">_xll.QIns_CreateAsianSwap("AsiSwap_Fwd_"&amp;ROW(),IF(C35="",D35:E35,C35),B35,H35,0,G35,J35,H35,K35,L35,,I35,IF(H35="USD","None","ATC"))</f>
        <v>AsiSwap_Fwd_35¬5</v>
      </c>
      <c r="N35" s="14" cm="1">
        <f t="array" aca="1" ref="N35" ca="1">_xll.QIns_ProductParRate(M35,AModel)</f>
        <v>1000000</v>
      </c>
      <c r="O35" t="str" cm="1">
        <f t="array" aca="1" ref="O35" ca="1">_xll.QIns_CreateAsianSwap("AsiSwap_"&amp;ROW(),IF(C35="",D35:E35,C35),B35,H35,F35,G35,J35,H35,K35,L35,,I35,IF(H35="USD","None","ATC"))</f>
        <v>AsiSwap_35¬5</v>
      </c>
      <c r="P35" s="21" cm="1">
        <f t="array" aca="1" ref="P35" ca="1">_xll.QIns_ProductPV(O35,AModel,H35)</f>
        <v>0</v>
      </c>
      <c r="Q35" t="str" cm="1">
        <f t="array" aca="1" ref="Q35" ca="1">IF(VLOOKUP(B35,AssetStatic,4,FALSE),_xll.QRisk_PortfolioFxDeltaSpecific("asiOpt_DeltaA"&amp;ROW(),O35,AModel,B35,"ZAR",FALSE),_xll.QRisk_PortfolioDelta("asiOpt_DeltaA"&amp;ROW(),O35,AModel,FALSE))</f>
        <v>asiOpt_DeltaA35¬5</v>
      </c>
      <c r="R35" s="21" cm="1">
        <f t="array" aca="1" ref="R35" ca="1">_xll.QCube_SumAllRows(Q35)</f>
        <v>0</v>
      </c>
      <c r="S35" s="93" cm="1">
        <f t="array" aca="1" ref="S35" ca="1">_xll.QIns_QuickPFE(O35,AModel,0.95,"ZAR")</f>
        <v>0</v>
      </c>
      <c r="U35" s="145">
        <f t="shared" si="20"/>
        <v>44075</v>
      </c>
      <c r="V35" s="100">
        <f t="shared" ca="1" si="21"/>
        <v>1000000</v>
      </c>
      <c r="W35" s="23">
        <f t="shared" ca="1" si="22"/>
        <v>1000000</v>
      </c>
      <c r="X35" s="21"/>
      <c r="Y35" s="100"/>
    </row>
    <row r="36" spans="1:25" x14ac:dyDescent="0.25">
      <c r="A36" s="6"/>
      <c r="B36" s="6" t="s">
        <v>129</v>
      </c>
      <c r="C36" s="101">
        <v>44105</v>
      </c>
      <c r="D36" s="102"/>
      <c r="E36" s="102"/>
      <c r="F36" s="103">
        <f t="shared" ca="1" si="16"/>
        <v>1000000</v>
      </c>
      <c r="G36" s="103">
        <v>-7330</v>
      </c>
      <c r="H36" s="6" t="s">
        <v>21</v>
      </c>
      <c r="I36" s="104" t="str">
        <f t="shared" si="17"/>
        <v>USD.LIBOR.3M</v>
      </c>
      <c r="J36" s="104" t="str">
        <f t="shared" si="18"/>
        <v>ICE</v>
      </c>
      <c r="K36" s="105" t="s">
        <v>171</v>
      </c>
      <c r="L36" s="105" t="str">
        <f t="shared" si="19"/>
        <v>0b</v>
      </c>
      <c r="M36" t="str" cm="1">
        <f t="array" aca="1" ref="M36" ca="1">_xll.QIns_CreateAsianSwap("AsiSwap_Fwd_"&amp;ROW(),IF(C36="",D36:E36,C36),B36,H36,0,G36,J36,H36,K36,L36,,I36,IF(H36="USD","None","ATC"))</f>
        <v>AsiSwap_Fwd_36¬5</v>
      </c>
      <c r="N36" s="14" cm="1">
        <f t="array" aca="1" ref="N36" ca="1">_xll.QIns_ProductParRate(M36,AModel)</f>
        <v>1000000</v>
      </c>
      <c r="O36" t="str" cm="1">
        <f t="array" aca="1" ref="O36" ca="1">_xll.QIns_CreateAsianSwap("AsiSwap_"&amp;ROW(),IF(C36="",D36:E36,C36),B36,H36,F36,G36,J36,H36,K36,L36,,I36,IF(H36="USD","None","ATC"))</f>
        <v>AsiSwap_36¬5</v>
      </c>
      <c r="P36" s="21" cm="1">
        <f t="array" aca="1" ref="P36" ca="1">_xll.QIns_ProductPV(O36,AModel,H36)</f>
        <v>0</v>
      </c>
      <c r="Q36" t="str" cm="1">
        <f t="array" aca="1" ref="Q36" ca="1">IF(VLOOKUP(B36,AssetStatic,4,FALSE),_xll.QRisk_PortfolioFxDeltaSpecific("asiOpt_DeltaA"&amp;ROW(),O36,AModel,B36,"ZAR",FALSE),_xll.QRisk_PortfolioDelta("asiOpt_DeltaA"&amp;ROW(),O36,AModel,FALSE))</f>
        <v>asiOpt_DeltaA36¬6</v>
      </c>
      <c r="R36" s="21" cm="1">
        <f t="array" aca="1" ref="R36" ca="1">_xll.QCube_SumAllRows(Q36)</f>
        <v>0</v>
      </c>
      <c r="S36" s="93" cm="1">
        <f t="array" aca="1" ref="S36" ca="1">_xll.QIns_QuickPFE(O36,AModel,0.95,"ZAR")</f>
        <v>0</v>
      </c>
      <c r="U36" s="145">
        <f t="shared" si="20"/>
        <v>44105</v>
      </c>
      <c r="V36" s="100">
        <f t="shared" ca="1" si="21"/>
        <v>1000000</v>
      </c>
      <c r="W36" s="23">
        <f t="shared" ca="1" si="22"/>
        <v>1000000</v>
      </c>
      <c r="X36" s="21"/>
      <c r="Y36" s="100"/>
    </row>
    <row r="37" spans="1:25" x14ac:dyDescent="0.25">
      <c r="A37" s="6"/>
      <c r="B37" s="6" t="s">
        <v>129</v>
      </c>
      <c r="C37" s="101">
        <v>44136</v>
      </c>
      <c r="D37" s="102"/>
      <c r="E37" s="102"/>
      <c r="F37" s="103">
        <f t="shared" ca="1" si="16"/>
        <v>1000000</v>
      </c>
      <c r="G37" s="103">
        <v>-7330</v>
      </c>
      <c r="H37" s="6" t="s">
        <v>21</v>
      </c>
      <c r="I37" s="104" t="str">
        <f t="shared" si="17"/>
        <v>USD.LIBOR.3M</v>
      </c>
      <c r="J37" s="104" t="str">
        <f t="shared" si="18"/>
        <v>ICE</v>
      </c>
      <c r="K37" s="105" t="s">
        <v>171</v>
      </c>
      <c r="L37" s="105" t="str">
        <f t="shared" si="19"/>
        <v>0b</v>
      </c>
      <c r="M37" t="str" cm="1">
        <f t="array" aca="1" ref="M37" ca="1">_xll.QIns_CreateAsianSwap("AsiSwap_Fwd_"&amp;ROW(),IF(C37="",D37:E37,C37),B37,H37,0,G37,J37,H37,K37,L37,,I37,IF(H37="USD","None","ATC"))</f>
        <v>AsiSwap_Fwd_37¬5</v>
      </c>
      <c r="N37" s="14" cm="1">
        <f t="array" aca="1" ref="N37" ca="1">_xll.QIns_ProductParRate(M37,AModel)</f>
        <v>1000000</v>
      </c>
      <c r="O37" t="str" cm="1">
        <f t="array" aca="1" ref="O37" ca="1">_xll.QIns_CreateAsianSwap("AsiSwap_"&amp;ROW(),IF(C37="",D37:E37,C37),B37,H37,F37,G37,J37,H37,K37,L37,,I37,IF(H37="USD","None","ATC"))</f>
        <v>AsiSwap_37¬5</v>
      </c>
      <c r="P37" s="21" cm="1">
        <f t="array" aca="1" ref="P37" ca="1">_xll.QIns_ProductPV(O37,AModel,H37)</f>
        <v>0</v>
      </c>
      <c r="Q37" t="str" cm="1">
        <f t="array" aca="1" ref="Q37" ca="1">IF(VLOOKUP(B37,AssetStatic,4,FALSE),_xll.QRisk_PortfolioFxDeltaSpecific("asiOpt_DeltaA"&amp;ROW(),O37,AModel,B37,"ZAR",FALSE),_xll.QRisk_PortfolioDelta("asiOpt_DeltaA"&amp;ROW(),O37,AModel,FALSE))</f>
        <v>asiOpt_DeltaA37¬6</v>
      </c>
      <c r="R37" s="21" cm="1">
        <f t="array" aca="1" ref="R37" ca="1">_xll.QCube_SumAllRows(Q37)</f>
        <v>0</v>
      </c>
      <c r="S37" s="93" cm="1">
        <f t="array" aca="1" ref="S37" ca="1">_xll.QIns_QuickPFE(O37,AModel,0.95,"ZAR")</f>
        <v>0</v>
      </c>
      <c r="U37" s="145">
        <f t="shared" si="20"/>
        <v>44136</v>
      </c>
      <c r="V37" s="100">
        <f t="shared" ca="1" si="21"/>
        <v>1000000</v>
      </c>
      <c r="W37" s="23">
        <f t="shared" ca="1" si="22"/>
        <v>1000000</v>
      </c>
      <c r="X37" s="21"/>
      <c r="Y37" s="100"/>
    </row>
    <row r="38" spans="1:25" x14ac:dyDescent="0.25">
      <c r="A38" s="6"/>
      <c r="B38" s="6" t="s">
        <v>129</v>
      </c>
      <c r="C38" s="101">
        <v>44166</v>
      </c>
      <c r="D38" s="102"/>
      <c r="E38" s="102"/>
      <c r="F38" s="103">
        <f t="shared" ca="1" si="16"/>
        <v>1000000</v>
      </c>
      <c r="G38" s="103">
        <v>-7330</v>
      </c>
      <c r="H38" s="6" t="s">
        <v>21</v>
      </c>
      <c r="I38" s="104" t="str">
        <f t="shared" si="17"/>
        <v>USD.LIBOR.3M</v>
      </c>
      <c r="J38" s="104" t="str">
        <f t="shared" si="18"/>
        <v>ICE</v>
      </c>
      <c r="K38" s="105" t="s">
        <v>171</v>
      </c>
      <c r="L38" s="105" t="str">
        <f t="shared" si="19"/>
        <v>0b</v>
      </c>
      <c r="M38" t="str" cm="1">
        <f t="array" aca="1" ref="M38" ca="1">_xll.QIns_CreateAsianSwap("AsiSwap_Fwd_"&amp;ROW(),IF(C38="",D38:E38,C38),B38,H38,0,G38,J38,H38,K38,L38,,I38,IF(H38="USD","None","ATC"))</f>
        <v>AsiSwap_Fwd_38¬5</v>
      </c>
      <c r="N38" s="14" cm="1">
        <f t="array" aca="1" ref="N38" ca="1">_xll.QIns_ProductParRate(M38,AModel)</f>
        <v>1000000</v>
      </c>
      <c r="O38" t="str" cm="1">
        <f t="array" aca="1" ref="O38" ca="1">_xll.QIns_CreateAsianSwap("AsiSwap_"&amp;ROW(),IF(C38="",D38:E38,C38),B38,H38,F38,G38,J38,H38,K38,L38,,I38,IF(H38="USD","None","ATC"))</f>
        <v>AsiSwap_38¬5</v>
      </c>
      <c r="P38" s="21" cm="1">
        <f t="array" aca="1" ref="P38" ca="1">_xll.QIns_ProductPV(O38,AModel,H38)</f>
        <v>0</v>
      </c>
      <c r="Q38" t="str" cm="1">
        <f t="array" aca="1" ref="Q38" ca="1">IF(VLOOKUP(B38,AssetStatic,4,FALSE),_xll.QRisk_PortfolioFxDeltaSpecific("asiOpt_DeltaA"&amp;ROW(),O38,AModel,B38,"ZAR",FALSE),_xll.QRisk_PortfolioDelta("asiOpt_DeltaA"&amp;ROW(),O38,AModel,FALSE))</f>
        <v>asiOpt_DeltaA38¬6</v>
      </c>
      <c r="R38" s="21" cm="1">
        <f t="array" aca="1" ref="R38" ca="1">_xll.QCube_SumAllRows(Q38)</f>
        <v>0</v>
      </c>
      <c r="S38" s="93" cm="1">
        <f t="array" aca="1" ref="S38" ca="1">_xll.QIns_QuickPFE(O38,AModel,0.95,"ZAR")</f>
        <v>0</v>
      </c>
      <c r="U38" s="145">
        <f t="shared" si="20"/>
        <v>44166</v>
      </c>
      <c r="V38" s="100">
        <f t="shared" ca="1" si="21"/>
        <v>1000000</v>
      </c>
      <c r="W38" s="23">
        <f t="shared" ca="1" si="22"/>
        <v>1000000</v>
      </c>
      <c r="X38" s="21"/>
      <c r="Y38" s="100"/>
    </row>
    <row r="39" spans="1:25" x14ac:dyDescent="0.25">
      <c r="A39" s="6"/>
      <c r="B39" s="6" t="s">
        <v>129</v>
      </c>
      <c r="C39" s="101">
        <v>44197</v>
      </c>
      <c r="D39" s="102"/>
      <c r="E39" s="102"/>
      <c r="F39" s="103">
        <f t="shared" ca="1" si="16"/>
        <v>1000000</v>
      </c>
      <c r="G39" s="103">
        <v>-7330</v>
      </c>
      <c r="H39" s="6" t="s">
        <v>21</v>
      </c>
      <c r="I39" s="104" t="str">
        <f t="shared" si="17"/>
        <v>USD.LIBOR.3M</v>
      </c>
      <c r="J39" s="104" t="str">
        <f t="shared" si="18"/>
        <v>ICE</v>
      </c>
      <c r="K39" s="105" t="s">
        <v>171</v>
      </c>
      <c r="L39" s="105" t="str">
        <f t="shared" si="19"/>
        <v>0b</v>
      </c>
      <c r="M39" t="str" cm="1">
        <f t="array" aca="1" ref="M39" ca="1">_xll.QIns_CreateAsianSwap("AsiSwap_Fwd_"&amp;ROW(),IF(C39="",D39:E39,C39),B39,H39,0,G39,J39,H39,K39,L39,,I39,IF(H39="USD","None","ATC"))</f>
        <v>AsiSwap_Fwd_39¬5</v>
      </c>
      <c r="N39" s="14" cm="1">
        <f t="array" aca="1" ref="N39" ca="1">_xll.QIns_ProductParRate(M39,AModel)</f>
        <v>1000000</v>
      </c>
      <c r="O39" t="str" cm="1">
        <f t="array" aca="1" ref="O39" ca="1">_xll.QIns_CreateAsianSwap("AsiSwap_"&amp;ROW(),IF(C39="",D39:E39,C39),B39,H39,F39,G39,J39,H39,K39,L39,,I39,IF(H39="USD","None","ATC"))</f>
        <v>AsiSwap_39¬5</v>
      </c>
      <c r="P39" s="21" cm="1">
        <f t="array" aca="1" ref="P39" ca="1">_xll.QIns_ProductPV(O39,AModel,H39)</f>
        <v>0</v>
      </c>
      <c r="Q39" t="str" cm="1">
        <f t="array" aca="1" ref="Q39" ca="1">IF(VLOOKUP(B39,AssetStatic,4,FALSE),_xll.QRisk_PortfolioFxDeltaSpecific("asiOpt_DeltaA"&amp;ROW(),O39,AModel,B39,"ZAR",FALSE),_xll.QRisk_PortfolioDelta("asiOpt_DeltaA"&amp;ROW(),O39,AModel,FALSE))</f>
        <v>asiOpt_DeltaA39¬6</v>
      </c>
      <c r="R39" s="21" cm="1">
        <f t="array" aca="1" ref="R39" ca="1">_xll.QCube_SumAllRows(Q39)</f>
        <v>0</v>
      </c>
      <c r="S39" s="93" cm="1">
        <f t="array" aca="1" ref="S39" ca="1">_xll.QIns_QuickPFE(O39,AModel,0.95,"ZAR")</f>
        <v>0</v>
      </c>
      <c r="U39" s="145">
        <f t="shared" si="20"/>
        <v>44197</v>
      </c>
      <c r="V39" s="100">
        <f t="shared" ca="1" si="21"/>
        <v>1000000</v>
      </c>
      <c r="W39" s="23">
        <f t="shared" ca="1" si="22"/>
        <v>1000000</v>
      </c>
      <c r="X39" s="21"/>
      <c r="Y39" s="100"/>
    </row>
    <row r="40" spans="1:25" x14ac:dyDescent="0.25">
      <c r="A40" s="6"/>
      <c r="B40" s="6" t="s">
        <v>129</v>
      </c>
      <c r="C40" s="101">
        <v>44228</v>
      </c>
      <c r="D40" s="102"/>
      <c r="E40" s="102"/>
      <c r="F40" s="103">
        <f t="shared" ca="1" si="16"/>
        <v>60.445499999999996</v>
      </c>
      <c r="G40" s="103">
        <v>-7330</v>
      </c>
      <c r="H40" s="6" t="s">
        <v>21</v>
      </c>
      <c r="I40" s="104" t="str">
        <f t="shared" si="17"/>
        <v>USD.LIBOR.3M</v>
      </c>
      <c r="J40" s="104" t="str">
        <f t="shared" si="18"/>
        <v>ICE</v>
      </c>
      <c r="K40" s="105" t="s">
        <v>171</v>
      </c>
      <c r="L40" s="105" t="str">
        <f t="shared" si="19"/>
        <v>0b</v>
      </c>
      <c r="M40" t="str" cm="1">
        <f t="array" aca="1" ref="M40" ca="1">_xll.QIns_CreateAsianSwap("AsiSwap_Fwd_"&amp;ROW(),IF(C40="",D40:E40,C40),B40,H40,0,G40,J40,H40,K40,L40,,I40,IF(H40="USD","None","ATC"))</f>
        <v>AsiSwap_Fwd_40¬5</v>
      </c>
      <c r="N40" s="14" cm="1">
        <f t="array" aca="1" ref="N40" ca="1">_xll.QIns_ProductParRate(M40,AModel)</f>
        <v>60.445499999999996</v>
      </c>
      <c r="O40" t="str" cm="1">
        <f t="array" aca="1" ref="O40" ca="1">_xll.QIns_CreateAsianSwap("AsiSwap_"&amp;ROW(),IF(C40="",D40:E40,C40),B40,H40,F40,G40,J40,H40,K40,L40,,I40,IF(H40="USD","None","ATC"))</f>
        <v>AsiSwap_40¬1</v>
      </c>
      <c r="P40" s="21" cm="1">
        <f t="array" aca="1" ref="P40" ca="1">_xll.QIns_ProductPV(O40,AModel,H40)</f>
        <v>0</v>
      </c>
      <c r="Q40" t="str" cm="1">
        <f t="array" aca="1" ref="Q40" ca="1">IF(VLOOKUP(B40,AssetStatic,4,FALSE),_xll.QRisk_PortfolioFxDeltaSpecific("asiOpt_DeltaA"&amp;ROW(),O40,AModel,B40,"ZAR",FALSE),_xll.QRisk_PortfolioDelta("asiOpt_DeltaA"&amp;ROW(),O40,AModel,FALSE))</f>
        <v>asiOpt_DeltaA40¬2</v>
      </c>
      <c r="R40" s="21" cm="1">
        <f t="array" aca="1" ref="R40" ca="1">_xll.QCube_SumAllRows(Q40)</f>
        <v>-4031.2939753373298</v>
      </c>
      <c r="S40" s="93" cm="1">
        <f t="array" aca="1" ref="S40" ca="1">_xll.QIns_QuickPFE(O40,AModel,0.95,"ZAR")</f>
        <v>18958.989440295391</v>
      </c>
      <c r="U40" s="145">
        <f t="shared" si="20"/>
        <v>44228</v>
      </c>
      <c r="V40" s="100">
        <f t="shared" ca="1" si="21"/>
        <v>60.445499999999996</v>
      </c>
      <c r="W40" s="23">
        <f t="shared" ca="1" si="22"/>
        <v>893.01430937093892</v>
      </c>
      <c r="X40" s="21"/>
      <c r="Y40" s="100"/>
    </row>
    <row r="41" spans="1:25" x14ac:dyDescent="0.25">
      <c r="A41" s="6"/>
      <c r="B41" s="6" t="s">
        <v>129</v>
      </c>
      <c r="C41" s="101">
        <v>44256</v>
      </c>
      <c r="D41" s="102"/>
      <c r="E41" s="102"/>
      <c r="F41" s="103">
        <f t="shared" ca="1" si="16"/>
        <v>60.900869565217405</v>
      </c>
      <c r="G41" s="103">
        <v>-7330</v>
      </c>
      <c r="H41" s="6" t="s">
        <v>21</v>
      </c>
      <c r="I41" s="104" t="str">
        <f t="shared" si="17"/>
        <v>USD.LIBOR.3M</v>
      </c>
      <c r="J41" s="104" t="str">
        <f t="shared" si="18"/>
        <v>ICE</v>
      </c>
      <c r="K41" s="105" t="s">
        <v>171</v>
      </c>
      <c r="L41" s="105" t="str">
        <f t="shared" si="19"/>
        <v>0b</v>
      </c>
      <c r="M41" t="str" cm="1">
        <f t="array" aca="1" ref="M41" ca="1">_xll.QIns_CreateAsianSwap("AsiSwap_Fwd_"&amp;ROW(),IF(C41="",D41:E41,C41),B41,H41,0,G41,J41,H41,K41,L41,,I41,IF(H41="USD","None","ATC"))</f>
        <v>AsiSwap_Fwd_41¬5</v>
      </c>
      <c r="N41" s="14" cm="1">
        <f t="array" aca="1" ref="N41" ca="1">_xll.QIns_ProductParRate(M41,AModel)</f>
        <v>60.900869565217405</v>
      </c>
      <c r="O41" t="str" cm="1">
        <f t="array" aca="1" ref="O41" ca="1">_xll.QIns_CreateAsianSwap("AsiSwap_"&amp;ROW(),IF(C41="",D41:E41,C41),B41,H41,F41,G41,J41,H41,K41,L41,,I41,IF(H41="USD","None","ATC"))</f>
        <v>AsiSwap_41¬1</v>
      </c>
      <c r="P41" s="21" cm="1">
        <f t="array" aca="1" ref="P41" ca="1">_xll.QIns_ProductPV(O41,AModel,H41)</f>
        <v>0</v>
      </c>
      <c r="Q41" t="str" cm="1">
        <f t="array" aca="1" ref="Q41" ca="1">IF(VLOOKUP(B41,AssetStatic,4,FALSE),_xll.QRisk_PortfolioFxDeltaSpecific("asiOpt_DeltaA"&amp;ROW(),O41,AModel,B41,"ZAR",FALSE),_xll.QRisk_PortfolioDelta("asiOpt_DeltaA"&amp;ROW(),O41,AModel,FALSE))</f>
        <v>asiOpt_DeltaA41¬2</v>
      </c>
      <c r="R41" s="21" cm="1">
        <f t="array" aca="1" ref="R41" ca="1">_xll.QCube_SumAllRows(Q41)</f>
        <v>-7328.6391251417053</v>
      </c>
      <c r="S41" s="93" cm="1">
        <f t="array" aca="1" ref="S41" ca="1">_xll.QIns_QuickPFE(O41,AModel,0.95,"ZAR")</f>
        <v>60147.832341791778</v>
      </c>
      <c r="U41" s="145">
        <f t="shared" si="20"/>
        <v>44256</v>
      </c>
      <c r="V41" s="100">
        <f t="shared" ca="1" si="21"/>
        <v>60.900869565217405</v>
      </c>
      <c r="W41" s="23">
        <f t="shared" ca="1" si="22"/>
        <v>896.52005992971397</v>
      </c>
      <c r="X41" s="21"/>
      <c r="Y41" s="100"/>
    </row>
    <row r="42" spans="1:25" x14ac:dyDescent="0.25">
      <c r="A42" s="6"/>
      <c r="B42" s="6" t="s">
        <v>129</v>
      </c>
      <c r="C42" s="101">
        <v>44287</v>
      </c>
      <c r="D42" s="102"/>
      <c r="E42" s="102"/>
      <c r="F42" s="103">
        <f t="shared" ca="1" si="16"/>
        <v>60.456666666666671</v>
      </c>
      <c r="G42" s="103">
        <v>-7330</v>
      </c>
      <c r="H42" s="6" t="s">
        <v>21</v>
      </c>
      <c r="I42" s="104" t="str">
        <f t="shared" si="17"/>
        <v>USD.LIBOR.3M</v>
      </c>
      <c r="J42" s="104" t="str">
        <f t="shared" si="18"/>
        <v>ICE</v>
      </c>
      <c r="K42" s="105" t="s">
        <v>171</v>
      </c>
      <c r="L42" s="105" t="str">
        <f t="shared" si="19"/>
        <v>0b</v>
      </c>
      <c r="M42" t="str" cm="1">
        <f t="array" aca="1" ref="M42" ca="1">_xll.QIns_CreateAsianSwap("AsiSwap_Fwd_"&amp;ROW(),IF(C42="",D42:E42,C42),B42,H42,0,G42,J42,H42,K42,L42,,I42,IF(H42="USD","None","ATC"))</f>
        <v>AsiSwap_Fwd_42¬5</v>
      </c>
      <c r="N42" s="14" cm="1">
        <f t="array" aca="1" ref="N42" ca="1">_xll.QIns_ProductParRate(M42,AModel)</f>
        <v>60.456666666666671</v>
      </c>
      <c r="O42" t="str" cm="1">
        <f t="array" aca="1" ref="O42" ca="1">_xll.QIns_CreateAsianSwap("AsiSwap_"&amp;ROW(),IF(C42="",D42:E42,C42),B42,H42,F42,G42,J42,H42,K42,L42,,I42,IF(H42="USD","None","ATC"))</f>
        <v>AsiSwap_42¬1</v>
      </c>
      <c r="P42" s="21" cm="1">
        <f t="array" aca="1" ref="P42" ca="1">_xll.QIns_ProductPV(O42,AModel,H42)</f>
        <v>0</v>
      </c>
      <c r="Q42" t="str" cm="1">
        <f t="array" aca="1" ref="Q42" ca="1">IF(VLOOKUP(B42,AssetStatic,4,FALSE),_xll.QRisk_PortfolioFxDeltaSpecific("asiOpt_DeltaA"&amp;ROW(),O42,AModel,B42,"ZAR",FALSE),_xll.QRisk_PortfolioDelta("asiOpt_DeltaA"&amp;ROW(),O42,AModel,FALSE))</f>
        <v>asiOpt_DeltaA42¬2</v>
      </c>
      <c r="R42" s="21" cm="1">
        <f t="array" aca="1" ref="R42" ca="1">_xll.QCube_SumAllRows(Q42)</f>
        <v>-7326.9781964540744</v>
      </c>
      <c r="S42" s="93" cm="1">
        <f t="array" aca="1" ref="S42" ca="1">_xll.QIns_QuickPFE(O42,AModel,0.95,"ZAR")</f>
        <v>85672.325713753758</v>
      </c>
      <c r="U42" s="145">
        <f t="shared" si="20"/>
        <v>44287</v>
      </c>
      <c r="V42" s="100">
        <f t="shared" ca="1" si="21"/>
        <v>60.456666666666671</v>
      </c>
      <c r="W42" s="23">
        <f t="shared" ca="1" si="22"/>
        <v>893.8800762976573</v>
      </c>
      <c r="X42" s="21"/>
      <c r="Y42" s="100"/>
    </row>
    <row r="43" spans="1:25" x14ac:dyDescent="0.25">
      <c r="A43" s="6"/>
      <c r="B43" s="6"/>
      <c r="C43" s="102"/>
      <c r="D43" s="102"/>
      <c r="E43" s="102"/>
      <c r="F43" s="103"/>
      <c r="G43" s="103"/>
      <c r="H43" s="6"/>
      <c r="I43" s="104"/>
      <c r="J43" s="104"/>
      <c r="K43" s="104"/>
      <c r="L43" s="104"/>
    </row>
    <row r="44" spans="1:25" x14ac:dyDescent="0.25">
      <c r="A44" s="6"/>
      <c r="B44" s="6" t="s">
        <v>10</v>
      </c>
      <c r="C44" s="101"/>
      <c r="D44" s="102">
        <v>44607</v>
      </c>
      <c r="E44" s="102">
        <f>D44</f>
        <v>44607</v>
      </c>
      <c r="F44" s="103">
        <f ca="1">N44-10</f>
        <v>1838.8515019355225</v>
      </c>
      <c r="G44" s="103">
        <v>1000</v>
      </c>
      <c r="H44" s="6" t="s">
        <v>21</v>
      </c>
      <c r="I44" s="104" t="str">
        <f t="shared" ref="I44" si="23">IF(H44="USD","USD.LIBOR.3M",H44&amp;".DISC.[USD.LIBOR.3M]")</f>
        <v>USD.LIBOR.3M</v>
      </c>
      <c r="J44" s="104" t="str">
        <f t="shared" ref="J44" si="24">VLOOKUP(B44,AssetStatic,3,FALSE)</f>
        <v>LON</v>
      </c>
      <c r="K44" s="105" t="s">
        <v>171</v>
      </c>
      <c r="L44" s="105" t="str">
        <f t="shared" ref="L44" si="25">VLOOKUP(B44,AssetStatic,2,FALSE)</f>
        <v>2b</v>
      </c>
      <c r="M44" t="str" cm="1">
        <f t="array" aca="1" ref="M44" ca="1">_xll.QIns_CreateAsianSwap("AsiSwap_Fwd_"&amp;ROW(),IF(C44="",D44:E44,C44),B44,H44,0,G44,J44,H44,K44,L44,,I44,IF(H44="USD","None","ATC"))</f>
        <v>AsiSwap_Fwd_44¬5</v>
      </c>
      <c r="N44" s="14" cm="1">
        <f t="array" aca="1" ref="N44" ca="1">_xll.QIns_ProductParRate(M44,AModel)</f>
        <v>1848.8515019355225</v>
      </c>
      <c r="O44" t="str" cm="1">
        <f t="array" aca="1" ref="O44" ca="1">_xll.QIns_CreateAsianSwap("AsiSwap_"&amp;ROW(),IF(C44="",D44:E44,C44),B44,H44,F44,G44,J44,H44,K44,L44,,I44,IF(H44="USD","None","ATC"))</f>
        <v>AsiSwap_44¬5</v>
      </c>
      <c r="P44" s="21" cm="1">
        <f t="array" aca="1" ref="P44" ca="1">_xll.QIns_ProductPV(O44,AModel,H44)</f>
        <v>9982.7251679062265</v>
      </c>
      <c r="Q44" t="str" cm="1">
        <f t="array" aca="1" ref="Q44" ca="1">IF(VLOOKUP(B44,AssetStatic,4,FALSE),_xll.QRisk_PortfolioFxDeltaSpecific("asiOpt_DeltaA"&amp;ROW(),O44,AModel,B44,"ZAR",FALSE),_xll.QRisk_PortfolioDelta("asiOpt_DeltaA"&amp;ROW(),O44,AModel,FALSE))</f>
        <v>asiOpt_DeltaA44¬6</v>
      </c>
      <c r="R44" s="21" cm="1">
        <f t="array" aca="1" ref="R44" ca="1">_xll.QCube_SumAllRows(Q44)</f>
        <v>1000.7816475424725</v>
      </c>
      <c r="S44" s="93" cm="1">
        <f t="array" aca="1" ref="S44" ca="1">_xll.QIns_QuickPFE(O44,AModel,0.95,"ZAR")</f>
        <v>636311.71490822383</v>
      </c>
      <c r="U44" s="145">
        <f t="shared" ref="U44" si="26">C44</f>
        <v>0</v>
      </c>
      <c r="V44" s="100">
        <f t="shared" ref="V44" ca="1" si="27">F44</f>
        <v>1838.8515019355225</v>
      </c>
      <c r="W44" s="23">
        <f t="shared" ref="W44" ca="1" si="28">F32</f>
        <v>1000000</v>
      </c>
      <c r="X44" s="21"/>
      <c r="Y44" s="100"/>
    </row>
    <row r="45" spans="1:25" x14ac:dyDescent="0.25">
      <c r="A45" s="6"/>
      <c r="B45" s="6" t="s">
        <v>10</v>
      </c>
      <c r="C45" s="102"/>
      <c r="D45" s="102">
        <v>44628</v>
      </c>
      <c r="E45" s="102">
        <f t="shared" ref="E45:E46" si="29">D45</f>
        <v>44628</v>
      </c>
      <c r="F45" s="103">
        <f t="shared" ref="F45:F46" ca="1" si="30">N45-10</f>
        <v>1839.0852706071639</v>
      </c>
      <c r="G45" s="103">
        <v>1000</v>
      </c>
      <c r="H45" s="6" t="s">
        <v>21</v>
      </c>
      <c r="I45" s="104" t="str">
        <f t="shared" ref="I45:I46" si="31">IF(H45="USD","USD.LIBOR.3M",H45&amp;".DISC.[USD.LIBOR.3M]")</f>
        <v>USD.LIBOR.3M</v>
      </c>
      <c r="J45" s="104" t="str">
        <f t="shared" ref="J45:J46" si="32">VLOOKUP(B45,AssetStatic,3,FALSE)</f>
        <v>LON</v>
      </c>
      <c r="K45" s="105" t="s">
        <v>171</v>
      </c>
      <c r="L45" s="105" t="str">
        <f t="shared" ref="L45:L46" si="33">VLOOKUP(B45,AssetStatic,2,FALSE)</f>
        <v>2b</v>
      </c>
      <c r="M45" t="str" cm="1">
        <f t="array" aca="1" ref="M45" ca="1">_xll.QIns_CreateAsianSwap("AsiSwap_Fwd_"&amp;ROW(),IF(C45="",D45:E45,C45),B45,H45,0,G45,J45,H45,K45,L45,,I45,IF(H45="USD","None","ATC"))</f>
        <v>AsiSwap_Fwd_45¬5</v>
      </c>
      <c r="N45" s="14" cm="1">
        <f t="array" aca="1" ref="N45" ca="1">_xll.QIns_ProductParRate(M45,AModel)</f>
        <v>1849.0852706071639</v>
      </c>
      <c r="O45" t="str" cm="1">
        <f t="array" aca="1" ref="O45" ca="1">_xll.QIns_CreateAsianSwap("AsiSwap_"&amp;ROW(),IF(C45="",D45:E45,C45),B45,H45,F45,G45,J45,H45,K45,L45,,I45,IF(H45="USD","None","ATC"))</f>
        <v>AsiSwap_45¬5</v>
      </c>
      <c r="P45" s="21" cm="1">
        <f t="array" aca="1" ref="P45" ca="1">_xll.QIns_ProductPV(O45,AModel,H45)</f>
        <v>9981.4591727815114</v>
      </c>
      <c r="Q45" t="str" cm="1">
        <f t="array" aca="1" ref="Q45" ca="1">IF(VLOOKUP(B45,AssetStatic,4,FALSE),_xll.QRisk_PortfolioFxDeltaSpecific("asiOpt_DeltaA"&amp;ROW(),O45,AModel,B45,"ZAR",FALSE),_xll.QRisk_PortfolioDelta("asiOpt_DeltaA"&amp;ROW(),O45,AModel,FALSE))</f>
        <v>asiOpt_DeltaA45¬5</v>
      </c>
      <c r="R45" s="21" cm="1">
        <f t="array" aca="1" ref="R45" ca="1">_xll.QCube_SumAllRows(Q45)</f>
        <v>1000.7812525490433</v>
      </c>
      <c r="S45" s="93" cm="1">
        <f t="array" aca="1" ref="S45" ca="1">_xll.QIns_QuickPFE(O45,AModel,0.95,"ZAR")</f>
        <v>659311.41286967637</v>
      </c>
      <c r="U45" s="145">
        <f t="shared" ref="U45:U47" si="34">C45</f>
        <v>0</v>
      </c>
      <c r="V45" s="100">
        <f t="shared" ref="V45:V47" ca="1" si="35">F45</f>
        <v>1839.0852706071639</v>
      </c>
      <c r="W45" s="23">
        <f t="shared" ref="W45:W47" ca="1" si="36">F33</f>
        <v>1000000</v>
      </c>
    </row>
    <row r="46" spans="1:25" x14ac:dyDescent="0.25">
      <c r="A46" s="6"/>
      <c r="B46" s="6" t="s">
        <v>10</v>
      </c>
      <c r="C46" s="102"/>
      <c r="D46" s="102">
        <v>44734</v>
      </c>
      <c r="E46" s="102">
        <f t="shared" si="29"/>
        <v>44734</v>
      </c>
      <c r="F46" s="103">
        <f t="shared" ca="1" si="30"/>
        <v>1839.8662105356316</v>
      </c>
      <c r="G46" s="103">
        <v>1000</v>
      </c>
      <c r="H46" s="6" t="s">
        <v>21</v>
      </c>
      <c r="I46" s="104" t="str">
        <f t="shared" si="31"/>
        <v>USD.LIBOR.3M</v>
      </c>
      <c r="J46" s="104" t="str">
        <f t="shared" si="32"/>
        <v>LON</v>
      </c>
      <c r="K46" s="105" t="s">
        <v>171</v>
      </c>
      <c r="L46" s="105" t="str">
        <f t="shared" si="33"/>
        <v>2b</v>
      </c>
      <c r="M46" t="str" cm="1">
        <f t="array" aca="1" ref="M46" ca="1">_xll.QIns_CreateAsianSwap("AsiSwap_Fwd_"&amp;ROW(),IF(C46="",D46:E46,C46),B46,H46,0,G46,J46,H46,K46,L46,,I46,IF(H46="USD","None","ATC"))</f>
        <v>AsiSwap_Fwd_46¬5</v>
      </c>
      <c r="N46" s="14" cm="1">
        <f t="array" aca="1" ref="N46" ca="1">_xll.QIns_ProductParRate(M46,AModel)</f>
        <v>1849.8662105356316</v>
      </c>
      <c r="O46" t="str" cm="1">
        <f t="array" aca="1" ref="O46" ca="1">_xll.QIns_CreateAsianSwap("AsiSwap_"&amp;ROW(),IF(C46="",D46:E46,C46),B46,H46,F46,G46,J46,H46,K46,L46,,I46,IF(H46="USD","None","ATC"))</f>
        <v>AsiSwap_46¬5</v>
      </c>
      <c r="P46" s="21" cm="1">
        <f t="array" aca="1" ref="P46" ca="1">_xll.QIns_ProductPV(O46,AModel,H46)</f>
        <v>9976.0795342366473</v>
      </c>
      <c r="Q46" t="str" cm="1">
        <f t="array" aca="1" ref="Q46" ca="1">IF(VLOOKUP(B46,AssetStatic,4,FALSE),_xll.QRisk_PortfolioFxDeltaSpecific("asiOpt_DeltaA"&amp;ROW(),O46,AModel,B46,"ZAR",FALSE),_xll.QRisk_PortfolioDelta("asiOpt_DeltaA"&amp;ROW(),O46,AModel,FALSE))</f>
        <v>asiOpt_DeltaA46¬6</v>
      </c>
      <c r="R46" s="21" cm="1">
        <f t="array" aca="1" ref="R46" ca="1">_xll.QCube_SumAllRows(Q46)</f>
        <v>1000.6643090118176</v>
      </c>
      <c r="S46" s="93" cm="1">
        <f t="array" aca="1" ref="S46" ca="1">_xll.QIns_QuickPFE(O46,AModel,0.95,"ZAR")</f>
        <v>766895.5220535968</v>
      </c>
      <c r="U46" s="145">
        <f t="shared" si="34"/>
        <v>0</v>
      </c>
      <c r="V46" s="100">
        <f t="shared" ca="1" si="35"/>
        <v>1839.8662105356316</v>
      </c>
      <c r="W46" s="23">
        <f t="shared" ca="1" si="36"/>
        <v>1000000</v>
      </c>
    </row>
    <row r="47" spans="1:25" x14ac:dyDescent="0.25">
      <c r="A47" s="6"/>
      <c r="B47" s="6"/>
      <c r="C47" s="102"/>
      <c r="D47" s="102"/>
      <c r="E47" s="102"/>
      <c r="F47" s="103"/>
      <c r="G47" s="103"/>
      <c r="H47" s="6"/>
      <c r="I47" s="104"/>
      <c r="J47" s="104"/>
      <c r="K47" s="105"/>
      <c r="L47" s="105"/>
      <c r="N47" s="14"/>
      <c r="R47" s="21"/>
      <c r="S47" s="93"/>
      <c r="U47" s="145">
        <f t="shared" si="34"/>
        <v>0</v>
      </c>
      <c r="V47" s="100">
        <f t="shared" si="35"/>
        <v>0</v>
      </c>
      <c r="W47" s="23">
        <f t="shared" ca="1" si="36"/>
        <v>1000000</v>
      </c>
    </row>
    <row r="48" spans="1:25" x14ac:dyDescent="0.25">
      <c r="A48" s="6"/>
      <c r="B48" s="6" t="s">
        <v>10</v>
      </c>
      <c r="C48" s="102"/>
      <c r="D48" s="102">
        <v>44473</v>
      </c>
      <c r="E48" s="102">
        <f t="shared" ref="E48" si="37">D48</f>
        <v>44473</v>
      </c>
      <c r="F48" s="103">
        <v>34802</v>
      </c>
      <c r="G48" s="103">
        <v>1000</v>
      </c>
      <c r="H48" s="6" t="s">
        <v>1</v>
      </c>
      <c r="I48" s="104" t="str">
        <f t="shared" ref="I48" si="38">IF(H48="USD","USD.LIBOR.3M",H48&amp;".DISC.[USD.LIBOR.3M]")</f>
        <v>ZAR.DISC.[USD.LIBOR.3M]</v>
      </c>
      <c r="J48" s="104" t="str">
        <f t="shared" ref="J48" si="39">VLOOKUP(B48,AssetStatic,3,FALSE)</f>
        <v>LON</v>
      </c>
      <c r="K48" s="105" t="s">
        <v>171</v>
      </c>
      <c r="L48" s="105" t="str">
        <f t="shared" ref="L48" si="40">VLOOKUP(B48,AssetStatic,2,FALSE)</f>
        <v>2b</v>
      </c>
      <c r="M48" t="str" cm="1">
        <f t="array" aca="1" ref="M48" ca="1">_xll.QIns_CreateAsianSwap("AsiSwap_Fwd_"&amp;ROW(),IF(C48="",D48:E48,C48),B48,H48,0,G48,J48,H48,K48,L48,,I48,IF(H48="USD","None","ATC"))</f>
        <v>AsiSwap_Fwd_48¬5</v>
      </c>
      <c r="N48" s="14" cm="1">
        <f t="array" aca="1" ref="N48" ca="1">_xll.QIns_ProductParRate(M48,AModel)</f>
        <v>27859.980617014324</v>
      </c>
      <c r="O48" t="str" cm="1">
        <f t="array" aca="1" ref="O48" ca="1">_xll.QIns_CreateAsianSwap("AsiSwap_"&amp;ROW(),IF(C48="",D48:E48,C48),B48,H48,F48,G48,J48,H48,K48,L48,,I48,IF(H48="USD","None","ATC"))</f>
        <v>AsiSwap_48¬5</v>
      </c>
      <c r="P48" s="21" cm="1">
        <f t="array" aca="1" ref="P48" ca="1">_xll.QIns_ProductPV(O48,AModel,H48)</f>
        <v>-6735096.7301412346</v>
      </c>
      <c r="Q48" t="str" cm="1">
        <f t="array" aca="1" ref="Q48" ca="1">IF(VLOOKUP(B48,AssetStatic,4,FALSE),_xll.QRisk_PortfolioFxDeltaSpecific("asiOpt_DeltaA"&amp;ROW(),O48,AModel,B48,"ZAR",FALSE),_xll.QRisk_PortfolioDelta("asiOpt_DeltaA"&amp;ROW(),O48,AModel,FALSE))</f>
        <v>asiOpt_DeltaA48¬6</v>
      </c>
      <c r="R48" s="21" cm="1">
        <f t="array" aca="1" ref="R48" ca="1">_xll.QCube_SumAllRows(Q48)</f>
        <v>1000.1562127020189</v>
      </c>
      <c r="S48" s="93" cm="1">
        <f t="array" aca="1" ref="S48" ca="1">_xll.QIns_QuickPFE(O48,AModel,0.95,"ZAR")</f>
        <v>1061165.4324879346</v>
      </c>
      <c r="U48" s="145">
        <f t="shared" ref="U48" si="41">C48</f>
        <v>0</v>
      </c>
      <c r="V48" s="100">
        <f t="shared" ref="V48" si="42">F48</f>
        <v>34802</v>
      </c>
      <c r="W48" s="23">
        <f t="shared" ref="W48" ca="1" si="43">F36</f>
        <v>1000000</v>
      </c>
    </row>
    <row r="49" spans="1:23" x14ac:dyDescent="0.25">
      <c r="A49" s="6"/>
      <c r="B49" s="6" t="s">
        <v>10</v>
      </c>
      <c r="C49" s="102"/>
      <c r="D49" s="102">
        <v>44565</v>
      </c>
      <c r="E49" s="102">
        <f t="shared" ref="E49:E52" si="44">D49</f>
        <v>44565</v>
      </c>
      <c r="F49" s="103">
        <v>35025</v>
      </c>
      <c r="G49" s="103">
        <v>1000</v>
      </c>
      <c r="H49" s="6" t="s">
        <v>1</v>
      </c>
      <c r="I49" s="104" t="str">
        <f t="shared" ref="I49:I52" si="45">IF(H49="USD","USD.LIBOR.3M",H49&amp;".DISC.[USD.LIBOR.3M]")</f>
        <v>ZAR.DISC.[USD.LIBOR.3M]</v>
      </c>
      <c r="J49" s="104" t="str">
        <f t="shared" ref="J49:J52" si="46">VLOOKUP(B49,AssetStatic,3,FALSE)</f>
        <v>LON</v>
      </c>
      <c r="K49" s="105" t="s">
        <v>171</v>
      </c>
      <c r="L49" s="105" t="str">
        <f t="shared" ref="L49:L52" si="47">VLOOKUP(B49,AssetStatic,2,FALSE)</f>
        <v>2b</v>
      </c>
      <c r="M49" t="str" cm="1">
        <f t="array" aca="1" ref="M49" ca="1">_xll.QIns_CreateAsianSwap("AsiSwap_Fwd_"&amp;ROW(),IF(C49="",D49:E49,C49),B49,H49,0,G49,J49,H49,K49,L49,,I49,IF(H49="USD","None","ATC"))</f>
        <v>AsiSwap_Fwd_49¬5</v>
      </c>
      <c r="N49" s="14" cm="1">
        <f t="array" aca="1" ref="N49" ca="1">_xll.QIns_ProductParRate(M49,AModel)</f>
        <v>28168.392876799015</v>
      </c>
      <c r="O49" t="str" cm="1">
        <f t="array" aca="1" ref="O49" ca="1">_xll.QIns_CreateAsianSwap("AsiSwap_"&amp;ROW(),IF(C49="",D49:E49,C49),B49,H49,F49,G49,J49,H49,K49,L49,,I49,IF(H49="USD","None","ATC"))</f>
        <v>AsiSwap_49¬5</v>
      </c>
      <c r="P49" s="21" cm="1">
        <f t="array" aca="1" ref="P49" ca="1">_xll.QIns_ProductPV(O49,AModel,H49)</f>
        <v>-6582057.9868227374</v>
      </c>
      <c r="Q49" t="str" cm="1">
        <f t="array" aca="1" ref="Q49" ca="1">IF(VLOOKUP(B49,AssetStatic,4,FALSE),_xll.QRisk_PortfolioFxDeltaSpecific("asiOpt_DeltaA"&amp;ROW(),O49,AModel,B49,"ZAR",FALSE),_xll.QRisk_PortfolioDelta("asiOpt_DeltaA"&amp;ROW(),O49,AModel,FALSE))</f>
        <v>asiOpt_DeltaA49¬6</v>
      </c>
      <c r="R49" s="21" cm="1">
        <f t="array" aca="1" ref="R49" ca="1">_xll.QCube_SumAllRows(Q49)</f>
        <v>1000.5608814584634</v>
      </c>
      <c r="S49" s="93" cm="1">
        <f t="array" aca="1" ref="S49" ca="1">_xll.QIns_QuickPFE(O49,AModel,0.95,"ZAR")</f>
        <v>2974453.536577479</v>
      </c>
      <c r="U49" s="145">
        <f t="shared" ref="U49:U52" si="48">C49</f>
        <v>0</v>
      </c>
      <c r="V49" s="100">
        <f t="shared" ref="V49:V52" si="49">F49</f>
        <v>35025</v>
      </c>
      <c r="W49" s="23">
        <f t="shared" ref="W49:W52" ca="1" si="50">F37</f>
        <v>1000000</v>
      </c>
    </row>
    <row r="50" spans="1:23" x14ac:dyDescent="0.25">
      <c r="A50" s="6"/>
      <c r="B50" s="6" t="s">
        <v>10</v>
      </c>
      <c r="C50" s="102"/>
      <c r="D50" s="102">
        <v>44698</v>
      </c>
      <c r="E50" s="102">
        <f t="shared" si="44"/>
        <v>44698</v>
      </c>
      <c r="F50" s="103">
        <v>35417</v>
      </c>
      <c r="G50" s="103">
        <v>1000</v>
      </c>
      <c r="H50" s="6" t="s">
        <v>1</v>
      </c>
      <c r="I50" s="104" t="str">
        <f t="shared" si="45"/>
        <v>ZAR.DISC.[USD.LIBOR.3M]</v>
      </c>
      <c r="J50" s="104" t="str">
        <f t="shared" si="46"/>
        <v>LON</v>
      </c>
      <c r="K50" s="105" t="s">
        <v>171</v>
      </c>
      <c r="L50" s="105" t="str">
        <f t="shared" si="47"/>
        <v>2b</v>
      </c>
      <c r="M50" t="str" cm="1">
        <f t="array" aca="1" ref="M50" ca="1">_xll.QIns_CreateAsianSwap("AsiSwap_Fwd_"&amp;ROW(),IF(C50="",D50:E50,C50),B50,H50,0,G50,J50,H50,K50,L50,,I50,IF(H50="USD","None","ATC"))</f>
        <v>AsiSwap_Fwd_50¬5</v>
      </c>
      <c r="N50" s="14" cm="1">
        <f t="array" aca="1" ref="N50" ca="1">_xll.QIns_ProductParRate(M50,AModel)</f>
        <v>28626.647343317069</v>
      </c>
      <c r="O50" t="str" cm="1">
        <f t="array" aca="1" ref="O50" ca="1">_xll.QIns_CreateAsianSwap("AsiSwap_"&amp;ROW(),IF(C50="",D50:E50,C50),B50,H50,F50,G50,J50,H50,K50,L50,,I50,IF(H50="USD","None","ATC"))</f>
        <v>AsiSwap_50¬5</v>
      </c>
      <c r="P50" s="21" cm="1">
        <f t="array" aca="1" ref="P50" ca="1">_xll.QIns_ProductPV(O50,AModel,H50)</f>
        <v>-6415164.7642107401</v>
      </c>
      <c r="Q50" t="str" cm="1">
        <f t="array" aca="1" ref="Q50" ca="1">IF(VLOOKUP(B50,AssetStatic,4,FALSE),_xll.QRisk_PortfolioFxDeltaSpecific("asiOpt_DeltaA"&amp;ROW(),O50,AModel,B50,"ZAR",FALSE),_xll.QRisk_PortfolioDelta("asiOpt_DeltaA"&amp;ROW(),O50,AModel,FALSE))</f>
        <v>asiOpt_DeltaA50¬6</v>
      </c>
      <c r="R50" s="21" cm="1">
        <f t="array" aca="1" ref="R50" ca="1">_xll.QCube_SumAllRows(Q50)</f>
        <v>1000.7255418595372</v>
      </c>
      <c r="S50" s="93" cm="1">
        <f t="array" aca="1" ref="S50" ca="1">_xll.QIns_QuickPFE(O50,AModel,0.95,"ZAR")</f>
        <v>5505456.9927745983</v>
      </c>
      <c r="U50" s="145">
        <f t="shared" si="48"/>
        <v>0</v>
      </c>
      <c r="V50" s="100">
        <f t="shared" si="49"/>
        <v>35417</v>
      </c>
      <c r="W50" s="23">
        <f t="shared" ca="1" si="50"/>
        <v>1000000</v>
      </c>
    </row>
    <row r="51" spans="1:23" x14ac:dyDescent="0.25">
      <c r="A51" s="6"/>
      <c r="B51" s="6" t="s">
        <v>10</v>
      </c>
      <c r="C51" s="102"/>
      <c r="D51" s="102">
        <v>44761</v>
      </c>
      <c r="E51" s="102">
        <f t="shared" si="44"/>
        <v>44761</v>
      </c>
      <c r="F51" s="103">
        <v>35596</v>
      </c>
      <c r="G51" s="103">
        <v>1000</v>
      </c>
      <c r="H51" s="6" t="s">
        <v>1</v>
      </c>
      <c r="I51" s="104" t="str">
        <f t="shared" si="45"/>
        <v>ZAR.DISC.[USD.LIBOR.3M]</v>
      </c>
      <c r="J51" s="104" t="str">
        <f t="shared" si="46"/>
        <v>LON</v>
      </c>
      <c r="K51" s="105" t="s">
        <v>171</v>
      </c>
      <c r="L51" s="105" t="str">
        <f t="shared" si="47"/>
        <v>2b</v>
      </c>
      <c r="M51" t="str" cm="1">
        <f t="array" aca="1" ref="M51" ca="1">_xll.QIns_CreateAsianSwap("AsiSwap_Fwd_"&amp;ROW(),IF(C51="",D51:E51,C51),B51,H51,0,G51,J51,H51,K51,L51,,I51,IF(H51="USD","None","ATC"))</f>
        <v>AsiSwap_Fwd_51¬5</v>
      </c>
      <c r="N51" s="14" cm="1">
        <f t="array" aca="1" ref="N51" ca="1">_xll.QIns_ProductParRate(M51,AModel)</f>
        <v>28843.249840264903</v>
      </c>
      <c r="O51" t="str" cm="1">
        <f t="array" aca="1" ref="O51" ca="1">_xll.QIns_CreateAsianSwap("AsiSwap_"&amp;ROW(),IF(C51="",D51:E51,C51),B51,H51,F51,G51,J51,H51,K51,L51,,I51,IF(H51="USD","None","ATC"))</f>
        <v>AsiSwap_51¬5</v>
      </c>
      <c r="P51" s="21" cm="1">
        <f t="array" aca="1" ref="P51" ca="1">_xll.QIns_ProductPV(O51,AModel,H51)</f>
        <v>-6330961.2318211049</v>
      </c>
      <c r="Q51" t="str" cm="1">
        <f t="array" aca="1" ref="Q51" ca="1">IF(VLOOKUP(B51,AssetStatic,4,FALSE),_xll.QRisk_PortfolioFxDeltaSpecific("asiOpt_DeltaA"&amp;ROW(),O51,AModel,B51,"ZAR",FALSE),_xll.QRisk_PortfolioDelta("asiOpt_DeltaA"&amp;ROW(),O51,AModel,FALSE))</f>
        <v>asiOpt_DeltaA51¬6</v>
      </c>
      <c r="R51" s="21" cm="1">
        <f t="array" aca="1" ref="R51" ca="1">_xll.QCube_SumAllRows(Q51)</f>
        <v>1000.603863886334</v>
      </c>
      <c r="S51" s="93" cm="1">
        <f t="array" aca="1" ref="S51" ca="1">_xll.QIns_QuickPFE(O51,AModel,0.95,"ZAR")</f>
        <v>6645144.4337077625</v>
      </c>
      <c r="U51" s="145">
        <f t="shared" si="48"/>
        <v>0</v>
      </c>
      <c r="V51" s="100">
        <f t="shared" si="49"/>
        <v>35596</v>
      </c>
      <c r="W51" s="23">
        <f t="shared" ca="1" si="50"/>
        <v>1000000</v>
      </c>
    </row>
    <row r="52" spans="1:23" x14ac:dyDescent="0.25">
      <c r="A52" s="6"/>
      <c r="B52" s="6" t="s">
        <v>10</v>
      </c>
      <c r="C52" s="102"/>
      <c r="D52" s="102">
        <v>44802</v>
      </c>
      <c r="E52" s="102">
        <f t="shared" si="44"/>
        <v>44802</v>
      </c>
      <c r="F52" s="103">
        <v>35791</v>
      </c>
      <c r="G52" s="103">
        <v>1000</v>
      </c>
      <c r="H52" s="6" t="s">
        <v>1</v>
      </c>
      <c r="I52" s="104" t="str">
        <f t="shared" si="45"/>
        <v>ZAR.DISC.[USD.LIBOR.3M]</v>
      </c>
      <c r="J52" s="104" t="str">
        <f t="shared" si="46"/>
        <v>LON</v>
      </c>
      <c r="K52" s="105" t="s">
        <v>171</v>
      </c>
      <c r="L52" s="105" t="str">
        <f t="shared" si="47"/>
        <v>2b</v>
      </c>
      <c r="M52" t="str" cm="1">
        <f t="array" aca="1" ref="M52" ca="1">_xll.QIns_CreateAsianSwap("AsiSwap_Fwd_"&amp;ROW(),IF(C52="",D52:E52,C52),B52,H52,0,G52,J52,H52,K52,L52,,I52,IF(H52="USD","None","ATC"))</f>
        <v>AsiSwap_Fwd_52¬5</v>
      </c>
      <c r="N52" s="14" cm="1">
        <f t="array" aca="1" ref="N52" ca="1">_xll.QIns_ProductParRate(M52,AModel)</f>
        <v>28986.080186464602</v>
      </c>
      <c r="O52" t="str" cm="1">
        <f t="array" aca="1" ref="O52" ca="1">_xll.QIns_CreateAsianSwap("AsiSwap_"&amp;ROW(),IF(C52="",D52:E52,C52),B52,H52,F52,G52,J52,H52,K52,L52,,I52,IF(H52="USD","None","ATC"))</f>
        <v>AsiSwap_52¬5</v>
      </c>
      <c r="P52" s="21" cm="1">
        <f t="array" aca="1" ref="P52" ca="1">_xll.QIns_ProductPV(O52,AModel,H52)</f>
        <v>-6347701.822442092</v>
      </c>
      <c r="Q52" t="str" cm="1">
        <f t="array" aca="1" ref="Q52" ca="1">IF(VLOOKUP(B52,AssetStatic,4,FALSE),_xll.QRisk_PortfolioFxDeltaSpecific("asiOpt_DeltaA"&amp;ROW(),O52,AModel,B52,"ZAR",FALSE),_xll.QRisk_PortfolioDelta("asiOpt_DeltaA"&amp;ROW(),O52,AModel,FALSE))</f>
        <v>asiOpt_DeltaA52¬6</v>
      </c>
      <c r="R52" s="21" cm="1">
        <f t="array" aca="1" ref="R52" ca="1">_xll.QCube_SumAllRows(Q52)</f>
        <v>1000.4882828323763</v>
      </c>
      <c r="S52" s="93" cm="1">
        <f t="array" aca="1" ref="S52" ca="1">_xll.QIns_QuickPFE(O52,AModel,0.95,"ZAR")</f>
        <v>7286180.3952892367</v>
      </c>
      <c r="U52" s="145">
        <f t="shared" si="48"/>
        <v>0</v>
      </c>
      <c r="V52" s="100">
        <f t="shared" si="49"/>
        <v>35791</v>
      </c>
      <c r="W52" s="23">
        <f t="shared" ca="1" si="50"/>
        <v>60.445499999999996</v>
      </c>
    </row>
    <row r="53" spans="1:23" x14ac:dyDescent="0.25">
      <c r="A53" s="6"/>
      <c r="B53" s="6" t="s">
        <v>10</v>
      </c>
      <c r="C53" s="102"/>
      <c r="D53" s="102">
        <v>44817</v>
      </c>
      <c r="E53" s="102">
        <f t="shared" ref="E53" si="51">D53</f>
        <v>44817</v>
      </c>
      <c r="F53" s="103">
        <v>35764</v>
      </c>
      <c r="G53" s="103">
        <v>1000</v>
      </c>
      <c r="H53" s="6" t="s">
        <v>1</v>
      </c>
      <c r="I53" s="104" t="str">
        <f t="shared" ref="I53" si="52">IF(H53="USD","USD.LIBOR.3M",H53&amp;".DISC.[USD.LIBOR.3M]")</f>
        <v>ZAR.DISC.[USD.LIBOR.3M]</v>
      </c>
      <c r="J53" s="104" t="str">
        <f t="shared" ref="J53" si="53">VLOOKUP(B53,AssetStatic,3,FALSE)</f>
        <v>LON</v>
      </c>
      <c r="K53" s="105" t="s">
        <v>171</v>
      </c>
      <c r="L53" s="105" t="str">
        <f t="shared" ref="L53" si="54">VLOOKUP(B53,AssetStatic,2,FALSE)</f>
        <v>2b</v>
      </c>
      <c r="M53" t="str" cm="1">
        <f t="array" aca="1" ref="M53" ca="1">_xll.QIns_CreateAsianSwap("AsiSwap_Fwd_"&amp;ROW(),IF(C53="",D53:E53,C53),B53,H53,0,G53,J53,H53,K53,L53,,I53,IF(H53="USD","None","ATC"))</f>
        <v>AsiSwap_Fwd_53¬5</v>
      </c>
      <c r="N53" s="14" cm="1">
        <f t="array" aca="1" ref="N53" ca="1">_xll.QIns_ProductParRate(M53,AModel)</f>
        <v>29039.876353823278</v>
      </c>
      <c r="O53" t="str" cm="1">
        <f t="array" aca="1" ref="O53" ca="1">_xll.QIns_CreateAsianSwap("AsiSwap_"&amp;ROW(),IF(C53="",D53:E53,C53),B53,H53,F53,G53,J53,H53,K53,L53,,I53,IF(H53="USD","None","ATC"))</f>
        <v>AsiSwap_53¬5</v>
      </c>
      <c r="P53" s="21" cm="1">
        <f t="array" aca="1" ref="P53" ca="1">_xll.QIns_ProductPV(O53,AModel,H53)</f>
        <v>-6260405.3797566583</v>
      </c>
      <c r="Q53" t="str" cm="1">
        <f t="array" aca="1" ref="Q53" ca="1">IF(VLOOKUP(B53,AssetStatic,4,FALSE),_xll.QRisk_PortfolioFxDeltaSpecific("asiOpt_DeltaA"&amp;ROW(),O53,AModel,B53,"ZAR",FALSE),_xll.QRisk_PortfolioDelta("asiOpt_DeltaA"&amp;ROW(),O53,AModel,FALSE))</f>
        <v>asiOpt_DeltaA53¬6</v>
      </c>
      <c r="R53" s="21" cm="1">
        <f t="array" aca="1" ref="R53" ca="1">_xll.QCube_SumAllRows(Q53)</f>
        <v>1000.438829802725</v>
      </c>
      <c r="S53" s="93" cm="1">
        <f t="array" aca="1" ref="S53" ca="1">_xll.QIns_QuickPFE(O53,AModel,0.95,"ZAR")</f>
        <v>7616079.0416719178</v>
      </c>
      <c r="U53" s="145">
        <f t="shared" ref="U53" si="55">C53</f>
        <v>0</v>
      </c>
      <c r="V53" s="100">
        <f t="shared" ref="V53" si="56">F53</f>
        <v>35764</v>
      </c>
      <c r="W53" s="23">
        <f t="shared" ref="W53" ca="1" si="57">F41</f>
        <v>60.900869565217405</v>
      </c>
    </row>
    <row r="54" spans="1:23" x14ac:dyDescent="0.25">
      <c r="A54" s="6"/>
      <c r="B54" s="6"/>
      <c r="C54" s="102"/>
      <c r="D54" s="102"/>
      <c r="E54" s="102"/>
      <c r="F54" s="103"/>
      <c r="G54" s="103"/>
      <c r="H54" s="6"/>
      <c r="I54" s="104"/>
      <c r="J54" s="104"/>
      <c r="K54" s="105"/>
      <c r="L54" s="105"/>
      <c r="N54" s="14"/>
      <c r="R54" s="21"/>
      <c r="S54" s="93"/>
      <c r="U54" s="145"/>
      <c r="V54" s="100"/>
      <c r="W54" s="23"/>
    </row>
    <row r="55" spans="1:23" x14ac:dyDescent="0.25">
      <c r="A55" s="6"/>
      <c r="B55" s="6"/>
      <c r="C55" s="102"/>
      <c r="D55" s="102"/>
      <c r="E55" s="102"/>
      <c r="F55" s="103"/>
      <c r="G55" s="103"/>
      <c r="H55" s="6"/>
      <c r="I55" s="104"/>
      <c r="J55" s="104"/>
      <c r="K55" s="105"/>
      <c r="L55" s="105"/>
      <c r="N55" s="14"/>
      <c r="R55" s="21"/>
      <c r="S55" s="93"/>
      <c r="U55" s="145"/>
      <c r="V55" s="100"/>
      <c r="W55" s="23"/>
    </row>
    <row r="56" spans="1:23" x14ac:dyDescent="0.25">
      <c r="A56" s="6"/>
      <c r="B56" s="6"/>
      <c r="C56" s="102"/>
      <c r="D56" s="102"/>
      <c r="E56" s="102"/>
      <c r="F56" s="103" t="s">
        <v>329</v>
      </c>
      <c r="G56" s="103"/>
      <c r="H56" s="6"/>
      <c r="I56" s="104"/>
      <c r="J56" s="104"/>
      <c r="K56" s="105"/>
      <c r="L56" s="105"/>
      <c r="M56" s="185"/>
      <c r="N56" s="14"/>
      <c r="O56" s="185"/>
      <c r="R56" s="21"/>
      <c r="S56" s="93"/>
      <c r="U56" s="145"/>
      <c r="V56" s="100"/>
      <c r="W56" s="23"/>
    </row>
    <row r="57" spans="1:23" x14ac:dyDescent="0.25">
      <c r="A57" s="6"/>
      <c r="B57" s="6"/>
      <c r="C57" s="102"/>
      <c r="D57" s="102"/>
      <c r="E57" s="102"/>
      <c r="F57" s="103"/>
      <c r="G57" s="103"/>
      <c r="H57" s="6"/>
      <c r="I57" s="104"/>
      <c r="J57" s="104"/>
      <c r="K57" s="105"/>
      <c r="L57" s="105"/>
      <c r="M57" s="185"/>
      <c r="N57" s="14"/>
      <c r="O57" s="185"/>
      <c r="R57" s="21"/>
      <c r="S57" s="93"/>
      <c r="U57" s="145"/>
      <c r="V57" s="100"/>
      <c r="W57" s="23"/>
    </row>
    <row r="58" spans="1:23" x14ac:dyDescent="0.25">
      <c r="A58" s="6"/>
      <c r="B58" s="6"/>
      <c r="C58" s="102"/>
      <c r="D58" s="102"/>
      <c r="E58" s="102"/>
      <c r="F58" s="103"/>
      <c r="G58" s="103"/>
      <c r="H58" s="6"/>
      <c r="I58" s="104"/>
      <c r="J58" s="104"/>
      <c r="K58" s="105"/>
      <c r="L58" s="105"/>
      <c r="M58" s="185"/>
      <c r="N58" s="14"/>
      <c r="O58" s="185"/>
      <c r="R58" s="21"/>
      <c r="S58" s="93"/>
      <c r="U58" s="145"/>
      <c r="V58" s="100"/>
      <c r="W58" s="23"/>
    </row>
    <row r="59" spans="1:23" x14ac:dyDescent="0.25">
      <c r="A59" s="6"/>
      <c r="B59" s="6"/>
      <c r="C59" s="102"/>
      <c r="D59" s="102"/>
      <c r="E59" s="102"/>
      <c r="F59" s="103"/>
      <c r="G59" s="103"/>
      <c r="H59" s="6"/>
      <c r="I59" s="104"/>
      <c r="J59" s="104"/>
      <c r="K59" s="105"/>
      <c r="L59" s="105"/>
      <c r="M59" s="185"/>
      <c r="N59" s="14"/>
      <c r="O59" s="185"/>
      <c r="R59" s="21"/>
      <c r="S59" s="93"/>
      <c r="U59" s="145"/>
      <c r="V59" s="100"/>
      <c r="W59" s="23"/>
    </row>
    <row r="60" spans="1:23" x14ac:dyDescent="0.25">
      <c r="A60" s="6"/>
      <c r="B60" s="6"/>
      <c r="C60" s="102"/>
      <c r="D60" s="102"/>
      <c r="E60" s="102"/>
      <c r="F60" s="103"/>
      <c r="G60" s="103"/>
      <c r="H60" s="6"/>
      <c r="I60" s="104"/>
      <c r="J60" s="104"/>
      <c r="K60" s="105"/>
      <c r="L60" s="105"/>
      <c r="M60" s="185"/>
      <c r="N60" s="14"/>
      <c r="O60" s="185"/>
      <c r="R60" s="21"/>
      <c r="S60" s="93"/>
      <c r="U60" s="145"/>
      <c r="V60" s="100"/>
      <c r="W60" s="23"/>
    </row>
    <row r="61" spans="1:23" x14ac:dyDescent="0.25">
      <c r="A61" s="6"/>
      <c r="B61" s="6"/>
      <c r="C61" s="102"/>
      <c r="D61" s="102"/>
      <c r="E61" s="102"/>
      <c r="F61" s="103"/>
      <c r="G61" s="103"/>
      <c r="H61" s="6"/>
      <c r="I61" s="104"/>
      <c r="J61" s="104"/>
      <c r="K61" s="105"/>
      <c r="L61" s="105"/>
      <c r="M61" s="185"/>
      <c r="N61" s="14"/>
      <c r="O61" s="185"/>
      <c r="R61" s="21"/>
      <c r="S61" s="93"/>
      <c r="U61" s="145"/>
      <c r="V61" s="100"/>
      <c r="W61" s="23"/>
    </row>
    <row r="62" spans="1:23" x14ac:dyDescent="0.25">
      <c r="A62" s="6"/>
      <c r="B62" s="6"/>
      <c r="C62" s="102"/>
      <c r="D62" s="102"/>
      <c r="E62" s="102"/>
      <c r="F62" s="103"/>
      <c r="G62" s="103"/>
      <c r="H62" s="6"/>
      <c r="I62" s="104"/>
      <c r="J62" s="104"/>
      <c r="K62" s="105"/>
      <c r="L62" s="105"/>
      <c r="M62" s="185"/>
      <c r="N62" s="14"/>
      <c r="O62" s="185"/>
      <c r="R62" s="21"/>
      <c r="S62" s="93"/>
      <c r="U62" s="145"/>
      <c r="V62" s="100"/>
      <c r="W62" s="23"/>
    </row>
    <row r="63" spans="1:23" x14ac:dyDescent="0.25">
      <c r="A63" s="6"/>
      <c r="B63" s="6"/>
      <c r="C63" s="102"/>
      <c r="D63" s="102"/>
      <c r="E63" s="102"/>
      <c r="F63" s="103"/>
      <c r="G63" s="103"/>
      <c r="H63" s="6"/>
      <c r="I63" s="104"/>
      <c r="J63" s="104"/>
      <c r="K63" s="105"/>
      <c r="L63" s="105"/>
      <c r="M63" s="185"/>
      <c r="N63" s="14"/>
      <c r="O63" s="185"/>
      <c r="R63" s="21"/>
      <c r="S63" s="93"/>
      <c r="U63" s="145"/>
      <c r="V63" s="100"/>
      <c r="W63" s="23"/>
    </row>
    <row r="64" spans="1:23" x14ac:dyDescent="0.25">
      <c r="A64" s="6"/>
      <c r="B64" s="6"/>
      <c r="C64" s="102"/>
      <c r="D64" s="102"/>
      <c r="E64" s="102"/>
      <c r="F64" s="103"/>
      <c r="G64" s="103"/>
      <c r="H64" s="6"/>
      <c r="I64" s="104"/>
      <c r="J64" s="104"/>
      <c r="K64" s="105"/>
      <c r="L64" s="105"/>
      <c r="M64" s="185"/>
      <c r="N64" s="14"/>
      <c r="O64" s="185"/>
      <c r="R64" s="21"/>
      <c r="S64" s="93"/>
      <c r="U64" s="145"/>
      <c r="V64" s="100"/>
      <c r="W64" s="23"/>
    </row>
    <row r="65" spans="1:23" x14ac:dyDescent="0.25">
      <c r="A65" s="6"/>
      <c r="B65" s="6"/>
      <c r="C65" s="102"/>
      <c r="D65" s="102"/>
      <c r="E65" s="102"/>
      <c r="F65" s="103"/>
      <c r="G65" s="103"/>
      <c r="H65" s="6"/>
      <c r="I65" s="104"/>
      <c r="J65" s="104"/>
      <c r="K65" s="105"/>
      <c r="L65" s="105"/>
      <c r="M65" s="185"/>
      <c r="N65" s="14"/>
      <c r="O65" s="185"/>
      <c r="R65" s="21"/>
      <c r="S65" s="93"/>
      <c r="U65" s="145"/>
      <c r="V65" s="100"/>
      <c r="W65" s="23"/>
    </row>
    <row r="66" spans="1:23" x14ac:dyDescent="0.25">
      <c r="A66" s="6"/>
      <c r="B66" s="6"/>
      <c r="C66" s="102"/>
      <c r="D66" s="102"/>
      <c r="E66" s="102"/>
      <c r="F66" s="103"/>
      <c r="G66" s="103"/>
      <c r="H66" s="6"/>
      <c r="I66" s="104"/>
      <c r="J66" s="104"/>
      <c r="K66" s="105"/>
      <c r="L66" s="105"/>
      <c r="N66" s="14"/>
      <c r="R66" s="21"/>
      <c r="S66" s="93"/>
      <c r="U66" s="145"/>
      <c r="V66" s="100"/>
      <c r="W66" s="23"/>
    </row>
    <row r="67" spans="1:23" x14ac:dyDescent="0.25">
      <c r="A67" s="6"/>
      <c r="B67" s="6" t="s">
        <v>104</v>
      </c>
      <c r="C67" s="154">
        <v>44044</v>
      </c>
      <c r="D67" s="102"/>
      <c r="E67" s="102"/>
      <c r="F67" s="103">
        <v>1509</v>
      </c>
      <c r="G67" s="103">
        <v>175</v>
      </c>
      <c r="H67" s="6" t="s">
        <v>21</v>
      </c>
      <c r="I67" s="104" t="str">
        <f t="shared" ref="I67:I70" si="58">IF(H67="USD","USD.LIBOR.3M",H67&amp;".DISC.[USD.LIBOR.3M]")</f>
        <v>USD.LIBOR.3M</v>
      </c>
      <c r="J67" s="104" t="str">
        <f t="shared" ref="J67:J70" si="59">VLOOKUP(B67,AssetStatic,3,FALSE)</f>
        <v>LON</v>
      </c>
      <c r="K67" s="105" t="s">
        <v>171</v>
      </c>
      <c r="L67" s="105" t="str">
        <f t="shared" ref="L67:L70" si="60">VLOOKUP(B67,AssetStatic,2,FALSE)</f>
        <v>2b</v>
      </c>
      <c r="M67" t="str" cm="1">
        <f t="array" aca="1" ref="M67" ca="1">_xll.QIns_CreateAsianSwap("AsiSwap_Fwd_"&amp;ROW(),IF(C67="",D67:E67,C67),B67,H67,0,G67,J67,H67,K67,L67,,I67,IF(H67="USD","None","ATC"))</f>
        <v>AsiSwap_Fwd_67¬5</v>
      </c>
      <c r="N67" s="14" cm="1">
        <f t="array" aca="1" ref="N67" ca="1">_xll.QIns_ProductParRate(M67,AModel)</f>
        <v>1000000</v>
      </c>
      <c r="O67" t="str" cm="1">
        <f t="array" aca="1" ref="O67" ca="1">_xll.QIns_CreateAsianSwap("AsiSwap_"&amp;ROW(),IF(C67="",D67:E67,C67),B67,H67,F67,G67,J67,H67,K67,L67,,I67,IF(H67="USD","None","ATC"))</f>
        <v>AsiSwap_67¬5</v>
      </c>
      <c r="P67" s="21" cm="1">
        <f t="array" aca="1" ref="P67" ca="1">_xll.QIns_ProductPV(O67,AModel,H67)</f>
        <v>0</v>
      </c>
      <c r="Q67" t="str" cm="1">
        <f t="array" aca="1" ref="Q67" ca="1">IF(VLOOKUP(B67,AssetStatic,4,FALSE),_xll.QRisk_PortfolioFxDeltaSpecific("asiOpt_DeltaA"&amp;ROW(),O67,AModel,B67,"ZAR",FALSE),_xll.QRisk_PortfolioDelta("asiOpt_DeltaA"&amp;ROW(),O67,AModel,FALSE))</f>
        <v>asiOpt_DeltaA67¬6</v>
      </c>
      <c r="R67" s="21" cm="1">
        <f t="array" aca="1" ref="R67" ca="1">_xll.QCube_SumAllRows(Q67)</f>
        <v>0</v>
      </c>
      <c r="S67" s="93" cm="1">
        <f t="array" aca="1" ref="S67" ca="1">_xll.QIns_QuickPFE(O67,AModel,0.95,"ZAR")</f>
        <v>0</v>
      </c>
      <c r="U67" s="145">
        <f t="shared" ref="U67:U70" si="61">C67</f>
        <v>44044</v>
      </c>
      <c r="V67" s="100">
        <f t="shared" ref="V67:V70" si="62">F67</f>
        <v>1509</v>
      </c>
      <c r="W67" s="23">
        <f>F43</f>
        <v>0</v>
      </c>
    </row>
    <row r="68" spans="1:23" x14ac:dyDescent="0.25">
      <c r="A68" s="6"/>
      <c r="B68" s="6"/>
      <c r="C68" s="154"/>
      <c r="D68" s="102"/>
      <c r="E68" s="102"/>
      <c r="F68" s="103"/>
      <c r="G68" s="103"/>
      <c r="H68" s="6"/>
      <c r="I68" s="104"/>
      <c r="J68" s="104"/>
      <c r="K68" s="105"/>
      <c r="L68" s="105"/>
      <c r="N68" s="14"/>
      <c r="R68" s="21"/>
      <c r="S68" s="93"/>
      <c r="U68" s="145"/>
      <c r="V68" s="100"/>
      <c r="W68" s="23"/>
    </row>
    <row r="69" spans="1:23" x14ac:dyDescent="0.25">
      <c r="A69" s="6"/>
      <c r="B69" s="6" t="s">
        <v>104</v>
      </c>
      <c r="C69" s="154">
        <v>44501</v>
      </c>
      <c r="D69" s="102"/>
      <c r="E69" s="102"/>
      <c r="F69" s="103">
        <f ca="1">N69-($N$67-$F$67)</f>
        <v>-996377.81787337665</v>
      </c>
      <c r="G69" s="103">
        <v>-100</v>
      </c>
      <c r="H69" s="6" t="s">
        <v>21</v>
      </c>
      <c r="I69" s="104" t="str">
        <f t="shared" si="58"/>
        <v>USD.LIBOR.3M</v>
      </c>
      <c r="J69" s="104" t="str">
        <f t="shared" si="59"/>
        <v>LON</v>
      </c>
      <c r="K69" s="105" t="s">
        <v>171</v>
      </c>
      <c r="L69" s="105" t="str">
        <f t="shared" si="60"/>
        <v>2b</v>
      </c>
      <c r="M69" t="str" cm="1">
        <f t="array" aca="1" ref="M69" ca="1">_xll.QIns_CreateAsianSwap("AsiSwap_Fwd_"&amp;ROW(),IF(C69="",D69:E69,C69),B69,H69,0,G69,J69,H69,K69,L69,,I69,IF(H69="USD","None","ATC"))</f>
        <v>AsiSwap_Fwd_69¬5</v>
      </c>
      <c r="N69" s="14" cm="1">
        <f t="array" aca="1" ref="N69" ca="1">_xll.QIns_ProductParRate(M69,AModel)</f>
        <v>2113.1821266233765</v>
      </c>
      <c r="O69" t="str" cm="1">
        <f t="array" aca="1" ref="O69" ca="1">_xll.QIns_CreateAsianSwap("AsiSwap_"&amp;ROW(),IF(C69="",D69:E69,C69),B69,H69,F69,G69,J69,H69,K69,L69,,I69,IF(H69="USD","None","ATC"))</f>
        <v>AsiSwap_69¬1</v>
      </c>
      <c r="P69" s="21" cm="1">
        <f t="array" aca="1" ref="P69" ca="1">_xll.QIns_ProductPV(O69,AModel,H69)</f>
        <v>-99719491.627115816</v>
      </c>
      <c r="Q69" t="str" cm="1">
        <f t="array" aca="1" ref="Q69" ca="1">IF(VLOOKUP(B69,AssetStatic,4,FALSE),_xll.QRisk_PortfolioFxDeltaSpecific("asiOpt_DeltaA"&amp;ROW(),O69,AModel,B69,"ZAR",FALSE),_xll.QRisk_PortfolioDelta("asiOpt_DeltaA"&amp;ROW(),O69,AModel,FALSE))</f>
        <v>asiOpt_DeltaA69¬1</v>
      </c>
      <c r="R69" s="21" cm="1">
        <f t="array" aca="1" ref="R69" ca="1">_xll.QCube_SumAllRows(Q69)</f>
        <v>-99.993176916245034</v>
      </c>
      <c r="S69" s="93" cm="1">
        <f t="array" aca="1" ref="S69" ca="1">_xll.QIns_QuickPFE(O69,AModel,0.95,"ZAR")</f>
        <v>-99803188.507749408</v>
      </c>
      <c r="U69" s="145">
        <f t="shared" si="61"/>
        <v>44501</v>
      </c>
      <c r="V69" s="100">
        <f t="shared" ca="1" si="62"/>
        <v>-996377.81787337665</v>
      </c>
      <c r="W69" s="23">
        <f ca="1">F45</f>
        <v>1839.0852706071639</v>
      </c>
    </row>
    <row r="70" spans="1:23" x14ac:dyDescent="0.25">
      <c r="A70" s="6"/>
      <c r="B70" s="6" t="s">
        <v>104</v>
      </c>
      <c r="C70" s="154">
        <v>44531</v>
      </c>
      <c r="D70" s="102"/>
      <c r="E70" s="102"/>
      <c r="F70" s="103">
        <f ca="1">N70-($N$67-$F$67)</f>
        <v>-996374.98993197281</v>
      </c>
      <c r="G70" s="103">
        <v>-75</v>
      </c>
      <c r="H70" s="6" t="s">
        <v>21</v>
      </c>
      <c r="I70" s="104" t="str">
        <f t="shared" si="58"/>
        <v>USD.LIBOR.3M</v>
      </c>
      <c r="J70" s="104" t="str">
        <f t="shared" si="59"/>
        <v>LON</v>
      </c>
      <c r="K70" s="105" t="s">
        <v>171</v>
      </c>
      <c r="L70" s="105" t="str">
        <f t="shared" si="60"/>
        <v>2b</v>
      </c>
      <c r="M70" t="str" cm="1">
        <f t="array" aca="1" ref="M70" ca="1">_xll.QIns_CreateAsianSwap("AsiSwap_Fwd_"&amp;ROW(),IF(C70="",D70:E70,C70),B70,H70,0,G70,J70,H70,K70,L70,,I70,IF(H70="USD","None","ATC"))</f>
        <v>AsiSwap_Fwd_70¬5</v>
      </c>
      <c r="N70" s="14" cm="1">
        <f t="array" aca="1" ref="N70" ca="1">_xll.QIns_ProductParRate(M70,AModel)</f>
        <v>2116.0100680272112</v>
      </c>
      <c r="O70" t="str" cm="1">
        <f t="array" aca="1" ref="O70" ca="1">_xll.QIns_CreateAsianSwap("AsiSwap_"&amp;ROW(),IF(C70="",D70:E70,C70),B70,H70,F70,G70,J70,H70,K70,L70,,I70,IF(H70="USD","None","ATC"))</f>
        <v>AsiSwap_70¬1</v>
      </c>
      <c r="P70" s="21" cm="1">
        <f t="array" aca="1" ref="P70" ca="1">_xll.QIns_ProductPV(O70,AModel,H70)</f>
        <v>-74776574.992890552</v>
      </c>
      <c r="Q70" t="str" cm="1">
        <f t="array" aca="1" ref="Q70" ca="1">IF(VLOOKUP(B70,AssetStatic,4,FALSE),_xll.QRisk_PortfolioFxDeltaSpecific("asiOpt_DeltaA"&amp;ROW(),O70,AModel,B70,"ZAR",FALSE),_xll.QRisk_PortfolioDelta("asiOpt_DeltaA"&amp;ROW(),O70,AModel,FALSE))</f>
        <v>asiOpt_DeltaA70¬2</v>
      </c>
      <c r="R70" s="21" cm="1">
        <f t="array" aca="1" ref="R70" ca="1">_xll.QCube_SumAllRows(Q70)</f>
        <v>-74.993263385981919</v>
      </c>
      <c r="S70" s="93" cm="1">
        <f t="array" aca="1" ref="S70" ca="1">_xll.QIns_QuickPFE(O70,AModel,0.95,"ZAR")</f>
        <v>-74850775.803638518</v>
      </c>
      <c r="U70" s="145">
        <f t="shared" si="61"/>
        <v>44531</v>
      </c>
      <c r="V70" s="100">
        <f t="shared" ca="1" si="62"/>
        <v>-996374.98993197281</v>
      </c>
      <c r="W70" s="23">
        <f ca="1">F46</f>
        <v>1839.8662105356316</v>
      </c>
    </row>
    <row r="71" spans="1:23" x14ac:dyDescent="0.25">
      <c r="A71" s="6"/>
      <c r="B71" s="6"/>
      <c r="C71" s="6"/>
      <c r="D71" s="6"/>
      <c r="E71" s="6"/>
      <c r="F71" s="6"/>
      <c r="G71" s="6"/>
      <c r="H71" s="6"/>
      <c r="I71" s="104"/>
      <c r="J71" s="104"/>
      <c r="K71" s="105"/>
      <c r="L71" s="105"/>
      <c r="N71" s="14"/>
      <c r="R71" s="21"/>
      <c r="S71" s="93"/>
      <c r="U71" s="145"/>
      <c r="V71" s="100"/>
      <c r="W71" s="23"/>
    </row>
    <row r="72" spans="1:23" x14ac:dyDescent="0.25">
      <c r="A72" s="6"/>
      <c r="B72" s="6"/>
      <c r="C72" s="6"/>
      <c r="D72" s="6"/>
      <c r="E72" s="6"/>
      <c r="F72" s="6"/>
      <c r="G72" s="6"/>
      <c r="H72" s="6"/>
      <c r="I72" s="104"/>
      <c r="J72" s="104"/>
      <c r="K72" s="105"/>
      <c r="L72" s="105"/>
      <c r="M72" s="1"/>
      <c r="N72" s="14"/>
      <c r="R72" s="21"/>
      <c r="S72" s="93"/>
      <c r="U72" s="145"/>
      <c r="V72" s="100"/>
      <c r="W72" s="23"/>
    </row>
    <row r="73" spans="1:23" x14ac:dyDescent="0.25">
      <c r="A73" s="6"/>
      <c r="B73" s="6"/>
      <c r="C73" s="6"/>
      <c r="D73" s="6"/>
      <c r="E73" s="6"/>
      <c r="F73" s="6"/>
      <c r="G73" s="6"/>
      <c r="H73" s="6"/>
      <c r="I73" s="104"/>
      <c r="J73" s="104"/>
      <c r="K73" s="105"/>
      <c r="L73" s="105"/>
      <c r="M73" s="1"/>
      <c r="N73" s="14"/>
      <c r="R73" s="21"/>
      <c r="S73" s="93"/>
      <c r="U73" s="145"/>
      <c r="V73" s="100"/>
      <c r="W73" s="23"/>
    </row>
    <row r="74" spans="1:23" x14ac:dyDescent="0.25">
      <c r="A74" s="6"/>
      <c r="B74" s="6"/>
      <c r="C74" s="102"/>
      <c r="D74" s="102"/>
      <c r="E74" s="102"/>
      <c r="F74" s="103"/>
      <c r="G74" s="103"/>
      <c r="H74" s="6"/>
      <c r="I74" s="104"/>
      <c r="J74" s="104"/>
      <c r="K74" s="105"/>
      <c r="L74" s="105"/>
      <c r="M74" s="1"/>
      <c r="N74" s="14"/>
      <c r="R74" s="21"/>
      <c r="S74" s="93"/>
      <c r="U74" s="145"/>
      <c r="V74" s="100"/>
      <c r="W74" s="23"/>
    </row>
    <row r="75" spans="1:23" x14ac:dyDescent="0.25">
      <c r="A75" s="6"/>
      <c r="B75" s="6"/>
      <c r="C75" s="102"/>
      <c r="D75" s="102"/>
      <c r="E75" s="102"/>
      <c r="F75" s="103"/>
      <c r="G75" s="103"/>
      <c r="H75" s="6"/>
      <c r="I75" s="104"/>
      <c r="J75" s="104"/>
      <c r="K75" s="104"/>
      <c r="L75" s="104"/>
      <c r="M75" s="1"/>
      <c r="N75" s="14"/>
    </row>
    <row r="76" spans="1:23" x14ac:dyDescent="0.25">
      <c r="A76" s="6"/>
      <c r="B76" s="6"/>
      <c r="C76" s="102"/>
      <c r="D76" s="102"/>
      <c r="E76" s="102"/>
      <c r="F76" s="154"/>
      <c r="G76" s="154"/>
      <c r="H76" s="155"/>
      <c r="I76" s="104"/>
      <c r="J76" s="104"/>
      <c r="K76" s="104"/>
      <c r="L76" s="104"/>
      <c r="M76" s="1"/>
      <c r="N76" s="14"/>
    </row>
    <row r="77" spans="1:23" x14ac:dyDescent="0.25">
      <c r="A77" s="6"/>
      <c r="B77" s="6" t="s">
        <v>104</v>
      </c>
      <c r="C77" s="154">
        <v>44287</v>
      </c>
      <c r="D77" s="102"/>
      <c r="E77" s="102"/>
      <c r="F77" s="103">
        <f ca="1">N77</f>
        <v>30801.279265174606</v>
      </c>
      <c r="G77" s="103">
        <v>9</v>
      </c>
      <c r="H77" s="6" t="s">
        <v>1</v>
      </c>
      <c r="I77" s="104" t="str">
        <f t="shared" ref="I77" si="63">IF(H77="USD","USD.LIBOR.3M",H77&amp;".DISC.[USD.LIBOR.3M]")</f>
        <v>ZAR.DISC.[USD.LIBOR.3M]</v>
      </c>
      <c r="J77" s="104" t="str">
        <f t="shared" ref="J77" si="64">VLOOKUP(B77,AssetStatic,3,FALSE)</f>
        <v>LON</v>
      </c>
      <c r="K77" s="105" t="s">
        <v>171</v>
      </c>
      <c r="L77" s="105" t="str">
        <f t="shared" ref="L77" si="65">VLOOKUP(B77,AssetStatic,2,FALSE)</f>
        <v>2b</v>
      </c>
      <c r="M77" t="str" cm="1">
        <f t="array" aca="1" ref="M77" ca="1">_xll.QIns_CreateAsianSwap("AsiSwap_Fwd_"&amp;ROW(),IF(C77="",D77:E77,C77),B77,H77,0,G77,J77,H77,K77,L77,,I77,IF(H77="USD","None","ATC"))</f>
        <v>AsiSwap_Fwd_77¬5</v>
      </c>
      <c r="N77" s="14" cm="1">
        <f t="array" aca="1" ref="N77" ca="1">_xll.QIns_ProductParRate(M77,AModel)</f>
        <v>30801.279265174606</v>
      </c>
      <c r="O77" t="str" cm="1">
        <f t="array" aca="1" ref="O77" ca="1">_xll.QIns_CreateAsianSwap("AsiSwap_"&amp;ROW(),IF(C77="",D77:E77,C77),B77,H77,F77,G77,J77,H77,K77,L77,,I77,IF(H77="USD","None","ATC"))</f>
        <v>AsiSwap_77¬1</v>
      </c>
      <c r="P77" s="21" cm="1">
        <f t="array" aca="1" ref="P77" ca="1">_xll.QIns_ProductPV(O77,AModel,H77)</f>
        <v>0</v>
      </c>
      <c r="Q77" t="str" cm="1">
        <f t="array" aca="1" ref="Q77" ca="1">IF(VLOOKUP(B77,AssetStatic,4,FALSE),_xll.QRisk_PortfolioFxDeltaSpecific("asiOpt_DeltaA"&amp;ROW(),O77,AModel,B77,"ZAR",FALSE),_xll.QRisk_PortfolioDelta("asiOpt_DeltaA"&amp;ROW(),O77,AModel,FALSE))</f>
        <v>asiOpt_DeltaA77¬2</v>
      </c>
      <c r="R77" s="21" cm="1">
        <f t="array" aca="1" ref="R77" ca="1">_xll.QCube_SumAllRows(Q77)</f>
        <v>8.9827974264128336</v>
      </c>
      <c r="S77" s="93" cm="1">
        <f t="array" aca="1" ref="S77" ca="1">_xll.QIns_QuickPFE(O77,AModel,0.95,"ZAR")</f>
        <v>37046.25427407027</v>
      </c>
      <c r="U77" s="145">
        <f t="shared" ref="U77" si="66">C77</f>
        <v>44287</v>
      </c>
      <c r="V77" s="100">
        <f t="shared" ref="V77" ca="1" si="67">F77</f>
        <v>30801.279265174606</v>
      </c>
      <c r="W77" s="23">
        <f t="shared" ref="W77" ca="1" si="68">F40</f>
        <v>60.445499999999996</v>
      </c>
    </row>
    <row r="78" spans="1:23" x14ac:dyDescent="0.25">
      <c r="A78" s="6"/>
      <c r="B78" s="6" t="s">
        <v>104</v>
      </c>
      <c r="C78" s="154">
        <v>44317</v>
      </c>
      <c r="D78" s="102"/>
      <c r="E78" s="102"/>
      <c r="F78" s="103">
        <f t="shared" ref="F78:F82" ca="1" si="69">N78</f>
        <v>30987.509839832535</v>
      </c>
      <c r="G78" s="103">
        <v>8</v>
      </c>
      <c r="H78" s="6" t="s">
        <v>1</v>
      </c>
      <c r="I78" s="104" t="str">
        <f t="shared" ref="I78:I82" si="70">IF(H78="USD","USD.LIBOR.3M",H78&amp;".DISC.[USD.LIBOR.3M]")</f>
        <v>ZAR.DISC.[USD.LIBOR.3M]</v>
      </c>
      <c r="J78" s="104" t="str">
        <f t="shared" ref="J78:J82" si="71">VLOOKUP(B78,AssetStatic,3,FALSE)</f>
        <v>LON</v>
      </c>
      <c r="K78" s="105" t="s">
        <v>171</v>
      </c>
      <c r="L78" s="105" t="str">
        <f t="shared" ref="L78:L82" si="72">VLOOKUP(B78,AssetStatic,2,FALSE)</f>
        <v>2b</v>
      </c>
      <c r="M78" t="str" cm="1">
        <f t="array" aca="1" ref="M78" ca="1">_xll.QIns_CreateAsianSwap("AsiSwap_Fwd_"&amp;ROW(),IF(C78="",D78:E78,C78),B78,H78,0,G78,J78,H78,K78,L78,,I78,IF(H78="USD","None","ATC"))</f>
        <v>AsiSwap_Fwd_78¬5</v>
      </c>
      <c r="N78" s="14" cm="1">
        <f t="array" aca="1" ref="N78" ca="1">_xll.QIns_ProductParRate(M78,AModel)</f>
        <v>30987.509839832535</v>
      </c>
      <c r="O78" t="str" cm="1">
        <f t="array" aca="1" ref="O78" ca="1">_xll.QIns_CreateAsianSwap("AsiSwap_"&amp;ROW(),IF(C78="",D78:E78,C78),B78,H78,F78,G78,J78,H78,K78,L78,,I78,IF(H78="USD","None","ATC"))</f>
        <v>AsiSwap_78¬1</v>
      </c>
      <c r="P78" s="21" cm="1">
        <f t="array" aca="1" ref="P78" ca="1">_xll.QIns_ProductPV(O78,AModel,H78)</f>
        <v>2.8666348655188174E-11</v>
      </c>
      <c r="Q78" t="str" cm="1">
        <f t="array" aca="1" ref="Q78" ca="1">IF(VLOOKUP(B78,AssetStatic,4,FALSE),_xll.QRisk_PortfolioFxDeltaSpecific("asiOpt_DeltaA"&amp;ROW(),O78,AModel,B78,"ZAR",FALSE),_xll.QRisk_PortfolioDelta("asiOpt_DeltaA"&amp;ROW(),O78,AModel,FALSE))</f>
        <v>asiOpt_DeltaA78¬2</v>
      </c>
      <c r="R78" s="21" cm="1">
        <f t="array" aca="1" ref="R78" ca="1">_xll.QCube_SumAllRows(Q78)</f>
        <v>7.9854075956494164</v>
      </c>
      <c r="S78" s="93" cm="1">
        <f t="array" aca="1" ref="S78" ca="1">_xll.QIns_QuickPFE(O78,AModel,0.95,"ZAR")</f>
        <v>40666.405417101923</v>
      </c>
      <c r="U78" s="145">
        <f t="shared" ref="U78:U82" si="73">C78</f>
        <v>44317</v>
      </c>
      <c r="V78" s="100">
        <f t="shared" ref="V78:V82" ca="1" si="74">F78</f>
        <v>30987.509839832535</v>
      </c>
      <c r="W78" s="23">
        <f t="shared" ref="W78:W82" ca="1" si="75">F41</f>
        <v>60.900869565217405</v>
      </c>
    </row>
    <row r="79" spans="1:23" x14ac:dyDescent="0.25">
      <c r="A79" s="6"/>
      <c r="B79" s="6" t="s">
        <v>104</v>
      </c>
      <c r="C79" s="154">
        <v>44348</v>
      </c>
      <c r="D79" s="102"/>
      <c r="E79" s="102"/>
      <c r="F79" s="103">
        <f t="shared" ca="1" si="69"/>
        <v>31195.458817260471</v>
      </c>
      <c r="G79" s="103">
        <v>8</v>
      </c>
      <c r="H79" s="6" t="s">
        <v>1</v>
      </c>
      <c r="I79" s="104" t="str">
        <f t="shared" si="70"/>
        <v>ZAR.DISC.[USD.LIBOR.3M]</v>
      </c>
      <c r="J79" s="104" t="str">
        <f t="shared" si="71"/>
        <v>LON</v>
      </c>
      <c r="K79" s="105" t="s">
        <v>171</v>
      </c>
      <c r="L79" s="105" t="str">
        <f t="shared" si="72"/>
        <v>2b</v>
      </c>
      <c r="M79" t="str" cm="1">
        <f t="array" aca="1" ref="M79" ca="1">_xll.QIns_CreateAsianSwap("AsiSwap_Fwd_"&amp;ROW(),IF(C79="",D79:E79,C79),B79,H79,0,G79,J79,H79,K79,L79,,I79,IF(H79="USD","None","ATC"))</f>
        <v>AsiSwap_Fwd_79¬5</v>
      </c>
      <c r="N79" s="14" cm="1">
        <f t="array" aca="1" ref="N79" ca="1">_xll.QIns_ProductParRate(M79,AModel)</f>
        <v>31195.458817260471</v>
      </c>
      <c r="O79" t="str" cm="1">
        <f t="array" aca="1" ref="O79" ca="1">_xll.QIns_CreateAsianSwap("AsiSwap_"&amp;ROW(),IF(C79="",D79:E79,C79),B79,H79,F79,G79,J79,H79,K79,L79,,I79,IF(H79="USD","None","ATC"))</f>
        <v>AsiSwap_79¬1</v>
      </c>
      <c r="P79" s="21" cm="1">
        <f t="array" aca="1" ref="P79" ca="1">_xll.QIns_ProductPV(O79,AModel,H79)</f>
        <v>0</v>
      </c>
      <c r="Q79" t="str" cm="1">
        <f t="array" aca="1" ref="Q79" ca="1">IF(VLOOKUP(B79,AssetStatic,4,FALSE),_xll.QRisk_PortfolioFxDeltaSpecific("asiOpt_DeltaA"&amp;ROW(),O79,AModel,B79,"ZAR",FALSE),_xll.QRisk_PortfolioDelta("asiOpt_DeltaA"&amp;ROW(),O79,AModel,FALSE))</f>
        <v>asiOpt_DeltaA79¬2</v>
      </c>
      <c r="R79" s="21" cm="1">
        <f t="array" aca="1" ref="R79" ca="1">_xll.QCube_SumAllRows(Q79)</f>
        <v>7.9862023728870035</v>
      </c>
      <c r="S79" s="93" cm="1">
        <f t="array" aca="1" ref="S79" ca="1">_xll.QIns_QuickPFE(O79,AModel,0.95,"ZAR")</f>
        <v>47510.327212780539</v>
      </c>
      <c r="U79" s="145">
        <f t="shared" si="73"/>
        <v>44348</v>
      </c>
      <c r="V79" s="100">
        <f t="shared" ca="1" si="74"/>
        <v>31195.458817260471</v>
      </c>
      <c r="W79" s="23">
        <f t="shared" ca="1" si="75"/>
        <v>60.456666666666671</v>
      </c>
    </row>
    <row r="80" spans="1:23" x14ac:dyDescent="0.25">
      <c r="A80" s="6"/>
      <c r="B80" s="6" t="s">
        <v>104</v>
      </c>
      <c r="C80" s="154">
        <v>44378</v>
      </c>
      <c r="D80" s="102"/>
      <c r="E80" s="102"/>
      <c r="F80" s="103">
        <f t="shared" ca="1" si="69"/>
        <v>31380.458729478683</v>
      </c>
      <c r="G80" s="103">
        <v>8</v>
      </c>
      <c r="H80" s="6" t="s">
        <v>1</v>
      </c>
      <c r="I80" s="104" t="str">
        <f t="shared" si="70"/>
        <v>ZAR.DISC.[USD.LIBOR.3M]</v>
      </c>
      <c r="J80" s="104" t="str">
        <f t="shared" si="71"/>
        <v>LON</v>
      </c>
      <c r="K80" s="105" t="s">
        <v>171</v>
      </c>
      <c r="L80" s="105" t="str">
        <f t="shared" si="72"/>
        <v>2b</v>
      </c>
      <c r="M80" t="str" cm="1">
        <f t="array" aca="1" ref="M80" ca="1">_xll.QIns_CreateAsianSwap("AsiSwap_Fwd_"&amp;ROW(),IF(C80="",D80:E80,C80),B80,H80,0,G80,J80,H80,K80,L80,,I80,IF(H80="USD","None","ATC"))</f>
        <v>AsiSwap_Fwd_80¬5</v>
      </c>
      <c r="N80" s="14" cm="1">
        <f t="array" aca="1" ref="N80" ca="1">_xll.QIns_ProductParRate(M80,AModel)</f>
        <v>31380.458729478683</v>
      </c>
      <c r="O80" t="str" cm="1">
        <f t="array" aca="1" ref="O80" ca="1">_xll.QIns_CreateAsianSwap("AsiSwap_"&amp;ROW(),IF(C80="",D80:E80,C80),B80,H80,F80,G80,J80,H80,K80,L80,,I80,IF(H80="USD","None","ATC"))</f>
        <v>AsiSwap_80¬1</v>
      </c>
      <c r="P80" s="21" cm="1">
        <f t="array" aca="1" ref="P80" ca="1">_xll.QIns_ProductPV(O80,AModel,H80)</f>
        <v>0</v>
      </c>
      <c r="Q80" t="str" cm="1">
        <f t="array" aca="1" ref="Q80" ca="1">IF(VLOOKUP(B80,AssetStatic,4,FALSE),_xll.QRisk_PortfolioFxDeltaSpecific("asiOpt_DeltaA"&amp;ROW(),O80,AModel,B80,"ZAR",FALSE),_xll.QRisk_PortfolioDelta("asiOpt_DeltaA"&amp;ROW(),O80,AModel,FALSE))</f>
        <v>asiOpt_DeltaA80¬1</v>
      </c>
      <c r="R80" s="21" cm="1">
        <f t="array" aca="1" ref="R80" ca="1">_xll.QCube_SumAllRows(Q80)</f>
        <v>7.9857175734759842</v>
      </c>
      <c r="S80" s="93" cm="1">
        <f t="array" aca="1" ref="S80" ca="1">_xll.QIns_QuickPFE(O80,AModel,0.95,"ZAR")</f>
        <v>53927.529407893308</v>
      </c>
      <c r="U80" s="145">
        <f t="shared" si="73"/>
        <v>44378</v>
      </c>
      <c r="V80" s="100">
        <f t="shared" ca="1" si="74"/>
        <v>31380.458729478683</v>
      </c>
      <c r="W80" s="23">
        <f t="shared" si="75"/>
        <v>0</v>
      </c>
    </row>
    <row r="81" spans="1:23" x14ac:dyDescent="0.25">
      <c r="A81" s="6"/>
      <c r="B81" s="6" t="s">
        <v>104</v>
      </c>
      <c r="C81" s="154">
        <v>44409</v>
      </c>
      <c r="D81" s="102"/>
      <c r="E81" s="102"/>
      <c r="F81" s="103">
        <f t="shared" ca="1" si="69"/>
        <v>31561.995429807786</v>
      </c>
      <c r="G81" s="103">
        <v>9</v>
      </c>
      <c r="H81" s="6" t="s">
        <v>1</v>
      </c>
      <c r="I81" s="104" t="str">
        <f t="shared" si="70"/>
        <v>ZAR.DISC.[USD.LIBOR.3M]</v>
      </c>
      <c r="J81" s="104" t="str">
        <f t="shared" si="71"/>
        <v>LON</v>
      </c>
      <c r="K81" s="105" t="s">
        <v>171</v>
      </c>
      <c r="L81" s="105" t="str">
        <f t="shared" si="72"/>
        <v>2b</v>
      </c>
      <c r="M81" t="str" cm="1">
        <f t="array" aca="1" ref="M81" ca="1">_xll.QIns_CreateAsianSwap("AsiSwap_Fwd_"&amp;ROW(),IF(C81="",D81:E81,C81),B81,H81,0,G81,J81,H81,K81,L81,,I81,IF(H81="USD","None","ATC"))</f>
        <v>AsiSwap_Fwd_81¬5</v>
      </c>
      <c r="N81" s="14" cm="1">
        <f t="array" aca="1" ref="N81" ca="1">_xll.QIns_ProductParRate(M81,AModel)</f>
        <v>31561.995429807786</v>
      </c>
      <c r="O81" t="str" cm="1">
        <f t="array" aca="1" ref="O81" ca="1">_xll.QIns_CreateAsianSwap("AsiSwap_"&amp;ROW(),IF(C81="",D81:E81,C81),B81,H81,F81,G81,J81,H81,K81,L81,,I81,IF(H81="USD","None","ATC"))</f>
        <v>AsiSwap_81¬1</v>
      </c>
      <c r="P81" s="21" cm="1">
        <f t="array" aca="1" ref="P81" ca="1">_xll.QIns_ProductPV(O81,AModel,H81)</f>
        <v>3.1891644795724586E-11</v>
      </c>
      <c r="Q81" t="str" cm="1">
        <f t="array" aca="1" ref="Q81" ca="1">IF(VLOOKUP(B81,AssetStatic,4,FALSE),_xll.QRisk_PortfolioFxDeltaSpecific("asiOpt_DeltaA"&amp;ROW(),O81,AModel,B81,"ZAR",FALSE),_xll.QRisk_PortfolioDelta("asiOpt_DeltaA"&amp;ROW(),O81,AModel,FALSE))</f>
        <v>asiOpt_DeltaA81¬1</v>
      </c>
      <c r="R81" s="21" cm="1">
        <f t="array" aca="1" ref="R81" ca="1">_xll.QCube_SumAllRows(Q81)</f>
        <v>8.9841672353703945</v>
      </c>
      <c r="S81" s="93" cm="1">
        <f t="array" aca="1" ref="S81" ca="1">_xll.QIns_QuickPFE(O81,AModel,0.95,"ZAR")</f>
        <v>67302.814457419125</v>
      </c>
      <c r="U81" s="145">
        <f t="shared" si="73"/>
        <v>44409</v>
      </c>
      <c r="V81" s="100">
        <f t="shared" ca="1" si="74"/>
        <v>31561.995429807786</v>
      </c>
      <c r="W81" s="23">
        <f t="shared" ca="1" si="75"/>
        <v>1838.8515019355225</v>
      </c>
    </row>
    <row r="82" spans="1:23" x14ac:dyDescent="0.25">
      <c r="A82" s="6"/>
      <c r="B82" s="6" t="s">
        <v>104</v>
      </c>
      <c r="C82" s="154">
        <v>44440</v>
      </c>
      <c r="D82" s="102"/>
      <c r="E82" s="102"/>
      <c r="F82" s="103">
        <f t="shared" ca="1" si="69"/>
        <v>31740.317478779212</v>
      </c>
      <c r="G82" s="103">
        <v>8</v>
      </c>
      <c r="H82" s="6" t="s">
        <v>1</v>
      </c>
      <c r="I82" s="104" t="str">
        <f t="shared" si="70"/>
        <v>ZAR.DISC.[USD.LIBOR.3M]</v>
      </c>
      <c r="J82" s="104" t="str">
        <f t="shared" si="71"/>
        <v>LON</v>
      </c>
      <c r="K82" s="105" t="s">
        <v>171</v>
      </c>
      <c r="L82" s="105" t="str">
        <f t="shared" si="72"/>
        <v>2b</v>
      </c>
      <c r="M82" t="str" cm="1">
        <f t="array" aca="1" ref="M82" ca="1">_xll.QIns_CreateAsianSwap("AsiSwap_Fwd_"&amp;ROW(),IF(C82="",D82:E82,C82),B82,H82,0,G82,J82,H82,K82,L82,,I82,IF(H82="USD","None","ATC"))</f>
        <v>AsiSwap_Fwd_82¬5</v>
      </c>
      <c r="N82" s="14" cm="1">
        <f t="array" aca="1" ref="N82" ca="1">_xll.QIns_ProductParRate(M82,AModel)</f>
        <v>31740.317478779212</v>
      </c>
      <c r="O82" t="str" cm="1">
        <f t="array" aca="1" ref="O82" ca="1">_xll.QIns_CreateAsianSwap("AsiSwap_"&amp;ROW(),IF(C82="",D82:E82,C82),B82,H82,F82,G82,J82,H82,K82,L82,,I82,IF(H82="USD","None","ATC"))</f>
        <v>AsiSwap_82¬1</v>
      </c>
      <c r="P82" s="21" cm="1">
        <f t="array" aca="1" ref="P82" ca="1">_xll.QIns_ProductPV(O82,AModel,H82)</f>
        <v>0</v>
      </c>
      <c r="Q82" t="str" cm="1">
        <f t="array" aca="1" ref="Q82" ca="1">IF(VLOOKUP(B82,AssetStatic,4,FALSE),_xll.QRisk_PortfolioFxDeltaSpecific("asiOpt_DeltaA"&amp;ROW(),O82,AModel,B82,"ZAR",FALSE),_xll.QRisk_PortfolioDelta("asiOpt_DeltaA"&amp;ROW(),O82,AModel,FALSE))</f>
        <v>asiOpt_DeltaA82¬1</v>
      </c>
      <c r="R82" s="21" cm="1">
        <f t="array" aca="1" ref="R82" ca="1">_xll.QCube_SumAllRows(Q82)</f>
        <v>7.9859148365476855</v>
      </c>
      <c r="S82" s="93" cm="1">
        <f t="array" aca="1" ref="S82" ca="1">_xll.QIns_QuickPFE(O82,AModel,0.95,"ZAR")</f>
        <v>65373.897047267383</v>
      </c>
      <c r="U82" s="145">
        <f t="shared" si="73"/>
        <v>44440</v>
      </c>
      <c r="V82" s="100">
        <f t="shared" ca="1" si="74"/>
        <v>31740.317478779212</v>
      </c>
      <c r="W82" s="23">
        <f t="shared" ca="1" si="75"/>
        <v>1839.0852706071639</v>
      </c>
    </row>
    <row r="83" spans="1:23" s="185" customFormat="1" x14ac:dyDescent="0.25">
      <c r="A83" s="6"/>
      <c r="B83" s="6"/>
      <c r="C83" s="154"/>
      <c r="D83" s="102"/>
      <c r="E83" s="102"/>
      <c r="F83" s="103"/>
      <c r="G83" s="103"/>
      <c r="H83" s="6"/>
      <c r="I83" s="104"/>
      <c r="J83" s="104"/>
      <c r="K83" s="105"/>
      <c r="L83" s="105"/>
      <c r="N83" s="14"/>
      <c r="P83" s="21"/>
      <c r="R83" s="21"/>
      <c r="S83" s="93"/>
      <c r="U83" s="145"/>
      <c r="V83" s="100"/>
      <c r="W83" s="23"/>
    </row>
    <row r="84" spans="1:23" s="185" customFormat="1" x14ac:dyDescent="0.25">
      <c r="A84" s="6"/>
      <c r="B84" s="6"/>
      <c r="C84" s="154"/>
      <c r="D84" s="102"/>
      <c r="E84" s="102"/>
      <c r="F84" s="103"/>
      <c r="G84" s="103"/>
      <c r="H84" s="6"/>
      <c r="I84" s="104"/>
      <c r="J84" s="104"/>
      <c r="K84" s="105"/>
      <c r="L84" s="105"/>
      <c r="N84" s="14"/>
      <c r="P84" s="21"/>
      <c r="R84" s="21"/>
      <c r="S84" s="93"/>
      <c r="U84" s="145"/>
      <c r="V84" s="100"/>
      <c r="W84" s="23"/>
    </row>
    <row r="85" spans="1:23" x14ac:dyDescent="0.25">
      <c r="A85" s="6"/>
      <c r="B85" s="6" t="s">
        <v>104</v>
      </c>
      <c r="C85" s="154">
        <f>C77</f>
        <v>44287</v>
      </c>
      <c r="D85" s="102"/>
      <c r="E85" s="102"/>
      <c r="F85" s="103">
        <f ca="1">N85</f>
        <v>2083.0322500000002</v>
      </c>
      <c r="G85" s="103">
        <v>75</v>
      </c>
      <c r="H85" s="6" t="s">
        <v>21</v>
      </c>
      <c r="I85" s="104" t="str">
        <f t="shared" ref="I85:I90" si="76">IF(H85="USD","USD.LIBOR.3M",H85&amp;".DISC.[USD.LIBOR.3M]")</f>
        <v>USD.LIBOR.3M</v>
      </c>
      <c r="J85" s="104" t="str">
        <f t="shared" ref="J85:J90" si="77">VLOOKUP(B85,AssetStatic,3,FALSE)</f>
        <v>LON</v>
      </c>
      <c r="K85" s="105" t="s">
        <v>171</v>
      </c>
      <c r="L85" s="105" t="str">
        <f t="shared" ref="L85:L90" si="78">VLOOKUP(B85,AssetStatic,2,FALSE)</f>
        <v>2b</v>
      </c>
      <c r="M85" t="str" cm="1">
        <f t="array" aca="1" ref="M85" ca="1">_xll.QIns_CreateAsianSwap("AsiSwap_Fwd_"&amp;ROW(),IF(C85="",D85:E85,C85),B85,H85,0,G85,J85,H85,K85,L85,,I85,IF(H85="USD","None","ATC"))</f>
        <v>AsiSwap_Fwd_85¬5</v>
      </c>
      <c r="N85" s="14" cm="1">
        <f t="array" aca="1" ref="N85" ca="1">_xll.QIns_ProductParRate(M85,AModel)</f>
        <v>2083.0322500000002</v>
      </c>
      <c r="O85" t="str" cm="1">
        <f t="array" aca="1" ref="O85" ca="1">_xll.QIns_CreateAsianSwap("AsiSwap_"&amp;ROW(),IF(C85="",D85:E85,C85),B85,H85,F85,G85,J85,H85,K85,L85,,I85,IF(H85="USD","None","ATC"))</f>
        <v>AsiSwap_85¬1</v>
      </c>
      <c r="P85" s="21" cm="1">
        <f t="array" aca="1" ref="P85" ca="1">_xll.QIns_ProductPV(O85,AModel,H85)</f>
        <v>0</v>
      </c>
      <c r="Q85" t="str" cm="1">
        <f t="array" aca="1" ref="Q85" ca="1">IF(VLOOKUP(B85,AssetStatic,4,FALSE),_xll.QRisk_PortfolioFxDeltaSpecific("asiOpt_DeltaA"&amp;ROW(),O85,AModel,B85,"ZAR",FALSE),_xll.QRisk_PortfolioDelta("asiOpt_DeltaA"&amp;ROW(),O85,AModel,FALSE))</f>
        <v>asiOpt_DeltaA85¬2</v>
      </c>
      <c r="R85" s="21" cm="1">
        <f t="array" aca="1" ref="R85" ca="1">_xll.QCube_SumAllRows(Q85)</f>
        <v>74.992575882169575</v>
      </c>
      <c r="S85" s="93" cm="1">
        <f t="array" aca="1" ref="S85" ca="1">_xll.QIns_QuickPFE(O85,AModel,0.95,"ZAR")</f>
        <v>18330.985838000219</v>
      </c>
      <c r="U85" s="145">
        <f t="shared" ref="U85:U90" si="79">C85</f>
        <v>44287</v>
      </c>
      <c r="V85" s="100">
        <f t="shared" ref="V85:V90" ca="1" si="80">F85</f>
        <v>2083.0322500000002</v>
      </c>
      <c r="W85" s="23">
        <f t="shared" ref="W85:W90" ca="1" si="81">V77/V85</f>
        <v>14.786751028542454</v>
      </c>
    </row>
    <row r="86" spans="1:23" x14ac:dyDescent="0.25">
      <c r="A86" s="6"/>
      <c r="B86" s="6" t="s">
        <v>104</v>
      </c>
      <c r="C86" s="154">
        <f t="shared" ref="C86:C90" si="82">C78</f>
        <v>44317</v>
      </c>
      <c r="D86" s="102"/>
      <c r="E86" s="102"/>
      <c r="F86" s="103">
        <f t="shared" ref="F86:F90" ca="1" si="83">N86</f>
        <v>2087.6747869674182</v>
      </c>
      <c r="G86" s="103">
        <v>50</v>
      </c>
      <c r="H86" s="6" t="s">
        <v>21</v>
      </c>
      <c r="I86" s="104" t="str">
        <f t="shared" si="76"/>
        <v>USD.LIBOR.3M</v>
      </c>
      <c r="J86" s="104" t="str">
        <f t="shared" si="77"/>
        <v>LON</v>
      </c>
      <c r="K86" s="105" t="s">
        <v>171</v>
      </c>
      <c r="L86" s="105" t="str">
        <f t="shared" si="78"/>
        <v>2b</v>
      </c>
      <c r="M86" t="str" cm="1">
        <f t="array" aca="1" ref="M86" ca="1">_xll.QIns_CreateAsianSwap("AsiSwap_Fwd_"&amp;ROW(),IF(C86="",D86:E86,C86),B86,H86,0,G86,J86,H86,K86,L86,,I86,IF(H86="USD","None","ATC"))</f>
        <v>AsiSwap_Fwd_86¬5</v>
      </c>
      <c r="N86" s="14" cm="1">
        <f t="array" aca="1" ref="N86" ca="1">_xll.QIns_ProductParRate(M86,AModel)</f>
        <v>2087.6747869674182</v>
      </c>
      <c r="O86" t="str" cm="1">
        <f t="array" aca="1" ref="O86" ca="1">_xll.QIns_CreateAsianSwap("AsiSwap_"&amp;ROW(),IF(C86="",D86:E86,C86),B86,H86,F86,G86,J86,H86,K86,L86,,I86,IF(H86="USD","None","ATC"))</f>
        <v>AsiSwap_86¬1</v>
      </c>
      <c r="P86" s="21" cm="1">
        <f t="array" aca="1" ref="P86" ca="1">_xll.QIns_ProductPV(O86,AModel,H86)</f>
        <v>0</v>
      </c>
      <c r="Q86" t="str" cm="1">
        <f t="array" aca="1" ref="Q86" ca="1">IF(VLOOKUP(B86,AssetStatic,4,FALSE),_xll.QRisk_PortfolioFxDeltaSpecific("asiOpt_DeltaA"&amp;ROW(),O86,AModel,B86,"ZAR",FALSE),_xll.QRisk_PortfolioDelta("asiOpt_DeltaA"&amp;ROW(),O86,AModel,FALSE))</f>
        <v>asiOpt_DeltaA86¬2</v>
      </c>
      <c r="R86" s="21" cm="1">
        <f t="array" aca="1" ref="R86" ca="1">_xll.QCube_SumAllRows(Q86)</f>
        <v>49.998406859852274</v>
      </c>
      <c r="S86" s="93" cm="1">
        <f t="array" aca="1" ref="S86" ca="1">_xll.QIns_QuickPFE(O86,AModel,0.95,"ZAR")</f>
        <v>14949.180782955682</v>
      </c>
      <c r="U86" s="145">
        <f t="shared" si="79"/>
        <v>44317</v>
      </c>
      <c r="V86" s="100">
        <f t="shared" ca="1" si="80"/>
        <v>2087.6747869674182</v>
      </c>
      <c r="W86" s="23">
        <f t="shared" ca="1" si="81"/>
        <v>14.843073276199963</v>
      </c>
    </row>
    <row r="87" spans="1:23" x14ac:dyDescent="0.25">
      <c r="A87" s="6"/>
      <c r="B87" s="6" t="s">
        <v>104</v>
      </c>
      <c r="C87" s="154">
        <f t="shared" si="82"/>
        <v>44348</v>
      </c>
      <c r="D87" s="102"/>
      <c r="E87" s="102"/>
      <c r="F87" s="103">
        <f t="shared" ca="1" si="83"/>
        <v>2093.6741991341992</v>
      </c>
      <c r="G87" s="103">
        <v>50</v>
      </c>
      <c r="H87" s="6" t="s">
        <v>21</v>
      </c>
      <c r="I87" s="104" t="str">
        <f t="shared" si="76"/>
        <v>USD.LIBOR.3M</v>
      </c>
      <c r="J87" s="104" t="str">
        <f t="shared" si="77"/>
        <v>LON</v>
      </c>
      <c r="K87" s="105" t="s">
        <v>171</v>
      </c>
      <c r="L87" s="105" t="str">
        <f t="shared" si="78"/>
        <v>2b</v>
      </c>
      <c r="M87" t="str" cm="1">
        <f t="array" aca="1" ref="M87" ca="1">_xll.QIns_CreateAsianSwap("AsiSwap_Fwd_"&amp;ROW(),IF(C87="",D87:E87,C87),B87,H87,0,G87,J87,H87,K87,L87,,I87,IF(H87="USD","None","ATC"))</f>
        <v>AsiSwap_Fwd_87¬5</v>
      </c>
      <c r="N87" s="14" cm="1">
        <f t="array" aca="1" ref="N87" ca="1">_xll.QIns_ProductParRate(M87,AModel)</f>
        <v>2093.6741991341992</v>
      </c>
      <c r="O87" t="str" cm="1">
        <f t="array" aca="1" ref="O87" ca="1">_xll.QIns_CreateAsianSwap("AsiSwap_"&amp;ROW(),IF(C87="",D87:E87,C87),B87,H87,F87,G87,J87,H87,K87,L87,,I87,IF(H87="USD","None","ATC"))</f>
        <v>AsiSwap_87¬1</v>
      </c>
      <c r="P87" s="21" cm="1">
        <f t="array" aca="1" ref="P87" ca="1">_xll.QIns_ProductPV(O87,AModel,H87)</f>
        <v>0</v>
      </c>
      <c r="Q87" t="str" cm="1">
        <f t="array" aca="1" ref="Q87" ca="1">IF(VLOOKUP(B87,AssetStatic,4,FALSE),_xll.QRisk_PortfolioFxDeltaSpecific("asiOpt_DeltaA"&amp;ROW(),O87,AModel,B87,"ZAR",FALSE),_xll.QRisk_PortfolioDelta("asiOpt_DeltaA"&amp;ROW(),O87,AModel,FALSE))</f>
        <v>asiOpt_DeltaA87¬3</v>
      </c>
      <c r="R87" s="21" cm="1">
        <f t="array" aca="1" ref="R87" ca="1">_xll.QCube_SumAllRows(Q87)</f>
        <v>49.997846542897506</v>
      </c>
      <c r="S87" s="93" cm="1">
        <f t="array" aca="1" ref="S87" ca="1">_xll.QIns_QuickPFE(O87,AModel,0.95,"ZAR")</f>
        <v>17330.751007438244</v>
      </c>
      <c r="U87" s="145">
        <f t="shared" si="79"/>
        <v>44348</v>
      </c>
      <c r="V87" s="100">
        <f t="shared" ca="1" si="80"/>
        <v>2093.6741991341992</v>
      </c>
      <c r="W87" s="23">
        <f t="shared" ca="1" si="81"/>
        <v>14.899863039894548</v>
      </c>
    </row>
    <row r="88" spans="1:23" x14ac:dyDescent="0.25">
      <c r="A88" s="6"/>
      <c r="B88" s="6" t="s">
        <v>104</v>
      </c>
      <c r="C88" s="154">
        <f t="shared" si="82"/>
        <v>44378</v>
      </c>
      <c r="D88" s="102"/>
      <c r="E88" s="102"/>
      <c r="F88" s="103">
        <f t="shared" ca="1" si="83"/>
        <v>2098.3628084415586</v>
      </c>
      <c r="G88" s="103">
        <v>25</v>
      </c>
      <c r="H88" s="6" t="s">
        <v>21</v>
      </c>
      <c r="I88" s="104" t="str">
        <f t="shared" si="76"/>
        <v>USD.LIBOR.3M</v>
      </c>
      <c r="J88" s="104" t="str">
        <f t="shared" si="77"/>
        <v>LON</v>
      </c>
      <c r="K88" s="105" t="s">
        <v>171</v>
      </c>
      <c r="L88" s="105" t="str">
        <f t="shared" si="78"/>
        <v>2b</v>
      </c>
      <c r="M88" t="str" cm="1">
        <f t="array" aca="1" ref="M88" ca="1">_xll.QIns_CreateAsianSwap("AsiSwap_Fwd_"&amp;ROW(),IF(C88="",D88:E88,C88),B88,H88,0,G88,J88,H88,K88,L88,,I88,IF(H88="USD","None","ATC"))</f>
        <v>AsiSwap_Fwd_88¬5</v>
      </c>
      <c r="N88" s="14" cm="1">
        <f t="array" aca="1" ref="N88" ca="1">_xll.QIns_ProductParRate(M88,AModel)</f>
        <v>2098.3628084415586</v>
      </c>
      <c r="O88" t="str" cm="1">
        <f t="array" aca="1" ref="O88" ca="1">_xll.QIns_CreateAsianSwap("AsiSwap_"&amp;ROW(),IF(C88="",D88:E88,C88),B88,H88,F88,G88,J88,H88,K88,L88,,I88,IF(H88="USD","None","ATC"))</f>
        <v>AsiSwap_88¬1</v>
      </c>
      <c r="P88" s="21" cm="1">
        <f t="array" aca="1" ref="P88" ca="1">_xll.QIns_ProductPV(O88,AModel,H88)</f>
        <v>0</v>
      </c>
      <c r="Q88" t="str" cm="1">
        <f t="array" aca="1" ref="Q88" ca="1">IF(VLOOKUP(B88,AssetStatic,4,FALSE),_xll.QRisk_PortfolioFxDeltaSpecific("asiOpt_DeltaA"&amp;ROW(),O88,AModel,B88,"ZAR",FALSE),_xll.QRisk_PortfolioDelta("asiOpt_DeltaA"&amp;ROW(),O88,AModel,FALSE))</f>
        <v>asiOpt_DeltaA88¬2</v>
      </c>
      <c r="R88" s="21" cm="1">
        <f t="array" aca="1" ref="R88" ca="1">_xll.QCube_SumAllRows(Q88)</f>
        <v>24.998341140127252</v>
      </c>
      <c r="S88" s="93" cm="1">
        <f t="array" aca="1" ref="S88" ca="1">_xll.QIns_QuickPFE(O88,AModel,0.95,"ZAR")</f>
        <v>9769.148109588059</v>
      </c>
      <c r="U88" s="145">
        <f t="shared" si="79"/>
        <v>44378</v>
      </c>
      <c r="V88" s="100">
        <f t="shared" ca="1" si="80"/>
        <v>2098.3628084415586</v>
      </c>
      <c r="W88" s="23">
        <f t="shared" ca="1" si="81"/>
        <v>14.954734521235991</v>
      </c>
    </row>
    <row r="89" spans="1:23" x14ac:dyDescent="0.25">
      <c r="A89" s="6"/>
      <c r="B89" s="6" t="s">
        <v>104</v>
      </c>
      <c r="C89" s="154">
        <f t="shared" si="82"/>
        <v>44409</v>
      </c>
      <c r="D89" s="102"/>
      <c r="E89" s="102"/>
      <c r="F89" s="103">
        <f t="shared" ca="1" si="83"/>
        <v>2103.262193877551</v>
      </c>
      <c r="G89" s="103">
        <v>25</v>
      </c>
      <c r="H89" s="6" t="s">
        <v>21</v>
      </c>
      <c r="I89" s="104" t="str">
        <f t="shared" si="76"/>
        <v>USD.LIBOR.3M</v>
      </c>
      <c r="J89" s="104" t="str">
        <f t="shared" si="77"/>
        <v>LON</v>
      </c>
      <c r="K89" s="105" t="s">
        <v>171</v>
      </c>
      <c r="L89" s="105" t="str">
        <f t="shared" si="78"/>
        <v>2b</v>
      </c>
      <c r="M89" t="str" cm="1">
        <f t="array" aca="1" ref="M89" ca="1">_xll.QIns_CreateAsianSwap("AsiSwap_Fwd_"&amp;ROW(),IF(C89="",D89:E89,C89),B89,H89,0,G89,J89,H89,K89,L89,,I89,IF(H89="USD","None","ATC"))</f>
        <v>AsiSwap_Fwd_89¬5</v>
      </c>
      <c r="N89" s="14" cm="1">
        <f t="array" aca="1" ref="N89" ca="1">_xll.QIns_ProductParRate(M89,AModel)</f>
        <v>2103.262193877551</v>
      </c>
      <c r="O89" t="str" cm="1">
        <f t="array" aca="1" ref="O89" ca="1">_xll.QIns_CreateAsianSwap("AsiSwap_"&amp;ROW(),IF(C89="",D89:E89,C89),B89,H89,F89,G89,J89,H89,K89,L89,,I89,IF(H89="USD","None","ATC"))</f>
        <v>AsiSwap_89¬1</v>
      </c>
      <c r="P89" s="21" cm="1">
        <f t="array" aca="1" ref="P89" ca="1">_xll.QIns_ProductPV(O89,AModel,H89)</f>
        <v>0</v>
      </c>
      <c r="Q89" t="str" cm="1">
        <f t="array" aca="1" ref="Q89" ca="1">IF(VLOOKUP(B89,AssetStatic,4,FALSE),_xll.QRisk_PortfolioFxDeltaSpecific("asiOpt_DeltaA"&amp;ROW(),O89,AModel,B89,"ZAR",FALSE),_xll.QRisk_PortfolioDelta("asiOpt_DeltaA"&amp;ROW(),O89,AModel,FALSE))</f>
        <v>asiOpt_DeltaA89¬2</v>
      </c>
      <c r="R89" s="21" cm="1">
        <f t="array" aca="1" ref="R89" ca="1">_xll.QCube_SumAllRows(Q89)</f>
        <v>24.998306197421389</v>
      </c>
      <c r="S89" s="93" cm="1">
        <f t="array" aca="1" ref="S89" ca="1">_xll.QIns_QuickPFE(O89,AModel,0.95,"ZAR")</f>
        <v>10777.426164137387</v>
      </c>
      <c r="U89" s="145">
        <f t="shared" si="79"/>
        <v>44409</v>
      </c>
      <c r="V89" s="100">
        <f t="shared" ca="1" si="80"/>
        <v>2103.262193877551</v>
      </c>
      <c r="W89" s="23">
        <f t="shared" ca="1" si="81"/>
        <v>15.006210600695693</v>
      </c>
    </row>
    <row r="90" spans="1:23" x14ac:dyDescent="0.25">
      <c r="A90" s="6"/>
      <c r="B90" s="6" t="s">
        <v>104</v>
      </c>
      <c r="C90" s="154">
        <f t="shared" si="82"/>
        <v>44440</v>
      </c>
      <c r="D90" s="102"/>
      <c r="E90" s="102"/>
      <c r="F90" s="103">
        <f t="shared" ca="1" si="83"/>
        <v>2107.5925974025977</v>
      </c>
      <c r="G90" s="103">
        <v>25</v>
      </c>
      <c r="H90" s="6" t="s">
        <v>21</v>
      </c>
      <c r="I90" s="104" t="str">
        <f t="shared" si="76"/>
        <v>USD.LIBOR.3M</v>
      </c>
      <c r="J90" s="104" t="str">
        <f t="shared" si="77"/>
        <v>LON</v>
      </c>
      <c r="K90" s="105" t="s">
        <v>171</v>
      </c>
      <c r="L90" s="105" t="str">
        <f t="shared" si="78"/>
        <v>2b</v>
      </c>
      <c r="M90" t="str" cm="1">
        <f t="array" aca="1" ref="M90" ca="1">_xll.QIns_CreateAsianSwap("AsiSwap_Fwd_"&amp;ROW(),IF(C90="",D90:E90,C90),B90,H90,0,G90,J90,H90,K90,L90,,I90,IF(H90="USD","None","ATC"))</f>
        <v>AsiSwap_Fwd_90¬5</v>
      </c>
      <c r="N90" s="14" cm="1">
        <f t="array" aca="1" ref="N90" ca="1">_xll.QIns_ProductParRate(M90,AModel)</f>
        <v>2107.5925974025977</v>
      </c>
      <c r="O90" t="str" cm="1">
        <f t="array" aca="1" ref="O90" ca="1">_xll.QIns_CreateAsianSwap("AsiSwap_"&amp;ROW(),IF(C90="",D90:E90,C90),B90,H90,F90,G90,J90,H90,K90,L90,,I90,IF(H90="USD","None","ATC"))</f>
        <v>AsiSwap_90¬1</v>
      </c>
      <c r="P90" s="21" cm="1">
        <f t="array" aca="1" ref="P90" ca="1">_xll.QIns_ProductPV(O90,AModel,H90)</f>
        <v>0</v>
      </c>
      <c r="Q90" t="str" cm="1">
        <f t="array" aca="1" ref="Q90" ca="1">IF(VLOOKUP(B90,AssetStatic,4,FALSE),_xll.QRisk_PortfolioFxDeltaSpecific("asiOpt_DeltaA"&amp;ROW(),O90,AModel,B90,"ZAR",FALSE),_xll.QRisk_PortfolioDelta("asiOpt_DeltaA"&amp;ROW(),O90,AModel,FALSE))</f>
        <v>asiOpt_DeltaA90¬2</v>
      </c>
      <c r="R90" s="21" cm="1">
        <f t="array" aca="1" ref="R90" ca="1">_xll.QCube_SumAllRows(Q90)</f>
        <v>24.998211221956495</v>
      </c>
      <c r="S90" s="93" cm="1">
        <f t="array" aca="1" ref="S90" ca="1">_xll.QIns_QuickPFE(O90,AModel,0.95,"ZAR")</f>
        <v>11695.394392498531</v>
      </c>
      <c r="U90" s="145">
        <f t="shared" si="79"/>
        <v>44440</v>
      </c>
      <c r="V90" s="100">
        <f t="shared" ca="1" si="80"/>
        <v>2107.5925974025977</v>
      </c>
      <c r="W90" s="23">
        <f t="shared" ca="1" si="81"/>
        <v>15.059987171095617</v>
      </c>
    </row>
    <row r="91" spans="1:23" s="185" customFormat="1" x14ac:dyDescent="0.25">
      <c r="A91" s="6"/>
      <c r="B91" s="6"/>
      <c r="C91" s="154"/>
      <c r="D91" s="102"/>
      <c r="E91" s="102"/>
      <c r="F91" s="103"/>
      <c r="G91" s="103"/>
      <c r="H91" s="6"/>
      <c r="I91" s="104"/>
      <c r="J91" s="104"/>
      <c r="K91" s="105"/>
      <c r="L91" s="105"/>
      <c r="N91" s="14"/>
      <c r="P91" s="21"/>
      <c r="R91" s="21"/>
      <c r="S91" s="93"/>
      <c r="U91" s="145"/>
      <c r="V91" s="100"/>
      <c r="W91" s="23"/>
    </row>
    <row r="92" spans="1:23" x14ac:dyDescent="0.25">
      <c r="A92" s="6"/>
      <c r="B92" s="6"/>
      <c r="C92" s="102"/>
      <c r="D92" s="157"/>
      <c r="E92" s="103"/>
      <c r="F92" s="103"/>
      <c r="G92" s="103"/>
      <c r="H92" s="6"/>
      <c r="I92" s="104"/>
      <c r="J92" s="104"/>
      <c r="K92" s="104"/>
      <c r="L92" s="104"/>
    </row>
    <row r="93" spans="1:23" x14ac:dyDescent="0.25">
      <c r="A93" s="6"/>
      <c r="B93" s="102"/>
      <c r="C93" s="156"/>
      <c r="D93" s="102"/>
      <c r="E93" s="102"/>
      <c r="F93" s="103"/>
      <c r="G93" s="156"/>
      <c r="H93" s="6"/>
      <c r="I93" s="170"/>
      <c r="J93" s="170"/>
      <c r="K93" s="104"/>
      <c r="L93" s="104"/>
    </row>
    <row r="94" spans="1:23" x14ac:dyDescent="0.25">
      <c r="A94" s="6"/>
      <c r="B94" s="102"/>
      <c r="C94" s="156"/>
      <c r="D94" s="102"/>
      <c r="E94" s="102"/>
      <c r="F94" s="103"/>
      <c r="G94" s="156"/>
      <c r="H94" s="6"/>
      <c r="I94" s="170"/>
      <c r="J94" s="170"/>
      <c r="K94" s="104"/>
      <c r="L94" s="104"/>
    </row>
    <row r="95" spans="1:23" x14ac:dyDescent="0.25">
      <c r="A95" s="6"/>
      <c r="B95" s="102"/>
      <c r="C95" s="156"/>
      <c r="D95" s="102"/>
      <c r="E95" s="102"/>
      <c r="F95" s="103"/>
      <c r="G95" s="156"/>
      <c r="H95" s="6"/>
      <c r="I95" s="170"/>
      <c r="J95" s="170"/>
      <c r="K95" s="104"/>
      <c r="L95" s="104"/>
    </row>
    <row r="96" spans="1:23" x14ac:dyDescent="0.25">
      <c r="A96" s="6"/>
      <c r="B96" s="102"/>
      <c r="C96" s="156"/>
      <c r="D96" s="102"/>
      <c r="E96" s="102"/>
      <c r="F96" s="103"/>
      <c r="G96" s="156"/>
      <c r="H96" s="6"/>
      <c r="I96" s="170"/>
      <c r="J96" s="170"/>
      <c r="K96" s="104"/>
      <c r="L96" s="104"/>
    </row>
    <row r="97" spans="1:19" x14ac:dyDescent="0.25">
      <c r="A97" s="6"/>
      <c r="B97" s="102"/>
      <c r="C97" s="156"/>
      <c r="D97" s="102"/>
      <c r="E97" s="102"/>
      <c r="F97" s="103"/>
      <c r="G97" s="156"/>
      <c r="H97" s="6"/>
      <c r="I97" s="170"/>
      <c r="J97" s="170"/>
      <c r="K97" s="104"/>
      <c r="L97" s="104"/>
    </row>
    <row r="98" spans="1:19" x14ac:dyDescent="0.25">
      <c r="A98" s="6"/>
      <c r="B98" s="6"/>
      <c r="C98" s="156"/>
      <c r="D98" s="102"/>
      <c r="E98" s="102"/>
      <c r="F98" s="103"/>
      <c r="G98" s="156"/>
      <c r="H98" s="6"/>
      <c r="I98" s="170"/>
      <c r="J98" s="170"/>
      <c r="K98" s="104"/>
      <c r="L98" s="104"/>
    </row>
    <row r="99" spans="1:19" x14ac:dyDescent="0.25">
      <c r="A99" s="6"/>
      <c r="B99" s="6"/>
      <c r="C99" s="102"/>
      <c r="D99" s="102"/>
      <c r="E99" s="102"/>
      <c r="F99" s="103"/>
      <c r="G99" s="103"/>
      <c r="H99" s="6"/>
      <c r="I99" s="104"/>
      <c r="J99" s="104"/>
      <c r="K99" s="104"/>
      <c r="L99" s="104"/>
    </row>
    <row r="100" spans="1:19" x14ac:dyDescent="0.25">
      <c r="A100" s="6"/>
      <c r="B100" s="6" t="s">
        <v>10</v>
      </c>
      <c r="C100" s="155">
        <v>44105</v>
      </c>
      <c r="D100" s="102"/>
      <c r="E100" s="102"/>
      <c r="F100" s="103">
        <f t="shared" ref="F100" ca="1" si="84">N100</f>
        <v>1000000</v>
      </c>
      <c r="G100" s="103">
        <f>20000/24</f>
        <v>833.33333333333337</v>
      </c>
      <c r="H100" s="6" t="s">
        <v>1</v>
      </c>
      <c r="I100" s="104" t="str">
        <f t="shared" ref="I100" si="85">IF(H100="USD","USD.LIBOR.3M",H100&amp;".DISC.[USD.LIBOR.3M]")</f>
        <v>ZAR.DISC.[USD.LIBOR.3M]</v>
      </c>
      <c r="J100" s="104" t="str">
        <f t="shared" ref="J100" si="86">VLOOKUP(B100,AssetStatic,3,FALSE)</f>
        <v>LON</v>
      </c>
      <c r="K100" s="105" t="s">
        <v>171</v>
      </c>
      <c r="L100" s="105" t="str">
        <f t="shared" ref="L100" si="87">VLOOKUP(B100,AssetStatic,2,FALSE)</f>
        <v>2b</v>
      </c>
      <c r="M100" t="str" cm="1">
        <f t="array" aca="1" ref="M100" ca="1">_xll.QIns_CreateAsianSwap("AsiSwap_Fwd_"&amp;ROW(),IF(C100="",D100:E100,C100),B100,H100,0,G100,J100,H100,K100,L100,,I100,IF(H100="USD","None","ATC"))</f>
        <v>AsiSwap_Fwd_100¬5</v>
      </c>
      <c r="N100" s="14" cm="1">
        <f t="array" aca="1" ref="N100" ca="1">_xll.QIns_ProductParRate(M100,AModel)</f>
        <v>1000000</v>
      </c>
      <c r="O100" t="str" cm="1">
        <f t="array" aca="1" ref="O100" ca="1">_xll.QIns_CreateAsianSwap("AsiSwap_"&amp;ROW(),IF(C100="",D100:E100,C100),B100,H100,F100,G100,J100,H100,K100,L100,,I100,IF(H100="USD","None","ATC"))</f>
        <v>AsiSwap_100¬5</v>
      </c>
      <c r="P100" s="21" cm="1">
        <f t="array" aca="1" ref="P100" ca="1">_xll.QIns_ProductPV(O100,AModel,H100)</f>
        <v>0</v>
      </c>
      <c r="Q100" t="str" cm="1">
        <f t="array" aca="1" ref="Q100" ca="1">IF(VLOOKUP(B100,AssetStatic,4,FALSE),_xll.QRisk_PortfolioFxDeltaSpecific("asiOpt_DeltaA"&amp;ROW(),O100,AModel,B100,"ZAR",FALSE),_xll.QRisk_PortfolioDelta("asiOpt_DeltaA"&amp;ROW(),O100,AModel,FALSE))</f>
        <v>asiOpt_DeltaA100¬6</v>
      </c>
      <c r="R100" s="21" cm="1">
        <f t="array" aca="1" ref="R100" ca="1">_xll.QCube_SumAllRows(Q100)</f>
        <v>0</v>
      </c>
      <c r="S100" s="93" cm="1">
        <f t="array" aca="1" ref="S100" ca="1">_xll.QIns_QuickPFE(O100,AModel,0.95,"ZAR")</f>
        <v>0</v>
      </c>
    </row>
    <row r="101" spans="1:19" x14ac:dyDescent="0.25">
      <c r="A101" s="6"/>
      <c r="B101" s="6" t="s">
        <v>10</v>
      </c>
      <c r="C101" s="155">
        <v>44136</v>
      </c>
      <c r="D101" s="102"/>
      <c r="E101" s="102"/>
      <c r="F101" s="103">
        <f t="shared" ref="F101:F106" ca="1" si="88">N101</f>
        <v>1000000</v>
      </c>
      <c r="G101" s="103">
        <f t="shared" ref="G101:G123" si="89">20000/24</f>
        <v>833.33333333333337</v>
      </c>
      <c r="H101" s="6" t="s">
        <v>1</v>
      </c>
      <c r="I101" s="104" t="str">
        <f t="shared" ref="I101:I106" si="90">IF(H101="USD","USD.LIBOR.3M",H101&amp;".DISC.[USD.LIBOR.3M]")</f>
        <v>ZAR.DISC.[USD.LIBOR.3M]</v>
      </c>
      <c r="J101" s="104" t="str">
        <f t="shared" ref="J101:J106" si="91">VLOOKUP(B101,AssetStatic,3,FALSE)</f>
        <v>LON</v>
      </c>
      <c r="K101" s="105" t="s">
        <v>171</v>
      </c>
      <c r="L101" s="105" t="str">
        <f t="shared" ref="L101:L106" si="92">VLOOKUP(B101,AssetStatic,2,FALSE)</f>
        <v>2b</v>
      </c>
      <c r="M101" t="str" cm="1">
        <f t="array" aca="1" ref="M101" ca="1">_xll.QIns_CreateAsianSwap("AsiSwap_Fwd_"&amp;ROW(),IF(C101="",D101:E101,C101),B101,H101,0,G101,J101,H101,K101,L101,,I101,IF(H101="USD","None","ATC"))</f>
        <v>AsiSwap_Fwd_101¬5</v>
      </c>
      <c r="N101" s="14" cm="1">
        <f t="array" aca="1" ref="N101" ca="1">_xll.QIns_ProductParRate(M101,AModel)</f>
        <v>1000000</v>
      </c>
      <c r="O101" t="str" cm="1">
        <f t="array" aca="1" ref="O101" ca="1">_xll.QIns_CreateAsianSwap("AsiSwap_"&amp;ROW(),IF(C101="",D101:E101,C101),B101,H101,F101,G101,J101,H101,K101,L101,,I101,IF(H101="USD","None","ATC"))</f>
        <v>AsiSwap_101¬5</v>
      </c>
      <c r="P101" s="21" cm="1">
        <f t="array" aca="1" ref="P101" ca="1">_xll.QIns_ProductPV(O101,AModel,H101)</f>
        <v>0</v>
      </c>
      <c r="Q101" t="str" cm="1">
        <f t="array" aca="1" ref="Q101" ca="1">IF(VLOOKUP(B101,AssetStatic,4,FALSE),_xll.QRisk_PortfolioFxDeltaSpecific("asiOpt_DeltaA"&amp;ROW(),O101,AModel,B101,"ZAR",FALSE),_xll.QRisk_PortfolioDelta("asiOpt_DeltaA"&amp;ROW(),O101,AModel,FALSE))</f>
        <v>asiOpt_DeltaA101¬7</v>
      </c>
      <c r="R101" s="21" cm="1">
        <f t="array" aca="1" ref="R101" ca="1">_xll.QCube_SumAllRows(Q101)</f>
        <v>0</v>
      </c>
      <c r="S101" s="93" cm="1">
        <f t="array" aca="1" ref="S101" ca="1">_xll.QIns_QuickPFE(O101,AModel,0.95,"ZAR")</f>
        <v>0</v>
      </c>
    </row>
    <row r="102" spans="1:19" x14ac:dyDescent="0.25">
      <c r="A102" s="6"/>
      <c r="B102" s="6" t="s">
        <v>10</v>
      </c>
      <c r="C102" s="155">
        <v>44166</v>
      </c>
      <c r="D102" s="102"/>
      <c r="E102" s="102"/>
      <c r="F102" s="103">
        <f t="shared" ca="1" si="88"/>
        <v>1000000</v>
      </c>
      <c r="G102" s="103">
        <f t="shared" si="89"/>
        <v>833.33333333333337</v>
      </c>
      <c r="H102" s="6" t="s">
        <v>1</v>
      </c>
      <c r="I102" s="104" t="str">
        <f t="shared" si="90"/>
        <v>ZAR.DISC.[USD.LIBOR.3M]</v>
      </c>
      <c r="J102" s="104" t="str">
        <f t="shared" si="91"/>
        <v>LON</v>
      </c>
      <c r="K102" s="105" t="s">
        <v>171</v>
      </c>
      <c r="L102" s="105" t="str">
        <f t="shared" si="92"/>
        <v>2b</v>
      </c>
      <c r="M102" t="str" cm="1">
        <f t="array" aca="1" ref="M102" ca="1">_xll.QIns_CreateAsianSwap("AsiSwap_Fwd_"&amp;ROW(),IF(C102="",D102:E102,C102),B102,H102,0,G102,J102,H102,K102,L102,,I102,IF(H102="USD","None","ATC"))</f>
        <v>AsiSwap_Fwd_102¬5</v>
      </c>
      <c r="N102" s="14" cm="1">
        <f t="array" aca="1" ref="N102" ca="1">_xll.QIns_ProductParRate(M102,AModel)</f>
        <v>1000000</v>
      </c>
      <c r="O102" t="str" cm="1">
        <f t="array" aca="1" ref="O102" ca="1">_xll.QIns_CreateAsianSwap("AsiSwap_"&amp;ROW(),IF(C102="",D102:E102,C102),B102,H102,F102,G102,J102,H102,K102,L102,,I102,IF(H102="USD","None","ATC"))</f>
        <v>AsiSwap_102¬5</v>
      </c>
      <c r="P102" s="21" cm="1">
        <f t="array" aca="1" ref="P102" ca="1">_xll.QIns_ProductPV(O102,AModel,H102)</f>
        <v>0</v>
      </c>
      <c r="Q102" t="str" cm="1">
        <f t="array" aca="1" ref="Q102" ca="1">IF(VLOOKUP(B102,AssetStatic,4,FALSE),_xll.QRisk_PortfolioFxDeltaSpecific("asiOpt_DeltaA"&amp;ROW(),O102,AModel,B102,"ZAR",FALSE),_xll.QRisk_PortfolioDelta("asiOpt_DeltaA"&amp;ROW(),O102,AModel,FALSE))</f>
        <v>asiOpt_DeltaA102¬6</v>
      </c>
      <c r="R102" s="21" cm="1">
        <f t="array" aca="1" ref="R102" ca="1">_xll.QCube_SumAllRows(Q102)</f>
        <v>0</v>
      </c>
      <c r="S102" s="93" cm="1">
        <f t="array" aca="1" ref="S102" ca="1">_xll.QIns_QuickPFE(O102,AModel,0.95,"ZAR")</f>
        <v>0</v>
      </c>
    </row>
    <row r="103" spans="1:19" x14ac:dyDescent="0.25">
      <c r="A103" s="6"/>
      <c r="B103" s="6" t="s">
        <v>10</v>
      </c>
      <c r="C103" s="155">
        <v>44197</v>
      </c>
      <c r="D103" s="102"/>
      <c r="E103" s="102"/>
      <c r="F103" s="103">
        <f t="shared" ca="1" si="88"/>
        <v>1000000</v>
      </c>
      <c r="G103" s="103">
        <f t="shared" si="89"/>
        <v>833.33333333333337</v>
      </c>
      <c r="H103" s="6" t="s">
        <v>1</v>
      </c>
      <c r="I103" s="104" t="str">
        <f t="shared" si="90"/>
        <v>ZAR.DISC.[USD.LIBOR.3M]</v>
      </c>
      <c r="J103" s="104" t="str">
        <f t="shared" si="91"/>
        <v>LON</v>
      </c>
      <c r="K103" s="105" t="s">
        <v>171</v>
      </c>
      <c r="L103" s="105" t="str">
        <f t="shared" si="92"/>
        <v>2b</v>
      </c>
      <c r="M103" t="str" cm="1">
        <f t="array" aca="1" ref="M103" ca="1">_xll.QIns_CreateAsianSwap("AsiSwap_Fwd_"&amp;ROW(),IF(C103="",D103:E103,C103),B103,H103,0,G103,J103,H103,K103,L103,,I103,IF(H103="USD","None","ATC"))</f>
        <v>AsiSwap_Fwd_103¬5</v>
      </c>
      <c r="N103" s="14" cm="1">
        <f t="array" aca="1" ref="N103" ca="1">_xll.QIns_ProductParRate(M103,AModel)</f>
        <v>1000000</v>
      </c>
      <c r="O103" t="str" cm="1">
        <f t="array" aca="1" ref="O103" ca="1">_xll.QIns_CreateAsianSwap("AsiSwap_"&amp;ROW(),IF(C103="",D103:E103,C103),B103,H103,F103,G103,J103,H103,K103,L103,,I103,IF(H103="USD","None","ATC"))</f>
        <v>AsiSwap_103¬5</v>
      </c>
      <c r="P103" s="21" cm="1">
        <f t="array" aca="1" ref="P103" ca="1">_xll.QIns_ProductPV(O103,AModel,H103)</f>
        <v>0</v>
      </c>
      <c r="Q103" t="str" cm="1">
        <f t="array" aca="1" ref="Q103" ca="1">IF(VLOOKUP(B103,AssetStatic,4,FALSE),_xll.QRisk_PortfolioFxDeltaSpecific("asiOpt_DeltaA"&amp;ROW(),O103,AModel,B103,"ZAR",FALSE),_xll.QRisk_PortfolioDelta("asiOpt_DeltaA"&amp;ROW(),O103,AModel,FALSE))</f>
        <v>asiOpt_DeltaA103¬6</v>
      </c>
      <c r="R103" s="21" cm="1">
        <f t="array" aca="1" ref="R103" ca="1">_xll.QCube_SumAllRows(Q103)</f>
        <v>0</v>
      </c>
      <c r="S103" s="93" cm="1">
        <f t="array" aca="1" ref="S103" ca="1">_xll.QIns_QuickPFE(O103,AModel,0.95,"ZAR")</f>
        <v>0</v>
      </c>
    </row>
    <row r="104" spans="1:19" x14ac:dyDescent="0.25">
      <c r="A104" s="6"/>
      <c r="B104" s="6" t="s">
        <v>10</v>
      </c>
      <c r="C104" s="155">
        <v>44228</v>
      </c>
      <c r="D104" s="102"/>
      <c r="E104" s="102"/>
      <c r="F104" s="103">
        <f t="shared" ca="1" si="88"/>
        <v>27171.361565035779</v>
      </c>
      <c r="G104" s="103">
        <f t="shared" si="89"/>
        <v>833.33333333333337</v>
      </c>
      <c r="H104" s="6" t="s">
        <v>1</v>
      </c>
      <c r="I104" s="104" t="str">
        <f t="shared" si="90"/>
        <v>ZAR.DISC.[USD.LIBOR.3M]</v>
      </c>
      <c r="J104" s="104" t="str">
        <f t="shared" si="91"/>
        <v>LON</v>
      </c>
      <c r="K104" s="105" t="s">
        <v>171</v>
      </c>
      <c r="L104" s="105" t="str">
        <f t="shared" si="92"/>
        <v>2b</v>
      </c>
      <c r="M104" t="str" cm="1">
        <f t="array" aca="1" ref="M104" ca="1">_xll.QIns_CreateAsianSwap("AsiSwap_Fwd_"&amp;ROW(),IF(C104="",D104:E104,C104),B104,H104,0,G104,J104,H104,K104,L104,,I104,IF(H104="USD","None","ATC"))</f>
        <v>AsiSwap_Fwd_104¬5</v>
      </c>
      <c r="N104" s="14" cm="1">
        <f t="array" aca="1" ref="N104" ca="1">_xll.QIns_ProductParRate(M104,AModel)</f>
        <v>27171.361565035779</v>
      </c>
      <c r="O104" t="str" cm="1">
        <f t="array" aca="1" ref="O104" ca="1">_xll.QIns_CreateAsianSwap("AsiSwap_"&amp;ROW(),IF(C104="",D104:E104,C104),B104,H104,F104,G104,J104,H104,K104,L104,,I104,IF(H104="USD","None","ATC"))</f>
        <v>AsiSwap_104¬5</v>
      </c>
      <c r="P104" s="21" cm="1">
        <f t="array" aca="1" ref="P104" ca="1">_xll.QIns_ProductPV(O104,AModel,H104)</f>
        <v>0</v>
      </c>
      <c r="Q104" t="str" cm="1">
        <f t="array" aca="1" ref="Q104" ca="1">IF(VLOOKUP(B104,AssetStatic,4,FALSE),_xll.QRisk_PortfolioFxDeltaSpecific("asiOpt_DeltaA"&amp;ROW(),O104,AModel,B104,"ZAR",FALSE),_xll.QRisk_PortfolioDelta("asiOpt_DeltaA"&amp;ROW(),O104,AModel,FALSE))</f>
        <v>asiOpt_DeltaA104¬6</v>
      </c>
      <c r="R104" s="21" cm="1">
        <f t="array" aca="1" ref="R104" ca="1">_xll.QCube_SumAllRows(Q104)</f>
        <v>502.69402802144162</v>
      </c>
      <c r="S104" s="93" cm="1">
        <f t="array" aca="1" ref="S104" ca="1">_xll.QIns_QuickPFE(O104,AModel,0.95,"ZAR")</f>
        <v>475813.64063929266</v>
      </c>
    </row>
    <row r="105" spans="1:19" x14ac:dyDescent="0.25">
      <c r="A105" s="6"/>
      <c r="B105" s="6" t="s">
        <v>10</v>
      </c>
      <c r="C105" s="155">
        <v>44256</v>
      </c>
      <c r="D105" s="102"/>
      <c r="E105" s="102"/>
      <c r="F105" s="103">
        <f t="shared" ca="1" si="88"/>
        <v>27141.763384471913</v>
      </c>
      <c r="G105" s="103">
        <f t="shared" si="89"/>
        <v>833.33333333333337</v>
      </c>
      <c r="H105" s="6" t="s">
        <v>1</v>
      </c>
      <c r="I105" s="104" t="str">
        <f t="shared" si="90"/>
        <v>ZAR.DISC.[USD.LIBOR.3M]</v>
      </c>
      <c r="J105" s="104" t="str">
        <f t="shared" si="91"/>
        <v>LON</v>
      </c>
      <c r="K105" s="105" t="s">
        <v>171</v>
      </c>
      <c r="L105" s="105" t="str">
        <f t="shared" si="92"/>
        <v>2b</v>
      </c>
      <c r="M105" t="str" cm="1">
        <f t="array" aca="1" ref="M105" ca="1">_xll.QIns_CreateAsianSwap("AsiSwap_Fwd_"&amp;ROW(),IF(C105="",D105:E105,C105),B105,H105,0,G105,J105,H105,K105,L105,,I105,IF(H105="USD","None","ATC"))</f>
        <v>AsiSwap_Fwd_105¬5</v>
      </c>
      <c r="N105" s="14" cm="1">
        <f t="array" aca="1" ref="N105" ca="1">_xll.QIns_ProductParRate(M105,AModel)</f>
        <v>27141.763384471913</v>
      </c>
      <c r="O105" t="str" cm="1">
        <f t="array" aca="1" ref="O105" ca="1">_xll.QIns_CreateAsianSwap("AsiSwap_"&amp;ROW(),IF(C105="",D105:E105,C105),B105,H105,F105,G105,J105,H105,K105,L105,,I105,IF(H105="USD","None","ATC"))</f>
        <v>AsiSwap_105¬5</v>
      </c>
      <c r="P105" s="21" cm="1">
        <f t="array" aca="1" ref="P105" ca="1">_xll.QIns_ProductPV(O105,AModel,H105)</f>
        <v>-3.0097251291453551E-9</v>
      </c>
      <c r="Q105" t="str" cm="1">
        <f t="array" aca="1" ref="Q105" ca="1">IF(VLOOKUP(B105,AssetStatic,4,FALSE),_xll.QRisk_PortfolioFxDeltaSpecific("asiOpt_DeltaA"&amp;ROW(),O105,AModel,B105,"ZAR",FALSE),_xll.QRisk_PortfolioDelta("asiOpt_DeltaA"&amp;ROW(),O105,AModel,FALSE))</f>
        <v>asiOpt_DeltaA105¬4</v>
      </c>
      <c r="R105" s="21" cm="1">
        <f t="array" aca="1" ref="R105" ca="1">_xll.QCube_SumAllRows(Q105)</f>
        <v>830.87126825649113</v>
      </c>
      <c r="S105" s="93" cm="1">
        <f t="array" aca="1" ref="S105" ca="1">_xll.QIns_QuickPFE(O105,AModel,0.95,"ZAR")</f>
        <v>1943971.5371579619</v>
      </c>
    </row>
    <row r="106" spans="1:19" x14ac:dyDescent="0.25">
      <c r="A106" s="6"/>
      <c r="B106" s="6" t="s">
        <v>10</v>
      </c>
      <c r="C106" s="155">
        <v>44287</v>
      </c>
      <c r="D106" s="102"/>
      <c r="E106" s="102"/>
      <c r="F106" s="103">
        <f t="shared" ca="1" si="88"/>
        <v>27269.073430465894</v>
      </c>
      <c r="G106" s="103">
        <f t="shared" si="89"/>
        <v>833.33333333333337</v>
      </c>
      <c r="H106" s="6" t="s">
        <v>1</v>
      </c>
      <c r="I106" s="104" t="str">
        <f t="shared" si="90"/>
        <v>ZAR.DISC.[USD.LIBOR.3M]</v>
      </c>
      <c r="J106" s="104" t="str">
        <f t="shared" si="91"/>
        <v>LON</v>
      </c>
      <c r="K106" s="105" t="s">
        <v>171</v>
      </c>
      <c r="L106" s="105" t="str">
        <f t="shared" si="92"/>
        <v>2b</v>
      </c>
      <c r="M106" t="str" cm="1">
        <f t="array" aca="1" ref="M106" ca="1">_xll.QIns_CreateAsianSwap("AsiSwap_Fwd_"&amp;ROW(),IF(C106="",D106:E106,C106),B106,H106,0,G106,J106,H106,K106,L106,,I106,IF(H106="USD","None","ATC"))</f>
        <v>AsiSwap_Fwd_106¬5</v>
      </c>
      <c r="N106" s="14" cm="1">
        <f t="array" aca="1" ref="N106" ca="1">_xll.QIns_ProductParRate(M106,AModel)</f>
        <v>27269.073430465894</v>
      </c>
      <c r="O106" t="str" cm="1">
        <f t="array" aca="1" ref="O106" ca="1">_xll.QIns_CreateAsianSwap("AsiSwap_"&amp;ROW(),IF(C106="",D106:E106,C106),B106,H106,F106,G106,J106,H106,K106,L106,,I106,IF(H106="USD","None","ATC"))</f>
        <v>AsiSwap_106¬5</v>
      </c>
      <c r="P106" s="21" cm="1">
        <f t="array" aca="1" ref="P106" ca="1">_xll.QIns_ProductPV(O106,AModel,H106)</f>
        <v>0</v>
      </c>
      <c r="Q106" t="str" cm="1">
        <f t="array" aca="1" ref="Q106" ca="1">IF(VLOOKUP(B106,AssetStatic,4,FALSE),_xll.QRisk_PortfolioFxDeltaSpecific("asiOpt_DeltaA"&amp;ROW(),O106,AModel,B106,"ZAR",FALSE),_xll.QRisk_PortfolioDelta("asiOpt_DeltaA"&amp;ROW(),O106,AModel,FALSE))</f>
        <v>asiOpt_DeltaA106¬6</v>
      </c>
      <c r="R106" s="21" cm="1">
        <f t="array" aca="1" ref="R106" ca="1">_xll.QCube_SumAllRows(Q106)</f>
        <v>831.45275251847704</v>
      </c>
      <c r="S106" s="93" cm="1">
        <f t="array" aca="1" ref="S106" ca="1">_xll.QIns_QuickPFE(O106,AModel,0.95,"ZAR")</f>
        <v>2990695.0357348039</v>
      </c>
    </row>
    <row r="107" spans="1:19" x14ac:dyDescent="0.25">
      <c r="A107" s="6"/>
      <c r="B107" s="6" t="s">
        <v>10</v>
      </c>
      <c r="C107" s="155">
        <v>44317</v>
      </c>
      <c r="D107" s="102"/>
      <c r="E107" s="102"/>
      <c r="F107" s="103">
        <f t="shared" ref="F107:F118" ca="1" si="93">N107</f>
        <v>27377.133039079778</v>
      </c>
      <c r="G107" s="103">
        <f t="shared" si="89"/>
        <v>833.33333333333337</v>
      </c>
      <c r="H107" s="6" t="s">
        <v>1</v>
      </c>
      <c r="I107" s="104" t="str">
        <f t="shared" ref="I107:I118" si="94">IF(H107="USD","USD.LIBOR.3M",H107&amp;".DISC.[USD.LIBOR.3M]")</f>
        <v>ZAR.DISC.[USD.LIBOR.3M]</v>
      </c>
      <c r="J107" s="104" t="str">
        <f t="shared" ref="J107:J118" si="95">VLOOKUP(B107,AssetStatic,3,FALSE)</f>
        <v>LON</v>
      </c>
      <c r="K107" s="105" t="s">
        <v>171</v>
      </c>
      <c r="L107" s="105" t="str">
        <f t="shared" ref="L107:L118" si="96">VLOOKUP(B107,AssetStatic,2,FALSE)</f>
        <v>2b</v>
      </c>
      <c r="M107" t="str" cm="1">
        <f t="array" aca="1" ref="M107" ca="1">_xll.QIns_CreateAsianSwap("AsiSwap_Fwd_"&amp;ROW(),IF(C107="",D107:E107,C107),B107,H107,0,G107,J107,H107,K107,L107,,I107,IF(H107="USD","None","ATC"))</f>
        <v>AsiSwap_Fwd_107¬5</v>
      </c>
      <c r="N107" s="14" cm="1">
        <f t="array" aca="1" ref="N107" ca="1">_xll.QIns_ProductParRate(M107,AModel)</f>
        <v>27377.133039079778</v>
      </c>
      <c r="O107" t="str" cm="1">
        <f t="array" aca="1" ref="O107" ca="1">_xll.QIns_CreateAsianSwap("AsiSwap_"&amp;ROW(),IF(C107="",D107:E107,C107),B107,H107,F107,G107,J107,H107,K107,L107,,I107,IF(H107="USD","None","ATC"))</f>
        <v>AsiSwap_107¬5</v>
      </c>
      <c r="P107" s="21" cm="1">
        <f t="array" aca="1" ref="P107" ca="1">_xll.QIns_ProductPV(O107,AModel,H107)</f>
        <v>0</v>
      </c>
      <c r="Q107" t="str" cm="1">
        <f t="array" aca="1" ref="Q107" ca="1">IF(VLOOKUP(B107,AssetStatic,4,FALSE),_xll.QRisk_PortfolioFxDeltaSpecific("asiOpt_DeltaA"&amp;ROW(),O107,AModel,B107,"ZAR",FALSE),_xll.QRisk_PortfolioDelta("asiOpt_DeltaA"&amp;ROW(),O107,AModel,FALSE))</f>
        <v>asiOpt_DeltaA107¬6</v>
      </c>
      <c r="R107" s="21" cm="1">
        <f t="array" aca="1" ref="R107" ca="1">_xll.QCube_SumAllRows(Q107)</f>
        <v>831.49177737342745</v>
      </c>
      <c r="S107" s="93" cm="1">
        <f t="array" aca="1" ref="S107" ca="1">_xll.QIns_QuickPFE(O107,AModel,0.95,"ZAR")</f>
        <v>3755042.6217219047</v>
      </c>
    </row>
    <row r="108" spans="1:19" x14ac:dyDescent="0.25">
      <c r="A108" s="6"/>
      <c r="B108" s="6" t="s">
        <v>10</v>
      </c>
      <c r="C108" s="155">
        <v>44348</v>
      </c>
      <c r="D108" s="102"/>
      <c r="E108" s="102"/>
      <c r="F108" s="103">
        <f t="shared" ca="1" si="93"/>
        <v>27485.093456797142</v>
      </c>
      <c r="G108" s="103">
        <f t="shared" si="89"/>
        <v>833.33333333333337</v>
      </c>
      <c r="H108" s="6" t="s">
        <v>1</v>
      </c>
      <c r="I108" s="104" t="str">
        <f t="shared" si="94"/>
        <v>ZAR.DISC.[USD.LIBOR.3M]</v>
      </c>
      <c r="J108" s="104" t="str">
        <f t="shared" si="95"/>
        <v>LON</v>
      </c>
      <c r="K108" s="105" t="s">
        <v>171</v>
      </c>
      <c r="L108" s="105" t="str">
        <f t="shared" si="96"/>
        <v>2b</v>
      </c>
      <c r="M108" t="str" cm="1">
        <f t="array" aca="1" ref="M108" ca="1">_xll.QIns_CreateAsianSwap("AsiSwap_Fwd_"&amp;ROW(),IF(C108="",D108:E108,C108),B108,H108,0,G108,J108,H108,K108,L108,,I108,IF(H108="USD","None","ATC"))</f>
        <v>AsiSwap_Fwd_108¬5</v>
      </c>
      <c r="N108" s="14" cm="1">
        <f t="array" aca="1" ref="N108" ca="1">_xll.QIns_ProductParRate(M108,AModel)</f>
        <v>27485.093456797142</v>
      </c>
      <c r="O108" t="str" cm="1">
        <f t="array" aca="1" ref="O108" ca="1">_xll.QIns_CreateAsianSwap("AsiSwap_"&amp;ROW(),IF(C108="",D108:E108,C108),B108,H108,F108,G108,J108,H108,K108,L108,,I108,IF(H108="USD","None","ATC"))</f>
        <v>AsiSwap_108¬5</v>
      </c>
      <c r="P108" s="21" cm="1">
        <f t="array" aca="1" ref="P108" ca="1">_xll.QIns_ProductPV(O108,AModel,H108)</f>
        <v>0</v>
      </c>
      <c r="Q108" t="str" cm="1">
        <f t="array" aca="1" ref="Q108" ca="1">IF(VLOOKUP(B108,AssetStatic,4,FALSE),_xll.QRisk_PortfolioFxDeltaSpecific("asiOpt_DeltaA"&amp;ROW(),O108,AModel,B108,"ZAR",FALSE),_xll.QRisk_PortfolioDelta("asiOpt_DeltaA"&amp;ROW(),O108,AModel,FALSE))</f>
        <v>asiOpt_DeltaA108¬5</v>
      </c>
      <c r="R108" s="21" cm="1">
        <f t="array" aca="1" ref="R108" ca="1">_xll.QCube_SumAllRows(Q108)</f>
        <v>831.63682914127401</v>
      </c>
      <c r="S108" s="93" cm="1">
        <f t="array" aca="1" ref="S108" ca="1">_xll.QIns_QuickPFE(O108,AModel,0.95,"ZAR")</f>
        <v>4445170.0698388601</v>
      </c>
    </row>
    <row r="109" spans="1:19" x14ac:dyDescent="0.25">
      <c r="A109" s="6"/>
      <c r="B109" s="6" t="s">
        <v>10</v>
      </c>
      <c r="C109" s="155">
        <v>44378</v>
      </c>
      <c r="D109" s="102"/>
      <c r="E109" s="102"/>
      <c r="F109" s="103">
        <f t="shared" ca="1" si="93"/>
        <v>27593.329270051414</v>
      </c>
      <c r="G109" s="103">
        <f t="shared" si="89"/>
        <v>833.33333333333337</v>
      </c>
      <c r="H109" s="6" t="s">
        <v>1</v>
      </c>
      <c r="I109" s="104" t="str">
        <f t="shared" si="94"/>
        <v>ZAR.DISC.[USD.LIBOR.3M]</v>
      </c>
      <c r="J109" s="104" t="str">
        <f t="shared" si="95"/>
        <v>LON</v>
      </c>
      <c r="K109" s="105" t="s">
        <v>171</v>
      </c>
      <c r="L109" s="105" t="str">
        <f t="shared" si="96"/>
        <v>2b</v>
      </c>
      <c r="M109" t="str" cm="1">
        <f t="array" aca="1" ref="M109" ca="1">_xll.QIns_CreateAsianSwap("AsiSwap_Fwd_"&amp;ROW(),IF(C109="",D109:E109,C109),B109,H109,0,G109,J109,H109,K109,L109,,I109,IF(H109="USD","None","ATC"))</f>
        <v>AsiSwap_Fwd_109¬5</v>
      </c>
      <c r="N109" s="14" cm="1">
        <f t="array" aca="1" ref="N109" ca="1">_xll.QIns_ProductParRate(M109,AModel)</f>
        <v>27593.329270051414</v>
      </c>
      <c r="O109" t="str" cm="1">
        <f t="array" aca="1" ref="O109" ca="1">_xll.QIns_CreateAsianSwap("AsiSwap_"&amp;ROW(),IF(C109="",D109:E109,C109),B109,H109,F109,G109,J109,H109,K109,L109,,I109,IF(H109="USD","None","ATC"))</f>
        <v>AsiSwap_109¬5</v>
      </c>
      <c r="P109" s="21" cm="1">
        <f t="array" aca="1" ref="P109" ca="1">_xll.QIns_ProductPV(O109,AModel,H109)</f>
        <v>2.9634180681507492E-9</v>
      </c>
      <c r="Q109" t="str" cm="1">
        <f t="array" aca="1" ref="Q109" ca="1">IF(VLOOKUP(B109,AssetStatic,4,FALSE),_xll.QRisk_PortfolioFxDeltaSpecific("asiOpt_DeltaA"&amp;ROW(),O109,AModel,B109,"ZAR",FALSE),_xll.QRisk_PortfolioDelta("asiOpt_DeltaA"&amp;ROW(),O109,AModel,FALSE))</f>
        <v>asiOpt_DeltaA109¬5</v>
      </c>
      <c r="R109" s="21" cm="1">
        <f t="array" aca="1" ref="R109" ca="1">_xll.QCube_SumAllRows(Q109)</f>
        <v>831.69841653495735</v>
      </c>
      <c r="S109" s="93" cm="1">
        <f t="array" aca="1" ref="S109" ca="1">_xll.QIns_QuickPFE(O109,AModel,0.95,"ZAR")</f>
        <v>5089732.2812167723</v>
      </c>
    </row>
    <row r="110" spans="1:19" x14ac:dyDescent="0.25">
      <c r="A110" s="6"/>
      <c r="B110" s="6" t="s">
        <v>10</v>
      </c>
      <c r="C110" s="155">
        <v>44409</v>
      </c>
      <c r="D110" s="102"/>
      <c r="E110" s="102"/>
      <c r="F110" s="103">
        <f t="shared" ca="1" si="93"/>
        <v>27696.384846899986</v>
      </c>
      <c r="G110" s="103">
        <f t="shared" si="89"/>
        <v>833.33333333333337</v>
      </c>
      <c r="H110" s="6" t="s">
        <v>1</v>
      </c>
      <c r="I110" s="104" t="str">
        <f t="shared" si="94"/>
        <v>ZAR.DISC.[USD.LIBOR.3M]</v>
      </c>
      <c r="J110" s="104" t="str">
        <f t="shared" si="95"/>
        <v>LON</v>
      </c>
      <c r="K110" s="105" t="s">
        <v>171</v>
      </c>
      <c r="L110" s="105" t="str">
        <f t="shared" si="96"/>
        <v>2b</v>
      </c>
      <c r="M110" t="str" cm="1">
        <f t="array" aca="1" ref="M110" ca="1">_xll.QIns_CreateAsianSwap("AsiSwap_Fwd_"&amp;ROW(),IF(C110="",D110:E110,C110),B110,H110,0,G110,J110,H110,K110,L110,,I110,IF(H110="USD","None","ATC"))</f>
        <v>AsiSwap_Fwd_110¬5</v>
      </c>
      <c r="N110" s="14" cm="1">
        <f t="array" aca="1" ref="N110" ca="1">_xll.QIns_ProductParRate(M110,AModel)</f>
        <v>27696.384846899986</v>
      </c>
      <c r="O110" t="str" cm="1">
        <f t="array" aca="1" ref="O110" ca="1">_xll.QIns_CreateAsianSwap("AsiSwap_"&amp;ROW(),IF(C110="",D110:E110,C110),B110,H110,F110,G110,J110,H110,K110,L110,,I110,IF(H110="USD","None","ATC"))</f>
        <v>AsiSwap_110¬5</v>
      </c>
      <c r="P110" s="21" cm="1">
        <f t="array" aca="1" ref="P110" ca="1">_xll.QIns_ProductPV(O110,AModel,H110)</f>
        <v>0</v>
      </c>
      <c r="Q110" t="str" cm="1">
        <f t="array" aca="1" ref="Q110" ca="1">IF(VLOOKUP(B110,AssetStatic,4,FALSE),_xll.QRisk_PortfolioFxDeltaSpecific("asiOpt_DeltaA"&amp;ROW(),O110,AModel,B110,"ZAR",FALSE),_xll.QRisk_PortfolioDelta("asiOpt_DeltaA"&amp;ROW(),O110,AModel,FALSE))</f>
        <v>asiOpt_DeltaA110¬6</v>
      </c>
      <c r="R110" s="21" cm="1">
        <f t="array" aca="1" ref="R110" ca="1">_xll.QCube_SumAllRows(Q110)</f>
        <v>831.85014146690332</v>
      </c>
      <c r="S110" s="93" cm="1">
        <f t="array" aca="1" ref="S110" ca="1">_xll.QIns_QuickPFE(O110,AModel,0.95,"ZAR")</f>
        <v>5678798.1749022221</v>
      </c>
    </row>
    <row r="111" spans="1:19" x14ac:dyDescent="0.25">
      <c r="A111" s="6"/>
      <c r="B111" s="6" t="s">
        <v>10</v>
      </c>
      <c r="C111" s="155">
        <v>44440</v>
      </c>
      <c r="D111" s="102"/>
      <c r="E111" s="102"/>
      <c r="F111" s="103">
        <f t="shared" ca="1" si="93"/>
        <v>27802.812802777436</v>
      </c>
      <c r="G111" s="103">
        <f t="shared" si="89"/>
        <v>833.33333333333337</v>
      </c>
      <c r="H111" s="6" t="s">
        <v>1</v>
      </c>
      <c r="I111" s="104" t="str">
        <f t="shared" si="94"/>
        <v>ZAR.DISC.[USD.LIBOR.3M]</v>
      </c>
      <c r="J111" s="104" t="str">
        <f t="shared" si="95"/>
        <v>LON</v>
      </c>
      <c r="K111" s="105" t="s">
        <v>171</v>
      </c>
      <c r="L111" s="105" t="str">
        <f t="shared" si="96"/>
        <v>2b</v>
      </c>
      <c r="M111" t="str" cm="1">
        <f t="array" aca="1" ref="M111" ca="1">_xll.QIns_CreateAsianSwap("AsiSwap_Fwd_"&amp;ROW(),IF(C111="",D111:E111,C111),B111,H111,0,G111,J111,H111,K111,L111,,I111,IF(H111="USD","None","ATC"))</f>
        <v>AsiSwap_Fwd_111¬5</v>
      </c>
      <c r="N111" s="14" cm="1">
        <f t="array" aca="1" ref="N111" ca="1">_xll.QIns_ProductParRate(M111,AModel)</f>
        <v>27802.812802777436</v>
      </c>
      <c r="O111" t="str" cm="1">
        <f t="array" aca="1" ref="O111" ca="1">_xll.QIns_CreateAsianSwap("AsiSwap_"&amp;ROW(),IF(C111="",D111:E111,C111),B111,H111,F111,G111,J111,H111,K111,L111,,I111,IF(H111="USD","None","ATC"))</f>
        <v>AsiSwap_111¬5</v>
      </c>
      <c r="P111" s="21" cm="1">
        <f t="array" aca="1" ref="P111" ca="1">_xll.QIns_ProductPV(O111,AModel,H111)</f>
        <v>0</v>
      </c>
      <c r="Q111" t="str" cm="1">
        <f t="array" aca="1" ref="Q111" ca="1">IF(VLOOKUP(B111,AssetStatic,4,FALSE),_xll.QRisk_PortfolioFxDeltaSpecific("asiOpt_DeltaA"&amp;ROW(),O111,AModel,B111,"ZAR",FALSE),_xll.QRisk_PortfolioDelta("asiOpt_DeltaA"&amp;ROW(),O111,AModel,FALSE))</f>
        <v>asiOpt_DeltaA111¬6</v>
      </c>
      <c r="R111" s="21" cm="1">
        <f t="array" aca="1" ref="R111" ca="1">_xll.QCube_SumAllRows(Q111)</f>
        <v>831.94363432555599</v>
      </c>
      <c r="S111" s="93" cm="1">
        <f t="array" aca="1" ref="S111" ca="1">_xll.QIns_QuickPFE(O111,AModel,0.95,"ZAR")</f>
        <v>6263498.3658799324</v>
      </c>
    </row>
    <row r="112" spans="1:19" x14ac:dyDescent="0.25">
      <c r="A112" s="6"/>
      <c r="B112" s="6" t="s">
        <v>10</v>
      </c>
      <c r="C112" s="155">
        <v>44470</v>
      </c>
      <c r="D112" s="102"/>
      <c r="E112" s="102"/>
      <c r="F112" s="103">
        <f t="shared" ca="1" si="93"/>
        <v>27901.464614796736</v>
      </c>
      <c r="G112" s="103">
        <f t="shared" si="89"/>
        <v>833.33333333333337</v>
      </c>
      <c r="H112" s="6" t="s">
        <v>1</v>
      </c>
      <c r="I112" s="104" t="str">
        <f t="shared" si="94"/>
        <v>ZAR.DISC.[USD.LIBOR.3M]</v>
      </c>
      <c r="J112" s="104" t="str">
        <f t="shared" si="95"/>
        <v>LON</v>
      </c>
      <c r="K112" s="105" t="s">
        <v>171</v>
      </c>
      <c r="L112" s="105" t="str">
        <f t="shared" si="96"/>
        <v>2b</v>
      </c>
      <c r="M112" t="str" cm="1">
        <f t="array" aca="1" ref="M112" ca="1">_xll.QIns_CreateAsianSwap("AsiSwap_Fwd_"&amp;ROW(),IF(C112="",D112:E112,C112),B112,H112,0,G112,J112,H112,K112,L112,,I112,IF(H112="USD","None","ATC"))</f>
        <v>AsiSwap_Fwd_112¬5</v>
      </c>
      <c r="N112" s="14" cm="1">
        <f t="array" aca="1" ref="N112" ca="1">_xll.QIns_ProductParRate(M112,AModel)</f>
        <v>27901.464614796736</v>
      </c>
      <c r="O112" t="str" cm="1">
        <f t="array" aca="1" ref="O112" ca="1">_xll.QIns_CreateAsianSwap("AsiSwap_"&amp;ROW(),IF(C112="",D112:E112,C112),B112,H112,F112,G112,J112,H112,K112,L112,,I112,IF(H112="USD","None","ATC"))</f>
        <v>AsiSwap_112¬5</v>
      </c>
      <c r="P112" s="21" cm="1">
        <f t="array" aca="1" ref="P112" ca="1">_xll.QIns_ProductPV(O112,AModel,H112)</f>
        <v>0</v>
      </c>
      <c r="Q112" t="str" cm="1">
        <f t="array" aca="1" ref="Q112" ca="1">IF(VLOOKUP(B112,AssetStatic,4,FALSE),_xll.QRisk_PortfolioFxDeltaSpecific("asiOpt_DeltaA"&amp;ROW(),O112,AModel,B112,"ZAR",FALSE),_xll.QRisk_PortfolioDelta("asiOpt_DeltaA"&amp;ROW(),O112,AModel,FALSE))</f>
        <v>asiOpt_DeltaA112¬5</v>
      </c>
      <c r="R112" s="21" cm="1">
        <f t="array" aca="1" ref="R112" ca="1">_xll.QCube_SumAllRows(Q112)</f>
        <v>832.16654278093642</v>
      </c>
      <c r="S112" s="93" cm="1">
        <f t="array" aca="1" ref="S112" ca="1">_xll.QIns_QuickPFE(O112,AModel,0.95,"ZAR")</f>
        <v>6800458.562972011</v>
      </c>
    </row>
    <row r="113" spans="1:24" x14ac:dyDescent="0.25">
      <c r="A113" s="6"/>
      <c r="B113" s="6" t="s">
        <v>10</v>
      </c>
      <c r="C113" s="155">
        <v>44501</v>
      </c>
      <c r="D113" s="102"/>
      <c r="E113" s="102"/>
      <c r="F113" s="103">
        <f t="shared" ca="1" si="93"/>
        <v>28000.380560335736</v>
      </c>
      <c r="G113" s="103">
        <f t="shared" si="89"/>
        <v>833.33333333333337</v>
      </c>
      <c r="H113" s="6" t="s">
        <v>1</v>
      </c>
      <c r="I113" s="104" t="str">
        <f t="shared" si="94"/>
        <v>ZAR.DISC.[USD.LIBOR.3M]</v>
      </c>
      <c r="J113" s="104" t="str">
        <f t="shared" si="95"/>
        <v>LON</v>
      </c>
      <c r="K113" s="105" t="s">
        <v>171</v>
      </c>
      <c r="L113" s="105" t="str">
        <f t="shared" si="96"/>
        <v>2b</v>
      </c>
      <c r="M113" t="str" cm="1">
        <f t="array" aca="1" ref="M113" ca="1">_xll.QIns_CreateAsianSwap("AsiSwap_Fwd_"&amp;ROW(),IF(C113="",D113:E113,C113),B113,H113,0,G113,J113,H113,K113,L113,,I113,IF(H113="USD","None","ATC"))</f>
        <v>AsiSwap_Fwd_113¬5</v>
      </c>
      <c r="N113" s="14" cm="1">
        <f t="array" aca="1" ref="N113" ca="1">_xll.QIns_ProductParRate(M113,AModel)</f>
        <v>28000.380560335736</v>
      </c>
      <c r="O113" t="str" cm="1">
        <f t="array" aca="1" ref="O113" ca="1">_xll.QIns_CreateAsianSwap("AsiSwap_"&amp;ROW(),IF(C113="",D113:E113,C113),B113,H113,F113,G113,J113,H113,K113,L113,,I113,IF(H113="USD","None","ATC"))</f>
        <v>AsiSwap_113¬5</v>
      </c>
      <c r="P113" s="21" cm="1">
        <f t="array" aca="1" ref="P113" ca="1">_xll.QIns_ProductPV(O113,AModel,H113)</f>
        <v>0</v>
      </c>
      <c r="Q113" t="str" cm="1">
        <f t="array" aca="1" ref="Q113" ca="1">IF(VLOOKUP(B113,AssetStatic,4,FALSE),_xll.QRisk_PortfolioFxDeltaSpecific("asiOpt_DeltaA"&amp;ROW(),O113,AModel,B113,"ZAR",FALSE),_xll.QRisk_PortfolioDelta("asiOpt_DeltaA"&amp;ROW(),O113,AModel,FALSE))</f>
        <v>asiOpt_DeltaA113¬5</v>
      </c>
      <c r="R113" s="21" cm="1">
        <f t="array" aca="1" ref="R113" ca="1">_xll.QCube_SumAllRows(Q113)</f>
        <v>832.24409471005913</v>
      </c>
      <c r="S113" s="93" cm="1">
        <f t="array" aca="1" ref="S113" ca="1">_xll.QIns_QuickPFE(O113,AModel,0.95,"ZAR")</f>
        <v>7307396.6133770868</v>
      </c>
    </row>
    <row r="114" spans="1:24" x14ac:dyDescent="0.25">
      <c r="A114" s="6"/>
      <c r="B114" s="6" t="s">
        <v>10</v>
      </c>
      <c r="C114" s="155">
        <v>44531</v>
      </c>
      <c r="D114" s="102"/>
      <c r="E114" s="102"/>
      <c r="F114" s="103">
        <f t="shared" ca="1" si="93"/>
        <v>28104.859522378283</v>
      </c>
      <c r="G114" s="103">
        <f t="shared" si="89"/>
        <v>833.33333333333337</v>
      </c>
      <c r="H114" s="6" t="s">
        <v>1</v>
      </c>
      <c r="I114" s="104" t="str">
        <f t="shared" si="94"/>
        <v>ZAR.DISC.[USD.LIBOR.3M]</v>
      </c>
      <c r="J114" s="104" t="str">
        <f t="shared" si="95"/>
        <v>LON</v>
      </c>
      <c r="K114" s="105" t="s">
        <v>171</v>
      </c>
      <c r="L114" s="105" t="str">
        <f t="shared" si="96"/>
        <v>2b</v>
      </c>
      <c r="M114" t="str" cm="1">
        <f t="array" aca="1" ref="M114" ca="1">_xll.QIns_CreateAsianSwap("AsiSwap_Fwd_"&amp;ROW(),IF(C114="",D114:E114,C114),B114,H114,0,G114,J114,H114,K114,L114,,I114,IF(H114="USD","None","ATC"))</f>
        <v>AsiSwap_Fwd_114¬5</v>
      </c>
      <c r="N114" s="14" cm="1">
        <f t="array" aca="1" ref="N114" ca="1">_xll.QIns_ProductParRate(M114,AModel)</f>
        <v>28104.859522378283</v>
      </c>
      <c r="O114" t="str" cm="1">
        <f t="array" aca="1" ref="O114" ca="1">_xll.QIns_CreateAsianSwap("AsiSwap_"&amp;ROW(),IF(C114="",D114:E114,C114),B114,H114,F114,G114,J114,H114,K114,L114,,I114,IF(H114="USD","None","ATC"))</f>
        <v>AsiSwap_114¬5</v>
      </c>
      <c r="P114" s="21" cm="1">
        <f t="array" aca="1" ref="P114" ca="1">_xll.QIns_ProductPV(O114,AModel,H114)</f>
        <v>0</v>
      </c>
      <c r="Q114" t="str" cm="1">
        <f t="array" aca="1" ref="Q114" ca="1">IF(VLOOKUP(B114,AssetStatic,4,FALSE),_xll.QRisk_PortfolioFxDeltaSpecific("asiOpt_DeltaA"&amp;ROW(),O114,AModel,B114,"ZAR",FALSE),_xll.QRisk_PortfolioDelta("asiOpt_DeltaA"&amp;ROW(),O114,AModel,FALSE))</f>
        <v>asiOpt_DeltaA114¬5</v>
      </c>
      <c r="R114" s="21" cm="1">
        <f t="array" aca="1" ref="R114" ca="1">_xll.QCube_SumAllRows(Q114)</f>
        <v>832.11444789989321</v>
      </c>
      <c r="S114" s="93" cm="1">
        <f t="array" aca="1" ref="S114" ca="1">_xll.QIns_QuickPFE(O114,AModel,0.95,"ZAR")</f>
        <v>7807150.0885412088</v>
      </c>
    </row>
    <row r="115" spans="1:24" x14ac:dyDescent="0.25">
      <c r="A115" s="6"/>
      <c r="B115" s="6" t="s">
        <v>10</v>
      </c>
      <c r="C115" s="155">
        <v>44562</v>
      </c>
      <c r="D115" s="102"/>
      <c r="E115" s="102"/>
      <c r="F115" s="103">
        <f t="shared" ca="1" si="93"/>
        <v>28215.665005459614</v>
      </c>
      <c r="G115" s="103">
        <f t="shared" si="89"/>
        <v>833.33333333333337</v>
      </c>
      <c r="H115" s="6" t="s">
        <v>1</v>
      </c>
      <c r="I115" s="104" t="str">
        <f t="shared" si="94"/>
        <v>ZAR.DISC.[USD.LIBOR.3M]</v>
      </c>
      <c r="J115" s="104" t="str">
        <f t="shared" si="95"/>
        <v>LON</v>
      </c>
      <c r="K115" s="105" t="s">
        <v>171</v>
      </c>
      <c r="L115" s="105" t="str">
        <f t="shared" si="96"/>
        <v>2b</v>
      </c>
      <c r="M115" t="str" cm="1">
        <f t="array" aca="1" ref="M115" ca="1">_xll.QIns_CreateAsianSwap("AsiSwap_Fwd_"&amp;ROW(),IF(C115="",D115:E115,C115),B115,H115,0,G115,J115,H115,K115,L115,,I115,IF(H115="USD","None","ATC"))</f>
        <v>AsiSwap_Fwd_115¬5</v>
      </c>
      <c r="N115" s="14" cm="1">
        <f t="array" aca="1" ref="N115" ca="1">_xll.QIns_ProductParRate(M115,AModel)</f>
        <v>28215.665005459614</v>
      </c>
      <c r="O115" t="str" cm="1">
        <f t="array" aca="1" ref="O115" ca="1">_xll.QIns_CreateAsianSwap("AsiSwap_"&amp;ROW(),IF(C115="",D115:E115,C115),B115,H115,F115,G115,J115,H115,K115,L115,,I115,IF(H115="USD","None","ATC"))</f>
        <v>AsiSwap_115¬5</v>
      </c>
      <c r="P115" s="21" cm="1">
        <f t="array" aca="1" ref="P115" ca="1">_xll.QIns_ProductPV(O115,AModel,H115)</f>
        <v>0</v>
      </c>
      <c r="Q115" t="str" cm="1">
        <f t="array" aca="1" ref="Q115" ca="1">IF(VLOOKUP(B115,AssetStatic,4,FALSE),_xll.QRisk_PortfolioFxDeltaSpecific("asiOpt_DeltaA"&amp;ROW(),O115,AModel,B115,"ZAR",FALSE),_xll.QRisk_PortfolioDelta("asiOpt_DeltaA"&amp;ROW(),O115,AModel,FALSE))</f>
        <v>asiOpt_DeltaA115¬6</v>
      </c>
      <c r="R115" s="21" cm="1">
        <f t="array" aca="1" ref="R115" ca="1">_xll.QCube_SumAllRows(Q115)</f>
        <v>832.58537345519073</v>
      </c>
      <c r="S115" s="93" cm="1">
        <f t="array" aca="1" ref="S115" ca="1">_xll.QIns_QuickPFE(O115,AModel,0.95,"ZAR")</f>
        <v>8332801.8704899568</v>
      </c>
    </row>
    <row r="116" spans="1:24" x14ac:dyDescent="0.25">
      <c r="A116" s="6"/>
      <c r="B116" s="6" t="s">
        <v>10</v>
      </c>
      <c r="C116" s="155">
        <v>44593</v>
      </c>
      <c r="D116" s="102"/>
      <c r="E116" s="102"/>
      <c r="F116" s="103">
        <f t="shared" ca="1" si="93"/>
        <v>28311.614999643069</v>
      </c>
      <c r="G116" s="103">
        <f t="shared" si="89"/>
        <v>833.33333333333337</v>
      </c>
      <c r="H116" s="6" t="s">
        <v>1</v>
      </c>
      <c r="I116" s="104" t="str">
        <f t="shared" si="94"/>
        <v>ZAR.DISC.[USD.LIBOR.3M]</v>
      </c>
      <c r="J116" s="104" t="str">
        <f t="shared" si="95"/>
        <v>LON</v>
      </c>
      <c r="K116" s="105" t="s">
        <v>171</v>
      </c>
      <c r="L116" s="105" t="str">
        <f t="shared" si="96"/>
        <v>2b</v>
      </c>
      <c r="M116" t="str" cm="1">
        <f t="array" aca="1" ref="M116" ca="1">_xll.QIns_CreateAsianSwap("AsiSwap_Fwd_"&amp;ROW(),IF(C116="",D116:E116,C116),B116,H116,0,G116,J116,H116,K116,L116,,I116,IF(H116="USD","None","ATC"))</f>
        <v>AsiSwap_Fwd_116¬5</v>
      </c>
      <c r="N116" s="14" cm="1">
        <f t="array" aca="1" ref="N116" ca="1">_xll.QIns_ProductParRate(M116,AModel)</f>
        <v>28311.614999643069</v>
      </c>
      <c r="O116" t="str" cm="1">
        <f t="array" aca="1" ref="O116" ca="1">_xll.QIns_CreateAsianSwap("AsiSwap_"&amp;ROW(),IF(C116="",D116:E116,C116),B116,H116,F116,G116,J116,H116,K116,L116,,I116,IF(H116="USD","None","ATC"))</f>
        <v>AsiSwap_116¬5</v>
      </c>
      <c r="P116" s="21" cm="1">
        <f t="array" aca="1" ref="P116" ca="1">_xll.QIns_ProductPV(O116,AModel,H116)</f>
        <v>0</v>
      </c>
      <c r="Q116" t="str" cm="1">
        <f t="array" aca="1" ref="Q116" ca="1">IF(VLOOKUP(B116,AssetStatic,4,FALSE),_xll.QRisk_PortfolioFxDeltaSpecific("asiOpt_DeltaA"&amp;ROW(),O116,AModel,B116,"ZAR",FALSE),_xll.QRisk_PortfolioDelta("asiOpt_DeltaA"&amp;ROW(),O116,AModel,FALSE))</f>
        <v>asiOpt_DeltaA116¬6</v>
      </c>
      <c r="R116" s="21" cm="1">
        <f t="array" aca="1" ref="R116" ca="1">_xll.QCube_SumAllRows(Q116)</f>
        <v>832.64444261313122</v>
      </c>
      <c r="S116" s="93" cm="1">
        <f t="array" aca="1" ref="S116" ca="1">_xll.QIns_QuickPFE(O116,AModel,0.95,"ZAR")</f>
        <v>8767212.7978201993</v>
      </c>
    </row>
    <row r="117" spans="1:24" x14ac:dyDescent="0.25">
      <c r="A117" s="6"/>
      <c r="B117" s="6" t="s">
        <v>10</v>
      </c>
      <c r="C117" s="155">
        <v>44621</v>
      </c>
      <c r="D117" s="102"/>
      <c r="E117" s="102"/>
      <c r="F117" s="103">
        <f t="shared" ca="1" si="93"/>
        <v>28415.571593700588</v>
      </c>
      <c r="G117" s="103">
        <f t="shared" si="89"/>
        <v>833.33333333333337</v>
      </c>
      <c r="H117" s="6" t="s">
        <v>1</v>
      </c>
      <c r="I117" s="104" t="str">
        <f t="shared" si="94"/>
        <v>ZAR.DISC.[USD.LIBOR.3M]</v>
      </c>
      <c r="J117" s="104" t="str">
        <f t="shared" si="95"/>
        <v>LON</v>
      </c>
      <c r="K117" s="105" t="s">
        <v>171</v>
      </c>
      <c r="L117" s="105" t="str">
        <f t="shared" si="96"/>
        <v>2b</v>
      </c>
      <c r="M117" t="str" cm="1">
        <f t="array" aca="1" ref="M117" ca="1">_xll.QIns_CreateAsianSwap("AsiSwap_Fwd_"&amp;ROW(),IF(C117="",D117:E117,C117),B117,H117,0,G117,J117,H117,K117,L117,,I117,IF(H117="USD","None","ATC"))</f>
        <v>AsiSwap_Fwd_117¬5</v>
      </c>
      <c r="N117" s="14" cm="1">
        <f t="array" aca="1" ref="N117" ca="1">_xll.QIns_ProductParRate(M117,AModel)</f>
        <v>28415.571593700588</v>
      </c>
      <c r="O117" t="str" cm="1">
        <f t="array" aca="1" ref="O117" ca="1">_xll.QIns_CreateAsianSwap("AsiSwap_"&amp;ROW(),IF(C117="",D117:E117,C117),B117,H117,F117,G117,J117,H117,K117,L117,,I117,IF(H117="USD","None","ATC"))</f>
        <v>AsiSwap_117¬5</v>
      </c>
      <c r="P117" s="21" cm="1">
        <f t="array" aca="1" ref="P117" ca="1">_xll.QIns_ProductPV(O117,AModel,H117)</f>
        <v>0</v>
      </c>
      <c r="Q117" t="str" cm="1">
        <f t="array" aca="1" ref="Q117" ca="1">IF(VLOOKUP(B117,AssetStatic,4,FALSE),_xll.QRisk_PortfolioFxDeltaSpecific("asiOpt_DeltaA"&amp;ROW(),O117,AModel,B117,"ZAR",FALSE),_xll.QRisk_PortfolioDelta("asiOpt_DeltaA"&amp;ROW(),O117,AModel,FALSE))</f>
        <v>asiOpt_DeltaA117¬6</v>
      </c>
      <c r="R117" s="21" cm="1">
        <f t="array" aca="1" ref="R117" ca="1">_xll.QCube_SumAllRows(Q117)</f>
        <v>832.34148371112826</v>
      </c>
      <c r="S117" s="93" cm="1">
        <f t="array" aca="1" ref="S117" ca="1">_xll.QIns_QuickPFE(O117,AModel,0.95,"ZAR")</f>
        <v>9233606.3085607272</v>
      </c>
    </row>
    <row r="118" spans="1:24" x14ac:dyDescent="0.25">
      <c r="A118" s="6"/>
      <c r="B118" s="6" t="s">
        <v>10</v>
      </c>
      <c r="C118" s="155">
        <v>44652</v>
      </c>
      <c r="D118" s="102"/>
      <c r="E118" s="102"/>
      <c r="F118" s="103">
        <f t="shared" ca="1" si="93"/>
        <v>28523.336674952792</v>
      </c>
      <c r="G118" s="103">
        <f t="shared" si="89"/>
        <v>833.33333333333337</v>
      </c>
      <c r="H118" s="6" t="s">
        <v>1</v>
      </c>
      <c r="I118" s="104" t="str">
        <f t="shared" si="94"/>
        <v>ZAR.DISC.[USD.LIBOR.3M]</v>
      </c>
      <c r="J118" s="104" t="str">
        <f t="shared" si="95"/>
        <v>LON</v>
      </c>
      <c r="K118" s="105" t="s">
        <v>171</v>
      </c>
      <c r="L118" s="105" t="str">
        <f t="shared" si="96"/>
        <v>2b</v>
      </c>
      <c r="M118" t="str" cm="1">
        <f t="array" aca="1" ref="M118" ca="1">_xll.QIns_CreateAsianSwap("AsiSwap_Fwd_"&amp;ROW(),IF(C118="",D118:E118,C118),B118,H118,0,G118,J118,H118,K118,L118,,I118,IF(H118="USD","None","ATC"))</f>
        <v>AsiSwap_Fwd_118¬5</v>
      </c>
      <c r="N118" s="14" cm="1">
        <f t="array" aca="1" ref="N118" ca="1">_xll.QIns_ProductParRate(M118,AModel)</f>
        <v>28523.336674952792</v>
      </c>
      <c r="O118" t="str" cm="1">
        <f t="array" aca="1" ref="O118" ca="1">_xll.QIns_CreateAsianSwap("AsiSwap_"&amp;ROW(),IF(C118="",D118:E118,C118),B118,H118,F118,G118,J118,H118,K118,L118,,I118,IF(H118="USD","None","ATC"))</f>
        <v>AsiSwap_118¬5</v>
      </c>
      <c r="P118" s="21" cm="1">
        <f t="array" aca="1" ref="P118" ca="1">_xll.QIns_ProductPV(O118,AModel,H118)</f>
        <v>0</v>
      </c>
      <c r="Q118" t="str" cm="1">
        <f t="array" aca="1" ref="Q118" ca="1">IF(VLOOKUP(B118,AssetStatic,4,FALSE),_xll.QRisk_PortfolioFxDeltaSpecific("asiOpt_DeltaA"&amp;ROW(),O118,AModel,B118,"ZAR",FALSE),_xll.QRisk_PortfolioDelta("asiOpt_DeltaA"&amp;ROW(),O118,AModel,FALSE))</f>
        <v>asiOpt_DeltaA118¬6</v>
      </c>
      <c r="R118" s="21" cm="1">
        <f t="array" aca="1" ref="R118" ca="1">_xll.QCube_SumAllRows(Q118)</f>
        <v>832.44779058134941</v>
      </c>
      <c r="S118" s="93" cm="1">
        <f t="array" aca="1" ref="S118" ca="1">_xll.QIns_QuickPFE(O118,AModel,0.95,"ZAR")</f>
        <v>9712888.0583243035</v>
      </c>
    </row>
    <row r="119" spans="1:24" x14ac:dyDescent="0.25">
      <c r="A119" s="6"/>
      <c r="B119" s="6" t="s">
        <v>10</v>
      </c>
      <c r="C119" s="155">
        <v>44682</v>
      </c>
      <c r="D119" s="102"/>
      <c r="E119" s="102"/>
      <c r="F119" s="103">
        <f t="shared" ref="F119:F123" ca="1" si="97">N119</f>
        <v>28626.121504484705</v>
      </c>
      <c r="G119" s="103">
        <f t="shared" si="89"/>
        <v>833.33333333333337</v>
      </c>
      <c r="H119" s="6" t="s">
        <v>1</v>
      </c>
      <c r="I119" s="104" t="str">
        <f t="shared" ref="I119:I123" si="98">IF(H119="USD","USD.LIBOR.3M",H119&amp;".DISC.[USD.LIBOR.3M]")</f>
        <v>ZAR.DISC.[USD.LIBOR.3M]</v>
      </c>
      <c r="J119" s="104" t="str">
        <f t="shared" ref="J119:J123" si="99">VLOOKUP(B119,AssetStatic,3,FALSE)</f>
        <v>LON</v>
      </c>
      <c r="K119" s="105" t="s">
        <v>171</v>
      </c>
      <c r="L119" s="105" t="str">
        <f t="shared" ref="L119:L123" si="100">VLOOKUP(B119,AssetStatic,2,FALSE)</f>
        <v>2b</v>
      </c>
      <c r="M119" t="str" cm="1">
        <f t="array" aca="1" ref="M119" ca="1">_xll.QIns_CreateAsianSwap("AsiSwap_Fwd_"&amp;ROW(),IF(C119="",D119:E119,C119),B119,H119,0,G119,J119,H119,K119,L119,,I119,IF(H119="USD","None","ATC"))</f>
        <v>AsiSwap_Fwd_119¬5</v>
      </c>
      <c r="N119" s="14" cm="1">
        <f t="array" aca="1" ref="N119" ca="1">_xll.QIns_ProductParRate(M119,AModel)</f>
        <v>28626.121504484705</v>
      </c>
      <c r="O119" t="str" cm="1">
        <f t="array" aca="1" ref="O119" ca="1">_xll.QIns_CreateAsianSwap("AsiSwap_"&amp;ROW(),IF(C119="",D119:E119,C119),B119,H119,F119,G119,J119,H119,K119,L119,,I119,IF(H119="USD","None","ATC"))</f>
        <v>AsiSwap_119¬5</v>
      </c>
      <c r="P119" s="21" cm="1">
        <f t="array" aca="1" ref="P119" ca="1">_xll.QIns_ProductPV(O119,AModel,H119)</f>
        <v>0</v>
      </c>
      <c r="Q119" t="str" cm="1">
        <f t="array" aca="1" ref="Q119" ca="1">IF(VLOOKUP(B119,AssetStatic,4,FALSE),_xll.QRisk_PortfolioFxDeltaSpecific("asiOpt_DeltaA"&amp;ROW(),O119,AModel,B119,"ZAR",FALSE),_xll.QRisk_PortfolioDelta("asiOpt_DeltaA"&amp;ROW(),O119,AModel,FALSE))</f>
        <v>asiOpt_DeltaA119¬6</v>
      </c>
      <c r="R119" s="21" cm="1">
        <f t="array" aca="1" ref="R119" ca="1">_xll.QCube_SumAllRows(Q119)</f>
        <v>832.5028240615934</v>
      </c>
      <c r="S119" s="93" cm="1">
        <f t="array" aca="1" ref="S119" ca="1">_xll.QIns_QuickPFE(O119,AModel,0.95,"ZAR")</f>
        <v>10174220.626204818</v>
      </c>
    </row>
    <row r="120" spans="1:24" x14ac:dyDescent="0.25">
      <c r="A120" s="6"/>
      <c r="B120" s="6" t="s">
        <v>10</v>
      </c>
      <c r="C120" s="155">
        <v>44713</v>
      </c>
      <c r="D120" s="102"/>
      <c r="E120" s="102"/>
      <c r="F120" s="103">
        <f t="shared" ca="1" si="97"/>
        <v>28732.376192606222</v>
      </c>
      <c r="G120" s="103">
        <f t="shared" si="89"/>
        <v>833.33333333333337</v>
      </c>
      <c r="H120" s="6" t="s">
        <v>1</v>
      </c>
      <c r="I120" s="104" t="str">
        <f t="shared" si="98"/>
        <v>ZAR.DISC.[USD.LIBOR.3M]</v>
      </c>
      <c r="J120" s="104" t="str">
        <f t="shared" si="99"/>
        <v>LON</v>
      </c>
      <c r="K120" s="105" t="s">
        <v>171</v>
      </c>
      <c r="L120" s="105" t="str">
        <f t="shared" si="100"/>
        <v>2b</v>
      </c>
      <c r="M120" t="str" cm="1">
        <f t="array" aca="1" ref="M120" ca="1">_xll.QIns_CreateAsianSwap("AsiSwap_Fwd_"&amp;ROW(),IF(C120="",D120:E120,C120),B120,H120,0,G120,J120,H120,K120,L120,,I120,IF(H120="USD","None","ATC"))</f>
        <v>AsiSwap_Fwd_120¬5</v>
      </c>
      <c r="N120" s="14" cm="1">
        <f t="array" aca="1" ref="N120" ca="1">_xll.QIns_ProductParRate(M120,AModel)</f>
        <v>28732.376192606222</v>
      </c>
      <c r="O120" t="str" cm="1">
        <f t="array" aca="1" ref="O120" ca="1">_xll.QIns_CreateAsianSwap("AsiSwap_"&amp;ROW(),IF(C120="",D120:E120,C120),B120,H120,F120,G120,J120,H120,K120,L120,,I120,IF(H120="USD","None","ATC"))</f>
        <v>AsiSwap_120¬5</v>
      </c>
      <c r="P120" s="21" cm="1">
        <f t="array" aca="1" ref="P120" ca="1">_xll.QIns_ProductPV(O120,AModel,H120)</f>
        <v>-2.8481613333489902E-9</v>
      </c>
      <c r="Q120" t="str" cm="1">
        <f t="array" aca="1" ref="Q120" ca="1">IF(VLOOKUP(B120,AssetStatic,4,FALSE),_xll.QRisk_PortfolioFxDeltaSpecific("asiOpt_DeltaA"&amp;ROW(),O120,AModel,B120,"ZAR",FALSE),_xll.QRisk_PortfolioDelta("asiOpt_DeltaA"&amp;ROW(),O120,AModel,FALSE))</f>
        <v>asiOpt_DeltaA120¬6</v>
      </c>
      <c r="R120" s="21" cm="1">
        <f t="array" aca="1" ref="R120" ca="1">_xll.QCube_SumAllRows(Q120)</f>
        <v>832.34807015531942</v>
      </c>
      <c r="S120" s="93" cm="1">
        <f t="array" aca="1" ref="S120" ca="1">_xll.QIns_QuickPFE(O120,AModel,0.95,"ZAR")</f>
        <v>10623267.948517587</v>
      </c>
    </row>
    <row r="121" spans="1:24" x14ac:dyDescent="0.25">
      <c r="A121" s="6"/>
      <c r="B121" s="6" t="s">
        <v>10</v>
      </c>
      <c r="C121" s="155">
        <v>44743</v>
      </c>
      <c r="D121" s="102"/>
      <c r="E121" s="102"/>
      <c r="F121" s="103">
        <f t="shared" ca="1" si="97"/>
        <v>28835.230520680907</v>
      </c>
      <c r="G121" s="103">
        <f t="shared" si="89"/>
        <v>833.33333333333337</v>
      </c>
      <c r="H121" s="6" t="s">
        <v>1</v>
      </c>
      <c r="I121" s="104" t="str">
        <f t="shared" si="98"/>
        <v>ZAR.DISC.[USD.LIBOR.3M]</v>
      </c>
      <c r="J121" s="104" t="str">
        <f t="shared" si="99"/>
        <v>LON</v>
      </c>
      <c r="K121" s="105" t="s">
        <v>171</v>
      </c>
      <c r="L121" s="105" t="str">
        <f t="shared" si="100"/>
        <v>2b</v>
      </c>
      <c r="M121" t="str" cm="1">
        <f t="array" aca="1" ref="M121" ca="1">_xll.QIns_CreateAsianSwap("AsiSwap_Fwd_"&amp;ROW(),IF(C121="",D121:E121,C121),B121,H121,0,G121,J121,H121,K121,L121,,I121,IF(H121="USD","None","ATC"))</f>
        <v>AsiSwap_Fwd_121¬5</v>
      </c>
      <c r="N121" s="14" cm="1">
        <f t="array" aca="1" ref="N121" ca="1">_xll.QIns_ProductParRate(M121,AModel)</f>
        <v>28835.230520680907</v>
      </c>
      <c r="O121" t="str" cm="1">
        <f t="array" aca="1" ref="O121" ca="1">_xll.QIns_CreateAsianSwap("AsiSwap_"&amp;ROW(),IF(C121="",D121:E121,C121),B121,H121,F121,G121,J121,H121,K121,L121,,I121,IF(H121="USD","None","ATC"))</f>
        <v>AsiSwap_121¬5</v>
      </c>
      <c r="P121" s="21" cm="1">
        <f t="array" aca="1" ref="P121" ca="1">_xll.QIns_ProductPV(O121,AModel,H121)</f>
        <v>0</v>
      </c>
      <c r="Q121" t="str" cm="1">
        <f t="array" aca="1" ref="Q121" ca="1">IF(VLOOKUP(B121,AssetStatic,4,FALSE),_xll.QRisk_PortfolioFxDeltaSpecific("asiOpt_DeltaA"&amp;ROW(),O121,AModel,B121,"ZAR",FALSE),_xll.QRisk_PortfolioDelta("asiOpt_DeltaA"&amp;ROW(),O121,AModel,FALSE))</f>
        <v>asiOpt_DeltaA121¬5</v>
      </c>
      <c r="R121" s="21" cm="1">
        <f t="array" aca="1" ref="R121" ca="1">_xll.QCube_SumAllRows(Q121)</f>
        <v>832.39146845294715</v>
      </c>
      <c r="S121" s="93" cm="1">
        <f t="array" aca="1" ref="S121" ca="1">_xll.QIns_QuickPFE(O121,AModel,0.95,"ZAR")</f>
        <v>11062358.080316957</v>
      </c>
    </row>
    <row r="122" spans="1:24" x14ac:dyDescent="0.25">
      <c r="A122" s="6"/>
      <c r="B122" s="6" t="s">
        <v>10</v>
      </c>
      <c r="C122" s="155">
        <v>44774</v>
      </c>
      <c r="D122" s="102"/>
      <c r="E122" s="102"/>
      <c r="F122" s="103">
        <f t="shared" ca="1" si="97"/>
        <v>28939.492892176761</v>
      </c>
      <c r="G122" s="103">
        <f t="shared" si="89"/>
        <v>833.33333333333337</v>
      </c>
      <c r="H122" s="6" t="s">
        <v>1</v>
      </c>
      <c r="I122" s="104" t="str">
        <f t="shared" si="98"/>
        <v>ZAR.DISC.[USD.LIBOR.3M]</v>
      </c>
      <c r="J122" s="104" t="str">
        <f t="shared" si="99"/>
        <v>LON</v>
      </c>
      <c r="K122" s="105" t="s">
        <v>171</v>
      </c>
      <c r="L122" s="105" t="str">
        <f t="shared" si="100"/>
        <v>2b</v>
      </c>
      <c r="M122" t="str" cm="1">
        <f t="array" aca="1" ref="M122" ca="1">_xll.QIns_CreateAsianSwap("AsiSwap_Fwd_"&amp;ROW(),IF(C122="",D122:E122,C122),B122,H122,0,G122,J122,H122,K122,L122,,I122,IF(H122="USD","None","ATC"))</f>
        <v>AsiSwap_Fwd_122¬5</v>
      </c>
      <c r="N122" s="14" cm="1">
        <f t="array" aca="1" ref="N122" ca="1">_xll.QIns_ProductParRate(M122,AModel)</f>
        <v>28939.492892176761</v>
      </c>
      <c r="O122" t="str" cm="1">
        <f t="array" aca="1" ref="O122" ca="1">_xll.QIns_CreateAsianSwap("AsiSwap_"&amp;ROW(),IF(C122="",D122:E122,C122),B122,H122,F122,G122,J122,H122,K122,L122,,I122,IF(H122="USD","None","ATC"))</f>
        <v>AsiSwap_122¬5</v>
      </c>
      <c r="P122" s="21" cm="1">
        <f t="array" aca="1" ref="P122" ca="1">_xll.QIns_ProductPV(O122,AModel,H122)</f>
        <v>0</v>
      </c>
      <c r="Q122" t="str" cm="1">
        <f t="array" aca="1" ref="Q122" ca="1">IF(VLOOKUP(B122,AssetStatic,4,FALSE),_xll.QRisk_PortfolioFxDeltaSpecific("asiOpt_DeltaA"&amp;ROW(),O122,AModel,B122,"ZAR",FALSE),_xll.QRisk_PortfolioDelta("asiOpt_DeltaA"&amp;ROW(),O122,AModel,FALSE))</f>
        <v>asiOpt_DeltaA122¬5</v>
      </c>
      <c r="R122" s="21" cm="1">
        <f t="array" aca="1" ref="R122" ca="1">_xll.QCube_SumAllRows(Q122)</f>
        <v>832.18912131164063</v>
      </c>
      <c r="S122" s="93" cm="1">
        <f t="array" aca="1" ref="S122" ca="1">_xll.QIns_QuickPFE(O122,AModel,0.95,"ZAR")</f>
        <v>11488725.402977007</v>
      </c>
    </row>
    <row r="123" spans="1:24" x14ac:dyDescent="0.25">
      <c r="A123" s="6"/>
      <c r="B123" s="6" t="s">
        <v>10</v>
      </c>
      <c r="C123" s="155">
        <v>44805</v>
      </c>
      <c r="D123" s="102"/>
      <c r="E123" s="102"/>
      <c r="F123" s="103">
        <f t="shared" ca="1" si="97"/>
        <v>29054.404915235937</v>
      </c>
      <c r="G123" s="103">
        <f t="shared" si="89"/>
        <v>833.33333333333337</v>
      </c>
      <c r="H123" s="6" t="s">
        <v>1</v>
      </c>
      <c r="I123" s="104" t="str">
        <f t="shared" si="98"/>
        <v>ZAR.DISC.[USD.LIBOR.3M]</v>
      </c>
      <c r="J123" s="104" t="str">
        <f t="shared" si="99"/>
        <v>LON</v>
      </c>
      <c r="K123" s="105" t="s">
        <v>171</v>
      </c>
      <c r="L123" s="105" t="str">
        <f t="shared" si="100"/>
        <v>2b</v>
      </c>
      <c r="M123" t="str" cm="1">
        <f t="array" aca="1" ref="M123" ca="1">_xll.QIns_CreateAsianSwap("AsiSwap_Fwd_"&amp;ROW(),IF(C123="",D123:E123,C123),B123,H123,0,G123,J123,H123,K123,L123,,I123,IF(H123="USD","None","ATC"))</f>
        <v>AsiSwap_Fwd_123¬5</v>
      </c>
      <c r="N123" s="14" cm="1">
        <f t="array" aca="1" ref="N123" ca="1">_xll.QIns_ProductParRate(M123,AModel)</f>
        <v>29054.404915235937</v>
      </c>
      <c r="O123" t="str" cm="1">
        <f t="array" aca="1" ref="O123" ca="1">_xll.QIns_CreateAsianSwap("AsiSwap_"&amp;ROW(),IF(C123="",D123:E123,C123),B123,H123,F123,G123,J123,H123,K123,L123,,I123,IF(H123="USD","None","ATC"))</f>
        <v>AsiSwap_123¬5</v>
      </c>
      <c r="P123" s="21" cm="1">
        <f t="array" aca="1" ref="P123" ca="1">_xll.QIns_ProductPV(O123,AModel,H123)</f>
        <v>0</v>
      </c>
      <c r="Q123" t="str" cm="1">
        <f t="array" aca="1" ref="Q123" ca="1">IF(VLOOKUP(B123,AssetStatic,4,FALSE),_xll.QRisk_PortfolioFxDeltaSpecific("asiOpt_DeltaA"&amp;ROW(),O123,AModel,B123,"ZAR",FALSE),_xll.QRisk_PortfolioDelta("asiOpt_DeltaA"&amp;ROW(),O123,AModel,FALSE))</f>
        <v>asiOpt_DeltaA123¬4</v>
      </c>
      <c r="R123" s="21" cm="1">
        <f t="array" aca="1" ref="R123" ca="1">_xll.QCube_SumAllRows(Q123)</f>
        <v>832.10353520493982</v>
      </c>
      <c r="S123" s="93" cm="1">
        <f t="array" aca="1" ref="S123" ca="1">_xll.QIns_QuickPFE(O123,AModel,0.95,"ZAR")</f>
        <v>11935238.024861362</v>
      </c>
    </row>
    <row r="124" spans="1:24" x14ac:dyDescent="0.25">
      <c r="A124" s="6"/>
      <c r="B124" s="6"/>
      <c r="C124" s="102"/>
      <c r="D124" s="102"/>
      <c r="E124" s="102"/>
      <c r="F124" s="103">
        <v>15</v>
      </c>
      <c r="G124" s="103"/>
      <c r="H124" s="6"/>
      <c r="I124" s="104"/>
      <c r="J124" s="104"/>
      <c r="K124" s="104"/>
      <c r="L124" s="104"/>
    </row>
    <row r="125" spans="1:24" s="185" customFormat="1" x14ac:dyDescent="0.25">
      <c r="A125" s="6"/>
      <c r="B125" s="6" t="s">
        <v>10</v>
      </c>
      <c r="C125" s="155"/>
      <c r="D125" s="102">
        <v>44768</v>
      </c>
      <c r="E125" s="102">
        <f>D125</f>
        <v>44768</v>
      </c>
      <c r="F125" s="103">
        <f ca="1">N125-$F$124</f>
        <v>1835.0680532712613</v>
      </c>
      <c r="G125" s="103">
        <v>1000</v>
      </c>
      <c r="H125" s="6" t="s">
        <v>21</v>
      </c>
      <c r="I125" s="104" t="str">
        <f t="shared" ref="I125:I127" si="101">IF(H125="USD","USD.LIBOR.3M",H125&amp;".DISC.[USD.LIBOR.3M]")</f>
        <v>USD.LIBOR.3M</v>
      </c>
      <c r="J125" s="104" t="str">
        <f t="shared" ref="J125:J127" si="102">VLOOKUP(B125,AssetStatic,3,FALSE)</f>
        <v>LON</v>
      </c>
      <c r="K125" s="105" t="s">
        <v>171</v>
      </c>
      <c r="L125" s="105" t="str">
        <f t="shared" ref="L125:L127" si="103">VLOOKUP(B125,AssetStatic,2,FALSE)</f>
        <v>2b</v>
      </c>
      <c r="M125" s="185" t="str" cm="1">
        <f t="array" aca="1" ref="M125" ca="1">_xll.QIns_CreateAsianSwap("AsiSwap_Fwd_"&amp;ROW(),IF(C125="",D125:E125,C125),B125,H125,0,G125,J125,H125,K125,L125,,I125,IF(H125="USD","None","ATC"))</f>
        <v>AsiSwap_Fwd_125¬5</v>
      </c>
      <c r="N125" s="14" cm="1">
        <f t="array" aca="1" ref="N125" ca="1">_xll.QIns_ProductParRate(M125,AModel)</f>
        <v>1850.0680532712613</v>
      </c>
      <c r="O125" s="185" t="str" cm="1">
        <f t="array" aca="1" ref="O125" ca="1">_xll.QIns_CreateAsianSwap("AsiSwap_"&amp;ROW(),IF(C125="",D125:E125,C125),B125,H125,F125,G125,J125,H125,K125,L125,,I125,IF(H125="USD","None","ATC"))</f>
        <v>AsiSwap_125¬5</v>
      </c>
      <c r="P125" s="21" cm="1">
        <f t="array" aca="1" ref="P125" ca="1">_xll.QIns_ProductPV(O125,AModel,H125)</f>
        <v>14961.318209400979</v>
      </c>
      <c r="Q125" s="185" t="str" cm="1">
        <f t="array" aca="1" ref="Q125" ca="1">IF(VLOOKUP(B125,AssetStatic,4,FALSE),_xll.QRisk_PortfolioFxDeltaSpecific("asiOpt_DeltaA"&amp;ROW(),O125,AModel,B125,"ZAR",FALSE),_xll.QRisk_PortfolioDelta("asiOpt_DeltaA"&amp;ROW(),O125,AModel,FALSE))</f>
        <v>asiOpt_DeltaA125¬5</v>
      </c>
      <c r="R125" s="21" cm="1">
        <f t="array" aca="1" ref="R125" ca="1">_xll.QCube_SumAllRows(Q125)</f>
        <v>1000.5861615551029</v>
      </c>
      <c r="S125" s="93" cm="1">
        <f t="array" aca="1" ref="S125" ca="1">_xll.QIns_QuickPFE(O125,AModel,0.95,"ZAR")</f>
        <v>803979.85806298407</v>
      </c>
    </row>
    <row r="126" spans="1:24" s="185" customFormat="1" x14ac:dyDescent="0.25">
      <c r="A126" s="6"/>
      <c r="B126" s="6" t="s">
        <v>10</v>
      </c>
      <c r="C126" s="155"/>
      <c r="D126" s="102">
        <v>44790</v>
      </c>
      <c r="E126" s="102">
        <f t="shared" ref="E126:E127" si="104">D126</f>
        <v>44790</v>
      </c>
      <c r="F126" s="103">
        <f t="shared" ref="F126:F127" ca="1" si="105">N126-$F$124</f>
        <v>1835.1822056952792</v>
      </c>
      <c r="G126" s="103">
        <v>1000</v>
      </c>
      <c r="H126" s="6" t="s">
        <v>21</v>
      </c>
      <c r="I126" s="104" t="str">
        <f t="shared" si="101"/>
        <v>USD.LIBOR.3M</v>
      </c>
      <c r="J126" s="104" t="str">
        <f t="shared" si="102"/>
        <v>LON</v>
      </c>
      <c r="K126" s="105" t="s">
        <v>171</v>
      </c>
      <c r="L126" s="105" t="str">
        <f t="shared" si="103"/>
        <v>2b</v>
      </c>
      <c r="M126" s="185" t="str" cm="1">
        <f t="array" aca="1" ref="M126" ca="1">_xll.QIns_CreateAsianSwap("AsiSwap_Fwd_"&amp;ROW(),IF(C126="",D126:E126,C126),B126,H126,0,G126,J126,H126,K126,L126,,I126,IF(H126="USD","None","ATC"))</f>
        <v>AsiSwap_Fwd_126¬5</v>
      </c>
      <c r="N126" s="14" cm="1">
        <f t="array" aca="1" ref="N126" ca="1">_xll.QIns_ProductParRate(M126,AModel)</f>
        <v>1850.1822056952792</v>
      </c>
      <c r="O126" s="185" t="str" cm="1">
        <f t="array" aca="1" ref="O126" ca="1">_xll.QIns_CreateAsianSwap("AsiSwap_"&amp;ROW(),IF(C126="",D126:E126,C126),B126,H126,F126,G126,J126,H126,K126,L126,,I126,IF(H126="USD","None","ATC"))</f>
        <v>AsiSwap_126¬5</v>
      </c>
      <c r="P126" s="21" cm="1">
        <f t="array" aca="1" ref="P126" ca="1">_xll.QIns_ProductPV(O126,AModel,H126)</f>
        <v>14959.481872678132</v>
      </c>
      <c r="Q126" s="185" t="str" cm="1">
        <f t="array" aca="1" ref="Q126" ca="1">IF(VLOOKUP(B126,AssetStatic,4,FALSE),_xll.QRisk_PortfolioFxDeltaSpecific("asiOpt_DeltaA"&amp;ROW(),O126,AModel,B126,"ZAR",FALSE),_xll.QRisk_PortfolioDelta("asiOpt_DeltaA"&amp;ROW(),O126,AModel,FALSE))</f>
        <v>asiOpt_DeltaA126¬5</v>
      </c>
      <c r="R126" s="21" cm="1">
        <f t="array" aca="1" ref="R126" ca="1">_xll.QCube_SumAllRows(Q126)</f>
        <v>1000.5250809772535</v>
      </c>
      <c r="S126" s="93" cm="1">
        <f t="array" aca="1" ref="S126" ca="1">_xll.QIns_QuickPFE(O126,AModel,0.95,"ZAR")</f>
        <v>824190.81057112769</v>
      </c>
    </row>
    <row r="127" spans="1:24" s="185" customFormat="1" x14ac:dyDescent="0.25">
      <c r="A127" s="6"/>
      <c r="B127" s="6" t="s">
        <v>10</v>
      </c>
      <c r="C127" s="155"/>
      <c r="D127" s="102">
        <v>44817</v>
      </c>
      <c r="E127" s="102">
        <f t="shared" si="104"/>
        <v>44817</v>
      </c>
      <c r="F127" s="103">
        <f t="shared" ca="1" si="105"/>
        <v>1835.3046308191711</v>
      </c>
      <c r="G127" s="103">
        <v>1000</v>
      </c>
      <c r="H127" s="6" t="s">
        <v>21</v>
      </c>
      <c r="I127" s="104" t="str">
        <f t="shared" si="101"/>
        <v>USD.LIBOR.3M</v>
      </c>
      <c r="J127" s="104" t="str">
        <f t="shared" si="102"/>
        <v>LON</v>
      </c>
      <c r="K127" s="105" t="s">
        <v>171</v>
      </c>
      <c r="L127" s="105" t="str">
        <f t="shared" si="103"/>
        <v>2b</v>
      </c>
      <c r="M127" s="185" t="str" cm="1">
        <f t="array" aca="1" ref="M127" ca="1">_xll.QIns_CreateAsianSwap("AsiSwap_Fwd_"&amp;ROW(),IF(C127="",D127:E127,C127),B127,H127,0,G127,J127,H127,K127,L127,,I127,IF(H127="USD","None","ATC"))</f>
        <v>AsiSwap_Fwd_127¬5</v>
      </c>
      <c r="N127" s="14" cm="1">
        <f t="array" aca="1" ref="N127" ca="1">_xll.QIns_ProductParRate(M127,AModel)</f>
        <v>1850.3046308191711</v>
      </c>
      <c r="O127" s="185" t="str" cm="1">
        <f t="array" aca="1" ref="O127" ca="1">_xll.QIns_CreateAsianSwap("AsiSwap_"&amp;ROW(),IF(C127="",D127:E127,C127),B127,H127,F127,G127,J127,H127,K127,L127,,I127,IF(H127="USD","None","ATC"))</f>
        <v>AsiSwap_127¬5</v>
      </c>
      <c r="P127" s="21" cm="1">
        <f t="array" aca="1" ref="P127" ca="1">_xll.QIns_ProductPV(O127,AModel,H127)</f>
        <v>14957.202570402684</v>
      </c>
      <c r="Q127" s="185" t="str" cm="1">
        <f t="array" aca="1" ref="Q127" ca="1">IF(VLOOKUP(B127,AssetStatic,4,FALSE),_xll.QRisk_PortfolioFxDeltaSpecific("asiOpt_DeltaA"&amp;ROW(),O127,AModel,B127,"ZAR",FALSE),_xll.QRisk_PortfolioDelta("asiOpt_DeltaA"&amp;ROW(),O127,AModel,FALSE))</f>
        <v>asiOpt_DeltaA127¬5</v>
      </c>
      <c r="R127" s="21" cm="1">
        <f t="array" aca="1" ref="R127" ca="1">_xll.QCube_SumAllRows(Q127)</f>
        <v>1000.4388298022295</v>
      </c>
      <c r="S127" s="93" cm="1">
        <f t="array" aca="1" ref="S127" ca="1">_xll.QIns_QuickPFE(O127,AModel,0.95,"ZAR")</f>
        <v>848366.21951673902</v>
      </c>
    </row>
    <row r="128" spans="1:24" x14ac:dyDescent="0.25">
      <c r="A128" s="6"/>
      <c r="B128" s="6"/>
      <c r="C128" s="102"/>
      <c r="D128" s="102"/>
      <c r="E128" s="102"/>
      <c r="F128" s="103"/>
      <c r="G128" s="103"/>
      <c r="H128" s="6"/>
      <c r="I128" s="104"/>
      <c r="J128" s="104"/>
      <c r="K128" s="104"/>
      <c r="L128" s="104"/>
      <c r="S128" s="158">
        <f t="shared" ref="S128:S131" si="106">EDATE(T128,1)</f>
        <v>44197</v>
      </c>
      <c r="T128" s="158">
        <f>C102</f>
        <v>44166</v>
      </c>
      <c r="U128" s="159">
        <f ca="1">F102</f>
        <v>1000000</v>
      </c>
      <c r="V128" s="160">
        <f ca="1">F108</f>
        <v>27485.093456797142</v>
      </c>
      <c r="W128" s="159">
        <f ca="1">F114</f>
        <v>28104.859522378283</v>
      </c>
      <c r="X128" s="160">
        <f ca="1">F120</f>
        <v>28732.376192606222</v>
      </c>
    </row>
    <row r="129" spans="1:24" x14ac:dyDescent="0.25">
      <c r="A129" s="6"/>
      <c r="B129" s="6"/>
      <c r="C129" s="102"/>
      <c r="D129" s="102"/>
      <c r="E129" s="102"/>
      <c r="F129" s="103"/>
      <c r="G129" s="103"/>
      <c r="H129" s="6"/>
      <c r="I129" s="104"/>
      <c r="J129" s="104"/>
      <c r="K129" s="104"/>
      <c r="L129" s="104"/>
      <c r="O129">
        <f>36000</f>
        <v>36000</v>
      </c>
      <c r="S129" s="158">
        <f t="shared" si="106"/>
        <v>44228</v>
      </c>
      <c r="T129" s="158">
        <f>C103</f>
        <v>44197</v>
      </c>
      <c r="U129" s="159">
        <f ca="1">F103</f>
        <v>1000000</v>
      </c>
      <c r="V129" s="160">
        <f ca="1">F109</f>
        <v>27593.329270051414</v>
      </c>
      <c r="W129" s="159">
        <f ca="1">F115</f>
        <v>28215.665005459614</v>
      </c>
      <c r="X129" s="160">
        <f ca="1">F121</f>
        <v>28835.230520680907</v>
      </c>
    </row>
    <row r="130" spans="1:24" x14ac:dyDescent="0.25">
      <c r="A130" s="6"/>
      <c r="B130" s="6"/>
      <c r="C130" s="102"/>
      <c r="D130" s="102"/>
      <c r="E130" s="102"/>
      <c r="F130" s="103"/>
      <c r="G130" s="103"/>
      <c r="H130" s="6"/>
      <c r="I130" s="104"/>
      <c r="J130" s="104"/>
      <c r="K130" s="104"/>
      <c r="L130" s="104"/>
      <c r="O130">
        <f>O129*0.9</f>
        <v>32400</v>
      </c>
      <c r="S130" s="158">
        <f t="shared" si="106"/>
        <v>44256</v>
      </c>
      <c r="T130" s="158">
        <f>C104</f>
        <v>44228</v>
      </c>
      <c r="U130" s="159">
        <f ca="1">F104</f>
        <v>27171.361565035779</v>
      </c>
      <c r="V130" s="160">
        <f ca="1">F110</f>
        <v>27696.384846899986</v>
      </c>
      <c r="W130" s="159">
        <f ca="1">F116</f>
        <v>28311.614999643069</v>
      </c>
      <c r="X130" s="160">
        <f ca="1">F122</f>
        <v>28939.492892176761</v>
      </c>
    </row>
    <row r="131" spans="1:24" x14ac:dyDescent="0.25">
      <c r="A131" s="6"/>
      <c r="B131" s="6"/>
      <c r="C131" s="102"/>
      <c r="D131" s="102"/>
      <c r="E131" s="102"/>
      <c r="F131" s="103"/>
      <c r="G131" s="103"/>
      <c r="H131" s="6"/>
      <c r="I131" s="104"/>
      <c r="J131" s="104"/>
      <c r="K131" s="104"/>
      <c r="L131" s="104"/>
      <c r="S131" s="158">
        <f t="shared" si="106"/>
        <v>44287</v>
      </c>
      <c r="T131" s="158">
        <f>C105</f>
        <v>44256</v>
      </c>
      <c r="U131" s="159">
        <f ca="1">F105</f>
        <v>27141.763384471913</v>
      </c>
      <c r="V131" s="160">
        <f ca="1">F111</f>
        <v>27802.812802777436</v>
      </c>
      <c r="W131" s="159">
        <f ca="1">F117</f>
        <v>28415.571593700588</v>
      </c>
      <c r="X131" s="160">
        <f ca="1">F123</f>
        <v>29054.404915235937</v>
      </c>
    </row>
    <row r="132" spans="1:24" x14ac:dyDescent="0.25">
      <c r="A132" s="6"/>
      <c r="B132" s="6"/>
      <c r="C132" s="102"/>
      <c r="D132" s="102"/>
      <c r="E132" s="102"/>
      <c r="F132" s="103"/>
      <c r="G132" s="103"/>
      <c r="H132" s="6"/>
      <c r="I132" s="104"/>
      <c r="J132" s="104"/>
      <c r="K132" s="104"/>
      <c r="L132" s="104"/>
    </row>
    <row r="133" spans="1:24" x14ac:dyDescent="0.25">
      <c r="A133" s="6"/>
      <c r="B133" s="6"/>
      <c r="C133" s="102"/>
      <c r="D133" s="102"/>
      <c r="E133" s="102"/>
      <c r="F133" s="103"/>
      <c r="G133" s="103"/>
      <c r="H133" s="6"/>
      <c r="I133" s="104"/>
      <c r="J133" s="104"/>
      <c r="K133" s="104"/>
      <c r="L133" s="104"/>
    </row>
    <row r="134" spans="1:24" x14ac:dyDescent="0.25">
      <c r="A134" s="6"/>
      <c r="B134" s="6" t="s">
        <v>104</v>
      </c>
      <c r="C134" s="155">
        <v>44075</v>
      </c>
      <c r="D134" s="102"/>
      <c r="E134" s="102"/>
      <c r="F134" s="103">
        <v>1518.86</v>
      </c>
      <c r="G134" s="103">
        <f>-SUM(G135:G136)</f>
        <v>169</v>
      </c>
      <c r="H134" s="6" t="s">
        <v>21</v>
      </c>
      <c r="I134" s="104" t="str">
        <f t="shared" ref="I134:I136" si="107">IF(H134="USD","USD.LIBOR.3M",H134&amp;".DISC.[USD.LIBOR.3M]")</f>
        <v>USD.LIBOR.3M</v>
      </c>
      <c r="J134" s="104" t="str">
        <f t="shared" ref="J134:J136" si="108">VLOOKUP(B134,AssetStatic,3,FALSE)</f>
        <v>LON</v>
      </c>
      <c r="K134" s="105" t="s">
        <v>171</v>
      </c>
      <c r="L134" s="105" t="str">
        <f t="shared" ref="L134:L136" si="109">VLOOKUP(B134,AssetStatic,2,FALSE)</f>
        <v>2b</v>
      </c>
      <c r="M134" t="str" cm="1">
        <f t="array" aca="1" ref="M134" ca="1">_xll.QIns_CreateAsianSwap("AsiSwap_Fwd_"&amp;ROW(),IF(C134="",D134:E134,C134),B134,H134,0,G134,J134,H134,K134,L134,,I134,IF(H134="USD","None","ATC"))</f>
        <v>AsiSwap_Fwd_134¬5</v>
      </c>
      <c r="N134" s="14" cm="1">
        <f t="array" aca="1" ref="N134" ca="1">_xll.QIns_ProductParRate(M134,AModel)</f>
        <v>1000000</v>
      </c>
      <c r="O134" t="str" cm="1">
        <f t="array" aca="1" ref="O134" ca="1">_xll.QIns_CreateAsianSwap("AsiSwap_"&amp;ROW(),IF(C134="",D134:E134,C134),B134,H134,F134,G134,J134,H134,K134,L134,,I134,IF(H134="USD","None","ATC"))</f>
        <v>AsiSwap_134¬5</v>
      </c>
      <c r="P134" s="21" cm="1">
        <f t="array" aca="1" ref="P134" ca="1">_xll.QIns_ProductPV(O134,AModel,H134)</f>
        <v>0</v>
      </c>
      <c r="Q134" t="str" cm="1">
        <f t="array" aca="1" ref="Q134" ca="1">IF(VLOOKUP(B134,AssetStatic,4,FALSE),_xll.QRisk_PortfolioFxDeltaSpecific("asiOpt_DeltaA"&amp;ROW(),O134,AModel,B134,"ZAR",FALSE),_xll.QRisk_PortfolioDelta("asiOpt_DeltaA"&amp;ROW(),O134,AModel,FALSE))</f>
        <v>asiOpt_DeltaA134¬5</v>
      </c>
      <c r="R134" s="21" cm="1">
        <f t="array" aca="1" ref="R134" ca="1">_xll.QCube_SumAllRows(Q134)</f>
        <v>0</v>
      </c>
      <c r="S134" s="93" cm="1">
        <f t="array" aca="1" ref="S134" ca="1">_xll.QIns_QuickPFE(O134,AModel,0.95,"ZAR")</f>
        <v>0</v>
      </c>
    </row>
    <row r="135" spans="1:24" x14ac:dyDescent="0.25">
      <c r="A135" s="6"/>
      <c r="B135" s="6" t="s">
        <v>104</v>
      </c>
      <c r="C135" s="155">
        <v>44378</v>
      </c>
      <c r="D135" s="102"/>
      <c r="E135" s="102"/>
      <c r="F135" s="103">
        <f ca="1">N135-(N134-F134)</f>
        <v>-996382.7771915585</v>
      </c>
      <c r="G135" s="103">
        <v>-84</v>
      </c>
      <c r="H135" s="6" t="s">
        <v>21</v>
      </c>
      <c r="I135" s="104" t="str">
        <f t="shared" si="107"/>
        <v>USD.LIBOR.3M</v>
      </c>
      <c r="J135" s="104" t="str">
        <f t="shared" si="108"/>
        <v>LON</v>
      </c>
      <c r="K135" s="105" t="s">
        <v>171</v>
      </c>
      <c r="L135" s="105" t="str">
        <f t="shared" si="109"/>
        <v>2b</v>
      </c>
      <c r="M135" t="str" cm="1">
        <f t="array" aca="1" ref="M135" ca="1">_xll.QIns_CreateAsianSwap("AsiSwap_Fwd_"&amp;ROW(),IF(C135="",D135:E135,C135),B135,H135,0,G135,J135,H135,K135,L135,,I135,IF(H135="USD","None","ATC"))</f>
        <v>AsiSwap_Fwd_135¬5</v>
      </c>
      <c r="N135" s="14" cm="1">
        <f t="array" aca="1" ref="N135" ca="1">_xll.QIns_ProductParRate(M135,AModel)</f>
        <v>2098.3628084415586</v>
      </c>
      <c r="O135" t="str" cm="1">
        <f t="array" aca="1" ref="O135" ca="1">_xll.QIns_CreateAsianSwap("AsiSwap_"&amp;ROW(),IF(C135="",D135:E135,C135),B135,H135,F135,G135,J135,H135,K135,L135,,I135,IF(H135="USD","None","ATC"))</f>
        <v>AsiSwap_135¬1</v>
      </c>
      <c r="P135" s="21" cm="1">
        <f t="array" aca="1" ref="P135" ca="1">_xll.QIns_ProductPV(O135,AModel,H135)</f>
        <v>-83810785.651194811</v>
      </c>
      <c r="Q135" t="str" cm="1">
        <f t="array" aca="1" ref="Q135" ca="1">IF(VLOOKUP(B135,AssetStatic,4,FALSE),_xll.QRisk_PortfolioFxDeltaSpecific("asiOpt_DeltaA"&amp;ROW(),O135,AModel,B135,"ZAR",FALSE),_xll.QRisk_PortfolioDelta("asiOpt_DeltaA"&amp;ROW(),O135,AModel,FALSE))</f>
        <v>asiOpt_DeltaA135¬0</v>
      </c>
      <c r="R135" s="21" cm="1">
        <f t="array" aca="1" ref="R135" ca="1">_xll.QCube_SumAllRows(Q135)</f>
        <v>-83.994426859942493</v>
      </c>
      <c r="S135" s="93" cm="1">
        <f t="array" aca="1" ref="S135" ca="1">_xll.QIns_QuickPFE(O135,AModel,0.95,"ZAR")</f>
        <v>-83843042.71747601</v>
      </c>
    </row>
    <row r="136" spans="1:24" x14ac:dyDescent="0.25">
      <c r="A136" s="6"/>
      <c r="B136" s="6" t="s">
        <v>104</v>
      </c>
      <c r="C136" s="155">
        <v>44470</v>
      </c>
      <c r="D136" s="102"/>
      <c r="E136" s="102"/>
      <c r="F136" s="103">
        <f ca="1">N136-(N135-F135)</f>
        <v>-996370.49702380958</v>
      </c>
      <c r="G136" s="103">
        <v>-85</v>
      </c>
      <c r="H136" s="6" t="s">
        <v>21</v>
      </c>
      <c r="I136" s="104" t="str">
        <f t="shared" si="107"/>
        <v>USD.LIBOR.3M</v>
      </c>
      <c r="J136" s="104" t="str">
        <f t="shared" si="108"/>
        <v>LON</v>
      </c>
      <c r="K136" s="105" t="s">
        <v>171</v>
      </c>
      <c r="L136" s="105" t="str">
        <f t="shared" si="109"/>
        <v>2b</v>
      </c>
      <c r="M136" t="str" cm="1">
        <f t="array" aca="1" ref="M136" ca="1">_xll.QIns_CreateAsianSwap("AsiSwap_Fwd_"&amp;ROW(),IF(C136="",D136:E136,C136),B136,H136,0,G136,J136,H136,K136,L136,,I136,IF(H136="USD","None","ATC"))</f>
        <v>AsiSwap_Fwd_136¬5</v>
      </c>
      <c r="N136" s="14" cm="1">
        <f t="array" aca="1" ref="N136" ca="1">_xll.QIns_ProductParRate(M136,AModel)</f>
        <v>2110.6429761904765</v>
      </c>
      <c r="O136" t="str" cm="1">
        <f t="array" aca="1" ref="O136" ca="1">_xll.QIns_CreateAsianSwap("AsiSwap_"&amp;ROW(),IF(C136="",D136:E136,C136),B136,H136,F136,G136,J136,H136,K136,L136,,I136,IF(H136="USD","None","ATC"))</f>
        <v>AsiSwap_136¬1</v>
      </c>
      <c r="P136" s="21" cm="1">
        <f t="array" aca="1" ref="P136" ca="1">_xll.QIns_ProductPV(O136,AModel,H136)</f>
        <v>-84772853.351500377</v>
      </c>
      <c r="Q136" t="str" cm="1">
        <f t="array" aca="1" ref="Q136" ca="1">IF(VLOOKUP(B136,AssetStatic,4,FALSE),_xll.QRisk_PortfolioFxDeltaSpecific("asiOpt_DeltaA"&amp;ROW(),O136,AModel,B136,"ZAR",FALSE),_xll.QRisk_PortfolioDelta("asiOpt_DeltaA"&amp;ROW(),O136,AModel,FALSE))</f>
        <v>asiOpt_DeltaA136¬0</v>
      </c>
      <c r="R136" s="21" cm="1">
        <f t="array" aca="1" ref="R136" ca="1">_xll.QCube_SumAllRows(Q136)</f>
        <v>-84.994267453596962</v>
      </c>
      <c r="S136" s="93" cm="1">
        <f t="array" aca="1" ref="S136" ca="1">_xll.QIns_QuickPFE(O136,AModel,0.95,"ZAR")</f>
        <v>-84833887.166511759</v>
      </c>
    </row>
    <row r="137" spans="1:24" x14ac:dyDescent="0.25">
      <c r="A137" s="6"/>
      <c r="B137" s="6"/>
      <c r="C137" s="102"/>
      <c r="D137" s="102"/>
      <c r="E137" s="102"/>
      <c r="F137" s="103"/>
      <c r="G137" s="103"/>
      <c r="H137" s="6"/>
      <c r="I137" s="104"/>
      <c r="J137" s="104"/>
      <c r="K137" s="104"/>
      <c r="L137" s="104"/>
    </row>
    <row r="138" spans="1:24" x14ac:dyDescent="0.25">
      <c r="A138" s="6"/>
      <c r="B138" s="6"/>
      <c r="C138" s="102"/>
      <c r="D138" s="102"/>
      <c r="E138" s="103">
        <v>0.2</v>
      </c>
      <c r="F138" s="103"/>
      <c r="G138" s="103"/>
      <c r="H138" s="6"/>
      <c r="I138" s="104">
        <f>16000/250</f>
        <v>64</v>
      </c>
      <c r="J138" s="104"/>
      <c r="K138" s="104"/>
      <c r="L138" s="104"/>
    </row>
    <row r="139" spans="1:24" x14ac:dyDescent="0.25">
      <c r="A139" s="6"/>
      <c r="B139" s="6" t="s">
        <v>134</v>
      </c>
      <c r="C139" s="155">
        <v>44013</v>
      </c>
      <c r="D139" s="102"/>
      <c r="E139" s="103">
        <f t="shared" ref="E139:E144" ca="1" si="110">F139/159.6/7.46+$E$138</f>
        <v>840.10136198404871</v>
      </c>
      <c r="F139" s="103">
        <f ca="1">N139</f>
        <v>1000000</v>
      </c>
      <c r="G139" s="103">
        <f>33333/159.6/7.46</f>
        <v>27.996432099014292</v>
      </c>
      <c r="H139" s="6" t="s">
        <v>1</v>
      </c>
      <c r="I139" s="104" t="str">
        <f t="shared" ref="I139" si="111">IF(H139="USD","USD.LIBOR.3M",H139&amp;".DISC.[USD.LIBOR.3M]")</f>
        <v>ZAR.DISC.[USD.LIBOR.3M]</v>
      </c>
      <c r="J139" s="104" t="str">
        <f t="shared" ref="J139" si="112">VLOOKUP(B139,AssetStatic,3,FALSE)</f>
        <v>ICE</v>
      </c>
      <c r="K139" s="105" t="s">
        <v>171</v>
      </c>
      <c r="L139" s="105" t="str">
        <f t="shared" ref="L139" si="113">VLOOKUP(B139,AssetStatic,2,FALSE)</f>
        <v>0b</v>
      </c>
      <c r="M139" t="str" cm="1">
        <f t="array" aca="1" ref="M139" ca="1">_xll.QIns_CreateAsianSwap("AsiSwap_Fwd_"&amp;ROW(),IF(C139="",D139:E139,C139),B139,H139,0,G139,J139,H139,K139,L139,,I139,IF(H139="USD","None","ATC"))</f>
        <v>AsiSwap_Fwd_139¬5</v>
      </c>
      <c r="N139" s="14" cm="1">
        <f t="array" aca="1" ref="N139" ca="1">_xll.QIns_ProductParRate(M139,AModel)</f>
        <v>1000000</v>
      </c>
      <c r="O139" t="str" cm="1">
        <f t="array" aca="1" ref="O139" ca="1">_xll.QIns_CreateAsianSwap("AsiSwap_"&amp;ROW(),IF(C139="",D139:E139,C139),B139,H139,F139,G139,J139,H139,K139,L139,,I139,IF(H139="USD","None","ATC"))</f>
        <v>AsiSwap_139¬5</v>
      </c>
      <c r="P139" s="21" cm="1">
        <f t="array" aca="1" ref="P139" ca="1">_xll.QIns_ProductPV(O139,AModel,H139)</f>
        <v>0</v>
      </c>
      <c r="Q139" t="str" cm="1">
        <f t="array" aca="1" ref="Q139" ca="1">IF(VLOOKUP(B139,AssetStatic,4,FALSE),_xll.QRisk_PortfolioFxDeltaSpecific("asiOpt_DeltaA"&amp;ROW(),O139,AModel,B139,"ZAR",FALSE),_xll.QRisk_PortfolioDelta("asiOpt_DeltaA"&amp;ROW(),O139,AModel,FALSE))</f>
        <v>asiOpt_DeltaA139¬3</v>
      </c>
      <c r="R139" s="21" cm="1">
        <f t="array" aca="1" ref="R139" ca="1">_xll.QCube_SumAllRows(Q139)</f>
        <v>0</v>
      </c>
      <c r="S139" s="93" cm="1">
        <f t="array" aca="1" ref="S139" ca="1">_xll.QIns_QuickPFE(O139,AModel,0.95,"ZAR")</f>
        <v>0</v>
      </c>
    </row>
    <row r="140" spans="1:24" x14ac:dyDescent="0.25">
      <c r="A140" s="6"/>
      <c r="B140" s="6" t="s">
        <v>134</v>
      </c>
      <c r="C140" s="155">
        <v>44044</v>
      </c>
      <c r="D140" s="102"/>
      <c r="E140" s="103">
        <f t="shared" ca="1" si="110"/>
        <v>840.10136198404871</v>
      </c>
      <c r="F140" s="103">
        <f t="shared" ref="F140:F144" ca="1" si="114">N140</f>
        <v>1000000</v>
      </c>
      <c r="G140" s="103">
        <f t="shared" ref="G140:G144" si="115">33333/159.6/7.46</f>
        <v>27.996432099014292</v>
      </c>
      <c r="H140" s="6" t="s">
        <v>1</v>
      </c>
      <c r="I140" s="104" t="str">
        <f t="shared" ref="I140:I144" si="116">IF(H140="USD","USD.LIBOR.3M",H140&amp;".DISC.[USD.LIBOR.3M]")</f>
        <v>ZAR.DISC.[USD.LIBOR.3M]</v>
      </c>
      <c r="J140" s="104" t="str">
        <f t="shared" ref="J140:J144" si="117">VLOOKUP(B140,AssetStatic,3,FALSE)</f>
        <v>ICE</v>
      </c>
      <c r="K140" s="105" t="s">
        <v>171</v>
      </c>
      <c r="L140" s="105" t="str">
        <f t="shared" ref="L140:L144" si="118">VLOOKUP(B140,AssetStatic,2,FALSE)</f>
        <v>0b</v>
      </c>
      <c r="M140" t="str" cm="1">
        <f t="array" aca="1" ref="M140" ca="1">_xll.QIns_CreateAsianSwap("AsiSwap_Fwd_"&amp;ROW(),IF(C140="",D140:E140,C140),B140,H140,0,G140,J140,H140,K140,L140,,I140,IF(H140="USD","None","ATC"))</f>
        <v>AsiSwap_Fwd_140¬5</v>
      </c>
      <c r="N140" s="14" cm="1">
        <f t="array" aca="1" ref="N140" ca="1">_xll.QIns_ProductParRate(M140,AModel)</f>
        <v>1000000</v>
      </c>
      <c r="O140" t="str" cm="1">
        <f t="array" aca="1" ref="O140" ca="1">_xll.QIns_CreateAsianSwap("AsiSwap_"&amp;ROW(),IF(C140="",D140:E140,C140),B140,H140,F140,G140,J140,H140,K140,L140,,I140,IF(H140="USD","None","ATC"))</f>
        <v>AsiSwap_140¬5</v>
      </c>
      <c r="P140" s="21" cm="1">
        <f t="array" aca="1" ref="P140" ca="1">_xll.QIns_ProductPV(O140,AModel,H140)</f>
        <v>0</v>
      </c>
      <c r="Q140" t="str" cm="1">
        <f t="array" aca="1" ref="Q140" ca="1">IF(VLOOKUP(B140,AssetStatic,4,FALSE),_xll.QRisk_PortfolioFxDeltaSpecific("asiOpt_DeltaA"&amp;ROW(),O140,AModel,B140,"ZAR",FALSE),_xll.QRisk_PortfolioDelta("asiOpt_DeltaA"&amp;ROW(),O140,AModel,FALSE))</f>
        <v>asiOpt_DeltaA140¬5</v>
      </c>
      <c r="R140" s="21" cm="1">
        <f t="array" aca="1" ref="R140" ca="1">_xll.QCube_SumAllRows(Q140)</f>
        <v>0</v>
      </c>
      <c r="S140" s="93" cm="1">
        <f t="array" aca="1" ref="S140" ca="1">_xll.QIns_QuickPFE(O140,AModel,0.95,"ZAR")</f>
        <v>0</v>
      </c>
    </row>
    <row r="141" spans="1:24" x14ac:dyDescent="0.25">
      <c r="A141" s="6"/>
      <c r="B141" s="6" t="s">
        <v>134</v>
      </c>
      <c r="C141" s="155">
        <v>44075</v>
      </c>
      <c r="D141" s="102"/>
      <c r="E141" s="103">
        <f t="shared" ca="1" si="110"/>
        <v>840.10136198404871</v>
      </c>
      <c r="F141" s="103">
        <f t="shared" ca="1" si="114"/>
        <v>1000000</v>
      </c>
      <c r="G141" s="103">
        <f t="shared" si="115"/>
        <v>27.996432099014292</v>
      </c>
      <c r="H141" s="6" t="s">
        <v>1</v>
      </c>
      <c r="I141" s="104" t="str">
        <f t="shared" si="116"/>
        <v>ZAR.DISC.[USD.LIBOR.3M]</v>
      </c>
      <c r="J141" s="104" t="str">
        <f t="shared" si="117"/>
        <v>ICE</v>
      </c>
      <c r="K141" s="105" t="s">
        <v>171</v>
      </c>
      <c r="L141" s="105" t="str">
        <f t="shared" si="118"/>
        <v>0b</v>
      </c>
      <c r="M141" t="str" cm="1">
        <f t="array" aca="1" ref="M141" ca="1">_xll.QIns_CreateAsianSwap("AsiSwap_Fwd_"&amp;ROW(),IF(C141="",D141:E141,C141),B141,H141,0,G141,J141,H141,K141,L141,,I141,IF(H141="USD","None","ATC"))</f>
        <v>AsiSwap_Fwd_141¬5</v>
      </c>
      <c r="N141" s="14" cm="1">
        <f t="array" aca="1" ref="N141" ca="1">_xll.QIns_ProductParRate(M141,AModel)</f>
        <v>1000000</v>
      </c>
      <c r="O141" t="str" cm="1">
        <f t="array" aca="1" ref="O141" ca="1">_xll.QIns_CreateAsianSwap("AsiSwap_"&amp;ROW(),IF(C141="",D141:E141,C141),B141,H141,F141,G141,J141,H141,K141,L141,,I141,IF(H141="USD","None","ATC"))</f>
        <v>AsiSwap_141¬5</v>
      </c>
      <c r="P141" s="21" cm="1">
        <f t="array" aca="1" ref="P141" ca="1">_xll.QIns_ProductPV(O141,AModel,H141)</f>
        <v>0</v>
      </c>
      <c r="Q141" t="str" cm="1">
        <f t="array" aca="1" ref="Q141" ca="1">IF(VLOOKUP(B141,AssetStatic,4,FALSE),_xll.QRisk_PortfolioFxDeltaSpecific("asiOpt_DeltaA"&amp;ROW(),O141,AModel,B141,"ZAR",FALSE),_xll.QRisk_PortfolioDelta("asiOpt_DeltaA"&amp;ROW(),O141,AModel,FALSE))</f>
        <v>asiOpt_DeltaA141¬5</v>
      </c>
      <c r="R141" s="21" cm="1">
        <f t="array" aca="1" ref="R141" ca="1">_xll.QCube_SumAllRows(Q141)</f>
        <v>0</v>
      </c>
      <c r="S141" s="93" cm="1">
        <f t="array" aca="1" ref="S141" ca="1">_xll.QIns_QuickPFE(O141,AModel,0.95,"ZAR")</f>
        <v>0</v>
      </c>
    </row>
    <row r="142" spans="1:24" x14ac:dyDescent="0.25">
      <c r="A142" s="6"/>
      <c r="B142" s="6" t="s">
        <v>134</v>
      </c>
      <c r="C142" s="155">
        <v>44105</v>
      </c>
      <c r="D142" s="102"/>
      <c r="E142" s="103">
        <f t="shared" ca="1" si="110"/>
        <v>840.10136198404871</v>
      </c>
      <c r="F142" s="103">
        <f t="shared" ca="1" si="114"/>
        <v>1000000</v>
      </c>
      <c r="G142" s="103">
        <f t="shared" si="115"/>
        <v>27.996432099014292</v>
      </c>
      <c r="H142" s="6" t="s">
        <v>1</v>
      </c>
      <c r="I142" s="104" t="str">
        <f t="shared" si="116"/>
        <v>ZAR.DISC.[USD.LIBOR.3M]</v>
      </c>
      <c r="J142" s="104" t="str">
        <f t="shared" si="117"/>
        <v>ICE</v>
      </c>
      <c r="K142" s="105" t="s">
        <v>171</v>
      </c>
      <c r="L142" s="105" t="str">
        <f t="shared" si="118"/>
        <v>0b</v>
      </c>
      <c r="M142" t="str" cm="1">
        <f t="array" aca="1" ref="M142" ca="1">_xll.QIns_CreateAsianSwap("AsiSwap_Fwd_"&amp;ROW(),IF(C142="",D142:E142,C142),B142,H142,0,G142,J142,H142,K142,L142,,I142,IF(H142="USD","None","ATC"))</f>
        <v>AsiSwap_Fwd_142¬5</v>
      </c>
      <c r="N142" s="14" cm="1">
        <f t="array" aca="1" ref="N142" ca="1">_xll.QIns_ProductParRate(M142,AModel)</f>
        <v>1000000</v>
      </c>
      <c r="O142" t="str" cm="1">
        <f t="array" aca="1" ref="O142" ca="1">_xll.QIns_CreateAsianSwap("AsiSwap_"&amp;ROW(),IF(C142="",D142:E142,C142),B142,H142,F142,G142,J142,H142,K142,L142,,I142,IF(H142="USD","None","ATC"))</f>
        <v>AsiSwap_142¬5</v>
      </c>
      <c r="P142" s="21" cm="1">
        <f t="array" aca="1" ref="P142" ca="1">_xll.QIns_ProductPV(O142,AModel,H142)</f>
        <v>0</v>
      </c>
      <c r="Q142" t="str" cm="1">
        <f t="array" aca="1" ref="Q142" ca="1">IF(VLOOKUP(B142,AssetStatic,4,FALSE),_xll.QRisk_PortfolioFxDeltaSpecific("asiOpt_DeltaA"&amp;ROW(),O142,AModel,B142,"ZAR",FALSE),_xll.QRisk_PortfolioDelta("asiOpt_DeltaA"&amp;ROW(),O142,AModel,FALSE))</f>
        <v>asiOpt_DeltaA142¬5</v>
      </c>
      <c r="R142" s="21" cm="1">
        <f t="array" aca="1" ref="R142" ca="1">_xll.QCube_SumAllRows(Q142)</f>
        <v>0</v>
      </c>
      <c r="S142" s="93" cm="1">
        <f t="array" aca="1" ref="S142" ca="1">_xll.QIns_QuickPFE(O142,AModel,0.95,"ZAR")</f>
        <v>0</v>
      </c>
    </row>
    <row r="143" spans="1:24" x14ac:dyDescent="0.25">
      <c r="A143" s="6"/>
      <c r="B143" s="6" t="s">
        <v>134</v>
      </c>
      <c r="C143" s="155">
        <v>44136</v>
      </c>
      <c r="D143" s="102"/>
      <c r="E143" s="103">
        <f t="shared" ca="1" si="110"/>
        <v>840.10136198404871</v>
      </c>
      <c r="F143" s="103">
        <f t="shared" ca="1" si="114"/>
        <v>1000000</v>
      </c>
      <c r="G143" s="103">
        <f t="shared" si="115"/>
        <v>27.996432099014292</v>
      </c>
      <c r="H143" s="6" t="s">
        <v>1</v>
      </c>
      <c r="I143" s="104" t="str">
        <f t="shared" si="116"/>
        <v>ZAR.DISC.[USD.LIBOR.3M]</v>
      </c>
      <c r="J143" s="104" t="str">
        <f t="shared" si="117"/>
        <v>ICE</v>
      </c>
      <c r="K143" s="105" t="s">
        <v>171</v>
      </c>
      <c r="L143" s="105" t="str">
        <f t="shared" si="118"/>
        <v>0b</v>
      </c>
      <c r="M143" t="str" cm="1">
        <f t="array" aca="1" ref="M143" ca="1">_xll.QIns_CreateAsianSwap("AsiSwap_Fwd_"&amp;ROW(),IF(C143="",D143:E143,C143),B143,H143,0,G143,J143,H143,K143,L143,,I143,IF(H143="USD","None","ATC"))</f>
        <v>AsiSwap_Fwd_143¬5</v>
      </c>
      <c r="N143" s="14" cm="1">
        <f t="array" aca="1" ref="N143" ca="1">_xll.QIns_ProductParRate(M143,AModel)</f>
        <v>1000000</v>
      </c>
      <c r="O143" t="str" cm="1">
        <f t="array" aca="1" ref="O143" ca="1">_xll.QIns_CreateAsianSwap("AsiSwap_"&amp;ROW(),IF(C143="",D143:E143,C143),B143,H143,F143,G143,J143,H143,K143,L143,,I143,IF(H143="USD","None","ATC"))</f>
        <v>AsiSwap_143¬5</v>
      </c>
      <c r="P143" s="21" cm="1">
        <f t="array" aca="1" ref="P143" ca="1">_xll.QIns_ProductPV(O143,AModel,H143)</f>
        <v>0</v>
      </c>
      <c r="Q143" t="str" cm="1">
        <f t="array" aca="1" ref="Q143" ca="1">IF(VLOOKUP(B143,AssetStatic,4,FALSE),_xll.QRisk_PortfolioFxDeltaSpecific("asiOpt_DeltaA"&amp;ROW(),O143,AModel,B143,"ZAR",FALSE),_xll.QRisk_PortfolioDelta("asiOpt_DeltaA"&amp;ROW(),O143,AModel,FALSE))</f>
        <v>asiOpt_DeltaA143¬5</v>
      </c>
      <c r="R143" s="21" cm="1">
        <f t="array" aca="1" ref="R143" ca="1">_xll.QCube_SumAllRows(Q143)</f>
        <v>0</v>
      </c>
      <c r="S143" s="93" cm="1">
        <f t="array" aca="1" ref="S143" ca="1">_xll.QIns_QuickPFE(O143,AModel,0.95,"ZAR")</f>
        <v>0</v>
      </c>
    </row>
    <row r="144" spans="1:24" x14ac:dyDescent="0.25">
      <c r="A144" s="6"/>
      <c r="B144" s="6" t="s">
        <v>134</v>
      </c>
      <c r="C144" s="155">
        <v>44166</v>
      </c>
      <c r="D144" s="102"/>
      <c r="E144" s="103">
        <f t="shared" ca="1" si="110"/>
        <v>840.10136198404871</v>
      </c>
      <c r="F144" s="103">
        <f t="shared" ca="1" si="114"/>
        <v>1000000</v>
      </c>
      <c r="G144" s="103">
        <f t="shared" si="115"/>
        <v>27.996432099014292</v>
      </c>
      <c r="H144" s="6" t="s">
        <v>1</v>
      </c>
      <c r="I144" s="104" t="str">
        <f t="shared" si="116"/>
        <v>ZAR.DISC.[USD.LIBOR.3M]</v>
      </c>
      <c r="J144" s="104" t="str">
        <f t="shared" si="117"/>
        <v>ICE</v>
      </c>
      <c r="K144" s="105" t="s">
        <v>171</v>
      </c>
      <c r="L144" s="105" t="str">
        <f t="shared" si="118"/>
        <v>0b</v>
      </c>
      <c r="M144" t="str" cm="1">
        <f t="array" aca="1" ref="M144" ca="1">_xll.QIns_CreateAsianSwap("AsiSwap_Fwd_"&amp;ROW(),IF(C144="",D144:E144,C144),B144,H144,0,G144,J144,H144,K144,L144,,I144,IF(H144="USD","None","ATC"))</f>
        <v>AsiSwap_Fwd_144¬5</v>
      </c>
      <c r="N144" s="14" cm="1">
        <f t="array" aca="1" ref="N144" ca="1">_xll.QIns_ProductParRate(M144,AModel)</f>
        <v>1000000</v>
      </c>
      <c r="O144" t="str" cm="1">
        <f t="array" aca="1" ref="O144" ca="1">_xll.QIns_CreateAsianSwap("AsiSwap_"&amp;ROW(),IF(C144="",D144:E144,C144),B144,H144,F144,G144,J144,H144,K144,L144,,I144,IF(H144="USD","None","ATC"))</f>
        <v>AsiSwap_144¬5</v>
      </c>
      <c r="P144" s="21" cm="1">
        <f t="array" aca="1" ref="P144" ca="1">_xll.QIns_ProductPV(O144,AModel,H144)</f>
        <v>0</v>
      </c>
      <c r="Q144" t="str" cm="1">
        <f t="array" aca="1" ref="Q144" ca="1">IF(VLOOKUP(B144,AssetStatic,4,FALSE),_xll.QRisk_PortfolioFxDeltaSpecific("asiOpt_DeltaA"&amp;ROW(),O144,AModel,B144,"ZAR",FALSE),_xll.QRisk_PortfolioDelta("asiOpt_DeltaA"&amp;ROW(),O144,AModel,FALSE))</f>
        <v>asiOpt_DeltaA144¬5</v>
      </c>
      <c r="R144" s="21" cm="1">
        <f t="array" aca="1" ref="R144" ca="1">_xll.QCube_SumAllRows(Q144)</f>
        <v>0</v>
      </c>
      <c r="S144" s="93" cm="1">
        <f t="array" aca="1" ref="S144" ca="1">_xll.QIns_QuickPFE(O144,AModel,0.95,"ZAR")</f>
        <v>0</v>
      </c>
    </row>
    <row r="145" spans="1:23" x14ac:dyDescent="0.25">
      <c r="A145" s="6"/>
      <c r="B145" s="6"/>
      <c r="C145" s="102"/>
      <c r="D145" s="102"/>
      <c r="E145" s="102"/>
      <c r="F145" s="103"/>
      <c r="G145" s="103"/>
      <c r="H145" s="6"/>
      <c r="I145" s="104"/>
      <c r="J145" s="104"/>
      <c r="K145" s="104"/>
      <c r="L145" s="104"/>
    </row>
    <row r="146" spans="1:23" x14ac:dyDescent="0.25">
      <c r="A146" s="6"/>
      <c r="B146" s="6"/>
      <c r="C146" s="102"/>
      <c r="D146" s="102"/>
      <c r="E146" s="164"/>
      <c r="F146" s="103"/>
      <c r="G146" s="103"/>
      <c r="H146" s="6"/>
      <c r="I146" s="104"/>
      <c r="J146" s="104"/>
      <c r="K146" s="104"/>
      <c r="L146" s="104"/>
      <c r="M146" s="165"/>
      <c r="N146" s="165"/>
      <c r="O146" s="165"/>
      <c r="P146" s="168"/>
    </row>
    <row r="147" spans="1:23" x14ac:dyDescent="0.25">
      <c r="A147" s="6"/>
      <c r="B147" s="6"/>
      <c r="C147" s="102"/>
      <c r="D147" s="102"/>
      <c r="E147" s="164"/>
      <c r="F147" s="103"/>
      <c r="G147" s="103"/>
      <c r="H147" s="6"/>
      <c r="I147" s="104"/>
      <c r="J147" s="104"/>
      <c r="K147" s="104"/>
      <c r="L147" s="104"/>
      <c r="M147" s="166"/>
      <c r="N147" s="166"/>
      <c r="O147" s="167"/>
      <c r="P147" s="169"/>
    </row>
    <row r="148" spans="1:23" x14ac:dyDescent="0.25">
      <c r="A148" s="6"/>
      <c r="B148" s="6"/>
      <c r="C148" s="102"/>
      <c r="D148" s="102"/>
      <c r="E148" s="164"/>
      <c r="F148" s="103"/>
      <c r="G148" s="103"/>
      <c r="H148" s="6"/>
      <c r="I148" s="104"/>
      <c r="J148" s="104"/>
      <c r="K148" s="104"/>
      <c r="L148" s="104"/>
      <c r="M148" s="166"/>
      <c r="N148" s="166"/>
      <c r="O148" s="167"/>
      <c r="P148" s="169"/>
    </row>
    <row r="149" spans="1:23" x14ac:dyDescent="0.25">
      <c r="A149" s="6"/>
      <c r="B149" s="6"/>
      <c r="C149" s="102"/>
      <c r="D149" s="102"/>
      <c r="E149" s="164"/>
      <c r="F149" s="103"/>
      <c r="G149" s="103"/>
      <c r="H149" s="6"/>
      <c r="I149" s="104"/>
      <c r="J149" s="104"/>
      <c r="K149" s="104"/>
      <c r="L149" s="104"/>
      <c r="M149" s="166"/>
      <c r="N149" s="166"/>
      <c r="O149" s="167"/>
      <c r="P149" s="169"/>
    </row>
    <row r="150" spans="1:23" x14ac:dyDescent="0.25">
      <c r="A150" s="6"/>
      <c r="B150" s="6"/>
      <c r="C150" s="102"/>
      <c r="D150" s="102"/>
      <c r="E150" s="164"/>
      <c r="F150" s="103"/>
      <c r="G150" s="103"/>
      <c r="H150" s="6"/>
      <c r="I150" s="104"/>
      <c r="J150" s="104"/>
      <c r="K150" s="104"/>
      <c r="L150" s="104"/>
      <c r="M150" s="166"/>
      <c r="N150" s="166"/>
      <c r="O150" s="167"/>
      <c r="P150" s="169"/>
    </row>
    <row r="151" spans="1:23" x14ac:dyDescent="0.25">
      <c r="A151" s="6"/>
      <c r="B151" s="6"/>
      <c r="C151" s="102"/>
      <c r="D151" s="102"/>
      <c r="E151" s="164"/>
      <c r="F151" s="103"/>
      <c r="G151" s="103"/>
      <c r="H151" s="6"/>
      <c r="I151" s="104"/>
      <c r="J151" s="104"/>
      <c r="K151" s="104"/>
      <c r="L151" s="104"/>
      <c r="M151" s="166"/>
      <c r="N151" s="166"/>
      <c r="O151" s="167"/>
      <c r="P151" s="169"/>
    </row>
    <row r="152" spans="1:23" x14ac:dyDescent="0.25">
      <c r="A152" s="6"/>
      <c r="B152" s="6"/>
      <c r="C152" s="102"/>
      <c r="D152" s="102"/>
      <c r="E152" s="164"/>
      <c r="F152" s="103"/>
      <c r="G152" s="103"/>
      <c r="H152" s="6"/>
      <c r="I152" s="104"/>
      <c r="J152" s="104"/>
      <c r="K152" s="104"/>
      <c r="L152" s="104"/>
      <c r="M152" s="166"/>
      <c r="N152" s="166"/>
      <c r="O152" s="167"/>
      <c r="P152" s="169"/>
    </row>
    <row r="153" spans="1:23" x14ac:dyDescent="0.25">
      <c r="A153" s="6"/>
      <c r="B153" s="6"/>
      <c r="C153" s="102"/>
      <c r="D153" s="102"/>
      <c r="E153" s="102"/>
      <c r="F153" s="103">
        <v>67</v>
      </c>
      <c r="G153" s="103"/>
      <c r="H153" s="6"/>
      <c r="I153" s="104"/>
      <c r="J153" s="104"/>
      <c r="K153" s="104"/>
      <c r="L153" s="104"/>
      <c r="V153" s="20" t="s">
        <v>371</v>
      </c>
      <c r="W153" s="20" t="s">
        <v>372</v>
      </c>
    </row>
    <row r="154" spans="1:23" x14ac:dyDescent="0.25">
      <c r="A154" s="6"/>
      <c r="B154" s="6" t="s">
        <v>108</v>
      </c>
      <c r="C154" s="155">
        <v>44136</v>
      </c>
      <c r="D154" s="102"/>
      <c r="E154" s="103">
        <f t="shared" ref="E154:E165" ca="1" si="119">F154/159.6/7.46+$E$138</f>
        <v>840.04508859279576</v>
      </c>
      <c r="F154" s="103">
        <f ca="1">N154-$F$153</f>
        <v>999933</v>
      </c>
      <c r="G154" s="103">
        <v>1000</v>
      </c>
      <c r="H154" s="6" t="s">
        <v>21</v>
      </c>
      <c r="I154" s="104" t="str">
        <f t="shared" ref="I154" si="120">IF(H154="USD","USD.LIBOR.3M",H154&amp;".DISC.[USD.LIBOR.3M]")</f>
        <v>USD.LIBOR.3M</v>
      </c>
      <c r="J154" s="104" t="str">
        <f t="shared" ref="J154" si="121">VLOOKUP(B154,AssetStatic,3,FALSE)</f>
        <v>LON</v>
      </c>
      <c r="K154" s="105" t="s">
        <v>171</v>
      </c>
      <c r="L154" s="105" t="str">
        <f t="shared" ref="L154" si="122">VLOOKUP(B154,AssetStatic,2,FALSE)</f>
        <v>2b</v>
      </c>
      <c r="M154" t="str" cm="1">
        <f t="array" aca="1" ref="M154" ca="1">_xll.QIns_CreateAsianSwap("AsiSwap_Fwd_"&amp;ROW(),IF(C154="",D154:E154,C154),B154,H154,0,G154,J154,H154,K154,L154,,I154,IF(H154="USD","None","ATC"))</f>
        <v>AsiSwap_Fwd_154¬5</v>
      </c>
      <c r="N154" s="14" cm="1">
        <f t="array" aca="1" ref="N154" ca="1">_xll.QIns_ProductParRate(M154,AModel)</f>
        <v>1000000</v>
      </c>
      <c r="O154" t="str" cm="1">
        <f t="array" aca="1" ref="O154" ca="1">_xll.QIns_CreateAsianSwap("AsiSwap_"&amp;ROW(),IF(C154="",D154:E154,C154),B154,H154,F154,G154,J154,H154,K154,L154,,I154,IF(H154="USD","None","ATC"))</f>
        <v>AsiSwap_154¬5</v>
      </c>
      <c r="P154" s="21" cm="1">
        <f t="array" aca="1" ref="P154" ca="1">_xll.QIns_ProductPV(O154,AModel,H154)</f>
        <v>0</v>
      </c>
      <c r="Q154" t="str" cm="1">
        <f t="array" aca="1" ref="Q154" ca="1">IF(VLOOKUP(B154,AssetStatic,4,FALSE),_xll.QRisk_PortfolioFxDeltaSpecific("asiOpt_DeltaA"&amp;ROW(),O154,AModel,B154,"ZAR",FALSE),_xll.QRisk_PortfolioDelta("asiOpt_DeltaA"&amp;ROW(),O154,AModel,FALSE))</f>
        <v>asiOpt_DeltaA154¬3</v>
      </c>
      <c r="R154" s="21" cm="1">
        <f t="array" aca="1" ref="R154" ca="1">_xll.QCube_SumAllRows(Q154)</f>
        <v>0</v>
      </c>
      <c r="S154" s="93" cm="1">
        <f t="array" aca="1" ref="S154" ca="1">_xll.QIns_QuickPFE(O154,AModel,0.95,"ZAR")</f>
        <v>0</v>
      </c>
      <c r="U154" s="75">
        <f>C154</f>
        <v>44136</v>
      </c>
      <c r="V154" s="14">
        <f ca="1">N178</f>
        <v>1000000</v>
      </c>
      <c r="W154" s="14">
        <f t="shared" ref="W154:W165" ca="1" si="123">N154</f>
        <v>1000000</v>
      </c>
    </row>
    <row r="155" spans="1:23" x14ac:dyDescent="0.25">
      <c r="A155" s="6"/>
      <c r="B155" s="6" t="s">
        <v>108</v>
      </c>
      <c r="C155" s="155">
        <v>44166</v>
      </c>
      <c r="D155" s="102"/>
      <c r="E155" s="103">
        <f t="shared" ca="1" si="119"/>
        <v>840.04508859279576</v>
      </c>
      <c r="F155" s="103">
        <f t="shared" ref="F155:F165" ca="1" si="124">N155-$F$153</f>
        <v>999933</v>
      </c>
      <c r="G155" s="103">
        <v>1000</v>
      </c>
      <c r="H155" s="6" t="s">
        <v>21</v>
      </c>
      <c r="I155" s="104" t="str">
        <f t="shared" ref="I155:I159" si="125">IF(H155="USD","USD.LIBOR.3M",H155&amp;".DISC.[USD.LIBOR.3M]")</f>
        <v>USD.LIBOR.3M</v>
      </c>
      <c r="J155" s="104" t="str">
        <f t="shared" ref="J155:J159" si="126">VLOOKUP(B155,AssetStatic,3,FALSE)</f>
        <v>LON</v>
      </c>
      <c r="K155" s="105" t="s">
        <v>171</v>
      </c>
      <c r="L155" s="105" t="str">
        <f t="shared" ref="L155:L159" si="127">VLOOKUP(B155,AssetStatic,2,FALSE)</f>
        <v>2b</v>
      </c>
      <c r="M155" t="str" cm="1">
        <f t="array" aca="1" ref="M155" ca="1">_xll.QIns_CreateAsianSwap("AsiSwap_Fwd_"&amp;ROW(),IF(C155="",D155:E155,C155),B155,H155,0,G155,J155,H155,K155,L155,,I155,IF(H155="USD","None","ATC"))</f>
        <v>AsiSwap_Fwd_155¬5</v>
      </c>
      <c r="N155" s="14" cm="1">
        <f t="array" aca="1" ref="N155" ca="1">_xll.QIns_ProductParRate(M155,AModel)</f>
        <v>1000000</v>
      </c>
      <c r="O155" t="str" cm="1">
        <f t="array" aca="1" ref="O155" ca="1">_xll.QIns_CreateAsianSwap("AsiSwap_"&amp;ROW(),IF(C155="",D155:E155,C155),B155,H155,F155,G155,J155,H155,K155,L155,,I155,IF(H155="USD","None","ATC"))</f>
        <v>AsiSwap_155¬5</v>
      </c>
      <c r="P155" s="21" cm="1">
        <f t="array" aca="1" ref="P155" ca="1">_xll.QIns_ProductPV(O155,AModel,H155)</f>
        <v>0</v>
      </c>
      <c r="Q155" t="str" cm="1">
        <f t="array" aca="1" ref="Q155" ca="1">IF(VLOOKUP(B155,AssetStatic,4,FALSE),_xll.QRisk_PortfolioFxDeltaSpecific("asiOpt_DeltaA"&amp;ROW(),O155,AModel,B155,"ZAR",FALSE),_xll.QRisk_PortfolioDelta("asiOpt_DeltaA"&amp;ROW(),O155,AModel,FALSE))</f>
        <v>asiOpt_DeltaA155¬3</v>
      </c>
      <c r="R155" s="21" cm="1">
        <f t="array" aca="1" ref="R155" ca="1">_xll.QCube_SumAllRows(Q155)</f>
        <v>0</v>
      </c>
      <c r="S155" s="93" cm="1">
        <f t="array" aca="1" ref="S155" ca="1">_xll.QIns_QuickPFE(O155,AModel,0.95,"ZAR")</f>
        <v>0</v>
      </c>
      <c r="U155" s="75">
        <f t="shared" ref="U155:U165" si="128">C155</f>
        <v>44166</v>
      </c>
      <c r="V155" s="14">
        <f t="shared" ref="V155:V165" ca="1" si="129">N179</f>
        <v>1000000</v>
      </c>
      <c r="W155" s="14">
        <f t="shared" ca="1" si="123"/>
        <v>1000000</v>
      </c>
    </row>
    <row r="156" spans="1:23" x14ac:dyDescent="0.25">
      <c r="A156" s="6"/>
      <c r="B156" s="6" t="s">
        <v>108</v>
      </c>
      <c r="C156" s="155">
        <v>44197</v>
      </c>
      <c r="D156" s="102"/>
      <c r="E156" s="103">
        <f t="shared" ca="1" si="119"/>
        <v>840.04508859279576</v>
      </c>
      <c r="F156" s="103">
        <f t="shared" ca="1" si="124"/>
        <v>999933</v>
      </c>
      <c r="G156" s="103">
        <v>1000</v>
      </c>
      <c r="H156" s="6" t="s">
        <v>21</v>
      </c>
      <c r="I156" s="104" t="str">
        <f t="shared" si="125"/>
        <v>USD.LIBOR.3M</v>
      </c>
      <c r="J156" s="104" t="str">
        <f t="shared" si="126"/>
        <v>LON</v>
      </c>
      <c r="K156" s="105" t="s">
        <v>171</v>
      </c>
      <c r="L156" s="105" t="str">
        <f t="shared" si="127"/>
        <v>2b</v>
      </c>
      <c r="M156" t="str" cm="1">
        <f t="array" aca="1" ref="M156" ca="1">_xll.QIns_CreateAsianSwap("AsiSwap_Fwd_"&amp;ROW(),IF(C156="",D156:E156,C156),B156,H156,0,G156,J156,H156,K156,L156,,I156,IF(H156="USD","None","ATC"))</f>
        <v>AsiSwap_Fwd_156¬5</v>
      </c>
      <c r="N156" s="14" cm="1">
        <f t="array" aca="1" ref="N156" ca="1">_xll.QIns_ProductParRate(M156,AModel)</f>
        <v>1000000</v>
      </c>
      <c r="O156" t="str" cm="1">
        <f t="array" aca="1" ref="O156" ca="1">_xll.QIns_CreateAsianSwap("AsiSwap_"&amp;ROW(),IF(C156="",D156:E156,C156),B156,H156,F156,G156,J156,H156,K156,L156,,I156,IF(H156="USD","None","ATC"))</f>
        <v>AsiSwap_156¬5</v>
      </c>
      <c r="P156" s="21" cm="1">
        <f t="array" aca="1" ref="P156" ca="1">_xll.QIns_ProductPV(O156,AModel,H156)</f>
        <v>0</v>
      </c>
      <c r="Q156" t="str" cm="1">
        <f t="array" aca="1" ref="Q156" ca="1">IF(VLOOKUP(B156,AssetStatic,4,FALSE),_xll.QRisk_PortfolioFxDeltaSpecific("asiOpt_DeltaA"&amp;ROW(),O156,AModel,B156,"ZAR",FALSE),_xll.QRisk_PortfolioDelta("asiOpt_DeltaA"&amp;ROW(),O156,AModel,FALSE))</f>
        <v>asiOpt_DeltaA156¬3</v>
      </c>
      <c r="R156" s="21" cm="1">
        <f t="array" aca="1" ref="R156" ca="1">_xll.QCube_SumAllRows(Q156)</f>
        <v>0</v>
      </c>
      <c r="S156" s="93" cm="1">
        <f t="array" aca="1" ref="S156" ca="1">_xll.QIns_QuickPFE(O156,AModel,0.95,"ZAR")</f>
        <v>0</v>
      </c>
      <c r="U156" s="75">
        <f t="shared" si="128"/>
        <v>44197</v>
      </c>
      <c r="V156" s="14">
        <f t="shared" ca="1" si="129"/>
        <v>1000000</v>
      </c>
      <c r="W156" s="14">
        <f t="shared" ca="1" si="123"/>
        <v>1000000</v>
      </c>
    </row>
    <row r="157" spans="1:23" x14ac:dyDescent="0.25">
      <c r="A157" s="6"/>
      <c r="B157" s="6" t="s">
        <v>108</v>
      </c>
      <c r="C157" s="155">
        <v>44228</v>
      </c>
      <c r="D157" s="102"/>
      <c r="E157" s="103">
        <f t="shared" ca="1" si="119"/>
        <v>6.9851484021716503</v>
      </c>
      <c r="F157" s="103">
        <f t="shared" ca="1" si="124"/>
        <v>8078.5062500000004</v>
      </c>
      <c r="G157" s="103">
        <v>1000</v>
      </c>
      <c r="H157" s="6" t="s">
        <v>21</v>
      </c>
      <c r="I157" s="104" t="str">
        <f t="shared" si="125"/>
        <v>USD.LIBOR.3M</v>
      </c>
      <c r="J157" s="104" t="str">
        <f t="shared" si="126"/>
        <v>LON</v>
      </c>
      <c r="K157" s="105" t="s">
        <v>171</v>
      </c>
      <c r="L157" s="105" t="str">
        <f t="shared" si="127"/>
        <v>2b</v>
      </c>
      <c r="M157" t="str" cm="1">
        <f t="array" aca="1" ref="M157" ca="1">_xll.QIns_CreateAsianSwap("AsiSwap_Fwd_"&amp;ROW(),IF(C157="",D157:E157,C157),B157,H157,0,G157,J157,H157,K157,L157,,I157,IF(H157="USD","None","ATC"))</f>
        <v>AsiSwap_Fwd_157¬5</v>
      </c>
      <c r="N157" s="14" cm="1">
        <f t="array" aca="1" ref="N157" ca="1">_xll.QIns_ProductParRate(M157,AModel)</f>
        <v>8145.5062500000004</v>
      </c>
      <c r="O157" t="str" cm="1">
        <f t="array" aca="1" ref="O157" ca="1">_xll.QIns_CreateAsianSwap("AsiSwap_"&amp;ROW(),IF(C157="",D157:E157,C157),B157,H157,F157,G157,J157,H157,K157,L157,,I157,IF(H157="USD","None","ATC"))</f>
        <v>AsiSwap_157¬1</v>
      </c>
      <c r="P157" s="21" cm="1">
        <f t="array" aca="1" ref="P157" ca="1">_xll.QIns_ProductPV(O157,AModel,H157)</f>
        <v>66996.576050182659</v>
      </c>
      <c r="Q157" t="str" cm="1">
        <f t="array" aca="1" ref="Q157" ca="1">IF(VLOOKUP(B157,AssetStatic,4,FALSE),_xll.QRisk_PortfolioFxDeltaSpecific("asiOpt_DeltaA"&amp;ROW(),O157,AModel,B157,"ZAR",FALSE),_xll.QRisk_PortfolioDelta("asiOpt_DeltaA"&amp;ROW(),O157,AModel,FALSE))</f>
        <v>asiOpt_DeltaA157¬0</v>
      </c>
      <c r="R157" s="21" cm="1">
        <f t="array" aca="1" ref="R157" ca="1">_xll.QCube_SumAllRows(Q157)</f>
        <v>599.98763168523624</v>
      </c>
      <c r="S157" s="93" cm="1">
        <f t="array" aca="1" ref="S157" ca="1">_xll.QIns_QuickPFE(O157,AModel,0.95,"ZAR")</f>
        <v>313580.48573438101</v>
      </c>
      <c r="U157" s="75">
        <f t="shared" si="128"/>
        <v>44228</v>
      </c>
      <c r="V157" s="14">
        <f t="shared" ca="1" si="129"/>
        <v>8274.0357142857138</v>
      </c>
      <c r="W157" s="14">
        <f t="shared" ca="1" si="123"/>
        <v>8145.5062500000004</v>
      </c>
    </row>
    <row r="158" spans="1:23" x14ac:dyDescent="0.25">
      <c r="A158" s="6"/>
      <c r="B158" s="6" t="s">
        <v>108</v>
      </c>
      <c r="C158" s="155">
        <v>44256</v>
      </c>
      <c r="D158" s="102"/>
      <c r="E158" s="103">
        <f t="shared" ca="1" si="119"/>
        <v>7.0937615705541983</v>
      </c>
      <c r="F158" s="103">
        <f t="shared" ca="1" si="124"/>
        <v>8207.8228260869564</v>
      </c>
      <c r="G158" s="103">
        <v>1000</v>
      </c>
      <c r="H158" s="6" t="s">
        <v>21</v>
      </c>
      <c r="I158" s="104" t="str">
        <f t="shared" si="125"/>
        <v>USD.LIBOR.3M</v>
      </c>
      <c r="J158" s="104" t="str">
        <f t="shared" si="126"/>
        <v>LON</v>
      </c>
      <c r="K158" s="105" t="s">
        <v>171</v>
      </c>
      <c r="L158" s="105" t="str">
        <f t="shared" si="127"/>
        <v>2b</v>
      </c>
      <c r="M158" t="str" cm="1">
        <f t="array" aca="1" ref="M158" ca="1">_xll.QIns_CreateAsianSwap("AsiSwap_Fwd_"&amp;ROW(),IF(C158="",D158:E158,C158),B158,H158,0,G158,J158,H158,K158,L158,,I158,IF(H158="USD","None","ATC"))</f>
        <v>AsiSwap_Fwd_158¬5</v>
      </c>
      <c r="N158" s="14" cm="1">
        <f t="array" aca="1" ref="N158" ca="1">_xll.QIns_ProductParRate(M158,AModel)</f>
        <v>8274.8228260869564</v>
      </c>
      <c r="O158" t="str" cm="1">
        <f t="array" aca="1" ref="O158" ca="1">_xll.QIns_CreateAsianSwap("AsiSwap_"&amp;ROW(),IF(C158="",D158:E158,C158),B158,H158,F158,G158,J158,H158,K158,L158,,I158,IF(H158="USD","None","ATC"))</f>
        <v>AsiSwap_158¬1</v>
      </c>
      <c r="P158" s="21" cm="1">
        <f t="array" aca="1" ref="P158" ca="1">_xll.QIns_ProductPV(O158,AModel,H158)</f>
        <v>66987.560898402415</v>
      </c>
      <c r="Q158" t="str" cm="1">
        <f t="array" aca="1" ref="Q158" ca="1">IF(VLOOKUP(B158,AssetStatic,4,FALSE),_xll.QRisk_PortfolioFxDeltaSpecific("asiOpt_DeltaA"&amp;ROW(),O158,AModel,B158,"ZAR",FALSE),_xll.QRisk_PortfolioDelta("asiOpt_DeltaA"&amp;ROW(),O158,AModel,FALSE))</f>
        <v>asiOpt_DeltaA158¬0</v>
      </c>
      <c r="R158" s="21" cm="1">
        <f t="array" aca="1" ref="R158" ca="1">_xll.QCube_SumAllRows(Q158)</f>
        <v>999.93666657020515</v>
      </c>
      <c r="S158" s="93" cm="1">
        <f t="array" aca="1" ref="S158" ca="1">_xll.QIns_QuickPFE(O158,AModel,0.95,"ZAR")</f>
        <v>1025262.3866209924</v>
      </c>
      <c r="U158" s="75">
        <f t="shared" si="128"/>
        <v>44256</v>
      </c>
      <c r="V158" s="14">
        <f t="shared" ca="1" si="129"/>
        <v>8274.6571428571424</v>
      </c>
      <c r="W158" s="14">
        <f t="shared" ca="1" si="123"/>
        <v>8274.8228260869564</v>
      </c>
    </row>
    <row r="159" spans="1:23" x14ac:dyDescent="0.25">
      <c r="A159" s="6"/>
      <c r="B159" s="6" t="s">
        <v>108</v>
      </c>
      <c r="C159" s="155">
        <v>44287</v>
      </c>
      <c r="D159" s="102"/>
      <c r="E159" s="103">
        <f t="shared" ca="1" si="119"/>
        <v>7.0957166920316883</v>
      </c>
      <c r="F159" s="103">
        <f t="shared" ca="1" si="124"/>
        <v>8210.1506250000002</v>
      </c>
      <c r="G159" s="103">
        <v>1000</v>
      </c>
      <c r="H159" s="6" t="s">
        <v>21</v>
      </c>
      <c r="I159" s="104" t="str">
        <f t="shared" si="125"/>
        <v>USD.LIBOR.3M</v>
      </c>
      <c r="J159" s="104" t="str">
        <f t="shared" si="126"/>
        <v>LON</v>
      </c>
      <c r="K159" s="105" t="s">
        <v>171</v>
      </c>
      <c r="L159" s="105" t="str">
        <f t="shared" si="127"/>
        <v>2b</v>
      </c>
      <c r="M159" t="str" cm="1">
        <f t="array" aca="1" ref="M159" ca="1">_xll.QIns_CreateAsianSwap("AsiSwap_Fwd_"&amp;ROW(),IF(C159="",D159:E159,C159),B159,H159,0,G159,J159,H159,K159,L159,,I159,IF(H159="USD","None","ATC"))</f>
        <v>AsiSwap_Fwd_159¬5</v>
      </c>
      <c r="N159" s="14" cm="1">
        <f t="array" aca="1" ref="N159" ca="1">_xll.QIns_ProductParRate(M159,AModel)</f>
        <v>8277.1506250000002</v>
      </c>
      <c r="O159" t="str" cm="1">
        <f t="array" aca="1" ref="O159" ca="1">_xll.QIns_CreateAsianSwap("AsiSwap_"&amp;ROW(),IF(C159="",D159:E159,C159),B159,H159,F159,G159,J159,H159,K159,L159,,I159,IF(H159="USD","None","ATC"))</f>
        <v>AsiSwap_159¬0</v>
      </c>
      <c r="P159" s="21" cm="1">
        <f t="array" aca="1" ref="P159" ca="1">_xll.QIns_ProductPV(O159,AModel,H159)</f>
        <v>66972.379149047847</v>
      </c>
      <c r="Q159" t="str" cm="1">
        <f t="array" aca="1" ref="Q159" ca="1">IF(VLOOKUP(B159,AssetStatic,4,FALSE),_xll.QRisk_PortfolioFxDeltaSpecific("asiOpt_DeltaA"&amp;ROW(),O159,AModel,B159,"ZAR",FALSE),_xll.QRisk_PortfolioDelta("asiOpt_DeltaA"&amp;ROW(),O159,AModel,FALSE))</f>
        <v>asiOpt_DeltaA159¬0</v>
      </c>
      <c r="R159" s="21" cm="1">
        <f t="array" aca="1" ref="R159" ca="1">_xll.QCube_SumAllRows(Q159)</f>
        <v>999.90101157783579</v>
      </c>
      <c r="S159" s="93" cm="1">
        <f t="array" aca="1" ref="S159" ca="1">_xll.QIns_QuickPFE(O159,AModel,0.95,"ZAR")</f>
        <v>1510981.273449359</v>
      </c>
      <c r="U159" s="75">
        <f t="shared" si="128"/>
        <v>44287</v>
      </c>
      <c r="V159" s="14">
        <f t="shared" ca="1" si="129"/>
        <v>8277.375</v>
      </c>
      <c r="W159" s="14">
        <f t="shared" ca="1" si="123"/>
        <v>8277.1506250000002</v>
      </c>
    </row>
    <row r="160" spans="1:23" x14ac:dyDescent="0.25">
      <c r="A160" s="6"/>
      <c r="B160" s="6" t="s">
        <v>108</v>
      </c>
      <c r="C160" s="155">
        <v>44317</v>
      </c>
      <c r="D160" s="102"/>
      <c r="E160" s="103">
        <f t="shared" ca="1" si="119"/>
        <v>7.0953006764148778</v>
      </c>
      <c r="F160" s="103">
        <f t="shared" ca="1" si="124"/>
        <v>8209.655310150376</v>
      </c>
      <c r="G160" s="103">
        <v>1000</v>
      </c>
      <c r="H160" s="6" t="s">
        <v>21</v>
      </c>
      <c r="I160" s="104" t="str">
        <f t="shared" ref="I160:I178" si="130">IF(H160="USD","USD.LIBOR.3M",H160&amp;".DISC.[USD.LIBOR.3M]")</f>
        <v>USD.LIBOR.3M</v>
      </c>
      <c r="J160" s="104" t="str">
        <f t="shared" ref="J160:J178" si="131">VLOOKUP(B160,AssetStatic,3,FALSE)</f>
        <v>LON</v>
      </c>
      <c r="K160" s="105" t="s">
        <v>171</v>
      </c>
      <c r="L160" s="105" t="str">
        <f t="shared" ref="L160:L178" si="132">VLOOKUP(B160,AssetStatic,2,FALSE)</f>
        <v>2b</v>
      </c>
      <c r="M160" t="str" cm="1">
        <f t="array" aca="1" ref="M160" ca="1">_xll.QIns_CreateAsianSwap("AsiSwap_Fwd_"&amp;ROW(),IF(C160="",D160:E160,C160),B160,H160,0,G160,J160,H160,K160,L160,,I160,IF(H160="USD","None","ATC"))</f>
        <v>AsiSwap_Fwd_160¬5</v>
      </c>
      <c r="N160" s="14" cm="1">
        <f t="array" aca="1" ref="N160" ca="1">_xll.QIns_ProductParRate(M160,AModel)</f>
        <v>8276.655310150376</v>
      </c>
      <c r="O160" t="str" cm="1">
        <f t="array" aca="1" ref="O160" ca="1">_xll.QIns_CreateAsianSwap("AsiSwap_"&amp;ROW(),IF(C160="",D160:E160,C160),B160,H160,F160,G160,J160,H160,K160,L160,,I160,IF(H160="USD","None","ATC"))</f>
        <v>AsiSwap_160¬1</v>
      </c>
      <c r="P160" s="21" cm="1">
        <f t="array" aca="1" ref="P160" ca="1">_xll.QIns_ProductPV(O160,AModel,H160)</f>
        <v>66963.900984088381</v>
      </c>
      <c r="Q160" t="str" cm="1">
        <f t="array" aca="1" ref="Q160" ca="1">IF(VLOOKUP(B160,AssetStatic,4,FALSE),_xll.QRisk_PortfolioFxDeltaSpecific("asiOpt_DeltaA"&amp;ROW(),O160,AModel,B160,"ZAR",FALSE),_xll.QRisk_PortfolioDelta("asiOpt_DeltaA"&amp;ROW(),O160,AModel,FALSE))</f>
        <v>asiOpt_DeltaA160¬0</v>
      </c>
      <c r="R160" s="21" cm="1">
        <f t="array" aca="1" ref="R160" ca="1">_xll.QCube_SumAllRows(Q160)</f>
        <v>999.96813688286022</v>
      </c>
      <c r="S160" s="93" cm="1">
        <f t="array" aca="1" ref="S160" ca="1">_xll.QIns_QuickPFE(O160,AModel,0.95,"ZAR")</f>
        <v>1834838.2696002936</v>
      </c>
      <c r="U160" s="75">
        <f t="shared" si="128"/>
        <v>44317</v>
      </c>
      <c r="V160" s="14">
        <f t="shared" ca="1" si="129"/>
        <v>8276.3571428571431</v>
      </c>
      <c r="W160" s="14">
        <f t="shared" ca="1" si="123"/>
        <v>8276.655310150376</v>
      </c>
    </row>
    <row r="161" spans="1:23" x14ac:dyDescent="0.25">
      <c r="A161" s="6"/>
      <c r="B161" s="6" t="s">
        <v>108</v>
      </c>
      <c r="C161" s="155">
        <v>44348</v>
      </c>
      <c r="D161" s="102"/>
      <c r="E161" s="103">
        <f t="shared" ca="1" si="119"/>
        <v>7.0903202098854612</v>
      </c>
      <c r="F161" s="103">
        <f t="shared" ca="1" si="124"/>
        <v>8203.7254870129873</v>
      </c>
      <c r="G161" s="103">
        <v>1000</v>
      </c>
      <c r="H161" s="6" t="s">
        <v>21</v>
      </c>
      <c r="I161" s="104" t="str">
        <f t="shared" si="130"/>
        <v>USD.LIBOR.3M</v>
      </c>
      <c r="J161" s="104" t="str">
        <f t="shared" si="131"/>
        <v>LON</v>
      </c>
      <c r="K161" s="105" t="s">
        <v>171</v>
      </c>
      <c r="L161" s="105" t="str">
        <f t="shared" si="132"/>
        <v>2b</v>
      </c>
      <c r="M161" t="str" cm="1">
        <f t="array" aca="1" ref="M161" ca="1">_xll.QIns_CreateAsianSwap("AsiSwap_Fwd_"&amp;ROW(),IF(C161="",D161:E161,C161),B161,H161,0,G161,J161,H161,K161,L161,,I161,IF(H161="USD","None","ATC"))</f>
        <v>AsiSwap_Fwd_161¬5</v>
      </c>
      <c r="N161" s="14" cm="1">
        <f t="array" aca="1" ref="N161" ca="1">_xll.QIns_ProductParRate(M161,AModel)</f>
        <v>8270.7254870129873</v>
      </c>
      <c r="O161" t="str" cm="1">
        <f t="array" aca="1" ref="O161" ca="1">_xll.QIns_CreateAsianSwap("AsiSwap_"&amp;ROW(),IF(C161="",D161:E161,C161),B161,H161,F161,G161,J161,H161,K161,L161,,I161,IF(H161="USD","None","ATC"))</f>
        <v>AsiSwap_161¬1</v>
      </c>
      <c r="P161" s="21" cm="1">
        <f t="array" aca="1" ref="P161" ca="1">_xll.QIns_ProductPV(O161,AModel,H161)</f>
        <v>66960.332935884377</v>
      </c>
      <c r="Q161" t="str" cm="1">
        <f t="array" aca="1" ref="Q161" ca="1">IF(VLOOKUP(B161,AssetStatic,4,FALSE),_xll.QRisk_PortfolioFxDeltaSpecific("asiOpt_DeltaA"&amp;ROW(),O161,AModel,B161,"ZAR",FALSE),_xll.QRisk_PortfolioDelta("asiOpt_DeltaA"&amp;ROW(),O161,AModel,FALSE))</f>
        <v>asiOpt_DeltaA161¬0</v>
      </c>
      <c r="R161" s="21" cm="1">
        <f t="array" aca="1" ref="R161" ca="1">_xll.QCube_SumAllRows(Q161)</f>
        <v>999.95693067568766</v>
      </c>
      <c r="S161" s="93" cm="1">
        <f t="array" aca="1" ref="S161" ca="1">_xll.QIns_QuickPFE(O161,AModel,0.95,"ZAR")</f>
        <v>2112216.4417829481</v>
      </c>
      <c r="U161" s="75">
        <f t="shared" si="128"/>
        <v>44348</v>
      </c>
      <c r="V161" s="14">
        <f t="shared" ca="1" si="129"/>
        <v>8270.807142857142</v>
      </c>
      <c r="W161" s="14">
        <f t="shared" ca="1" si="123"/>
        <v>8270.7254870129873</v>
      </c>
    </row>
    <row r="162" spans="1:23" x14ac:dyDescent="0.25">
      <c r="A162" s="6"/>
      <c r="B162" s="6" t="s">
        <v>108</v>
      </c>
      <c r="C162" s="155">
        <v>44378</v>
      </c>
      <c r="D162" s="102"/>
      <c r="E162" s="103">
        <f t="shared" ca="1" si="119"/>
        <v>7.0843055071612389</v>
      </c>
      <c r="F162" s="103">
        <f t="shared" ca="1" si="124"/>
        <v>8196.5642857142848</v>
      </c>
      <c r="G162" s="103">
        <v>1000</v>
      </c>
      <c r="H162" s="6" t="s">
        <v>21</v>
      </c>
      <c r="I162" s="104" t="str">
        <f t="shared" si="130"/>
        <v>USD.LIBOR.3M</v>
      </c>
      <c r="J162" s="104" t="str">
        <f t="shared" si="131"/>
        <v>LON</v>
      </c>
      <c r="K162" s="105" t="s">
        <v>171</v>
      </c>
      <c r="L162" s="105" t="str">
        <f t="shared" si="132"/>
        <v>2b</v>
      </c>
      <c r="M162" t="str" cm="1">
        <f t="array" aca="1" ref="M162" ca="1">_xll.QIns_CreateAsianSwap("AsiSwap_Fwd_"&amp;ROW(),IF(C162="",D162:E162,C162),B162,H162,0,G162,J162,H162,K162,L162,,I162,IF(H162="USD","None","ATC"))</f>
        <v>AsiSwap_Fwd_162¬5</v>
      </c>
      <c r="N162" s="14" cm="1">
        <f t="array" aca="1" ref="N162" ca="1">_xll.QIns_ProductParRate(M162,AModel)</f>
        <v>8263.5642857142848</v>
      </c>
      <c r="O162" t="str" cm="1">
        <f t="array" aca="1" ref="O162" ca="1">_xll.QIns_CreateAsianSwap("AsiSwap_"&amp;ROW(),IF(C162="",D162:E162,C162),B162,H162,F162,G162,J162,H162,K162,L162,,I162,IF(H162="USD","None","ATC"))</f>
        <v>AsiSwap_162¬1</v>
      </c>
      <c r="P162" s="21" cm="1">
        <f t="array" aca="1" ref="P162" ca="1">_xll.QIns_ProductPV(O162,AModel,H162)</f>
        <v>66950.767874604164</v>
      </c>
      <c r="Q162" t="str" cm="1">
        <f t="array" aca="1" ref="Q162" ca="1">IF(VLOOKUP(B162,AssetStatic,4,FALSE),_xll.QRisk_PortfolioFxDeltaSpecific("asiOpt_DeltaA"&amp;ROW(),O162,AModel,B162,"ZAR",FALSE),_xll.QRisk_PortfolioDelta("asiOpt_DeltaA"&amp;ROW(),O162,AModel,FALSE))</f>
        <v>asiOpt_DeltaA162¬0</v>
      </c>
      <c r="R162" s="21" cm="1">
        <f t="array" aca="1" ref="R162" ca="1">_xll.QCube_SumAllRows(Q162)</f>
        <v>999.93364565035472</v>
      </c>
      <c r="S162" s="93" cm="1">
        <f t="array" aca="1" ref="S162" ca="1">_xll.QIns_QuickPFE(O162,AModel,0.95,"ZAR")</f>
        <v>2375754.6700800029</v>
      </c>
      <c r="U162" s="75">
        <f t="shared" si="128"/>
        <v>44378</v>
      </c>
      <c r="V162" s="14">
        <f t="shared" ca="1" si="129"/>
        <v>8262.7857142857138</v>
      </c>
      <c r="W162" s="14">
        <f t="shared" ca="1" si="123"/>
        <v>8263.5642857142848</v>
      </c>
    </row>
    <row r="163" spans="1:23" x14ac:dyDescent="0.25">
      <c r="A163" s="6"/>
      <c r="B163" s="6" t="s">
        <v>108</v>
      </c>
      <c r="C163" s="155">
        <v>44409</v>
      </c>
      <c r="D163" s="102"/>
      <c r="E163" s="103">
        <f t="shared" ca="1" si="119"/>
        <v>7.0758667839191824</v>
      </c>
      <c r="F163" s="103">
        <f t="shared" ca="1" si="124"/>
        <v>8186.5170068027201</v>
      </c>
      <c r="G163" s="103">
        <v>1000</v>
      </c>
      <c r="H163" s="6" t="s">
        <v>21</v>
      </c>
      <c r="I163" s="104" t="str">
        <f t="shared" si="130"/>
        <v>USD.LIBOR.3M</v>
      </c>
      <c r="J163" s="104" t="str">
        <f t="shared" si="131"/>
        <v>LON</v>
      </c>
      <c r="K163" s="105" t="s">
        <v>171</v>
      </c>
      <c r="L163" s="105" t="str">
        <f t="shared" si="132"/>
        <v>2b</v>
      </c>
      <c r="M163" t="str" cm="1">
        <f t="array" aca="1" ref="M163" ca="1">_xll.QIns_CreateAsianSwap("AsiSwap_Fwd_"&amp;ROW(),IF(C163="",D163:E163,C163),B163,H163,0,G163,J163,H163,K163,L163,,I163,IF(H163="USD","None","ATC"))</f>
        <v>AsiSwap_Fwd_163¬5</v>
      </c>
      <c r="N163" s="14" cm="1">
        <f t="array" aca="1" ref="N163" ca="1">_xll.QIns_ProductParRate(M163,AModel)</f>
        <v>8253.5170068027201</v>
      </c>
      <c r="O163" t="str" cm="1">
        <f t="array" aca="1" ref="O163" ca="1">_xll.QIns_CreateAsianSwap("AsiSwap_"&amp;ROW(),IF(C163="",D163:E163,C163),B163,H163,F163,G163,J163,H163,K163,L163,,I163,IF(H163="USD","None","ATC"))</f>
        <v>AsiSwap_163¬1</v>
      </c>
      <c r="P163" s="21" cm="1">
        <f t="array" aca="1" ref="P163" ca="1">_xll.QIns_ProductPV(O163,AModel,H163)</f>
        <v>66941.611772160541</v>
      </c>
      <c r="Q163" t="str" cm="1">
        <f t="array" aca="1" ref="Q163" ca="1">IF(VLOOKUP(B163,AssetStatic,4,FALSE),_xll.QRisk_PortfolioFxDeltaSpecific("asiOpt_DeltaA"&amp;ROW(),O163,AModel,B163,"ZAR",FALSE),_xll.QRisk_PortfolioDelta("asiOpt_DeltaA"&amp;ROW(),O163,AModel,FALSE))</f>
        <v>asiOpt_DeltaA163¬0</v>
      </c>
      <c r="R163" s="21" cm="1">
        <f t="array" aca="1" ref="R163" ca="1">_xll.QCube_SumAllRows(Q163)</f>
        <v>999.93224835353112</v>
      </c>
      <c r="S163" s="93" cm="1">
        <f t="array" aca="1" ref="S163" ca="1">_xll.QIns_QuickPFE(O163,AModel,0.95,"ZAR")</f>
        <v>2616810.7720414572</v>
      </c>
      <c r="U163" s="75">
        <f t="shared" si="128"/>
        <v>44409</v>
      </c>
      <c r="V163" s="14">
        <f t="shared" ca="1" si="129"/>
        <v>8252.8214285714294</v>
      </c>
      <c r="W163" s="14">
        <f t="shared" ca="1" si="123"/>
        <v>8253.5170068027201</v>
      </c>
    </row>
    <row r="164" spans="1:23" x14ac:dyDescent="0.25">
      <c r="A164" s="6"/>
      <c r="B164" s="6" t="s">
        <v>108</v>
      </c>
      <c r="C164" s="155">
        <v>44440</v>
      </c>
      <c r="D164" s="102"/>
      <c r="E164" s="103">
        <f t="shared" ca="1" si="119"/>
        <v>7.0672050608921957</v>
      </c>
      <c r="F164" s="103">
        <f t="shared" ca="1" si="124"/>
        <v>8176.2042207792219</v>
      </c>
      <c r="G164" s="103">
        <v>1000</v>
      </c>
      <c r="H164" s="6" t="s">
        <v>21</v>
      </c>
      <c r="I164" s="104" t="str">
        <f t="shared" si="130"/>
        <v>USD.LIBOR.3M</v>
      </c>
      <c r="J164" s="104" t="str">
        <f t="shared" si="131"/>
        <v>LON</v>
      </c>
      <c r="K164" s="105" t="s">
        <v>171</v>
      </c>
      <c r="L164" s="105" t="str">
        <f t="shared" si="132"/>
        <v>2b</v>
      </c>
      <c r="M164" t="str" cm="1">
        <f t="array" aca="1" ref="M164" ca="1">_xll.QIns_CreateAsianSwap("AsiSwap_Fwd_"&amp;ROW(),IF(C164="",D164:E164,C164),B164,H164,0,G164,J164,H164,K164,L164,,I164,IF(H164="USD","None","ATC"))</f>
        <v>AsiSwap_Fwd_164¬5</v>
      </c>
      <c r="N164" s="14" cm="1">
        <f t="array" aca="1" ref="N164" ca="1">_xll.QIns_ProductParRate(M164,AModel)</f>
        <v>8243.2042207792219</v>
      </c>
      <c r="O164" t="str" cm="1">
        <f t="array" aca="1" ref="O164" ca="1">_xll.QIns_CreateAsianSwap("AsiSwap_"&amp;ROW(),IF(C164="",D164:E164,C164),B164,H164,F164,G164,J164,H164,K164,L164,,I164,IF(H164="USD","None","ATC"))</f>
        <v>AsiSwap_164¬1</v>
      </c>
      <c r="P164" s="21" cm="1">
        <f t="array" aca="1" ref="P164" ca="1">_xll.QIns_ProductPV(O164,AModel,H164)</f>
        <v>66931.701864643022</v>
      </c>
      <c r="Q164" t="str" cm="1">
        <f t="array" aca="1" ref="Q164" ca="1">IF(VLOOKUP(B164,AssetStatic,4,FALSE),_xll.QRisk_PortfolioFxDeltaSpecific("asiOpt_DeltaA"&amp;ROW(),O164,AModel,B164,"ZAR",FALSE),_xll.QRisk_PortfolioDelta("asiOpt_DeltaA"&amp;ROW(),O164,AModel,FALSE))</f>
        <v>asiOpt_DeltaA164¬0</v>
      </c>
      <c r="R164" s="21" cm="1">
        <f t="array" aca="1" ref="R164" ca="1">_xll.QCube_SumAllRows(Q164)</f>
        <v>999.92844851439838</v>
      </c>
      <c r="S164" s="93" cm="1">
        <f t="array" aca="1" ref="S164" ca="1">_xll.QIns_QuickPFE(O164,AModel,0.95,"ZAR")</f>
        <v>2848645.62066956</v>
      </c>
      <c r="U164" s="75">
        <f t="shared" si="128"/>
        <v>44440</v>
      </c>
      <c r="V164" s="14">
        <f t="shared" ca="1" si="129"/>
        <v>8243.4571428571435</v>
      </c>
      <c r="W164" s="14">
        <f t="shared" ca="1" si="123"/>
        <v>8243.2042207792219</v>
      </c>
    </row>
    <row r="165" spans="1:23" x14ac:dyDescent="0.25">
      <c r="A165" s="6"/>
      <c r="B165" s="6" t="s">
        <v>108</v>
      </c>
      <c r="C165" s="155">
        <v>44470</v>
      </c>
      <c r="D165" s="102"/>
      <c r="E165" s="103">
        <f t="shared" ca="1" si="119"/>
        <v>7.059633261812591</v>
      </c>
      <c r="F165" s="103">
        <f t="shared" ca="1" si="124"/>
        <v>8167.1891156462589</v>
      </c>
      <c r="G165" s="103">
        <v>1000</v>
      </c>
      <c r="H165" s="6" t="s">
        <v>21</v>
      </c>
      <c r="I165" s="104" t="str">
        <f t="shared" si="130"/>
        <v>USD.LIBOR.3M</v>
      </c>
      <c r="J165" s="104" t="str">
        <f t="shared" si="131"/>
        <v>LON</v>
      </c>
      <c r="K165" s="105" t="s">
        <v>171</v>
      </c>
      <c r="L165" s="105" t="str">
        <f t="shared" si="132"/>
        <v>2b</v>
      </c>
      <c r="M165" t="str" cm="1">
        <f t="array" aca="1" ref="M165" ca="1">_xll.QIns_CreateAsianSwap("AsiSwap_Fwd_"&amp;ROW(),IF(C165="",D165:E165,C165),B165,H165,0,G165,J165,H165,K165,L165,,I165,IF(H165="USD","None","ATC"))</f>
        <v>AsiSwap_Fwd_165¬5</v>
      </c>
      <c r="N165" s="14" cm="1">
        <f t="array" aca="1" ref="N165" ca="1">_xll.QIns_ProductParRate(M165,AModel)</f>
        <v>8234.1891156462589</v>
      </c>
      <c r="O165" t="str" cm="1">
        <f t="array" aca="1" ref="O165" ca="1">_xll.QIns_CreateAsianSwap("AsiSwap_"&amp;ROW(),IF(C165="",D165:E165,C165),B165,H165,F165,G165,J165,H165,K165,L165,,I165,IF(H165="USD","None","ATC"))</f>
        <v>AsiSwap_165¬1</v>
      </c>
      <c r="P165" s="21" cm="1">
        <f t="array" aca="1" ref="P165" ca="1">_xll.QIns_ProductPV(O165,AModel,H165)</f>
        <v>66922.601056552812</v>
      </c>
      <c r="Q165" t="str" cm="1">
        <f t="array" aca="1" ref="Q165" ca="1">IF(VLOOKUP(B165,AssetStatic,4,FALSE),_xll.QRisk_PortfolioFxDeltaSpecific("asiOpt_DeltaA"&amp;ROW(),O165,AModel,B165,"ZAR",FALSE),_xll.QRisk_PortfolioDelta("asiOpt_DeltaA"&amp;ROW(),O165,AModel,FALSE))</f>
        <v>asiOpt_DeltaA165¬0</v>
      </c>
      <c r="R165" s="21" cm="1">
        <f t="array" aca="1" ref="R165" ca="1">_xll.QCube_SumAllRows(Q165)</f>
        <v>999.93260062941545</v>
      </c>
      <c r="S165" s="93" cm="1">
        <f t="array" aca="1" ref="S165" ca="1">_xll.QIns_QuickPFE(O165,AModel,0.95,"ZAR")</f>
        <v>3061417.5790938842</v>
      </c>
      <c r="U165" s="75">
        <f t="shared" si="128"/>
        <v>44470</v>
      </c>
      <c r="V165" s="14">
        <f t="shared" ca="1" si="129"/>
        <v>8233.5</v>
      </c>
      <c r="W165" s="14">
        <f t="shared" ca="1" si="123"/>
        <v>8234.1891156462589</v>
      </c>
    </row>
    <row r="166" spans="1:23" s="185" customFormat="1" x14ac:dyDescent="0.25">
      <c r="A166" s="6"/>
      <c r="B166" s="6" t="s">
        <v>108</v>
      </c>
      <c r="C166" s="155">
        <v>44501</v>
      </c>
      <c r="D166" s="102"/>
      <c r="E166" s="103">
        <f t="shared" ref="E166:E177" ca="1" si="133">F166/159.6/7.46+$E$138</f>
        <v>7.0477239851133699</v>
      </c>
      <c r="F166" s="103">
        <f t="shared" ref="F166:F177" ca="1" si="134">N166-$F$153</f>
        <v>8153.0097402597403</v>
      </c>
      <c r="G166" s="103">
        <v>1000</v>
      </c>
      <c r="H166" s="6" t="s">
        <v>21</v>
      </c>
      <c r="I166" s="104" t="str">
        <f t="shared" ref="I166:I177" si="135">IF(H166="USD","USD.LIBOR.3M",H166&amp;".DISC.[USD.LIBOR.3M]")</f>
        <v>USD.LIBOR.3M</v>
      </c>
      <c r="J166" s="104" t="str">
        <f t="shared" ref="J166:J177" si="136">VLOOKUP(B166,AssetStatic,3,FALSE)</f>
        <v>LON</v>
      </c>
      <c r="K166" s="105" t="s">
        <v>171</v>
      </c>
      <c r="L166" s="105" t="str">
        <f t="shared" ref="L166:L177" si="137">VLOOKUP(B166,AssetStatic,2,FALSE)</f>
        <v>2b</v>
      </c>
      <c r="M166" s="185" t="str" cm="1">
        <f t="array" aca="1" ref="M166" ca="1">_xll.QIns_CreateAsianSwap("AsiSwap_Fwd_"&amp;ROW(),IF(C166="",D166:E166,C166),B166,H166,0,G166,J166,H166,K166,L166,,I166,IF(H166="USD","None","ATC"))</f>
        <v>AsiSwap_Fwd_166¬5</v>
      </c>
      <c r="N166" s="14" cm="1">
        <f t="array" aca="1" ref="N166" ca="1">_xll.QIns_ProductParRate(M166,AModel)</f>
        <v>8220.0097402597403</v>
      </c>
      <c r="O166" s="185" t="str" cm="1">
        <f t="array" aca="1" ref="O166" ca="1">_xll.QIns_CreateAsianSwap("AsiSwap_"&amp;ROW(),IF(C166="",D166:E166,C166),B166,H166,F166,G166,J166,H166,K166,L166,,I166,IF(H166="USD","None","ATC"))</f>
        <v>AsiSwap_166¬1</v>
      </c>
      <c r="P166" s="21" cm="1">
        <f t="array" aca="1" ref="P166" ca="1">_xll.QIns_ProductPV(O166,AModel,H166)</f>
        <v>66913.031154179262</v>
      </c>
      <c r="Q166" s="185" t="str" cm="1">
        <f t="array" aca="1" ref="Q166" ca="1">IF(VLOOKUP(B166,AssetStatic,4,FALSE),_xll.QRisk_PortfolioFxDeltaSpecific("asiOpt_DeltaA"&amp;ROW(),O166,AModel,B166,"ZAR",FALSE),_xll.QRisk_PortfolioDelta("asiOpt_DeltaA"&amp;ROW(),O166,AModel,FALSE))</f>
        <v>asiOpt_DeltaA166¬0</v>
      </c>
      <c r="R166" s="21" cm="1">
        <f t="array" aca="1" ref="R166" ca="1">_xll.QCube_SumAllRows(Q166)</f>
        <v>999.93173720371101</v>
      </c>
      <c r="S166" s="93" cm="1">
        <f t="array" aca="1" ref="S166" ca="1">_xll.QIns_QuickPFE(O166,AModel,0.95,"ZAR")</f>
        <v>3259988.2767122947</v>
      </c>
      <c r="U166" s="75">
        <f t="shared" ref="U166:U177" si="138">C166</f>
        <v>44501</v>
      </c>
      <c r="V166" s="14">
        <f t="shared" ref="V166:V176" ca="1" si="139">N190</f>
        <v>8219.4285714285706</v>
      </c>
      <c r="W166" s="14">
        <f t="shared" ref="W166:W177" ca="1" si="140">N166</f>
        <v>8220.0097402597403</v>
      </c>
    </row>
    <row r="167" spans="1:23" s="185" customFormat="1" x14ac:dyDescent="0.25">
      <c r="A167" s="6"/>
      <c r="B167" s="6" t="s">
        <v>108</v>
      </c>
      <c r="C167" s="155">
        <v>44531</v>
      </c>
      <c r="D167" s="102"/>
      <c r="E167" s="103">
        <f t="shared" ca="1" si="133"/>
        <v>7.0347664678831547</v>
      </c>
      <c r="F167" s="103">
        <f t="shared" ca="1" si="134"/>
        <v>8137.5823129251694</v>
      </c>
      <c r="G167" s="103">
        <v>1000</v>
      </c>
      <c r="H167" s="6" t="s">
        <v>21</v>
      </c>
      <c r="I167" s="104" t="str">
        <f t="shared" si="135"/>
        <v>USD.LIBOR.3M</v>
      </c>
      <c r="J167" s="104" t="str">
        <f t="shared" si="136"/>
        <v>LON</v>
      </c>
      <c r="K167" s="105" t="s">
        <v>171</v>
      </c>
      <c r="L167" s="105" t="str">
        <f t="shared" si="137"/>
        <v>2b</v>
      </c>
      <c r="M167" s="185" t="str" cm="1">
        <f t="array" aca="1" ref="M167" ca="1">_xll.QIns_CreateAsianSwap("AsiSwap_Fwd_"&amp;ROW(),IF(C167="",D167:E167,C167),B167,H167,0,G167,J167,H167,K167,L167,,I167,IF(H167="USD","None","ATC"))</f>
        <v>AsiSwap_Fwd_167¬5</v>
      </c>
      <c r="N167" s="14" cm="1">
        <f t="array" aca="1" ref="N167" ca="1">_xll.QIns_ProductParRate(M167,AModel)</f>
        <v>8204.5823129251694</v>
      </c>
      <c r="O167" s="185" t="str" cm="1">
        <f t="array" aca="1" ref="O167" ca="1">_xll.QIns_CreateAsianSwap("AsiSwap_"&amp;ROW(),IF(C167="",D167:E167,C167),B167,H167,F167,G167,J167,H167,K167,L167,,I167,IF(H167="USD","None","ATC"))</f>
        <v>AsiSwap_167¬1</v>
      </c>
      <c r="P167" s="21" cm="1">
        <f t="array" aca="1" ref="P167" ca="1">_xll.QIns_ProductPV(O167,AModel,H167)</f>
        <v>66901.361147620657</v>
      </c>
      <c r="Q167" s="185" t="str" cm="1">
        <f t="array" aca="1" ref="Q167" ca="1">IF(VLOOKUP(B167,AssetStatic,4,FALSE),_xll.QRisk_PortfolioFxDeltaSpecific("asiOpt_DeltaA"&amp;ROW(),O167,AModel,B167,"ZAR",FALSE),_xll.QRisk_PortfolioDelta("asiOpt_DeltaA"&amp;ROW(),O167,AModel,FALSE))</f>
        <v>asiOpt_DeltaA167¬0</v>
      </c>
      <c r="R167" s="21" cm="1">
        <f t="array" aca="1" ref="R167" ca="1">_xll.QCube_SumAllRows(Q167)</f>
        <v>999.91015195616922</v>
      </c>
      <c r="S167" s="93" cm="1">
        <f t="array" aca="1" ref="S167" ca="1">_xll.QIns_QuickPFE(O167,AModel,0.95,"ZAR")</f>
        <v>3399399.4316171282</v>
      </c>
      <c r="U167" s="75">
        <f t="shared" si="138"/>
        <v>44531</v>
      </c>
      <c r="V167" s="14">
        <f t="shared" ca="1" si="139"/>
        <v>8204.7571428571428</v>
      </c>
      <c r="W167" s="14">
        <f t="shared" ca="1" si="140"/>
        <v>8204.5823129251694</v>
      </c>
    </row>
    <row r="168" spans="1:23" s="185" customFormat="1" x14ac:dyDescent="0.25">
      <c r="A168" s="6"/>
      <c r="B168" s="6" t="s">
        <v>108</v>
      </c>
      <c r="C168" s="155">
        <v>44562</v>
      </c>
      <c r="D168" s="102"/>
      <c r="E168" s="103">
        <f t="shared" ca="1" si="133"/>
        <v>7.0238689048358163</v>
      </c>
      <c r="F168" s="103">
        <f t="shared" ca="1" si="134"/>
        <v>8124.6075000000001</v>
      </c>
      <c r="G168" s="103">
        <v>1000</v>
      </c>
      <c r="H168" s="6" t="s">
        <v>21</v>
      </c>
      <c r="I168" s="104" t="str">
        <f t="shared" si="135"/>
        <v>USD.LIBOR.3M</v>
      </c>
      <c r="J168" s="104" t="str">
        <f t="shared" si="136"/>
        <v>LON</v>
      </c>
      <c r="K168" s="105" t="s">
        <v>171</v>
      </c>
      <c r="L168" s="105" t="str">
        <f t="shared" si="137"/>
        <v>2b</v>
      </c>
      <c r="M168" s="185" t="str" cm="1">
        <f t="array" aca="1" ref="M168" ca="1">_xll.QIns_CreateAsianSwap("AsiSwap_Fwd_"&amp;ROW(),IF(C168="",D168:E168,C168),B168,H168,0,G168,J168,H168,K168,L168,,I168,IF(H168="USD","None","ATC"))</f>
        <v>AsiSwap_Fwd_168¬5</v>
      </c>
      <c r="N168" s="14" cm="1">
        <f t="array" aca="1" ref="N168" ca="1">_xll.QIns_ProductParRate(M168,AModel)</f>
        <v>8191.6075000000001</v>
      </c>
      <c r="O168" s="185" t="str" cm="1">
        <f t="array" aca="1" ref="O168" ca="1">_xll.QIns_CreateAsianSwap("AsiSwap_"&amp;ROW(),IF(C168="",D168:E168,C168),B168,H168,F168,G168,J168,H168,K168,L168,,I168,IF(H168="USD","None","ATC"))</f>
        <v>AsiSwap_168¬1</v>
      </c>
      <c r="P168" s="21" cm="1">
        <f t="array" aca="1" ref="P168" ca="1">_xll.QIns_ProductPV(O168,AModel,H168)</f>
        <v>66890.190902576956</v>
      </c>
      <c r="Q168" s="185" t="str" cm="1">
        <f t="array" aca="1" ref="Q168" ca="1">IF(VLOOKUP(B168,AssetStatic,4,FALSE),_xll.QRisk_PortfolioFxDeltaSpecific("asiOpt_DeltaA"&amp;ROW(),O168,AModel,B168,"ZAR",FALSE),_xll.QRisk_PortfolioDelta("asiOpt_DeltaA"&amp;ROW(),O168,AModel,FALSE))</f>
        <v>asiOpt_DeltaA168¬0</v>
      </c>
      <c r="R168" s="21" cm="1">
        <f t="array" aca="1" ref="R168" ca="1">_xll.QCube_SumAllRows(Q168)</f>
        <v>999.92345691857088</v>
      </c>
      <c r="S168" s="93" cm="1">
        <f t="array" aca="1" ref="S168" ca="1">_xll.QIns_QuickPFE(O168,AModel,0.95,"ZAR")</f>
        <v>3483537.3452973561</v>
      </c>
      <c r="U168" s="75">
        <f t="shared" si="138"/>
        <v>44562</v>
      </c>
      <c r="V168" s="14">
        <f t="shared" ca="1" si="139"/>
        <v>8191.4285714285716</v>
      </c>
      <c r="W168" s="14">
        <f t="shared" ca="1" si="140"/>
        <v>8191.6075000000001</v>
      </c>
    </row>
    <row r="169" spans="1:23" s="185" customFormat="1" x14ac:dyDescent="0.25">
      <c r="A169" s="6"/>
      <c r="B169" s="6" t="s">
        <v>108</v>
      </c>
      <c r="C169" s="155">
        <v>44593</v>
      </c>
      <c r="D169" s="102"/>
      <c r="E169" s="103">
        <f t="shared" ca="1" si="133"/>
        <v>7.0117050333608839</v>
      </c>
      <c r="F169" s="103">
        <f t="shared" ca="1" si="134"/>
        <v>8110.1250000000009</v>
      </c>
      <c r="G169" s="103">
        <v>1000</v>
      </c>
      <c r="H169" s="6" t="s">
        <v>21</v>
      </c>
      <c r="I169" s="104" t="str">
        <f t="shared" si="135"/>
        <v>USD.LIBOR.3M</v>
      </c>
      <c r="J169" s="104" t="str">
        <f t="shared" si="136"/>
        <v>LON</v>
      </c>
      <c r="K169" s="105" t="s">
        <v>171</v>
      </c>
      <c r="L169" s="105" t="str">
        <f t="shared" si="137"/>
        <v>2b</v>
      </c>
      <c r="M169" s="185" t="str" cm="1">
        <f t="array" aca="1" ref="M169" ca="1">_xll.QIns_CreateAsianSwap("AsiSwap_Fwd_"&amp;ROW(),IF(C169="",D169:E169,C169),B169,H169,0,G169,J169,H169,K169,L169,,I169,IF(H169="USD","None","ATC"))</f>
        <v>AsiSwap_Fwd_169¬5</v>
      </c>
      <c r="N169" s="14" cm="1">
        <f t="array" aca="1" ref="N169" ca="1">_xll.QIns_ProductParRate(M169,AModel)</f>
        <v>8177.1250000000009</v>
      </c>
      <c r="O169" s="185" t="str" cm="1">
        <f t="array" aca="1" ref="O169" ca="1">_xll.QIns_CreateAsianSwap("AsiSwap_"&amp;ROW(),IF(C169="",D169:E169,C169),B169,H169,F169,G169,J169,H169,K169,L169,,I169,IF(H169="USD","None","ATC"))</f>
        <v>AsiSwap_169¬1</v>
      </c>
      <c r="P169" s="21" cm="1">
        <f t="array" aca="1" ref="P169" ca="1">_xll.QIns_ProductPV(O169,AModel,H169)</f>
        <v>66879.0321016487</v>
      </c>
      <c r="Q169" s="185" t="str" cm="1">
        <f t="array" aca="1" ref="Q169" ca="1">IF(VLOOKUP(B169,AssetStatic,4,FALSE),_xll.QRisk_PortfolioFxDeltaSpecific("asiOpt_DeltaA"&amp;ROW(),O169,AModel,B169,"ZAR",FALSE),_xll.QRisk_PortfolioDelta("asiOpt_DeltaA"&amp;ROW(),O169,AModel,FALSE))</f>
        <v>asiOpt_DeltaA169¬0</v>
      </c>
      <c r="R169" s="21" cm="1">
        <f t="array" aca="1" ref="R169" ca="1">_xll.QCube_SumAllRows(Q169)</f>
        <v>999.92059434820465</v>
      </c>
      <c r="S169" s="93" cm="1">
        <f t="array" aca="1" ref="S169" ca="1">_xll.QIns_QuickPFE(O169,AModel,0.95,"ZAR")</f>
        <v>3555034.8510090178</v>
      </c>
      <c r="U169" s="75">
        <f t="shared" si="138"/>
        <v>44593</v>
      </c>
      <c r="V169" s="14">
        <f t="shared" ca="1" si="139"/>
        <v>8176.4285714285716</v>
      </c>
      <c r="W169" s="14">
        <f t="shared" ca="1" si="140"/>
        <v>8177.1250000000009</v>
      </c>
    </row>
    <row r="170" spans="1:23" s="185" customFormat="1" x14ac:dyDescent="0.25">
      <c r="A170" s="6"/>
      <c r="B170" s="6" t="s">
        <v>108</v>
      </c>
      <c r="C170" s="155">
        <v>44621</v>
      </c>
      <c r="D170" s="102"/>
      <c r="E170" s="103">
        <f t="shared" ca="1" si="133"/>
        <v>6.9988982330436862</v>
      </c>
      <c r="F170" s="103">
        <f t="shared" ca="1" si="134"/>
        <v>8094.8770186335405</v>
      </c>
      <c r="G170" s="103">
        <v>1000</v>
      </c>
      <c r="H170" s="6" t="s">
        <v>21</v>
      </c>
      <c r="I170" s="104" t="str">
        <f t="shared" si="135"/>
        <v>USD.LIBOR.3M</v>
      </c>
      <c r="J170" s="104" t="str">
        <f t="shared" si="136"/>
        <v>LON</v>
      </c>
      <c r="K170" s="105" t="s">
        <v>171</v>
      </c>
      <c r="L170" s="105" t="str">
        <f t="shared" si="137"/>
        <v>2b</v>
      </c>
      <c r="M170" s="185" t="str" cm="1">
        <f t="array" aca="1" ref="M170" ca="1">_xll.QIns_CreateAsianSwap("AsiSwap_Fwd_"&amp;ROW(),IF(C170="",D170:E170,C170),B170,H170,0,G170,J170,H170,K170,L170,,I170,IF(H170="USD","None","ATC"))</f>
        <v>AsiSwap_Fwd_170¬5</v>
      </c>
      <c r="N170" s="14" cm="1">
        <f t="array" aca="1" ref="N170" ca="1">_xll.QIns_ProductParRate(M170,AModel)</f>
        <v>8161.8770186335405</v>
      </c>
      <c r="O170" s="185" t="str" cm="1">
        <f t="array" aca="1" ref="O170" ca="1">_xll.QIns_CreateAsianSwap("AsiSwap_"&amp;ROW(),IF(C170="",D170:E170,C170),B170,H170,F170,G170,J170,H170,K170,L170,,I170,IF(H170="USD","None","ATC"))</f>
        <v>AsiSwap_170¬1</v>
      </c>
      <c r="P170" s="21" cm="1">
        <f t="array" aca="1" ref="P170" ca="1">_xll.QIns_ProductPV(O170,AModel,H170)</f>
        <v>66867.090765415342</v>
      </c>
      <c r="Q170" s="185" t="str" cm="1">
        <f t="array" aca="1" ref="Q170" ca="1">IF(VLOOKUP(B170,AssetStatic,4,FALSE),_xll.QRisk_PortfolioFxDeltaSpecific("asiOpt_DeltaA"&amp;ROW(),O170,AModel,B170,"ZAR",FALSE),_xll.QRisk_PortfolioDelta("asiOpt_DeltaA"&amp;ROW(),O170,AModel,FALSE))</f>
        <v>asiOpt_DeltaA170¬0</v>
      </c>
      <c r="R170" s="21" cm="1">
        <f t="array" aca="1" ref="R170" ca="1">_xll.QCube_SumAllRows(Q170)</f>
        <v>999.9166976358166</v>
      </c>
      <c r="S170" s="93" cm="1">
        <f t="array" aca="1" ref="S170" ca="1">_xll.QIns_QuickPFE(O170,AModel,0.95,"ZAR")</f>
        <v>3641999.6918833787</v>
      </c>
      <c r="U170" s="75">
        <f t="shared" si="138"/>
        <v>44621</v>
      </c>
      <c r="V170" s="14">
        <f t="shared" ca="1" si="139"/>
        <v>8161.7428571428572</v>
      </c>
      <c r="W170" s="14">
        <f t="shared" ca="1" si="140"/>
        <v>8161.8770186335405</v>
      </c>
    </row>
    <row r="171" spans="1:23" s="185" customFormat="1" x14ac:dyDescent="0.25">
      <c r="A171" s="6"/>
      <c r="B171" s="6" t="s">
        <v>108</v>
      </c>
      <c r="C171" s="155">
        <v>44652</v>
      </c>
      <c r="D171" s="102"/>
      <c r="E171" s="103">
        <f t="shared" ca="1" si="133"/>
        <v>6.9883298838016046</v>
      </c>
      <c r="F171" s="103">
        <f t="shared" ca="1" si="134"/>
        <v>8082.2941729323311</v>
      </c>
      <c r="G171" s="103">
        <v>1000</v>
      </c>
      <c r="H171" s="6" t="s">
        <v>21</v>
      </c>
      <c r="I171" s="104" t="str">
        <f t="shared" si="135"/>
        <v>USD.LIBOR.3M</v>
      </c>
      <c r="J171" s="104" t="str">
        <f t="shared" si="136"/>
        <v>LON</v>
      </c>
      <c r="K171" s="105" t="s">
        <v>171</v>
      </c>
      <c r="L171" s="105" t="str">
        <f t="shared" si="137"/>
        <v>2b</v>
      </c>
      <c r="M171" s="185" t="str" cm="1">
        <f t="array" aca="1" ref="M171" ca="1">_xll.QIns_CreateAsianSwap("AsiSwap_Fwd_"&amp;ROW(),IF(C171="",D171:E171,C171),B171,H171,0,G171,J171,H171,K171,L171,,I171,IF(H171="USD","None","ATC"))</f>
        <v>AsiSwap_Fwd_171¬5</v>
      </c>
      <c r="N171" s="14" cm="1">
        <f t="array" aca="1" ref="N171" ca="1">_xll.QIns_ProductParRate(M171,AModel)</f>
        <v>8149.2941729323311</v>
      </c>
      <c r="O171" s="185" t="str" cm="1">
        <f t="array" aca="1" ref="O171" ca="1">_xll.QIns_CreateAsianSwap("AsiSwap_"&amp;ROW(),IF(C171="",D171:E171,C171),B171,H171,F171,G171,J171,H171,K171,L171,,I171,IF(H171="USD","None","ATC"))</f>
        <v>AsiSwap_171¬1</v>
      </c>
      <c r="P171" s="21" cm="1">
        <f t="array" aca="1" ref="P171" ca="1">_xll.QIns_ProductPV(O171,AModel,H171)</f>
        <v>66857.422359720804</v>
      </c>
      <c r="Q171" s="185" t="str" cm="1">
        <f t="array" aca="1" ref="Q171" ca="1">IF(VLOOKUP(B171,AssetStatic,4,FALSE),_xll.QRisk_PortfolioFxDeltaSpecific("asiOpt_DeltaA"&amp;ROW(),O171,AModel,B171,"ZAR",FALSE),_xll.QRisk_PortfolioDelta("asiOpt_DeltaA"&amp;ROW(),O171,AModel,FALSE))</f>
        <v>asiOpt_DeltaA171¬0</v>
      </c>
      <c r="R171" s="21" cm="1">
        <f t="array" aca="1" ref="R171" ca="1">_xll.QCube_SumAllRows(Q171)</f>
        <v>999.9299558334493</v>
      </c>
      <c r="S171" s="93" cm="1">
        <f t="array" aca="1" ref="S171" ca="1">_xll.QIns_QuickPFE(O171,AModel,0.95,"ZAR")</f>
        <v>3724490.4784359904</v>
      </c>
      <c r="U171" s="75">
        <f t="shared" si="138"/>
        <v>44652</v>
      </c>
      <c r="V171" s="14">
        <f t="shared" ca="1" si="139"/>
        <v>8148.2857142857147</v>
      </c>
      <c r="W171" s="14">
        <f t="shared" ca="1" si="140"/>
        <v>8149.2941729323311</v>
      </c>
    </row>
    <row r="172" spans="1:23" s="185" customFormat="1" x14ac:dyDescent="0.25">
      <c r="A172" s="6"/>
      <c r="B172" s="6" t="s">
        <v>108</v>
      </c>
      <c r="C172" s="155">
        <v>44682</v>
      </c>
      <c r="D172" s="102"/>
      <c r="E172" s="103">
        <f t="shared" ca="1" si="133"/>
        <v>6.976609904932765</v>
      </c>
      <c r="F172" s="103">
        <f t="shared" ca="1" si="134"/>
        <v>8068.3401785714286</v>
      </c>
      <c r="G172" s="103">
        <v>1000</v>
      </c>
      <c r="H172" s="6" t="s">
        <v>21</v>
      </c>
      <c r="I172" s="104" t="str">
        <f t="shared" si="135"/>
        <v>USD.LIBOR.3M</v>
      </c>
      <c r="J172" s="104" t="str">
        <f t="shared" si="136"/>
        <v>LON</v>
      </c>
      <c r="K172" s="105" t="s">
        <v>171</v>
      </c>
      <c r="L172" s="105" t="str">
        <f t="shared" si="137"/>
        <v>2b</v>
      </c>
      <c r="M172" s="185" t="str" cm="1">
        <f t="array" aca="1" ref="M172" ca="1">_xll.QIns_CreateAsianSwap("AsiSwap_Fwd_"&amp;ROW(),IF(C172="",D172:E172,C172),B172,H172,0,G172,J172,H172,K172,L172,,I172,IF(H172="USD","None","ATC"))</f>
        <v>AsiSwap_Fwd_172¬5</v>
      </c>
      <c r="N172" s="14" cm="1">
        <f t="array" aca="1" ref="N172" ca="1">_xll.QIns_ProductParRate(M172,AModel)</f>
        <v>8135.3401785714286</v>
      </c>
      <c r="O172" s="185" t="str" cm="1">
        <f t="array" aca="1" ref="O172" ca="1">_xll.QIns_CreateAsianSwap("AsiSwap_"&amp;ROW(),IF(C172="",D172:E172,C172),B172,H172,F172,G172,J172,H172,K172,L172,,I172,IF(H172="USD","None","ATC"))</f>
        <v>AsiSwap_172¬0</v>
      </c>
      <c r="P172" s="21" cm="1">
        <f t="array" aca="1" ref="P172" ca="1">_xll.QIns_ProductPV(O172,AModel,H172)</f>
        <v>66847.362494171655</v>
      </c>
      <c r="Q172" s="185" t="str" cm="1">
        <f t="array" aca="1" ref="Q172" ca="1">IF(VLOOKUP(B172,AssetStatic,4,FALSE),_xll.QRisk_PortfolioFxDeltaSpecific("asiOpt_DeltaA"&amp;ROW(),O172,AModel,B172,"ZAR",FALSE),_xll.QRisk_PortfolioDelta("asiOpt_DeltaA"&amp;ROW(),O172,AModel,FALSE))</f>
        <v>asiOpt_DeltaA172¬0</v>
      </c>
      <c r="R172" s="21" cm="1">
        <f t="array" aca="1" ref="R172" ca="1">_xll.QCube_SumAllRows(Q172)</f>
        <v>999.92901657388529</v>
      </c>
      <c r="S172" s="93" cm="1">
        <f t="array" aca="1" ref="S172" ca="1">_xll.QIns_QuickPFE(O172,AModel,0.95,"ZAR")</f>
        <v>3784898.3215632904</v>
      </c>
      <c r="U172" s="75">
        <f t="shared" si="138"/>
        <v>44682</v>
      </c>
      <c r="V172" s="14">
        <f t="shared" ca="1" si="139"/>
        <v>8134.7857142857147</v>
      </c>
      <c r="W172" s="14">
        <f t="shared" ca="1" si="140"/>
        <v>8135.3401785714286</v>
      </c>
    </row>
    <row r="173" spans="1:23" s="185" customFormat="1" x14ac:dyDescent="0.25">
      <c r="A173" s="6"/>
      <c r="B173" s="6" t="s">
        <v>108</v>
      </c>
      <c r="C173" s="155">
        <v>44713</v>
      </c>
      <c r="D173" s="102"/>
      <c r="E173" s="103">
        <f t="shared" ca="1" si="133"/>
        <v>6.9646656485753242</v>
      </c>
      <c r="F173" s="103">
        <f t="shared" ca="1" si="134"/>
        <v>8054.1191558441578</v>
      </c>
      <c r="G173" s="103">
        <v>1000</v>
      </c>
      <c r="H173" s="6" t="s">
        <v>21</v>
      </c>
      <c r="I173" s="104" t="str">
        <f t="shared" si="135"/>
        <v>USD.LIBOR.3M</v>
      </c>
      <c r="J173" s="104" t="str">
        <f t="shared" si="136"/>
        <v>LON</v>
      </c>
      <c r="K173" s="105" t="s">
        <v>171</v>
      </c>
      <c r="L173" s="105" t="str">
        <f t="shared" si="137"/>
        <v>2b</v>
      </c>
      <c r="M173" s="185" t="str" cm="1">
        <f t="array" aca="1" ref="M173" ca="1">_xll.QIns_CreateAsianSwap("AsiSwap_Fwd_"&amp;ROW(),IF(C173="",D173:E173,C173),B173,H173,0,G173,J173,H173,K173,L173,,I173,IF(H173="USD","None","ATC"))</f>
        <v>AsiSwap_Fwd_173¬5</v>
      </c>
      <c r="N173" s="14" cm="1">
        <f t="array" aca="1" ref="N173" ca="1">_xll.QIns_ProductParRate(M173,AModel)</f>
        <v>8121.1191558441578</v>
      </c>
      <c r="O173" s="185" t="str" cm="1">
        <f t="array" aca="1" ref="O173" ca="1">_xll.QIns_CreateAsianSwap("AsiSwap_"&amp;ROW(),IF(C173="",D173:E173,C173),B173,H173,F173,G173,J173,H173,K173,L173,,I173,IF(H173="USD","None","ATC"))</f>
        <v>AsiSwap_173¬1</v>
      </c>
      <c r="P173" s="21" cm="1">
        <f t="array" aca="1" ref="P173" ca="1">_xll.QIns_ProductPV(O173,AModel,H173)</f>
        <v>66835.706923259568</v>
      </c>
      <c r="Q173" s="185" t="str" cm="1">
        <f t="array" aca="1" ref="Q173" ca="1">IF(VLOOKUP(B173,AssetStatic,4,FALSE),_xll.QRisk_PortfolioFxDeltaSpecific("asiOpt_DeltaA"&amp;ROW(),O173,AModel,B173,"ZAR",FALSE),_xll.QRisk_PortfolioDelta("asiOpt_DeltaA"&amp;ROW(),O173,AModel,FALSE))</f>
        <v>asiOpt_DeltaA173¬0</v>
      </c>
      <c r="R173" s="21" cm="1">
        <f t="array" aca="1" ref="R173" ca="1">_xll.QCube_SumAllRows(Q173)</f>
        <v>999.91127890123914</v>
      </c>
      <c r="S173" s="93" cm="1">
        <f t="array" aca="1" ref="S173" ca="1">_xll.QIns_QuickPFE(O173,AModel,0.95,"ZAR")</f>
        <v>3865271.8250689805</v>
      </c>
      <c r="U173" s="75">
        <f t="shared" si="138"/>
        <v>44713</v>
      </c>
      <c r="V173" s="14">
        <f t="shared" ca="1" si="139"/>
        <v>8121.4785714285717</v>
      </c>
      <c r="W173" s="14">
        <f t="shared" ca="1" si="140"/>
        <v>8121.1191558441578</v>
      </c>
    </row>
    <row r="174" spans="1:23" s="185" customFormat="1" x14ac:dyDescent="0.25">
      <c r="A174" s="6"/>
      <c r="B174" s="6" t="s">
        <v>108</v>
      </c>
      <c r="C174" s="155">
        <v>44743</v>
      </c>
      <c r="D174" s="102"/>
      <c r="E174" s="103">
        <f t="shared" ca="1" si="133"/>
        <v>6.9544811823013797</v>
      </c>
      <c r="F174" s="103">
        <f t="shared" ca="1" si="134"/>
        <v>8041.9933673469395</v>
      </c>
      <c r="G174" s="103">
        <v>1000</v>
      </c>
      <c r="H174" s="6" t="s">
        <v>21</v>
      </c>
      <c r="I174" s="104" t="str">
        <f t="shared" si="135"/>
        <v>USD.LIBOR.3M</v>
      </c>
      <c r="J174" s="104" t="str">
        <f t="shared" si="136"/>
        <v>LON</v>
      </c>
      <c r="K174" s="105" t="s">
        <v>171</v>
      </c>
      <c r="L174" s="105" t="str">
        <f t="shared" si="137"/>
        <v>2b</v>
      </c>
      <c r="M174" s="185" t="str" cm="1">
        <f t="array" aca="1" ref="M174" ca="1">_xll.QIns_CreateAsianSwap("AsiSwap_Fwd_"&amp;ROW(),IF(C174="",D174:E174,C174),B174,H174,0,G174,J174,H174,K174,L174,,I174,IF(H174="USD","None","ATC"))</f>
        <v>AsiSwap_Fwd_174¬5</v>
      </c>
      <c r="N174" s="14" cm="1">
        <f t="array" aca="1" ref="N174" ca="1">_xll.QIns_ProductParRate(M174,AModel)</f>
        <v>8108.9933673469395</v>
      </c>
      <c r="O174" s="185" t="str" cm="1">
        <f t="array" aca="1" ref="O174" ca="1">_xll.QIns_CreateAsianSwap("AsiSwap_"&amp;ROW(),IF(C174="",D174:E174,C174),B174,H174,F174,G174,J174,H174,K174,L174,,I174,IF(H174="USD","None","ATC"))</f>
        <v>AsiSwap_174¬1</v>
      </c>
      <c r="P174" s="21" cm="1">
        <f t="array" aca="1" ref="P174" ca="1">_xll.QIns_ProductPV(O174,AModel,H174)</f>
        <v>66825.364528356658</v>
      </c>
      <c r="Q174" s="185" t="str" cm="1">
        <f t="array" aca="1" ref="Q174" ca="1">IF(VLOOKUP(B174,AssetStatic,4,FALSE),_xll.QRisk_PortfolioFxDeltaSpecific("asiOpt_DeltaA"&amp;ROW(),O174,AModel,B174,"ZAR",FALSE),_xll.QRisk_PortfolioDelta("asiOpt_DeltaA"&amp;ROW(),O174,AModel,FALSE))</f>
        <v>asiOpt_DeltaA174¬0</v>
      </c>
      <c r="R174" s="21" cm="1">
        <f t="array" aca="1" ref="R174" ca="1">_xll.QCube_SumAllRows(Q174)</f>
        <v>999.920624235937</v>
      </c>
      <c r="S174" s="93" cm="1">
        <f t="array" aca="1" ref="S174" ca="1">_xll.QIns_QuickPFE(O174,AModel,0.95,"ZAR")</f>
        <v>3956840.5085325167</v>
      </c>
      <c r="U174" s="75">
        <f t="shared" si="138"/>
        <v>44743</v>
      </c>
      <c r="V174" s="14">
        <f t="shared" ca="1" si="139"/>
        <v>8107.7857142857147</v>
      </c>
      <c r="W174" s="14">
        <f t="shared" ca="1" si="140"/>
        <v>8108.9933673469395</v>
      </c>
    </row>
    <row r="175" spans="1:23" s="185" customFormat="1" x14ac:dyDescent="0.25">
      <c r="A175" s="6"/>
      <c r="B175" s="6" t="s">
        <v>108</v>
      </c>
      <c r="C175" s="155">
        <v>44774</v>
      </c>
      <c r="D175" s="102"/>
      <c r="E175" s="103">
        <f t="shared" ca="1" si="133"/>
        <v>6.9429417907342792</v>
      </c>
      <c r="F175" s="103">
        <f t="shared" ca="1" si="134"/>
        <v>8028.2543831168841</v>
      </c>
      <c r="G175" s="103">
        <v>1000</v>
      </c>
      <c r="H175" s="6" t="s">
        <v>21</v>
      </c>
      <c r="I175" s="104" t="str">
        <f t="shared" si="135"/>
        <v>USD.LIBOR.3M</v>
      </c>
      <c r="J175" s="104" t="str">
        <f t="shared" si="136"/>
        <v>LON</v>
      </c>
      <c r="K175" s="105" t="s">
        <v>171</v>
      </c>
      <c r="L175" s="105" t="str">
        <f t="shared" si="137"/>
        <v>2b</v>
      </c>
      <c r="M175" s="185" t="str" cm="1">
        <f t="array" aca="1" ref="M175" ca="1">_xll.QIns_CreateAsianSwap("AsiSwap_Fwd_"&amp;ROW(),IF(C175="",D175:E175,C175),B175,H175,0,G175,J175,H175,K175,L175,,I175,IF(H175="USD","None","ATC"))</f>
        <v>AsiSwap_Fwd_175¬5</v>
      </c>
      <c r="N175" s="14" cm="1">
        <f t="array" aca="1" ref="N175" ca="1">_xll.QIns_ProductParRate(M175,AModel)</f>
        <v>8095.2543831168841</v>
      </c>
      <c r="O175" s="185" t="str" cm="1">
        <f t="array" aca="1" ref="O175" ca="1">_xll.QIns_CreateAsianSwap("AsiSwap_"&amp;ROW(),IF(C175="",D175:E175,C175),B175,H175,F175,G175,J175,H175,K175,L175,,I175,IF(H175="USD","None","ATC"))</f>
        <v>AsiSwap_175¬1</v>
      </c>
      <c r="P175" s="21" cm="1">
        <f t="array" aca="1" ref="P175" ca="1">_xll.QIns_ProductPV(O175,AModel,H175)</f>
        <v>66813.755791700314</v>
      </c>
      <c r="Q175" s="185" t="str" cm="1">
        <f t="array" aca="1" ref="Q175" ca="1">IF(VLOOKUP(B175,AssetStatic,4,FALSE),_xll.QRisk_PortfolioFxDeltaSpecific("asiOpt_DeltaA"&amp;ROW(),O175,AModel,B175,"ZAR",FALSE),_xll.QRisk_PortfolioDelta("asiOpt_DeltaA"&amp;ROW(),O175,AModel,FALSE))</f>
        <v>asiOpt_DeltaA175¬0</v>
      </c>
      <c r="R175" s="21" cm="1">
        <f t="array" aca="1" ref="R175" ca="1">_xll.QCube_SumAllRows(Q175)</f>
        <v>999.91547077373514</v>
      </c>
      <c r="S175" s="93" cm="1">
        <f t="array" aca="1" ref="S175" ca="1">_xll.QIns_QuickPFE(O175,AModel,0.95,"ZAR")</f>
        <v>4030334.8019242296</v>
      </c>
      <c r="U175" s="75">
        <f t="shared" si="138"/>
        <v>44774</v>
      </c>
      <c r="V175" s="14">
        <f t="shared" ca="1" si="139"/>
        <v>8094.4785714285717</v>
      </c>
      <c r="W175" s="14">
        <f t="shared" ca="1" si="140"/>
        <v>8095.2543831168841</v>
      </c>
    </row>
    <row r="176" spans="1:23" s="185" customFormat="1" x14ac:dyDescent="0.25">
      <c r="A176" s="6"/>
      <c r="B176" s="6" t="s">
        <v>108</v>
      </c>
      <c r="C176" s="155">
        <v>44805</v>
      </c>
      <c r="D176" s="102"/>
      <c r="E176" s="103">
        <f t="shared" ca="1" si="133"/>
        <v>6.9320301631049173</v>
      </c>
      <c r="F176" s="103">
        <f t="shared" ca="1" si="134"/>
        <v>8015.2628246753238</v>
      </c>
      <c r="G176" s="103">
        <v>1000</v>
      </c>
      <c r="H176" s="6" t="s">
        <v>21</v>
      </c>
      <c r="I176" s="104" t="str">
        <f t="shared" si="135"/>
        <v>USD.LIBOR.3M</v>
      </c>
      <c r="J176" s="104" t="str">
        <f t="shared" si="136"/>
        <v>LON</v>
      </c>
      <c r="K176" s="105" t="s">
        <v>171</v>
      </c>
      <c r="L176" s="105" t="str">
        <f t="shared" si="137"/>
        <v>2b</v>
      </c>
      <c r="M176" s="185" t="str" cm="1">
        <f t="array" aca="1" ref="M176" ca="1">_xll.QIns_CreateAsianSwap("AsiSwap_Fwd_"&amp;ROW(),IF(C176="",D176:E176,C176),B176,H176,0,G176,J176,H176,K176,L176,,I176,IF(H176="USD","None","ATC"))</f>
        <v>AsiSwap_Fwd_176¬5</v>
      </c>
      <c r="N176" s="14" cm="1">
        <f t="array" aca="1" ref="N176" ca="1">_xll.QIns_ProductParRate(M176,AModel)</f>
        <v>8082.2628246753238</v>
      </c>
      <c r="O176" s="185" t="str" cm="1">
        <f t="array" aca="1" ref="O176" ca="1">_xll.QIns_CreateAsianSwap("AsiSwap_"&amp;ROW(),IF(C176="",D176:E176,C176),B176,H176,F176,G176,J176,H176,K176,L176,,I176,IF(H176="USD","None","ATC"))</f>
        <v>AsiSwap_176¬1</v>
      </c>
      <c r="P176" s="21" cm="1">
        <f t="array" aca="1" ref="P176" ca="1">_xll.QIns_ProductPV(O176,AModel,H176)</f>
        <v>66801.114696556266</v>
      </c>
      <c r="Q176" s="185" t="str" cm="1">
        <f t="array" aca="1" ref="Q176" ca="1">IF(VLOOKUP(B176,AssetStatic,4,FALSE),_xll.QRisk_PortfolioFxDeltaSpecific("asiOpt_DeltaA"&amp;ROW(),O176,AModel,B176,"ZAR",FALSE),_xll.QRisk_PortfolioDelta("asiOpt_DeltaA"&amp;ROW(),O176,AModel,FALSE))</f>
        <v>asiOpt_DeltaA176¬0</v>
      </c>
      <c r="R176" s="21" cm="1">
        <f t="array" aca="1" ref="R176" ca="1">_xll.QCube_SumAllRows(Q176)</f>
        <v>999.91025126719114</v>
      </c>
      <c r="S176" s="93" cm="1">
        <f t="array" aca="1" ref="S176" ca="1">_xll.QIns_QuickPFE(O176,AModel,0.95,"ZAR")</f>
        <v>4113834.8650272773</v>
      </c>
      <c r="U176" s="75">
        <f t="shared" si="138"/>
        <v>44805</v>
      </c>
      <c r="V176" s="14">
        <f t="shared" ca="1" si="139"/>
        <v>8080.7857142857147</v>
      </c>
      <c r="W176" s="14">
        <f t="shared" ca="1" si="140"/>
        <v>8082.2628246753238</v>
      </c>
    </row>
    <row r="177" spans="1:23" s="185" customFormat="1" x14ac:dyDescent="0.25">
      <c r="A177" s="6"/>
      <c r="B177" s="6" t="s">
        <v>108</v>
      </c>
      <c r="C177" s="155">
        <v>44835</v>
      </c>
      <c r="D177" s="102"/>
      <c r="E177" s="103">
        <f t="shared" ca="1" si="133"/>
        <v>6.9202332758040903</v>
      </c>
      <c r="F177" s="103">
        <f t="shared" ca="1" si="134"/>
        <v>8001.2172619047615</v>
      </c>
      <c r="G177" s="103">
        <v>1000</v>
      </c>
      <c r="H177" s="6" t="s">
        <v>21</v>
      </c>
      <c r="I177" s="104" t="str">
        <f t="shared" si="135"/>
        <v>USD.LIBOR.3M</v>
      </c>
      <c r="J177" s="104" t="str">
        <f t="shared" si="136"/>
        <v>LON</v>
      </c>
      <c r="K177" s="105" t="s">
        <v>171</v>
      </c>
      <c r="L177" s="105" t="str">
        <f t="shared" si="137"/>
        <v>2b</v>
      </c>
      <c r="M177" s="185" t="str" cm="1">
        <f t="array" aca="1" ref="M177" ca="1">_xll.QIns_CreateAsianSwap("AsiSwap_Fwd_"&amp;ROW(),IF(C177="",D177:E177,C177),B177,H177,0,G177,J177,H177,K177,L177,,I177,IF(H177="USD","None","ATC"))</f>
        <v>AsiSwap_Fwd_177¬5</v>
      </c>
      <c r="N177" s="14" cm="1">
        <f t="array" aca="1" ref="N177" ca="1">_xll.QIns_ProductParRate(M177,AModel)</f>
        <v>8068.2172619047615</v>
      </c>
      <c r="O177" s="185" t="str" cm="1">
        <f t="array" aca="1" ref="O177" ca="1">_xll.QIns_CreateAsianSwap("AsiSwap_"&amp;ROW(),IF(C177="",D177:E177,C177),B177,H177,F177,G177,J177,H177,K177,L177,,I177,IF(H177="USD","None","ATC"))</f>
        <v>AsiSwap_177¬1</v>
      </c>
      <c r="P177" s="21" cm="1">
        <f t="array" aca="1" ref="P177" ca="1">_xll.QIns_ProductPV(O177,AModel,H177)</f>
        <v>66789.147158212785</v>
      </c>
      <c r="Q177" s="185" t="str" cm="1">
        <f t="array" aca="1" ref="Q177" ca="1">IF(VLOOKUP(B177,AssetStatic,4,FALSE),_xll.QRisk_PortfolioFxDeltaSpecific("asiOpt_DeltaA"&amp;ROW(),O177,AModel,B177,"ZAR",FALSE),_xll.QRisk_PortfolioDelta("asiOpt_DeltaA"&amp;ROW(),O177,AModel,FALSE))</f>
        <v>asiOpt_DeltaA177¬0</v>
      </c>
      <c r="R177" s="21" cm="1">
        <f t="array" aca="1" ref="R177" ca="1">_xll.QCube_SumAllRows(Q177)</f>
        <v>999.91350406462527</v>
      </c>
      <c r="S177" s="93" cm="1">
        <f t="array" aca="1" ref="S177" ca="1">_xll.QIns_QuickPFE(O177,AModel,0.95,"ZAR")</f>
        <v>4196533.4417256452</v>
      </c>
      <c r="U177" s="75">
        <f t="shared" si="138"/>
        <v>44835</v>
      </c>
      <c r="V177" s="14">
        <f ca="1">N201</f>
        <v>8067.2678571428569</v>
      </c>
      <c r="W177" s="14">
        <f t="shared" ca="1" si="140"/>
        <v>8068.2172619047615</v>
      </c>
    </row>
    <row r="178" spans="1:23" s="185" customFormat="1" x14ac:dyDescent="0.25">
      <c r="A178" s="6"/>
      <c r="B178" s="6" t="s">
        <v>108</v>
      </c>
      <c r="C178" s="155"/>
      <c r="D178" s="102">
        <f ca="1">_xll.QDates_ThirdWednesday(C154)</f>
        <v>44153</v>
      </c>
      <c r="E178" s="188">
        <f ca="1">D178</f>
        <v>44153</v>
      </c>
      <c r="F178" s="103">
        <f ca="1">N178-$F$153</f>
        <v>999933</v>
      </c>
      <c r="G178" s="103">
        <v>1000</v>
      </c>
      <c r="H178" s="6" t="s">
        <v>21</v>
      </c>
      <c r="I178" s="104" t="str">
        <f t="shared" si="130"/>
        <v>USD.LIBOR.3M</v>
      </c>
      <c r="J178" s="104" t="str">
        <f t="shared" si="131"/>
        <v>LON</v>
      </c>
      <c r="K178" s="105" t="s">
        <v>171</v>
      </c>
      <c r="L178" s="105" t="str">
        <f t="shared" si="132"/>
        <v>2b</v>
      </c>
      <c r="M178" s="185" t="str" cm="1">
        <f t="array" aca="1" ref="M178" ca="1">_xll.QIns_CreateAsianSwap("AsiSwap_Fwd_"&amp;ROW(),IF(C178="",D178:E178,C178),B178,H178,0,G178,J178,H178,K178,L178,,I178,IF(H178="USD","None","ATC"))</f>
        <v>AsiSwap_Fwd_178¬5</v>
      </c>
      <c r="N178" s="14" cm="1">
        <f t="array" aca="1" ref="N178" ca="1">_xll.QIns_ProductParRate(M178,AModel)</f>
        <v>1000000</v>
      </c>
      <c r="O178" s="185" t="str" cm="1">
        <f t="array" aca="1" ref="O178" ca="1">_xll.QIns_CreateAsianSwap("AsiSwap_"&amp;ROW(),IF(C178="",D178:E178,C178),B178,H178,F178,G178,J178,H178,K178,L178,,I178,IF(H178="USD","None","ATC"))</f>
        <v>AsiSwap_178¬5</v>
      </c>
      <c r="P178" s="21" cm="1">
        <f t="array" aca="1" ref="P178" ca="1">_xll.QIns_ProductPV(O178,AModel,H178)</f>
        <v>0</v>
      </c>
      <c r="Q178" s="185" t="str" cm="1">
        <f t="array" aca="1" ref="Q178" ca="1">IF(VLOOKUP(B178,AssetStatic,4,FALSE),_xll.QRisk_PortfolioFxDeltaSpecific("asiOpt_DeltaA"&amp;ROW(),O178,AModel,B178,"ZAR",FALSE),_xll.QRisk_PortfolioDelta("asiOpt_DeltaA"&amp;ROW(),O178,AModel,FALSE))</f>
        <v>asiOpt_DeltaA178¬3</v>
      </c>
      <c r="R178" s="21" cm="1">
        <f t="array" aca="1" ref="R178" ca="1">_xll.QCube_SumAllRows(Q178)</f>
        <v>0</v>
      </c>
      <c r="S178" s="93" cm="1">
        <f t="array" aca="1" ref="S178" ca="1">_xll.QIns_QuickPFE(O178,AModel,0.95,"ZAR")</f>
        <v>0</v>
      </c>
    </row>
    <row r="179" spans="1:23" s="185" customFormat="1" x14ac:dyDescent="0.25">
      <c r="A179" s="6"/>
      <c r="B179" s="6" t="s">
        <v>108</v>
      </c>
      <c r="C179" s="155"/>
      <c r="D179" s="102">
        <f ca="1">_xll.QDates_ThirdWednesday(C155)</f>
        <v>44181</v>
      </c>
      <c r="E179" s="188">
        <f t="shared" ref="E179:E201" ca="1" si="141">D179</f>
        <v>44181</v>
      </c>
      <c r="F179" s="103">
        <f t="shared" ref="F179:F200" ca="1" si="142">N179-$F$153</f>
        <v>999933</v>
      </c>
      <c r="G179" s="103">
        <v>1000</v>
      </c>
      <c r="H179" s="6" t="s">
        <v>21</v>
      </c>
      <c r="I179" s="104" t="str">
        <f t="shared" ref="I179:I189" si="143">IF(H179="USD","USD.LIBOR.3M",H179&amp;".DISC.[USD.LIBOR.3M]")</f>
        <v>USD.LIBOR.3M</v>
      </c>
      <c r="J179" s="104" t="str">
        <f t="shared" ref="J179:J189" si="144">VLOOKUP(B179,AssetStatic,3,FALSE)</f>
        <v>LON</v>
      </c>
      <c r="K179" s="105" t="s">
        <v>171</v>
      </c>
      <c r="L179" s="105" t="str">
        <f t="shared" ref="L179:L189" si="145">VLOOKUP(B179,AssetStatic,2,FALSE)</f>
        <v>2b</v>
      </c>
      <c r="M179" s="185" t="str" cm="1">
        <f t="array" aca="1" ref="M179" ca="1">_xll.QIns_CreateAsianSwap("AsiSwap_Fwd_"&amp;ROW(),IF(C179="",D179:E179,C179),B179,H179,0,G179,J179,H179,K179,L179,,I179,IF(H179="USD","None","ATC"))</f>
        <v>AsiSwap_Fwd_179¬5</v>
      </c>
      <c r="N179" s="14" cm="1">
        <f t="array" aca="1" ref="N179" ca="1">_xll.QIns_ProductParRate(M179,AModel)</f>
        <v>1000000</v>
      </c>
      <c r="O179" s="185" t="str" cm="1">
        <f t="array" aca="1" ref="O179" ca="1">_xll.QIns_CreateAsianSwap("AsiSwap_"&amp;ROW(),IF(C179="",D179:E179,C179),B179,H179,F179,G179,J179,H179,K179,L179,,I179,IF(H179="USD","None","ATC"))</f>
        <v>AsiSwap_179¬5</v>
      </c>
      <c r="P179" s="21" cm="1">
        <f t="array" aca="1" ref="P179" ca="1">_xll.QIns_ProductPV(O179,AModel,H179)</f>
        <v>0</v>
      </c>
      <c r="Q179" s="185" t="str" cm="1">
        <f t="array" aca="1" ref="Q179" ca="1">IF(VLOOKUP(B179,AssetStatic,4,FALSE),_xll.QRisk_PortfolioFxDeltaSpecific("asiOpt_DeltaA"&amp;ROW(),O179,AModel,B179,"ZAR",FALSE),_xll.QRisk_PortfolioDelta("asiOpt_DeltaA"&amp;ROW(),O179,AModel,FALSE))</f>
        <v>asiOpt_DeltaA179¬3</v>
      </c>
      <c r="R179" s="21" cm="1">
        <f t="array" aca="1" ref="R179" ca="1">_xll.QCube_SumAllRows(Q179)</f>
        <v>0</v>
      </c>
      <c r="S179" s="93" cm="1">
        <f t="array" aca="1" ref="S179" ca="1">_xll.QIns_QuickPFE(O179,AModel,0.95,"ZAR")</f>
        <v>0</v>
      </c>
    </row>
    <row r="180" spans="1:23" s="185" customFormat="1" x14ac:dyDescent="0.25">
      <c r="A180" s="6"/>
      <c r="B180" s="6" t="s">
        <v>108</v>
      </c>
      <c r="C180" s="155"/>
      <c r="D180" s="102">
        <f ca="1">_xll.QDates_ThirdWednesday(C156)</f>
        <v>44216</v>
      </c>
      <c r="E180" s="188">
        <f t="shared" ca="1" si="141"/>
        <v>44216</v>
      </c>
      <c r="F180" s="103">
        <f t="shared" ca="1" si="142"/>
        <v>999933</v>
      </c>
      <c r="G180" s="103">
        <v>1000</v>
      </c>
      <c r="H180" s="6" t="s">
        <v>21</v>
      </c>
      <c r="I180" s="104" t="str">
        <f t="shared" si="143"/>
        <v>USD.LIBOR.3M</v>
      </c>
      <c r="J180" s="104" t="str">
        <f t="shared" si="144"/>
        <v>LON</v>
      </c>
      <c r="K180" s="105" t="s">
        <v>171</v>
      </c>
      <c r="L180" s="105" t="str">
        <f t="shared" si="145"/>
        <v>2b</v>
      </c>
      <c r="M180" s="185" t="str" cm="1">
        <f t="array" aca="1" ref="M180" ca="1">_xll.QIns_CreateAsianSwap("AsiSwap_Fwd_"&amp;ROW(),IF(C180="",D180:E180,C180),B180,H180,0,G180,J180,H180,K180,L180,,I180,IF(H180="USD","None","ATC"))</f>
        <v>AsiSwap_Fwd_180¬5</v>
      </c>
      <c r="N180" s="14" cm="1">
        <f t="array" aca="1" ref="N180" ca="1">_xll.QIns_ProductParRate(M180,AModel)</f>
        <v>1000000</v>
      </c>
      <c r="O180" s="185" t="str" cm="1">
        <f t="array" aca="1" ref="O180" ca="1">_xll.QIns_CreateAsianSwap("AsiSwap_"&amp;ROW(),IF(C180="",D180:E180,C180),B180,H180,F180,G180,J180,H180,K180,L180,,I180,IF(H180="USD","None","ATC"))</f>
        <v>AsiSwap_180¬5</v>
      </c>
      <c r="P180" s="21" cm="1">
        <f t="array" aca="1" ref="P180" ca="1">_xll.QIns_ProductPV(O180,AModel,H180)</f>
        <v>0</v>
      </c>
      <c r="Q180" s="185" t="str" cm="1">
        <f t="array" aca="1" ref="Q180" ca="1">IF(VLOOKUP(B180,AssetStatic,4,FALSE),_xll.QRisk_PortfolioFxDeltaSpecific("asiOpt_DeltaA"&amp;ROW(),O180,AModel,B180,"ZAR",FALSE),_xll.QRisk_PortfolioDelta("asiOpt_DeltaA"&amp;ROW(),O180,AModel,FALSE))</f>
        <v>asiOpt_DeltaA180¬3</v>
      </c>
      <c r="R180" s="21" cm="1">
        <f t="array" aca="1" ref="R180" ca="1">_xll.QCube_SumAllRows(Q180)</f>
        <v>0</v>
      </c>
      <c r="S180" s="93" cm="1">
        <f t="array" aca="1" ref="S180" ca="1">_xll.QIns_QuickPFE(O180,AModel,0.95,"ZAR")</f>
        <v>0</v>
      </c>
    </row>
    <row r="181" spans="1:23" s="185" customFormat="1" x14ac:dyDescent="0.25">
      <c r="A181" s="6"/>
      <c r="B181" s="6" t="s">
        <v>108</v>
      </c>
      <c r="C181" s="155"/>
      <c r="D181" s="102">
        <f ca="1">_xll.QDates_ThirdWednesday(C157)</f>
        <v>44244</v>
      </c>
      <c r="E181" s="188">
        <f t="shared" ca="1" si="141"/>
        <v>44244</v>
      </c>
      <c r="F181" s="103">
        <f t="shared" ca="1" si="142"/>
        <v>8207.0357142857138</v>
      </c>
      <c r="G181" s="103">
        <v>1000</v>
      </c>
      <c r="H181" s="6" t="s">
        <v>21</v>
      </c>
      <c r="I181" s="104" t="str">
        <f t="shared" si="143"/>
        <v>USD.LIBOR.3M</v>
      </c>
      <c r="J181" s="104" t="str">
        <f t="shared" si="144"/>
        <v>LON</v>
      </c>
      <c r="K181" s="105" t="s">
        <v>171</v>
      </c>
      <c r="L181" s="105" t="str">
        <f t="shared" si="145"/>
        <v>2b</v>
      </c>
      <c r="M181" s="185" t="str" cm="1">
        <f t="array" aca="1" ref="M181" ca="1">_xll.QIns_CreateAsianSwap("AsiSwap_Fwd_"&amp;ROW(),IF(C181="",D181:E181,C181),B181,H181,0,G181,J181,H181,K181,L181,,I181,IF(H181="USD","None","ATC"))</f>
        <v>AsiSwap_Fwd_181¬5</v>
      </c>
      <c r="N181" s="14" cm="1">
        <f t="array" aca="1" ref="N181" ca="1">_xll.QIns_ProductParRate(M181,AModel)</f>
        <v>8274.0357142857138</v>
      </c>
      <c r="O181" s="185" t="str" cm="1">
        <f t="array" aca="1" ref="O181" ca="1">_xll.QIns_CreateAsianSwap("AsiSwap_"&amp;ROW(),IF(C181="",D181:E181,C181),B181,H181,F181,G181,J181,H181,K181,L181,,I181,IF(H181="USD","None","ATC"))</f>
        <v>AsiSwap_181¬0</v>
      </c>
      <c r="P181" s="21" cm="1">
        <f t="array" aca="1" ref="P181" ca="1">_xll.QIns_ProductPV(O181,AModel,H181)</f>
        <v>66998.710079567623</v>
      </c>
      <c r="Q181" s="185" t="str" cm="1">
        <f t="array" aca="1" ref="Q181" ca="1">IF(VLOOKUP(B181,AssetStatic,4,FALSE),_xll.QRisk_PortfolioFxDeltaSpecific("asiOpt_DeltaA"&amp;ROW(),O181,AModel,B181,"ZAR",FALSE),_xll.QRisk_PortfolioDelta("asiOpt_DeltaA"&amp;ROW(),O181,AModel,FALSE))</f>
        <v>asiOpt_DeltaA181¬0</v>
      </c>
      <c r="R181" s="21" cm="1">
        <f t="array" aca="1" ref="R181" ca="1">_xll.QCube_SumAllRows(Q181)</f>
        <v>1000.0013394538685</v>
      </c>
      <c r="S181" s="93" cm="1">
        <f t="array" aca="1" ref="S181" ca="1">_xll.QIns_QuickPFE(O181,AModel,0.95,"ZAR")</f>
        <v>509371.87821837323</v>
      </c>
    </row>
    <row r="182" spans="1:23" s="185" customFormat="1" x14ac:dyDescent="0.25">
      <c r="A182" s="6"/>
      <c r="B182" s="6" t="s">
        <v>108</v>
      </c>
      <c r="C182" s="155"/>
      <c r="D182" s="102">
        <f ca="1">_xll.QDates_ThirdWednesday(C158)</f>
        <v>44272</v>
      </c>
      <c r="E182" s="188">
        <f t="shared" ca="1" si="141"/>
        <v>44272</v>
      </c>
      <c r="F182" s="103">
        <f t="shared" ca="1" si="142"/>
        <v>8207.6571428571424</v>
      </c>
      <c r="G182" s="103">
        <v>1000</v>
      </c>
      <c r="H182" s="6" t="s">
        <v>21</v>
      </c>
      <c r="I182" s="104" t="str">
        <f t="shared" si="143"/>
        <v>USD.LIBOR.3M</v>
      </c>
      <c r="J182" s="104" t="str">
        <f t="shared" si="144"/>
        <v>LON</v>
      </c>
      <c r="K182" s="105" t="s">
        <v>171</v>
      </c>
      <c r="L182" s="105" t="str">
        <f t="shared" si="145"/>
        <v>2b</v>
      </c>
      <c r="M182" s="185" t="str" cm="1">
        <f t="array" aca="1" ref="M182" ca="1">_xll.QIns_CreateAsianSwap("AsiSwap_Fwd_"&amp;ROW(),IF(C182="",D182:E182,C182),B182,H182,0,G182,J182,H182,K182,L182,,I182,IF(H182="USD","None","ATC"))</f>
        <v>AsiSwap_Fwd_182¬5</v>
      </c>
      <c r="N182" s="14" cm="1">
        <f t="array" aca="1" ref="N182" ca="1">_xll.QIns_ProductParRate(M182,AModel)</f>
        <v>8274.6571428571424</v>
      </c>
      <c r="O182" s="185" t="str" cm="1">
        <f t="array" aca="1" ref="O182" ca="1">_xll.QIns_CreateAsianSwap("AsiSwap_"&amp;ROW(),IF(C182="",D182:E182,C182),B182,H182,F182,G182,J182,H182,K182,L182,,I182,IF(H182="USD","None","ATC"))</f>
        <v>AsiSwap_182¬1</v>
      </c>
      <c r="P182" s="21" cm="1">
        <f t="array" aca="1" ref="P182" ca="1">_xll.QIns_ProductPV(O182,AModel,H182)</f>
        <v>66992.378268871413</v>
      </c>
      <c r="Q182" s="185" t="str" cm="1">
        <f t="array" aca="1" ref="Q182" ca="1">IF(VLOOKUP(B182,AssetStatic,4,FALSE),_xll.QRisk_PortfolioFxDeltaSpecific("asiOpt_DeltaA"&amp;ROW(),O182,AModel,B182,"ZAR",FALSE),_xll.QRisk_PortfolioDelta("asiOpt_DeltaA"&amp;ROW(),O182,AModel,FALSE))</f>
        <v>asiOpt_DeltaA182¬0</v>
      </c>
      <c r="R182" s="21" cm="1">
        <f t="array" aca="1" ref="R182" ca="1">_xll.QCube_SumAllRows(Q182)</f>
        <v>1000.0026650728479</v>
      </c>
      <c r="S182" s="93" cm="1">
        <f t="array" aca="1" ref="S182" ca="1">_xll.QIns_QuickPFE(O182,AModel,0.95,"ZAR")</f>
        <v>1139775.1421428656</v>
      </c>
    </row>
    <row r="183" spans="1:23" s="185" customFormat="1" x14ac:dyDescent="0.25">
      <c r="A183" s="6"/>
      <c r="B183" s="6" t="s">
        <v>108</v>
      </c>
      <c r="C183" s="155"/>
      <c r="D183" s="102">
        <f ca="1">_xll.QDates_ThirdWednesday(C159)</f>
        <v>44307</v>
      </c>
      <c r="E183" s="188">
        <f t="shared" ca="1" si="141"/>
        <v>44307</v>
      </c>
      <c r="F183" s="103">
        <f t="shared" ca="1" si="142"/>
        <v>8210.375</v>
      </c>
      <c r="G183" s="103">
        <v>1000</v>
      </c>
      <c r="H183" s="6" t="s">
        <v>21</v>
      </c>
      <c r="I183" s="104" t="str">
        <f t="shared" si="143"/>
        <v>USD.LIBOR.3M</v>
      </c>
      <c r="J183" s="104" t="str">
        <f t="shared" si="144"/>
        <v>LON</v>
      </c>
      <c r="K183" s="105" t="s">
        <v>171</v>
      </c>
      <c r="L183" s="105" t="str">
        <f t="shared" si="145"/>
        <v>2b</v>
      </c>
      <c r="M183" s="185" t="str" cm="1">
        <f t="array" aca="1" ref="M183" ca="1">_xll.QIns_CreateAsianSwap("AsiSwap_Fwd_"&amp;ROW(),IF(C183="",D183:E183,C183),B183,H183,0,G183,J183,H183,K183,L183,,I183,IF(H183="USD","None","ATC"))</f>
        <v>AsiSwap_Fwd_183¬5</v>
      </c>
      <c r="N183" s="14" cm="1">
        <f t="array" aca="1" ref="N183" ca="1">_xll.QIns_ProductParRate(M183,AModel)</f>
        <v>8277.375</v>
      </c>
      <c r="O183" s="185" t="str" cm="1">
        <f t="array" aca="1" ref="O183" ca="1">_xll.QIns_CreateAsianSwap("AsiSwap_"&amp;ROW(),IF(C183="",D183:E183,C183),B183,H183,F183,G183,J183,H183,K183,L183,,I183,IF(H183="USD","None","ATC"))</f>
        <v>AsiSwap_183¬1</v>
      </c>
      <c r="P183" s="21" cm="1">
        <f t="array" aca="1" ref="P183" ca="1">_xll.QIns_ProductPV(O183,AModel,H183)</f>
        <v>66978.296915626503</v>
      </c>
      <c r="Q183" s="185" t="str" cm="1">
        <f t="array" aca="1" ref="Q183" ca="1">IF(VLOOKUP(B183,AssetStatic,4,FALSE),_xll.QRisk_PortfolioFxDeltaSpecific("asiOpt_DeltaA"&amp;ROW(),O183,AModel,B183,"ZAR",FALSE),_xll.QRisk_PortfolioDelta("asiOpt_DeltaA"&amp;ROW(),O183,AModel,FALSE))</f>
        <v>asiOpt_DeltaA183¬0</v>
      </c>
      <c r="R183" s="21" cm="1">
        <f t="array" aca="1" ref="R183" ca="1">_xll.QCube_SumAllRows(Q183)</f>
        <v>1000.0015243994221</v>
      </c>
      <c r="S183" s="93" cm="1">
        <f t="array" aca="1" ref="S183" ca="1">_xll.QIns_QuickPFE(O183,AModel,0.95,"ZAR")</f>
        <v>1612740.3422283097</v>
      </c>
    </row>
    <row r="184" spans="1:23" s="185" customFormat="1" x14ac:dyDescent="0.25">
      <c r="A184" s="6"/>
      <c r="B184" s="6" t="s">
        <v>108</v>
      </c>
      <c r="C184" s="155"/>
      <c r="D184" s="102">
        <f ca="1">_xll.QDates_ThirdWednesday(C160)</f>
        <v>44335</v>
      </c>
      <c r="E184" s="188">
        <f t="shared" ca="1" si="141"/>
        <v>44335</v>
      </c>
      <c r="F184" s="103">
        <f t="shared" ca="1" si="142"/>
        <v>8209.3571428571431</v>
      </c>
      <c r="G184" s="103">
        <v>1000</v>
      </c>
      <c r="H184" s="6" t="s">
        <v>21</v>
      </c>
      <c r="I184" s="104" t="str">
        <f t="shared" si="143"/>
        <v>USD.LIBOR.3M</v>
      </c>
      <c r="J184" s="104" t="str">
        <f t="shared" si="144"/>
        <v>LON</v>
      </c>
      <c r="K184" s="105" t="s">
        <v>171</v>
      </c>
      <c r="L184" s="105" t="str">
        <f t="shared" si="145"/>
        <v>2b</v>
      </c>
      <c r="M184" s="185" t="str" cm="1">
        <f t="array" aca="1" ref="M184" ca="1">_xll.QIns_CreateAsianSwap("AsiSwap_Fwd_"&amp;ROW(),IF(C184="",D184:E184,C184),B184,H184,0,G184,J184,H184,K184,L184,,I184,IF(H184="USD","None","ATC"))</f>
        <v>AsiSwap_Fwd_184¬5</v>
      </c>
      <c r="N184" s="14" cm="1">
        <f t="array" aca="1" ref="N184" ca="1">_xll.QIns_ProductParRate(M184,AModel)</f>
        <v>8276.3571428571431</v>
      </c>
      <c r="O184" s="185" t="str" cm="1">
        <f t="array" aca="1" ref="O184" ca="1">_xll.QIns_CreateAsianSwap("AsiSwap_"&amp;ROW(),IF(C184="",D184:E184,C184),B184,H184,F184,G184,J184,H184,K184,L184,,I184,IF(H184="USD","None","ATC"))</f>
        <v>AsiSwap_184¬0</v>
      </c>
      <c r="P184" s="21" cm="1">
        <f t="array" aca="1" ref="P184" ca="1">_xll.QIns_ProductPV(O184,AModel,H184)</f>
        <v>66964.206540269312</v>
      </c>
      <c r="Q184" s="185" t="str" cm="1">
        <f t="array" aca="1" ref="Q184" ca="1">IF(VLOOKUP(B184,AssetStatic,4,FALSE),_xll.QRisk_PortfolioFxDeltaSpecific("asiOpt_DeltaA"&amp;ROW(),O184,AModel,B184,"ZAR",FALSE),_xll.QRisk_PortfolioDelta("asiOpt_DeltaA"&amp;ROW(),O184,AModel,FALSE))</f>
        <v>asiOpt_DeltaA184¬0</v>
      </c>
      <c r="R184" s="21" cm="1">
        <f t="array" aca="1" ref="R184" ca="1">_xll.QCube_SumAllRows(Q184)</f>
        <v>999.99764950152371</v>
      </c>
      <c r="S184" s="93" cm="1">
        <f t="array" aca="1" ref="S184" ca="1">_xll.QIns_QuickPFE(O184,AModel,0.95,"ZAR")</f>
        <v>1907373.7647943089</v>
      </c>
    </row>
    <row r="185" spans="1:23" s="185" customFormat="1" x14ac:dyDescent="0.25">
      <c r="A185" s="6"/>
      <c r="B185" s="6" t="s">
        <v>108</v>
      </c>
      <c r="C185" s="155"/>
      <c r="D185" s="102">
        <f ca="1">_xll.QDates_ThirdWednesday(C161)</f>
        <v>44363</v>
      </c>
      <c r="E185" s="188">
        <f t="shared" ca="1" si="141"/>
        <v>44363</v>
      </c>
      <c r="F185" s="103">
        <f t="shared" ca="1" si="142"/>
        <v>8203.807142857142</v>
      </c>
      <c r="G185" s="103">
        <v>1000</v>
      </c>
      <c r="H185" s="6" t="s">
        <v>21</v>
      </c>
      <c r="I185" s="104" t="str">
        <f t="shared" si="143"/>
        <v>USD.LIBOR.3M</v>
      </c>
      <c r="J185" s="104" t="str">
        <f t="shared" si="144"/>
        <v>LON</v>
      </c>
      <c r="K185" s="105" t="s">
        <v>171</v>
      </c>
      <c r="L185" s="105" t="str">
        <f t="shared" si="145"/>
        <v>2b</v>
      </c>
      <c r="M185" s="185" t="str" cm="1">
        <f t="array" aca="1" ref="M185" ca="1">_xll.QIns_CreateAsianSwap("AsiSwap_Fwd_"&amp;ROW(),IF(C185="",D185:E185,C185),B185,H185,0,G185,J185,H185,K185,L185,,I185,IF(H185="USD","None","ATC"))</f>
        <v>AsiSwap_Fwd_185¬5</v>
      </c>
      <c r="N185" s="14" cm="1">
        <f t="array" aca="1" ref="N185" ca="1">_xll.QIns_ProductParRate(M185,AModel)</f>
        <v>8270.807142857142</v>
      </c>
      <c r="O185" s="185" t="str" cm="1">
        <f t="array" aca="1" ref="O185" ca="1">_xll.QIns_CreateAsianSwap("AsiSwap_"&amp;ROW(),IF(C185="",D185:E185,C185),B185,H185,F185,G185,J185,H185,K185,L185,,I185,IF(H185="USD","None","ATC"))</f>
        <v>AsiSwap_185¬0</v>
      </c>
      <c r="P185" s="21" cm="1">
        <f t="array" aca="1" ref="P185" ca="1">_xll.QIns_ProductPV(O185,AModel,H185)</f>
        <v>66964.452238478043</v>
      </c>
      <c r="Q185" s="185" t="str" cm="1">
        <f t="array" aca="1" ref="Q185" ca="1">IF(VLOOKUP(B185,AssetStatic,4,FALSE),_xll.QRisk_PortfolioFxDeltaSpecific("asiOpt_DeltaA"&amp;ROW(),O185,AModel,B185,"ZAR",FALSE),_xll.QRisk_PortfolioDelta("asiOpt_DeltaA"&amp;ROW(),O185,AModel,FALSE))</f>
        <v>asiOpt_DeltaA185¬0</v>
      </c>
      <c r="R185" s="21" cm="1">
        <f t="array" aca="1" ref="R185" ca="1">_xll.QCube_SumAllRows(Q185)</f>
        <v>1000.005608943095</v>
      </c>
      <c r="S185" s="93" cm="1">
        <f t="array" aca="1" ref="S185" ca="1">_xll.QIns_QuickPFE(O185,AModel,0.95,"ZAR")</f>
        <v>2164746.1291773836</v>
      </c>
    </row>
    <row r="186" spans="1:23" s="185" customFormat="1" x14ac:dyDescent="0.25">
      <c r="A186" s="6"/>
      <c r="B186" s="6" t="s">
        <v>108</v>
      </c>
      <c r="C186" s="155"/>
      <c r="D186" s="102">
        <f ca="1">_xll.QDates_ThirdWednesday(C162)</f>
        <v>44398</v>
      </c>
      <c r="E186" s="188">
        <f t="shared" ca="1" si="141"/>
        <v>44398</v>
      </c>
      <c r="F186" s="103">
        <f t="shared" ca="1" si="142"/>
        <v>8195.7857142857138</v>
      </c>
      <c r="G186" s="103">
        <v>1000</v>
      </c>
      <c r="H186" s="6" t="s">
        <v>21</v>
      </c>
      <c r="I186" s="104" t="str">
        <f t="shared" si="143"/>
        <v>USD.LIBOR.3M</v>
      </c>
      <c r="J186" s="104" t="str">
        <f t="shared" si="144"/>
        <v>LON</v>
      </c>
      <c r="K186" s="105" t="s">
        <v>171</v>
      </c>
      <c r="L186" s="105" t="str">
        <f t="shared" si="145"/>
        <v>2b</v>
      </c>
      <c r="M186" s="185" t="str" cm="1">
        <f t="array" aca="1" ref="M186" ca="1">_xll.QIns_CreateAsianSwap("AsiSwap_Fwd_"&amp;ROW(),IF(C186="",D186:E186,C186),B186,H186,0,G186,J186,H186,K186,L186,,I186,IF(H186="USD","None","ATC"))</f>
        <v>AsiSwap_Fwd_186¬5</v>
      </c>
      <c r="N186" s="14" cm="1">
        <f t="array" aca="1" ref="N186" ca="1">_xll.QIns_ProductParRate(M186,AModel)</f>
        <v>8262.7857142857138</v>
      </c>
      <c r="O186" s="185" t="str" cm="1">
        <f t="array" aca="1" ref="O186" ca="1">_xll.QIns_CreateAsianSwap("AsiSwap_"&amp;ROW(),IF(C186="",D186:E186,C186),B186,H186,F186,G186,J186,H186,K186,L186,,I186,IF(H186="USD","None","ATC"))</f>
        <v>AsiSwap_186¬1</v>
      </c>
      <c r="P186" s="21" cm="1">
        <f t="array" aca="1" ref="P186" ca="1">_xll.QIns_ProductPV(O186,AModel,H186)</f>
        <v>66954.079323651458</v>
      </c>
      <c r="Q186" s="185" t="str" cm="1">
        <f t="array" aca="1" ref="Q186" ca="1">IF(VLOOKUP(B186,AssetStatic,4,FALSE),_xll.QRisk_PortfolioFxDeltaSpecific("asiOpt_DeltaA"&amp;ROW(),O186,AModel,B186,"ZAR",FALSE),_xll.QRisk_PortfolioDelta("asiOpt_DeltaA"&amp;ROW(),O186,AModel,FALSE))</f>
        <v>asiOpt_DeltaA186¬0</v>
      </c>
      <c r="R186" s="21" cm="1">
        <f t="array" aca="1" ref="R186" ca="1">_xll.QCube_SumAllRows(Q186)</f>
        <v>1000.000079942814</v>
      </c>
      <c r="S186" s="93" cm="1">
        <f t="array" aca="1" ref="S186" ca="1">_xll.QIns_QuickPFE(O186,AModel,0.95,"ZAR")</f>
        <v>2457462.3825110886</v>
      </c>
    </row>
    <row r="187" spans="1:23" s="185" customFormat="1" x14ac:dyDescent="0.25">
      <c r="A187" s="6"/>
      <c r="B187" s="6" t="s">
        <v>108</v>
      </c>
      <c r="C187" s="155"/>
      <c r="D187" s="102">
        <f ca="1">_xll.QDates_ThirdWednesday(C163)</f>
        <v>44426</v>
      </c>
      <c r="E187" s="188">
        <f t="shared" ca="1" si="141"/>
        <v>44426</v>
      </c>
      <c r="F187" s="103">
        <f t="shared" ca="1" si="142"/>
        <v>8185.8214285714294</v>
      </c>
      <c r="G187" s="103">
        <v>1000</v>
      </c>
      <c r="H187" s="6" t="s">
        <v>21</v>
      </c>
      <c r="I187" s="104" t="str">
        <f t="shared" si="143"/>
        <v>USD.LIBOR.3M</v>
      </c>
      <c r="J187" s="104" t="str">
        <f t="shared" si="144"/>
        <v>LON</v>
      </c>
      <c r="K187" s="105" t="s">
        <v>171</v>
      </c>
      <c r="L187" s="105" t="str">
        <f t="shared" si="145"/>
        <v>2b</v>
      </c>
      <c r="M187" s="185" t="str" cm="1">
        <f t="array" aca="1" ref="M187" ca="1">_xll.QIns_CreateAsianSwap("AsiSwap_Fwd_"&amp;ROW(),IF(C187="",D187:E187,C187),B187,H187,0,G187,J187,H187,K187,L187,,I187,IF(H187="USD","None","ATC"))</f>
        <v>AsiSwap_Fwd_187¬5</v>
      </c>
      <c r="N187" s="14" cm="1">
        <f t="array" aca="1" ref="N187" ca="1">_xll.QIns_ProductParRate(M187,AModel)</f>
        <v>8252.8214285714294</v>
      </c>
      <c r="O187" s="185" t="str" cm="1">
        <f t="array" aca="1" ref="O187" ca="1">_xll.QIns_CreateAsianSwap("AsiSwap_"&amp;ROW(),IF(C187="",D187:E187,C187),B187,H187,F187,G187,J187,H187,K187,L187,,I187,IF(H187="USD","None","ATC"))</f>
        <v>AsiSwap_187¬1</v>
      </c>
      <c r="P187" s="21" cm="1">
        <f t="array" aca="1" ref="P187" ca="1">_xll.QIns_ProductPV(O187,AModel,H187)</f>
        <v>66945.601851075131</v>
      </c>
      <c r="Q187" s="185" t="str" cm="1">
        <f t="array" aca="1" ref="Q187" ca="1">IF(VLOOKUP(B187,AssetStatic,4,FALSE),_xll.QRisk_PortfolioFxDeltaSpecific("asiOpt_DeltaA"&amp;ROW(),O187,AModel,B187,"ZAR",FALSE),_xll.QRisk_PortfolioDelta("asiOpt_DeltaA"&amp;ROW(),O187,AModel,FALSE))</f>
        <v>asiOpt_DeltaA187¬0</v>
      </c>
      <c r="R187" s="21" cm="1">
        <f t="array" aca="1" ref="R187" ca="1">_xll.QCube_SumAllRows(Q187)</f>
        <v>1000.0000797811474</v>
      </c>
      <c r="S187" s="93" cm="1">
        <f t="array" aca="1" ref="S187" ca="1">_xll.QIns_QuickPFE(O187,AModel,0.95,"ZAR")</f>
        <v>2674605.6681058197</v>
      </c>
    </row>
    <row r="188" spans="1:23" s="185" customFormat="1" x14ac:dyDescent="0.25">
      <c r="A188" s="6"/>
      <c r="B188" s="6" t="s">
        <v>108</v>
      </c>
      <c r="C188" s="155"/>
      <c r="D188" s="102">
        <f ca="1">_xll.QDates_ThirdWednesday(C164)</f>
        <v>44454</v>
      </c>
      <c r="E188" s="188">
        <f t="shared" ca="1" si="141"/>
        <v>44454</v>
      </c>
      <c r="F188" s="103">
        <f t="shared" ca="1" si="142"/>
        <v>8176.4571428571435</v>
      </c>
      <c r="G188" s="103">
        <v>1000</v>
      </c>
      <c r="H188" s="6" t="s">
        <v>21</v>
      </c>
      <c r="I188" s="104" t="str">
        <f t="shared" si="143"/>
        <v>USD.LIBOR.3M</v>
      </c>
      <c r="J188" s="104" t="str">
        <f t="shared" si="144"/>
        <v>LON</v>
      </c>
      <c r="K188" s="105" t="s">
        <v>171</v>
      </c>
      <c r="L188" s="105" t="str">
        <f t="shared" si="145"/>
        <v>2b</v>
      </c>
      <c r="M188" s="185" t="str" cm="1">
        <f t="array" aca="1" ref="M188" ca="1">_xll.QIns_CreateAsianSwap("AsiSwap_Fwd_"&amp;ROW(),IF(C188="",D188:E188,C188),B188,H188,0,G188,J188,H188,K188,L188,,I188,IF(H188="USD","None","ATC"))</f>
        <v>AsiSwap_Fwd_188¬5</v>
      </c>
      <c r="N188" s="14" cm="1">
        <f t="array" aca="1" ref="N188" ca="1">_xll.QIns_ProductParRate(M188,AModel)</f>
        <v>8243.4571428571435</v>
      </c>
      <c r="O188" s="185" t="str" cm="1">
        <f t="array" aca="1" ref="O188" ca="1">_xll.QIns_CreateAsianSwap("AsiSwap_"&amp;ROW(),IF(C188="",D188:E188,C188),B188,H188,F188,G188,J188,H188,K188,L188,,I188,IF(H188="USD","None","ATC"))</f>
        <v>AsiSwap_188¬1</v>
      </c>
      <c r="P188" s="21" cm="1">
        <f t="array" aca="1" ref="P188" ca="1">_xll.QIns_ProductPV(O188,AModel,H188)</f>
        <v>66936.968195497961</v>
      </c>
      <c r="Q188" s="185" t="str" cm="1">
        <f t="array" aca="1" ref="Q188" ca="1">IF(VLOOKUP(B188,AssetStatic,4,FALSE),_xll.QRisk_PortfolioFxDeltaSpecific("asiOpt_DeltaA"&amp;ROW(),O188,AModel,B188,"ZAR",FALSE),_xll.QRisk_PortfolioDelta("asiOpt_DeltaA"&amp;ROW(),O188,AModel,FALSE))</f>
        <v>asiOpt_DeltaA188¬0</v>
      </c>
      <c r="R188" s="21" cm="1">
        <f t="array" aca="1" ref="R188" ca="1">_xll.QCube_SumAllRows(Q188)</f>
        <v>1000.0000461123248</v>
      </c>
      <c r="S188" s="93" cm="1">
        <f t="array" aca="1" ref="S188" ca="1">_xll.QIns_QuickPFE(O188,AModel,0.95,"ZAR")</f>
        <v>2880213.4906904213</v>
      </c>
    </row>
    <row r="189" spans="1:23" s="185" customFormat="1" x14ac:dyDescent="0.25">
      <c r="A189" s="6"/>
      <c r="B189" s="6" t="s">
        <v>108</v>
      </c>
      <c r="C189" s="155"/>
      <c r="D189" s="102">
        <f ca="1">_xll.QDates_ThirdWednesday(C165)</f>
        <v>44489</v>
      </c>
      <c r="E189" s="188">
        <f t="shared" ca="1" si="141"/>
        <v>44489</v>
      </c>
      <c r="F189" s="103">
        <f t="shared" ca="1" si="142"/>
        <v>8166.5</v>
      </c>
      <c r="G189" s="103">
        <v>1000</v>
      </c>
      <c r="H189" s="6" t="s">
        <v>21</v>
      </c>
      <c r="I189" s="104" t="str">
        <f t="shared" si="143"/>
        <v>USD.LIBOR.3M</v>
      </c>
      <c r="J189" s="104" t="str">
        <f t="shared" si="144"/>
        <v>LON</v>
      </c>
      <c r="K189" s="105" t="s">
        <v>171</v>
      </c>
      <c r="L189" s="105" t="str">
        <f t="shared" si="145"/>
        <v>2b</v>
      </c>
      <c r="M189" s="185" t="str" cm="1">
        <f t="array" aca="1" ref="M189" ca="1">_xll.QIns_CreateAsianSwap("AsiSwap_Fwd_"&amp;ROW(),IF(C189="",D189:E189,C189),B189,H189,0,G189,J189,H189,K189,L189,,I189,IF(H189="USD","None","ATC"))</f>
        <v>AsiSwap_Fwd_189¬5</v>
      </c>
      <c r="N189" s="14" cm="1">
        <f t="array" aca="1" ref="N189" ca="1">_xll.QIns_ProductParRate(M189,AModel)</f>
        <v>8233.5</v>
      </c>
      <c r="O189" s="185" t="str" cm="1">
        <f t="array" aca="1" ref="O189" ca="1">_xll.QIns_CreateAsianSwap("AsiSwap_"&amp;ROW(),IF(C189="",D189:E189,C189),B189,H189,F189,G189,J189,H189,K189,L189,,I189,IF(H189="USD","None","ATC"))</f>
        <v>AsiSwap_189¬1</v>
      </c>
      <c r="P189" s="21" cm="1">
        <f t="array" aca="1" ref="P189" ca="1">_xll.QIns_ProductPV(O189,AModel,H189)</f>
        <v>66926.070460146017</v>
      </c>
      <c r="Q189" s="185" t="str" cm="1">
        <f t="array" aca="1" ref="Q189" ca="1">IF(VLOOKUP(B189,AssetStatic,4,FALSE),_xll.QRisk_PortfolioFxDeltaSpecific("asiOpt_DeltaA"&amp;ROW(),O189,AModel,B189,"ZAR",FALSE),_xll.QRisk_PortfolioDelta("asiOpt_DeltaA"&amp;ROW(),O189,AModel,FALSE))</f>
        <v>asiOpt_DeltaA189¬0</v>
      </c>
      <c r="R189" s="21" cm="1">
        <f t="array" aca="1" ref="R189" ca="1">_xll.QCube_SumAllRows(Q189)</f>
        <v>1000.0000693478743</v>
      </c>
      <c r="S189" s="93" cm="1">
        <f t="array" aca="1" ref="S189" ca="1">_xll.QIns_QuickPFE(O189,AModel,0.95,"ZAR")</f>
        <v>3122891.0641826843</v>
      </c>
    </row>
    <row r="190" spans="1:23" s="185" customFormat="1" x14ac:dyDescent="0.25">
      <c r="A190" s="6"/>
      <c r="B190" s="6" t="s">
        <v>108</v>
      </c>
      <c r="C190" s="155"/>
      <c r="D190" s="102">
        <f ca="1">_xll.QDates_ThirdWednesday(C166)</f>
        <v>44517</v>
      </c>
      <c r="E190" s="188">
        <f t="shared" ca="1" si="141"/>
        <v>44517</v>
      </c>
      <c r="F190" s="103">
        <f t="shared" ca="1" si="142"/>
        <v>8152.4285714285706</v>
      </c>
      <c r="G190" s="103">
        <v>1000</v>
      </c>
      <c r="H190" s="6" t="s">
        <v>21</v>
      </c>
      <c r="I190" s="104" t="str">
        <f t="shared" ref="I190:I200" si="146">IF(H190="USD","USD.LIBOR.3M",H190&amp;".DISC.[USD.LIBOR.3M]")</f>
        <v>USD.LIBOR.3M</v>
      </c>
      <c r="J190" s="104" t="str">
        <f t="shared" ref="J190:J200" si="147">VLOOKUP(B190,AssetStatic,3,FALSE)</f>
        <v>LON</v>
      </c>
      <c r="K190" s="105" t="s">
        <v>171</v>
      </c>
      <c r="L190" s="105" t="str">
        <f t="shared" ref="L190:L200" si="148">VLOOKUP(B190,AssetStatic,2,FALSE)</f>
        <v>2b</v>
      </c>
      <c r="M190" s="185" t="str" cm="1">
        <f t="array" aca="1" ref="M190" ca="1">_xll.QIns_CreateAsianSwap("AsiSwap_Fwd_"&amp;ROW(),IF(C190="",D190:E190,C190),B190,H190,0,G190,J190,H190,K190,L190,,I190,IF(H190="USD","None","ATC"))</f>
        <v>AsiSwap_Fwd_190¬5</v>
      </c>
      <c r="N190" s="14" cm="1">
        <f t="array" aca="1" ref="N190" ca="1">_xll.QIns_ProductParRate(M190,AModel)</f>
        <v>8219.4285714285706</v>
      </c>
      <c r="O190" s="185" t="str" cm="1">
        <f t="array" aca="1" ref="O190" ca="1">_xll.QIns_CreateAsianSwap("AsiSwap_"&amp;ROW(),IF(C190="",D190:E190,C190),B190,H190,F190,G190,J190,H190,K190,L190,,I190,IF(H190="USD","None","ATC"))</f>
        <v>AsiSwap_190¬1</v>
      </c>
      <c r="P190" s="21" cm="1">
        <f t="array" aca="1" ref="P190" ca="1">_xll.QIns_ProductPV(O190,AModel,H190)</f>
        <v>66917.197494857144</v>
      </c>
      <c r="Q190" s="185" t="str" cm="1">
        <f t="array" aca="1" ref="Q190" ca="1">IF(VLOOKUP(B190,AssetStatic,4,FALSE),_xll.QRisk_PortfolioFxDeltaSpecific("asiOpt_DeltaA"&amp;ROW(),O190,AModel,B190,"ZAR",FALSE),_xll.QRisk_PortfolioDelta("asiOpt_DeltaA"&amp;ROW(),O190,AModel,FALSE))</f>
        <v>asiOpt_DeltaA190¬0</v>
      </c>
      <c r="R190" s="21" cm="1">
        <f t="array" aca="1" ref="R190" ca="1">_xll.QCube_SumAllRows(Q190)</f>
        <v>1000.0000695495177</v>
      </c>
      <c r="S190" s="93" cm="1">
        <f t="array" aca="1" ref="S190" ca="1">_xll.QIns_QuickPFE(O190,AModel,0.95,"ZAR")</f>
        <v>3305912.3028628984</v>
      </c>
    </row>
    <row r="191" spans="1:23" s="185" customFormat="1" x14ac:dyDescent="0.25">
      <c r="A191" s="6"/>
      <c r="B191" s="6" t="s">
        <v>108</v>
      </c>
      <c r="C191" s="155"/>
      <c r="D191" s="102">
        <f ca="1">_xll.QDates_ThirdWednesday(C167)</f>
        <v>44545</v>
      </c>
      <c r="E191" s="188">
        <f t="shared" ca="1" si="141"/>
        <v>44545</v>
      </c>
      <c r="F191" s="103">
        <f t="shared" ca="1" si="142"/>
        <v>8137.7571428571428</v>
      </c>
      <c r="G191" s="103">
        <v>1000</v>
      </c>
      <c r="H191" s="6" t="s">
        <v>21</v>
      </c>
      <c r="I191" s="104" t="str">
        <f t="shared" si="146"/>
        <v>USD.LIBOR.3M</v>
      </c>
      <c r="J191" s="104" t="str">
        <f t="shared" si="147"/>
        <v>LON</v>
      </c>
      <c r="K191" s="105" t="s">
        <v>171</v>
      </c>
      <c r="L191" s="105" t="str">
        <f t="shared" si="148"/>
        <v>2b</v>
      </c>
      <c r="M191" s="185" t="str" cm="1">
        <f t="array" aca="1" ref="M191" ca="1">_xll.QIns_CreateAsianSwap("AsiSwap_Fwd_"&amp;ROW(),IF(C191="",D191:E191,C191),B191,H191,0,G191,J191,H191,K191,L191,,I191,IF(H191="USD","None","ATC"))</f>
        <v>AsiSwap_Fwd_191¬5</v>
      </c>
      <c r="N191" s="14" cm="1">
        <f t="array" aca="1" ref="N191" ca="1">_xll.QIns_ProductParRate(M191,AModel)</f>
        <v>8204.7571428571428</v>
      </c>
      <c r="O191" s="185" t="str" cm="1">
        <f t="array" aca="1" ref="O191" ca="1">_xll.QIns_CreateAsianSwap("AsiSwap_"&amp;ROW(),IF(C191="",D191:E191,C191),B191,H191,F191,G191,J191,H191,K191,L191,,I191,IF(H191="USD","None","ATC"))</f>
        <v>AsiSwap_191¬1</v>
      </c>
      <c r="P191" s="21" cm="1">
        <f t="array" aca="1" ref="P191" ca="1">_xll.QIns_ProductPV(O191,AModel,H191)</f>
        <v>66908.096208485091</v>
      </c>
      <c r="Q191" s="185" t="str" cm="1">
        <f t="array" aca="1" ref="Q191" ca="1">IF(VLOOKUP(B191,AssetStatic,4,FALSE),_xll.QRisk_PortfolioFxDeltaSpecific("asiOpt_DeltaA"&amp;ROW(),O191,AModel,B191,"ZAR",FALSE),_xll.QRisk_PortfolioDelta("asiOpt_DeltaA"&amp;ROW(),O191,AModel,FALSE))</f>
        <v>asiOpt_DeltaA191¬0</v>
      </c>
      <c r="R191" s="21" cm="1">
        <f t="array" aca="1" ref="R191" ca="1">_xll.QCube_SumAllRows(Q191)</f>
        <v>1000.0002332572257</v>
      </c>
      <c r="S191" s="93" cm="1">
        <f t="array" aca="1" ref="S191" ca="1">_xll.QIns_QuickPFE(O191,AModel,0.95,"ZAR")</f>
        <v>3429471.0128638037</v>
      </c>
    </row>
    <row r="192" spans="1:23" s="185" customFormat="1" x14ac:dyDescent="0.25">
      <c r="A192" s="6"/>
      <c r="B192" s="6" t="s">
        <v>108</v>
      </c>
      <c r="C192" s="155"/>
      <c r="D192" s="102">
        <f ca="1">_xll.QDates_ThirdWednesday(C168)</f>
        <v>44580</v>
      </c>
      <c r="E192" s="188">
        <f t="shared" ca="1" si="141"/>
        <v>44580</v>
      </c>
      <c r="F192" s="103">
        <f t="shared" ca="1" si="142"/>
        <v>8124.4285714285716</v>
      </c>
      <c r="G192" s="103">
        <v>1000</v>
      </c>
      <c r="H192" s="6" t="s">
        <v>21</v>
      </c>
      <c r="I192" s="104" t="str">
        <f t="shared" si="146"/>
        <v>USD.LIBOR.3M</v>
      </c>
      <c r="J192" s="104" t="str">
        <f t="shared" si="147"/>
        <v>LON</v>
      </c>
      <c r="K192" s="105" t="s">
        <v>171</v>
      </c>
      <c r="L192" s="105" t="str">
        <f t="shared" si="148"/>
        <v>2b</v>
      </c>
      <c r="M192" s="185" t="str" cm="1">
        <f t="array" aca="1" ref="M192" ca="1">_xll.QIns_CreateAsianSwap("AsiSwap_Fwd_"&amp;ROW(),IF(C192="",D192:E192,C192),B192,H192,0,G192,J192,H192,K192,L192,,I192,IF(H192="USD","None","ATC"))</f>
        <v>AsiSwap_Fwd_192¬5</v>
      </c>
      <c r="N192" s="14" cm="1">
        <f t="array" aca="1" ref="N192" ca="1">_xll.QIns_ProductParRate(M192,AModel)</f>
        <v>8191.4285714285716</v>
      </c>
      <c r="O192" s="185" t="str" cm="1">
        <f t="array" aca="1" ref="O192" ca="1">_xll.QIns_CreateAsianSwap("AsiSwap_"&amp;ROW(),IF(C192="",D192:E192,C192),B192,H192,F192,G192,J192,H192,K192,L192,,I192,IF(H192="USD","None","ATC"))</f>
        <v>AsiSwap_192¬1</v>
      </c>
      <c r="P192" s="21" cm="1">
        <f t="array" aca="1" ref="P192" ca="1">_xll.QIns_ProductPV(O192,AModel,H192)</f>
        <v>66894.86085499273</v>
      </c>
      <c r="Q192" s="185" t="str" cm="1">
        <f t="array" aca="1" ref="Q192" ca="1">IF(VLOOKUP(B192,AssetStatic,4,FALSE),_xll.QRisk_PortfolioFxDeltaSpecific("asiOpt_DeltaA"&amp;ROW(),O192,AModel,B192,"ZAR",FALSE),_xll.QRisk_PortfolioDelta("asiOpt_DeltaA"&amp;ROW(),O192,AModel,FALSE))</f>
        <v>asiOpt_DeltaA192¬0</v>
      </c>
      <c r="R192" s="21" cm="1">
        <f t="array" aca="1" ref="R192" ca="1">_xll.QCube_SumAllRows(Q192)</f>
        <v>1000.0001837585535</v>
      </c>
      <c r="S192" s="93" cm="1">
        <f t="array" aca="1" ref="S192" ca="1">_xll.QIns_QuickPFE(O192,AModel,0.95,"ZAR")</f>
        <v>3514235.5228103963</v>
      </c>
    </row>
    <row r="193" spans="1:19" s="185" customFormat="1" x14ac:dyDescent="0.25">
      <c r="A193" s="6"/>
      <c r="B193" s="6" t="s">
        <v>108</v>
      </c>
      <c r="C193" s="155"/>
      <c r="D193" s="102">
        <f ca="1">_xll.QDates_ThirdWednesday(C169)</f>
        <v>44608</v>
      </c>
      <c r="E193" s="188">
        <f t="shared" ca="1" si="141"/>
        <v>44608</v>
      </c>
      <c r="F193" s="103">
        <f t="shared" ca="1" si="142"/>
        <v>8109.4285714285716</v>
      </c>
      <c r="G193" s="103">
        <v>1000</v>
      </c>
      <c r="H193" s="6" t="s">
        <v>21</v>
      </c>
      <c r="I193" s="104" t="str">
        <f t="shared" si="146"/>
        <v>USD.LIBOR.3M</v>
      </c>
      <c r="J193" s="104" t="str">
        <f t="shared" si="147"/>
        <v>LON</v>
      </c>
      <c r="K193" s="105" t="s">
        <v>171</v>
      </c>
      <c r="L193" s="105" t="str">
        <f t="shared" si="148"/>
        <v>2b</v>
      </c>
      <c r="M193" s="185" t="str" cm="1">
        <f t="array" aca="1" ref="M193" ca="1">_xll.QIns_CreateAsianSwap("AsiSwap_Fwd_"&amp;ROW(),IF(C193="",D193:E193,C193),B193,H193,0,G193,J193,H193,K193,L193,,I193,IF(H193="USD","None","ATC"))</f>
        <v>AsiSwap_Fwd_193¬5</v>
      </c>
      <c r="N193" s="14" cm="1">
        <f t="array" aca="1" ref="N193" ca="1">_xll.QIns_ProductParRate(M193,AModel)</f>
        <v>8176.4285714285716</v>
      </c>
      <c r="O193" s="185" t="str" cm="1">
        <f t="array" aca="1" ref="O193" ca="1">_xll.QIns_CreateAsianSwap("AsiSwap_"&amp;ROW(),IF(C193="",D193:E193,C193),B193,H193,F193,G193,J193,H193,K193,L193,,I193,IF(H193="USD","None","ATC"))</f>
        <v>AsiSwap_193¬1</v>
      </c>
      <c r="P193" s="21" cm="1">
        <f t="array" aca="1" ref="P193" ca="1">_xll.QIns_ProductPV(O193,AModel,H193)</f>
        <v>66883.859393767998</v>
      </c>
      <c r="Q193" s="185" t="str" cm="1">
        <f t="array" aca="1" ref="Q193" ca="1">IF(VLOOKUP(B193,AssetStatic,4,FALSE),_xll.QRisk_PortfolioFxDeltaSpecific("asiOpt_DeltaA"&amp;ROW(),O193,AModel,B193,"ZAR",FALSE),_xll.QRisk_PortfolioDelta("asiOpt_DeltaA"&amp;ROW(),O193,AModel,FALSE))</f>
        <v>asiOpt_DeltaA193¬0</v>
      </c>
      <c r="R193" s="21" cm="1">
        <f t="array" aca="1" ref="R193" ca="1">_xll.QCube_SumAllRows(Q193)</f>
        <v>1000.000098099683</v>
      </c>
      <c r="S193" s="93" cm="1">
        <f t="array" aca="1" ref="S193" ca="1">_xll.QIns_QuickPFE(O193,AModel,0.95,"ZAR")</f>
        <v>3585642.0224468447</v>
      </c>
    </row>
    <row r="194" spans="1:19" s="185" customFormat="1" x14ac:dyDescent="0.25">
      <c r="A194" s="6"/>
      <c r="B194" s="6" t="s">
        <v>108</v>
      </c>
      <c r="C194" s="155"/>
      <c r="D194" s="102">
        <f ca="1">_xll.QDates_ThirdWednesday(C170)</f>
        <v>44636</v>
      </c>
      <c r="E194" s="188">
        <f t="shared" ca="1" si="141"/>
        <v>44636</v>
      </c>
      <c r="F194" s="103">
        <f t="shared" ca="1" si="142"/>
        <v>8094.7428571428572</v>
      </c>
      <c r="G194" s="103">
        <v>1000</v>
      </c>
      <c r="H194" s="6" t="s">
        <v>21</v>
      </c>
      <c r="I194" s="104" t="str">
        <f t="shared" si="146"/>
        <v>USD.LIBOR.3M</v>
      </c>
      <c r="J194" s="104" t="str">
        <f t="shared" si="147"/>
        <v>LON</v>
      </c>
      <c r="K194" s="105" t="s">
        <v>171</v>
      </c>
      <c r="L194" s="105" t="str">
        <f t="shared" si="148"/>
        <v>2b</v>
      </c>
      <c r="M194" s="185" t="str" cm="1">
        <f t="array" aca="1" ref="M194" ca="1">_xll.QIns_CreateAsianSwap("AsiSwap_Fwd_"&amp;ROW(),IF(C194="",D194:E194,C194),B194,H194,0,G194,J194,H194,K194,L194,,I194,IF(H194="USD","None","ATC"))</f>
        <v>AsiSwap_Fwd_194¬5</v>
      </c>
      <c r="N194" s="14" cm="1">
        <f t="array" aca="1" ref="N194" ca="1">_xll.QIns_ProductParRate(M194,AModel)</f>
        <v>8161.7428571428572</v>
      </c>
      <c r="O194" s="185" t="str" cm="1">
        <f t="array" aca="1" ref="O194" ca="1">_xll.QIns_CreateAsianSwap("AsiSwap_"&amp;ROW(),IF(C194="",D194:E194,C194),B194,H194,F194,G194,J194,H194,K194,L194,,I194,IF(H194="USD","None","ATC"))</f>
        <v>AsiSwap_194¬1</v>
      </c>
      <c r="P194" s="21" cm="1">
        <f t="array" aca="1" ref="P194" ca="1">_xll.QIns_ProductPV(O194,AModel,H194)</f>
        <v>66872.732787354471</v>
      </c>
      <c r="Q194" s="185" t="str" cm="1">
        <f t="array" aca="1" ref="Q194" ca="1">IF(VLOOKUP(B194,AssetStatic,4,FALSE),_xll.QRisk_PortfolioFxDeltaSpecific("asiOpt_DeltaA"&amp;ROW(),O194,AModel,B194,"ZAR",FALSE),_xll.QRisk_PortfolioDelta("asiOpt_DeltaA"&amp;ROW(),O194,AModel,FALSE))</f>
        <v>asiOpt_DeltaA194¬0</v>
      </c>
      <c r="R194" s="21" cm="1">
        <f t="array" aca="1" ref="R194" ca="1">_xll.QCube_SumAllRows(Q194)</f>
        <v>1000.0000340477196</v>
      </c>
      <c r="S194" s="93" cm="1">
        <f t="array" aca="1" ref="S194" ca="1">_xll.QIns_QuickPFE(O194,AModel,0.95,"ZAR")</f>
        <v>3668506.7319068057</v>
      </c>
    </row>
    <row r="195" spans="1:19" s="185" customFormat="1" x14ac:dyDescent="0.25">
      <c r="A195" s="6"/>
      <c r="B195" s="6" t="s">
        <v>108</v>
      </c>
      <c r="C195" s="155"/>
      <c r="D195" s="102">
        <f ca="1">_xll.QDates_ThirdWednesday(C171)</f>
        <v>44671</v>
      </c>
      <c r="E195" s="188">
        <f t="shared" ca="1" si="141"/>
        <v>44671</v>
      </c>
      <c r="F195" s="103">
        <f t="shared" ca="1" si="142"/>
        <v>8081.2857142857147</v>
      </c>
      <c r="G195" s="103">
        <v>1000</v>
      </c>
      <c r="H195" s="6" t="s">
        <v>21</v>
      </c>
      <c r="I195" s="104" t="str">
        <f t="shared" si="146"/>
        <v>USD.LIBOR.3M</v>
      </c>
      <c r="J195" s="104" t="str">
        <f t="shared" si="147"/>
        <v>LON</v>
      </c>
      <c r="K195" s="105" t="s">
        <v>171</v>
      </c>
      <c r="L195" s="105" t="str">
        <f t="shared" si="148"/>
        <v>2b</v>
      </c>
      <c r="M195" s="185" t="str" cm="1">
        <f t="array" aca="1" ref="M195" ca="1">_xll.QIns_CreateAsianSwap("AsiSwap_Fwd_"&amp;ROW(),IF(C195="",D195:E195,C195),B195,H195,0,G195,J195,H195,K195,L195,,I195,IF(H195="USD","None","ATC"))</f>
        <v>AsiSwap_Fwd_195¬5</v>
      </c>
      <c r="N195" s="14" cm="1">
        <f t="array" aca="1" ref="N195" ca="1">_xll.QIns_ProductParRate(M195,AModel)</f>
        <v>8148.2857142857147</v>
      </c>
      <c r="O195" s="185" t="str" cm="1">
        <f t="array" aca="1" ref="O195" ca="1">_xll.QIns_CreateAsianSwap("AsiSwap_"&amp;ROW(),IF(C195="",D195:E195,C195),B195,H195,F195,G195,J195,H195,K195,L195,,I195,IF(H195="USD","None","ATC"))</f>
        <v>AsiSwap_195¬1</v>
      </c>
      <c r="P195" s="21" cm="1">
        <f t="array" aca="1" ref="P195" ca="1">_xll.QIns_ProductPV(O195,AModel,H195)</f>
        <v>66861.096182953246</v>
      </c>
      <c r="Q195" s="185" t="str" cm="1">
        <f t="array" aca="1" ref="Q195" ca="1">IF(VLOOKUP(B195,AssetStatic,4,FALSE),_xll.QRisk_PortfolioFxDeltaSpecific("asiOpt_DeltaA"&amp;ROW(),O195,AModel,B195,"ZAR",FALSE),_xll.QRisk_PortfolioDelta("asiOpt_DeltaA"&amp;ROW(),O195,AModel,FALSE))</f>
        <v>asiOpt_DeltaA195¬0</v>
      </c>
      <c r="R195" s="21" cm="1">
        <f t="array" aca="1" ref="R195" ca="1">_xll.QCube_SumAllRows(Q195)</f>
        <v>1000.0000267458599</v>
      </c>
      <c r="S195" s="93" cm="1">
        <f t="array" aca="1" ref="S195" ca="1">_xll.QIns_QuickPFE(O195,AModel,0.95,"ZAR")</f>
        <v>3756763.0229600957</v>
      </c>
    </row>
    <row r="196" spans="1:19" s="185" customFormat="1" x14ac:dyDescent="0.25">
      <c r="A196" s="6"/>
      <c r="B196" s="6" t="s">
        <v>108</v>
      </c>
      <c r="C196" s="155"/>
      <c r="D196" s="102">
        <f ca="1">_xll.QDates_ThirdWednesday(C172)</f>
        <v>44699</v>
      </c>
      <c r="E196" s="188">
        <f t="shared" ca="1" si="141"/>
        <v>44699</v>
      </c>
      <c r="F196" s="103">
        <f t="shared" ca="1" si="142"/>
        <v>8067.7857142857147</v>
      </c>
      <c r="G196" s="103">
        <v>1000</v>
      </c>
      <c r="H196" s="6" t="s">
        <v>21</v>
      </c>
      <c r="I196" s="104" t="str">
        <f t="shared" si="146"/>
        <v>USD.LIBOR.3M</v>
      </c>
      <c r="J196" s="104" t="str">
        <f t="shared" si="147"/>
        <v>LON</v>
      </c>
      <c r="K196" s="105" t="s">
        <v>171</v>
      </c>
      <c r="L196" s="105" t="str">
        <f t="shared" si="148"/>
        <v>2b</v>
      </c>
      <c r="M196" s="185" t="str" cm="1">
        <f t="array" aca="1" ref="M196" ca="1">_xll.QIns_CreateAsianSwap("AsiSwap_Fwd_"&amp;ROW(),IF(C196="",D196:E196,C196),B196,H196,0,G196,J196,H196,K196,L196,,I196,IF(H196="USD","None","ATC"))</f>
        <v>AsiSwap_Fwd_196¬5</v>
      </c>
      <c r="N196" s="14" cm="1">
        <f t="array" aca="1" ref="N196" ca="1">_xll.QIns_ProductParRate(M196,AModel)</f>
        <v>8134.7857142857147</v>
      </c>
      <c r="O196" s="185" t="str" cm="1">
        <f t="array" aca="1" ref="O196" ca="1">_xll.QIns_CreateAsianSwap("AsiSwap_"&amp;ROW(),IF(C196="",D196:E196,C196),B196,H196,F196,G196,J196,H196,K196,L196,,I196,IF(H196="USD","None","ATC"))</f>
        <v>AsiSwap_196¬1</v>
      </c>
      <c r="P196" s="21" cm="1">
        <f t="array" aca="1" ref="P196" ca="1">_xll.QIns_ProductPV(O196,AModel,H196)</f>
        <v>66851.72901766318</v>
      </c>
      <c r="Q196" s="185" t="str" cm="1">
        <f t="array" aca="1" ref="Q196" ca="1">IF(VLOOKUP(B196,AssetStatic,4,FALSE),_xll.QRisk_PortfolioFxDeltaSpecific("asiOpt_DeltaA"&amp;ROW(),O196,AModel,B196,"ZAR",FALSE),_xll.QRisk_PortfolioDelta("asiOpt_DeltaA"&amp;ROW(),O196,AModel,FALSE))</f>
        <v>asiOpt_DeltaA196¬0</v>
      </c>
      <c r="R196" s="21" cm="1">
        <f t="array" aca="1" ref="R196" ca="1">_xll.QCube_SumAllRows(Q196)</f>
        <v>1000.0000267553189</v>
      </c>
      <c r="S196" s="93" cm="1">
        <f t="array" aca="1" ref="S196" ca="1">_xll.QIns_QuickPFE(O196,AModel,0.95,"ZAR")</f>
        <v>3810492.8552070004</v>
      </c>
    </row>
    <row r="197" spans="1:19" s="185" customFormat="1" x14ac:dyDescent="0.25">
      <c r="A197" s="6"/>
      <c r="B197" s="6" t="s">
        <v>108</v>
      </c>
      <c r="C197" s="155"/>
      <c r="D197" s="102">
        <f ca="1">_xll.QDates_ThirdWednesday(C173)</f>
        <v>44727</v>
      </c>
      <c r="E197" s="188">
        <f t="shared" ca="1" si="141"/>
        <v>44727</v>
      </c>
      <c r="F197" s="103">
        <f t="shared" ca="1" si="142"/>
        <v>8054.4785714285717</v>
      </c>
      <c r="G197" s="103">
        <v>1000</v>
      </c>
      <c r="H197" s="6" t="s">
        <v>21</v>
      </c>
      <c r="I197" s="104" t="str">
        <f t="shared" si="146"/>
        <v>USD.LIBOR.3M</v>
      </c>
      <c r="J197" s="104" t="str">
        <f t="shared" si="147"/>
        <v>LON</v>
      </c>
      <c r="K197" s="105" t="s">
        <v>171</v>
      </c>
      <c r="L197" s="105" t="str">
        <f t="shared" si="148"/>
        <v>2b</v>
      </c>
      <c r="M197" s="185" t="str" cm="1">
        <f t="array" aca="1" ref="M197" ca="1">_xll.QIns_CreateAsianSwap("AsiSwap_Fwd_"&amp;ROW(),IF(C197="",D197:E197,C197),B197,H197,0,G197,J197,H197,K197,L197,,I197,IF(H197="USD","None","ATC"))</f>
        <v>AsiSwap_Fwd_197¬5</v>
      </c>
      <c r="N197" s="14" cm="1">
        <f t="array" aca="1" ref="N197" ca="1">_xll.QIns_ProductParRate(M197,AModel)</f>
        <v>8121.4785714285717</v>
      </c>
      <c r="O197" s="185" t="str" cm="1">
        <f t="array" aca="1" ref="O197" ca="1">_xll.QIns_CreateAsianSwap("AsiSwap_"&amp;ROW(),IF(C197="",D197:E197,C197),B197,H197,F197,G197,J197,H197,K197,L197,,I197,IF(H197="USD","None","ATC"))</f>
        <v>AsiSwap_197¬1</v>
      </c>
      <c r="P197" s="21" cm="1">
        <f t="array" aca="1" ref="P197" ca="1">_xll.QIns_ProductPV(O197,AModel,H197)</f>
        <v>66842.28394408476</v>
      </c>
      <c r="Q197" s="185" t="str" cm="1">
        <f t="array" aca="1" ref="Q197" ca="1">IF(VLOOKUP(B197,AssetStatic,4,FALSE),_xll.QRisk_PortfolioFxDeltaSpecific("asiOpt_DeltaA"&amp;ROW(),O197,AModel,B197,"ZAR",FALSE),_xll.QRisk_PortfolioDelta("asiOpt_DeltaA"&amp;ROW(),O197,AModel,FALSE))</f>
        <v>asiOpt_DeltaA197¬0</v>
      </c>
      <c r="R197" s="21" cm="1">
        <f t="array" aca="1" ref="R197" ca="1">_xll.QCube_SumAllRows(Q197)</f>
        <v>1000.0004594048422</v>
      </c>
      <c r="S197" s="93" cm="1">
        <f t="array" aca="1" ref="S197" ca="1">_xll.QIns_QuickPFE(O197,AModel,0.95,"ZAR")</f>
        <v>3885232.1842589625</v>
      </c>
    </row>
    <row r="198" spans="1:19" s="185" customFormat="1" x14ac:dyDescent="0.25">
      <c r="A198" s="6"/>
      <c r="B198" s="6" t="s">
        <v>108</v>
      </c>
      <c r="C198" s="155"/>
      <c r="D198" s="102">
        <f ca="1">_xll.QDates_ThirdWednesday(C174)</f>
        <v>44762</v>
      </c>
      <c r="E198" s="188">
        <f t="shared" ca="1" si="141"/>
        <v>44762</v>
      </c>
      <c r="F198" s="103">
        <f t="shared" ca="1" si="142"/>
        <v>8040.7857142857147</v>
      </c>
      <c r="G198" s="103">
        <v>1000</v>
      </c>
      <c r="H198" s="6" t="s">
        <v>21</v>
      </c>
      <c r="I198" s="104" t="str">
        <f t="shared" si="146"/>
        <v>USD.LIBOR.3M</v>
      </c>
      <c r="J198" s="104" t="str">
        <f t="shared" si="147"/>
        <v>LON</v>
      </c>
      <c r="K198" s="105" t="s">
        <v>171</v>
      </c>
      <c r="L198" s="105" t="str">
        <f t="shared" si="148"/>
        <v>2b</v>
      </c>
      <c r="M198" s="185" t="str" cm="1">
        <f t="array" aca="1" ref="M198" ca="1">_xll.QIns_CreateAsianSwap("AsiSwap_Fwd_"&amp;ROW(),IF(C198="",D198:E198,C198),B198,H198,0,G198,J198,H198,K198,L198,,I198,IF(H198="USD","None","ATC"))</f>
        <v>AsiSwap_Fwd_198¬5</v>
      </c>
      <c r="N198" s="14" cm="1">
        <f t="array" aca="1" ref="N198" ca="1">_xll.QIns_ProductParRate(M198,AModel)</f>
        <v>8107.7857142857147</v>
      </c>
      <c r="O198" s="185" t="str" cm="1">
        <f t="array" aca="1" ref="O198" ca="1">_xll.QIns_CreateAsianSwap("AsiSwap_"&amp;ROW(),IF(C198="",D198:E198,C198),B198,H198,F198,G198,J198,H198,K198,L198,,I198,IF(H198="USD","None","ATC"))</f>
        <v>AsiSwap_198¬1</v>
      </c>
      <c r="P198" s="21" cm="1">
        <f t="array" aca="1" ref="P198" ca="1">_xll.QIns_ProductPV(O198,AModel,H198)</f>
        <v>66829.443793370578</v>
      </c>
      <c r="Q198" s="185" t="str" cm="1">
        <f t="array" aca="1" ref="Q198" ca="1">IF(VLOOKUP(B198,AssetStatic,4,FALSE),_xll.QRisk_PortfolioFxDeltaSpecific("asiOpt_DeltaA"&amp;ROW(),O198,AModel,B198,"ZAR",FALSE),_xll.QRisk_PortfolioDelta("asiOpt_DeltaA"&amp;ROW(),O198,AModel,FALSE))</f>
        <v>asiOpt_DeltaA198¬0</v>
      </c>
      <c r="R198" s="21" cm="1">
        <f t="array" aca="1" ref="R198" ca="1">_xll.QCube_SumAllRows(Q198)</f>
        <v>1000.0000688602564</v>
      </c>
      <c r="S198" s="93" cm="1">
        <f t="array" aca="1" ref="S198" ca="1">_xll.QIns_QuickPFE(O198,AModel,0.95,"ZAR")</f>
        <v>3988164.8970811958</v>
      </c>
    </row>
    <row r="199" spans="1:19" s="185" customFormat="1" x14ac:dyDescent="0.25">
      <c r="A199" s="6"/>
      <c r="B199" s="6" t="s">
        <v>108</v>
      </c>
      <c r="C199" s="155"/>
      <c r="D199" s="102">
        <f ca="1">_xll.QDates_ThirdWednesday(C175)</f>
        <v>44790</v>
      </c>
      <c r="E199" s="188">
        <f t="shared" ca="1" si="141"/>
        <v>44790</v>
      </c>
      <c r="F199" s="103">
        <f t="shared" ca="1" si="142"/>
        <v>8027.4785714285717</v>
      </c>
      <c r="G199" s="103">
        <v>1000</v>
      </c>
      <c r="H199" s="6" t="s">
        <v>21</v>
      </c>
      <c r="I199" s="104" t="str">
        <f t="shared" si="146"/>
        <v>USD.LIBOR.3M</v>
      </c>
      <c r="J199" s="104" t="str">
        <f t="shared" si="147"/>
        <v>LON</v>
      </c>
      <c r="K199" s="105" t="s">
        <v>171</v>
      </c>
      <c r="L199" s="105" t="str">
        <f t="shared" si="148"/>
        <v>2b</v>
      </c>
      <c r="M199" s="185" t="str" cm="1">
        <f t="array" aca="1" ref="M199" ca="1">_xll.QIns_CreateAsianSwap("AsiSwap_Fwd_"&amp;ROW(),IF(C199="",D199:E199,C199),B199,H199,0,G199,J199,H199,K199,L199,,I199,IF(H199="USD","None","ATC"))</f>
        <v>AsiSwap_Fwd_199¬5</v>
      </c>
      <c r="N199" s="14" cm="1">
        <f t="array" aca="1" ref="N199" ca="1">_xll.QIns_ProductParRate(M199,AModel)</f>
        <v>8094.4785714285717</v>
      </c>
      <c r="O199" s="185" t="str" cm="1">
        <f t="array" aca="1" ref="O199" ca="1">_xll.QIns_CreateAsianSwap("AsiSwap_"&amp;ROW(),IF(C199="",D199:E199,C199),B199,H199,F199,G199,J199,H199,K199,L199,,I199,IF(H199="USD","None","ATC"))</f>
        <v>AsiSwap_199¬1</v>
      </c>
      <c r="P199" s="21" cm="1">
        <f t="array" aca="1" ref="P199" ca="1">_xll.QIns_ProductPV(O199,AModel,H199)</f>
        <v>66819.019031295655</v>
      </c>
      <c r="Q199" s="185" t="str" cm="1">
        <f t="array" aca="1" ref="Q199" ca="1">IF(VLOOKUP(B199,AssetStatic,4,FALSE),_xll.QRisk_PortfolioFxDeltaSpecific("asiOpt_DeltaA"&amp;ROW(),O199,AModel,B199,"ZAR",FALSE),_xll.QRisk_PortfolioDelta("asiOpt_DeltaA"&amp;ROW(),O199,AModel,FALSE))</f>
        <v>asiOpt_DeltaA199¬0</v>
      </c>
      <c r="R199" s="21" cm="1">
        <f t="array" aca="1" ref="R199" ca="1">_xll.QCube_SumAllRows(Q199)</f>
        <v>1000.000215270705</v>
      </c>
      <c r="S199" s="93" cm="1">
        <f t="array" aca="1" ref="S199" ca="1">_xll.QIns_QuickPFE(O199,AModel,0.95,"ZAR")</f>
        <v>4055771.0072556403</v>
      </c>
    </row>
    <row r="200" spans="1:19" s="185" customFormat="1" x14ac:dyDescent="0.25">
      <c r="A200" s="6"/>
      <c r="B200" s="6" t="s">
        <v>108</v>
      </c>
      <c r="C200" s="155"/>
      <c r="D200" s="102">
        <f ca="1">_xll.QDates_ThirdWednesday(C176)</f>
        <v>44825</v>
      </c>
      <c r="E200" s="188">
        <f t="shared" ca="1" si="141"/>
        <v>44825</v>
      </c>
      <c r="F200" s="103">
        <f t="shared" ca="1" si="142"/>
        <v>8013.7857142857147</v>
      </c>
      <c r="G200" s="103">
        <v>1000</v>
      </c>
      <c r="H200" s="6" t="s">
        <v>21</v>
      </c>
      <c r="I200" s="104" t="str">
        <f t="shared" si="146"/>
        <v>USD.LIBOR.3M</v>
      </c>
      <c r="J200" s="104" t="str">
        <f t="shared" si="147"/>
        <v>LON</v>
      </c>
      <c r="K200" s="105" t="s">
        <v>171</v>
      </c>
      <c r="L200" s="105" t="str">
        <f t="shared" si="148"/>
        <v>2b</v>
      </c>
      <c r="M200" s="185" t="str" cm="1">
        <f t="array" aca="1" ref="M200" ca="1">_xll.QIns_CreateAsianSwap("AsiSwap_Fwd_"&amp;ROW(),IF(C200="",D200:E200,C200),B200,H200,0,G200,J200,H200,K200,L200,,I200,IF(H200="USD","None","ATC"))</f>
        <v>AsiSwap_Fwd_200¬5</v>
      </c>
      <c r="N200" s="14" cm="1">
        <f t="array" aca="1" ref="N200" ca="1">_xll.QIns_ProductParRate(M200,AModel)</f>
        <v>8080.7857142857147</v>
      </c>
      <c r="O200" s="185" t="str" cm="1">
        <f t="array" aca="1" ref="O200" ca="1">_xll.QIns_CreateAsianSwap("AsiSwap_"&amp;ROW(),IF(C200="",D200:E200,C200),B200,H200,F200,G200,J200,H200,K200,L200,,I200,IF(H200="USD","None","ATC"))</f>
        <v>AsiSwap_200¬1</v>
      </c>
      <c r="P200" s="21" cm="1">
        <f t="array" aca="1" ref="P200" ca="1">_xll.QIns_ProductPV(O200,AModel,H200)</f>
        <v>66805.597494339279</v>
      </c>
      <c r="Q200" s="185" t="str" cm="1">
        <f t="array" aca="1" ref="Q200" ca="1">IF(VLOOKUP(B200,AssetStatic,4,FALSE),_xll.QRisk_PortfolioFxDeltaSpecific("asiOpt_DeltaA"&amp;ROW(),O200,AModel,B200,"ZAR",FALSE),_xll.QRisk_PortfolioDelta("asiOpt_DeltaA"&amp;ROW(),O200,AModel,FALSE))</f>
        <v>asiOpt_DeltaA200¬0</v>
      </c>
      <c r="R200" s="21" cm="1">
        <f t="array" aca="1" ref="R200" ca="1">_xll.QCube_SumAllRows(Q200)</f>
        <v>1000.0001020489032</v>
      </c>
      <c r="S200" s="93" cm="1">
        <f t="array" aca="1" ref="S200" ca="1">_xll.QIns_QuickPFE(O200,AModel,0.95,"ZAR")</f>
        <v>4148532.9783532917</v>
      </c>
    </row>
    <row r="201" spans="1:19" s="185" customFormat="1" x14ac:dyDescent="0.25">
      <c r="A201" s="6"/>
      <c r="B201" s="6" t="s">
        <v>108</v>
      </c>
      <c r="C201" s="155"/>
      <c r="D201" s="102">
        <f ca="1">_xll.QDates_ThirdWednesday(C177)</f>
        <v>44853</v>
      </c>
      <c r="E201" s="188">
        <f t="shared" ca="1" si="141"/>
        <v>44853</v>
      </c>
      <c r="F201" s="103">
        <f t="shared" ref="F201" ca="1" si="149">N201-$F$153</f>
        <v>8000.2678571428569</v>
      </c>
      <c r="G201" s="103">
        <v>1000</v>
      </c>
      <c r="H201" s="6" t="s">
        <v>21</v>
      </c>
      <c r="I201" s="104" t="str">
        <f t="shared" ref="I201" si="150">IF(H201="USD","USD.LIBOR.3M",H201&amp;".DISC.[USD.LIBOR.3M]")</f>
        <v>USD.LIBOR.3M</v>
      </c>
      <c r="J201" s="104" t="str">
        <f t="shared" ref="J201" si="151">VLOOKUP(B201,AssetStatic,3,FALSE)</f>
        <v>LON</v>
      </c>
      <c r="K201" s="105" t="s">
        <v>171</v>
      </c>
      <c r="L201" s="105" t="str">
        <f t="shared" ref="L201" si="152">VLOOKUP(B201,AssetStatic,2,FALSE)</f>
        <v>2b</v>
      </c>
      <c r="M201" s="185" t="str" cm="1">
        <f t="array" aca="1" ref="M201" ca="1">_xll.QIns_CreateAsianSwap("AsiSwap_Fwd_"&amp;ROW(),IF(C201="",D201:E201,C201),B201,H201,0,G201,J201,H201,K201,L201,,I201,IF(H201="USD","None","ATC"))</f>
        <v>AsiSwap_Fwd_201¬5</v>
      </c>
      <c r="N201" s="14" cm="1">
        <f t="array" aca="1" ref="N201" ca="1">_xll.QIns_ProductParRate(M201,AModel)</f>
        <v>8067.2678571428569</v>
      </c>
      <c r="O201" s="185" t="str" cm="1">
        <f t="array" aca="1" ref="O201" ca="1">_xll.QIns_CreateAsianSwap("AsiSwap_"&amp;ROW(),IF(C201="",D201:E201,C201),B201,H201,F201,G201,J201,H201,K201,L201,,I201,IF(H201="USD","None","ATC"))</f>
        <v>AsiSwap_201¬1</v>
      </c>
      <c r="P201" s="21" cm="1">
        <f t="array" aca="1" ref="P201" ca="1">_xll.QIns_ProductPV(O201,AModel,H201)</f>
        <v>66794.125486481425</v>
      </c>
      <c r="Q201" s="185" t="str" cm="1">
        <f t="array" aca="1" ref="Q201" ca="1">IF(VLOOKUP(B201,AssetStatic,4,FALSE),_xll.QRisk_PortfolioFxDeltaSpecific("asiOpt_DeltaA"&amp;ROW(),O201,AModel,B201,"ZAR",FALSE),_xll.QRisk_PortfolioDelta("asiOpt_DeltaA"&amp;ROW(),O201,AModel,FALSE))</f>
        <v>asiOpt_DeltaA201¬0</v>
      </c>
      <c r="R201" s="21" cm="1">
        <f t="array" aca="1" ref="R201" ca="1">_xll.QCube_SumAllRows(Q201)</f>
        <v>1000.000102264019</v>
      </c>
      <c r="S201" s="93" cm="1">
        <f t="array" aca="1" ref="S201" ca="1">_xll.QIns_QuickPFE(O201,AModel,0.95,"ZAR")</f>
        <v>4221094.6712151524</v>
      </c>
    </row>
    <row r="202" spans="1:19" x14ac:dyDescent="0.25">
      <c r="A202" s="6"/>
      <c r="B202" s="6"/>
      <c r="C202" s="102"/>
      <c r="D202" s="102"/>
      <c r="E202" s="102"/>
      <c r="F202" s="103"/>
      <c r="G202" s="103"/>
      <c r="H202" s="6"/>
      <c r="I202" s="104"/>
      <c r="J202" s="104"/>
      <c r="K202" s="104"/>
      <c r="L202" s="104"/>
    </row>
    <row r="203" spans="1:19" x14ac:dyDescent="0.25">
      <c r="A203" s="6"/>
      <c r="B203" s="6" t="s">
        <v>108</v>
      </c>
      <c r="C203" s="102"/>
      <c r="D203" s="102">
        <v>44078</v>
      </c>
      <c r="E203" s="102">
        <v>44078</v>
      </c>
      <c r="F203" s="103">
        <v>112340</v>
      </c>
      <c r="G203" s="103">
        <v>14</v>
      </c>
      <c r="H203" s="6" t="s">
        <v>1</v>
      </c>
      <c r="I203" s="104" t="str">
        <f t="shared" ref="I203:I204" si="153">IF(H203="USD","USD.LIBOR.3M",H203&amp;".DISC.[USD.LIBOR.3M]")</f>
        <v>ZAR.DISC.[USD.LIBOR.3M]</v>
      </c>
      <c r="J203" s="104" t="str">
        <f t="shared" ref="J203:J204" si="154">VLOOKUP(B203,AssetStatic,3,FALSE)</f>
        <v>LON</v>
      </c>
      <c r="K203" s="105" t="s">
        <v>171</v>
      </c>
      <c r="L203" s="105" t="str">
        <f t="shared" ref="L203:L204" si="155">VLOOKUP(B203,AssetStatic,2,FALSE)</f>
        <v>2b</v>
      </c>
      <c r="M203" t="str" cm="1">
        <f t="array" aca="1" ref="M203" ca="1">_xll.QIns_CreateAsianSwap("AsiSwap_Fwd_"&amp;ROW(),IF(C203="",D203:E203,C203),B203,H203,0,G203,J203,H203,K203,L203,,I203,IF(H203="USD","None","ATC"))</f>
        <v>AsiSwap_Fwd_203¬5</v>
      </c>
      <c r="N203" s="14" cm="1">
        <f t="array" aca="1" ref="N203" ca="1">_xll.QIns_ProductParRate(M203,AModel)</f>
        <v>1000000</v>
      </c>
      <c r="O203" t="str" cm="1">
        <f t="array" aca="1" ref="O203" ca="1">_xll.QIns_CreateAsianSwap("AsiSwap_"&amp;ROW(),IF(C203="",D203:E203,C203),B203,H203,F203,G203,J203,H203,K203,L203,,I203,IF(H203="USD","None","ATC"))</f>
        <v>AsiSwap_203¬5</v>
      </c>
      <c r="P203" s="21" cm="1">
        <f t="array" aca="1" ref="P203" ca="1">_xll.QIns_ProductPV(O203,AModel,H203)</f>
        <v>0</v>
      </c>
      <c r="Q203" t="str" cm="1">
        <f t="array" aca="1" ref="Q203" ca="1">IF(VLOOKUP(B203,AssetStatic,4,FALSE),_xll.QRisk_PortfolioFxDeltaSpecific("asiOpt_DeltaA"&amp;ROW(),O203,AModel,B203,"ZAR",FALSE),_xll.QRisk_PortfolioDelta("asiOpt_DeltaA"&amp;ROW(),O203,AModel,FALSE))</f>
        <v>asiOpt_DeltaA203¬5</v>
      </c>
      <c r="R203" s="21" cm="1">
        <f t="array" aca="1" ref="R203" ca="1">_xll.QCube_SumAllRows(Q203)</f>
        <v>0</v>
      </c>
      <c r="S203" s="93" cm="1">
        <f t="array" aca="1" ref="S203" ca="1">_xll.QIns_QuickPFE(O203,AModel,0.95,"ZAR")</f>
        <v>0</v>
      </c>
    </row>
    <row r="204" spans="1:19" x14ac:dyDescent="0.25">
      <c r="A204" s="6"/>
      <c r="B204" s="6" t="s">
        <v>108</v>
      </c>
      <c r="C204" s="102"/>
      <c r="D204" s="102">
        <v>44109</v>
      </c>
      <c r="E204" s="102">
        <v>44109</v>
      </c>
      <c r="F204" s="103">
        <v>113500</v>
      </c>
      <c r="G204" s="103">
        <v>-14</v>
      </c>
      <c r="H204" s="6" t="s">
        <v>1</v>
      </c>
      <c r="I204" s="104" t="str">
        <f t="shared" si="153"/>
        <v>ZAR.DISC.[USD.LIBOR.3M]</v>
      </c>
      <c r="J204" s="104" t="str">
        <f t="shared" si="154"/>
        <v>LON</v>
      </c>
      <c r="K204" s="105" t="s">
        <v>171</v>
      </c>
      <c r="L204" s="105" t="str">
        <f t="shared" si="155"/>
        <v>2b</v>
      </c>
      <c r="M204" t="str" cm="1">
        <f t="array" aca="1" ref="M204" ca="1">_xll.QIns_CreateAsianSwap("AsiSwap_Fwd_"&amp;ROW(),IF(C204="",D204:E204,C204),B204,H204,0,G204,J204,H204,K204,L204,,I204,IF(H204="USD","None","ATC"))</f>
        <v>AsiSwap_Fwd_204¬5</v>
      </c>
      <c r="N204" s="14" cm="1">
        <f t="array" aca="1" ref="N204" ca="1">_xll.QIns_ProductParRate(M204,AModel)</f>
        <v>1000000</v>
      </c>
      <c r="O204" t="str" cm="1">
        <f t="array" aca="1" ref="O204" ca="1">_xll.QIns_CreateAsianSwap("AsiSwap_"&amp;ROW(),IF(C204="",D204:E204,C204),B204,H204,F204,G204,J204,H204,K204,L204,,I204,IF(H204="USD","None","ATC"))</f>
        <v>AsiSwap_204¬5</v>
      </c>
      <c r="P204" s="21" cm="1">
        <f t="array" aca="1" ref="P204" ca="1">_xll.QIns_ProductPV(O204,AModel,H204)</f>
        <v>0</v>
      </c>
      <c r="Q204" t="str" cm="1">
        <f t="array" aca="1" ref="Q204" ca="1">IF(VLOOKUP(B204,AssetStatic,4,FALSE),_xll.QRisk_PortfolioFxDeltaSpecific("asiOpt_DeltaA"&amp;ROW(),O204,AModel,B204,"ZAR",FALSE),_xll.QRisk_PortfolioDelta("asiOpt_DeltaA"&amp;ROW(),O204,AModel,FALSE))</f>
        <v>asiOpt_DeltaA204¬5</v>
      </c>
      <c r="R204" s="21" cm="1">
        <f t="array" aca="1" ref="R204" ca="1">_xll.QCube_SumAllRows(Q204)</f>
        <v>0</v>
      </c>
      <c r="S204" s="93" cm="1">
        <f t="array" aca="1" ref="S204" ca="1">_xll.QIns_QuickPFE(O204,AModel,0.95,"ZAR")</f>
        <v>0</v>
      </c>
    </row>
    <row r="205" spans="1:19" x14ac:dyDescent="0.25">
      <c r="A205" s="6"/>
      <c r="B205" s="6"/>
      <c r="C205" s="102"/>
      <c r="D205" s="102"/>
      <c r="E205" s="102"/>
      <c r="F205" s="103"/>
      <c r="G205" s="103"/>
      <c r="H205" s="6"/>
      <c r="I205" s="104"/>
      <c r="J205" s="104"/>
      <c r="K205" s="104"/>
      <c r="L205" s="104"/>
    </row>
    <row r="206" spans="1:19" x14ac:dyDescent="0.25">
      <c r="A206" s="6"/>
      <c r="B206" s="6"/>
      <c r="C206" s="102"/>
      <c r="D206" s="102"/>
      <c r="E206" s="102"/>
      <c r="F206" s="103"/>
      <c r="G206" s="103"/>
      <c r="H206" s="6"/>
      <c r="I206" s="104"/>
      <c r="J206" s="104"/>
      <c r="K206" s="104"/>
      <c r="L206" s="104"/>
    </row>
    <row r="207" spans="1:19" x14ac:dyDescent="0.25">
      <c r="A207" s="6"/>
      <c r="B207" s="6" t="s">
        <v>108</v>
      </c>
      <c r="C207" s="102"/>
      <c r="D207" s="102">
        <v>44104</v>
      </c>
      <c r="E207" s="102">
        <f>D207</f>
        <v>44104</v>
      </c>
      <c r="F207" s="103">
        <v>113500</v>
      </c>
      <c r="G207" s="103">
        <v>-14</v>
      </c>
      <c r="H207" s="6" t="s">
        <v>21</v>
      </c>
      <c r="I207" s="104" t="str">
        <f t="shared" ref="I207" si="156">IF(H207="USD","USD.LIBOR.3M",H207&amp;".DISC.[USD.LIBOR.3M]")</f>
        <v>USD.LIBOR.3M</v>
      </c>
      <c r="J207" s="104" t="str">
        <f t="shared" ref="J207" si="157">VLOOKUP(B207,AssetStatic,3,FALSE)</f>
        <v>LON</v>
      </c>
      <c r="K207" s="105" t="s">
        <v>171</v>
      </c>
      <c r="L207" s="105" t="str">
        <f t="shared" ref="L207" si="158">VLOOKUP(B207,AssetStatic,2,FALSE)</f>
        <v>2b</v>
      </c>
      <c r="M207" t="str" cm="1">
        <f t="array" aca="1" ref="M207" ca="1">_xll.QIns_CreateAsianSwap("AsiSwap_Fwd_"&amp;ROW(),IF(C207="",D207:E207,C207),B207,H207,0,G207,J207,H207,K207,L207,,I207,IF(H207="USD","None","ATC"))</f>
        <v>AsiSwap_Fwd_207¬5</v>
      </c>
      <c r="N207" s="14" cm="1">
        <f t="array" aca="1" ref="N207" ca="1">_xll.QIns_ProductParRate(M207,AModel)</f>
        <v>1000000</v>
      </c>
      <c r="O207" t="str" cm="1">
        <f t="array" aca="1" ref="O207" ca="1">_xll.QIns_CreateAsianSwap("AsiSwap_"&amp;ROW(),IF(C207="",D207:E207,C207),B207,H207,F207,G207,J207,H207,K207,L207,,I207,IF(H207="USD","None","ATC"))</f>
        <v>AsiSwap_207¬5</v>
      </c>
      <c r="P207" s="21" cm="1">
        <f t="array" aca="1" ref="P207" ca="1">_xll.QIns_ProductPV(O207,AModel,H207)</f>
        <v>0</v>
      </c>
      <c r="Q207" t="str" cm="1">
        <f t="array" aca="1" ref="Q207" ca="1">IF(VLOOKUP(B207,AssetStatic,4,FALSE),_xll.QRisk_PortfolioFxDeltaSpecific("asiOpt_DeltaA"&amp;ROW(),O207,AModel,B207,"ZAR",FALSE),_xll.QRisk_PortfolioDelta("asiOpt_DeltaA"&amp;ROW(),O207,AModel,FALSE))</f>
        <v>asiOpt_DeltaA207¬5</v>
      </c>
      <c r="R207" s="21" cm="1">
        <f t="array" aca="1" ref="R207" ca="1">_xll.QCube_SumAllRows(Q207)</f>
        <v>0</v>
      </c>
      <c r="S207" s="93" cm="1">
        <f t="array" aca="1" ref="S207" ca="1">_xll.QIns_QuickPFE(O207,AModel,0.95,"ZAR")</f>
        <v>0</v>
      </c>
    </row>
    <row r="208" spans="1:19" x14ac:dyDescent="0.25">
      <c r="A208" s="6"/>
      <c r="B208" s="6"/>
      <c r="C208" s="102"/>
      <c r="D208" s="102"/>
      <c r="E208" s="102"/>
      <c r="F208" s="103"/>
      <c r="G208" s="103"/>
      <c r="H208" s="6"/>
      <c r="I208" s="104"/>
      <c r="J208" s="104"/>
      <c r="K208" s="104"/>
      <c r="L208" s="104"/>
    </row>
    <row r="209" spans="1:27" x14ac:dyDescent="0.25">
      <c r="A209" s="6"/>
      <c r="B209" s="6"/>
      <c r="C209" s="102"/>
      <c r="D209" s="102"/>
      <c r="E209" s="102"/>
      <c r="F209" s="103"/>
      <c r="G209" s="103"/>
      <c r="H209" s="6"/>
      <c r="I209" s="104"/>
      <c r="J209" s="104"/>
      <c r="K209" s="104"/>
      <c r="L209" s="104"/>
    </row>
    <row r="210" spans="1:27" x14ac:dyDescent="0.25">
      <c r="A210" s="6"/>
      <c r="B210" s="6" t="s">
        <v>109</v>
      </c>
      <c r="C210" s="102">
        <v>44105</v>
      </c>
      <c r="D210" s="102"/>
      <c r="E210" s="102"/>
      <c r="F210" s="103">
        <f ca="1">N210</f>
        <v>1000000</v>
      </c>
      <c r="G210" s="103">
        <v>-5000</v>
      </c>
      <c r="H210" s="6" t="s">
        <v>21</v>
      </c>
      <c r="I210" s="104" t="str">
        <f t="shared" ref="I210" si="159">IF(H210="USD","USD.LIBOR.3M",H210&amp;".DISC.[USD.LIBOR.3M]")</f>
        <v>USD.LIBOR.3M</v>
      </c>
      <c r="J210" s="104" t="str">
        <f t="shared" ref="J210" si="160">VLOOKUP(B210,AssetStatic,3,FALSE)</f>
        <v>LON</v>
      </c>
      <c r="K210" s="105" t="s">
        <v>171</v>
      </c>
      <c r="L210" s="105" t="str">
        <f t="shared" ref="L210" si="161">VLOOKUP(B210,AssetStatic,2,FALSE)</f>
        <v>2b</v>
      </c>
      <c r="M210" s="185" t="str" cm="1">
        <f t="array" aca="1" ref="M210" ca="1">_xll.QIns_CreateAsianSwap("AsiSwap_Fwd_"&amp;ROW(),IF(C210="",D210:E210,C210),B210,H210,0,G210,J210,H210,K210,L210,,I210,IF(H210="USD","None","ATC"))</f>
        <v>AsiSwap_Fwd_210¬5</v>
      </c>
      <c r="N210" s="14" cm="1">
        <f t="array" aca="1" ref="N210" ca="1">_xll.QIns_ProductParRate(M210,AModel)</f>
        <v>1000000</v>
      </c>
      <c r="O210" s="185" t="str" cm="1">
        <f t="array" aca="1" ref="O210" ca="1">_xll.QIns_CreateAsianSwap("AsiSwap_"&amp;ROW(),IF(C210="",D210:E210,C210),B210,H210,F210,G210,J210,H210,K210,L210,,I210,IF(H210="USD","None","ATC"))</f>
        <v>AsiSwap_210¬5</v>
      </c>
      <c r="P210" s="21" cm="1">
        <f t="array" aca="1" ref="P210" ca="1">_xll.QIns_ProductPV(O210,AModel,H210)</f>
        <v>0</v>
      </c>
      <c r="Q210" s="185" t="str" cm="1">
        <f t="array" aca="1" ref="Q210" ca="1">IF(VLOOKUP(B210,AssetStatic,4,FALSE),_xll.QRisk_PortfolioFxDeltaSpecific("asiOpt_DeltaA"&amp;ROW(),O210,AModel,B210,"ZAR",FALSE),_xll.QRisk_PortfolioDelta("asiOpt_DeltaA"&amp;ROW(),O210,AModel,FALSE))</f>
        <v>asiOpt_DeltaA210¬5</v>
      </c>
      <c r="R210" s="21" cm="1">
        <f t="array" aca="1" ref="R210" ca="1">_xll.QCube_SumAllRows(Q210)</f>
        <v>0</v>
      </c>
      <c r="S210" s="93" cm="1">
        <f t="array" aca="1" ref="S210" ca="1">_xll.QIns_QuickPFE(O210,AModel,0.95,"ZAR")</f>
        <v>0</v>
      </c>
    </row>
    <row r="211" spans="1:27" s="185" customFormat="1" x14ac:dyDescent="0.25">
      <c r="A211" s="6"/>
      <c r="B211" s="6" t="str">
        <f>B210</f>
        <v>ZS</v>
      </c>
      <c r="C211" s="102">
        <v>44166</v>
      </c>
      <c r="D211" s="102"/>
      <c r="E211" s="102"/>
      <c r="F211" s="103">
        <f ca="1">N211</f>
        <v>1000000</v>
      </c>
      <c r="G211" s="103">
        <v>5000</v>
      </c>
      <c r="H211" s="6" t="s">
        <v>21</v>
      </c>
      <c r="I211" s="104" t="str">
        <f t="shared" ref="I211" si="162">IF(H211="USD","USD.LIBOR.3M",H211&amp;".DISC.[USD.LIBOR.3M]")</f>
        <v>USD.LIBOR.3M</v>
      </c>
      <c r="J211" s="104" t="str">
        <f t="shared" ref="J211" si="163">VLOOKUP(B211,AssetStatic,3,FALSE)</f>
        <v>LON</v>
      </c>
      <c r="K211" s="105" t="s">
        <v>171</v>
      </c>
      <c r="L211" s="105" t="str">
        <f t="shared" ref="L211" si="164">VLOOKUP(B211,AssetStatic,2,FALSE)</f>
        <v>2b</v>
      </c>
      <c r="M211" s="185" t="str" cm="1">
        <f t="array" aca="1" ref="M211" ca="1">_xll.QIns_CreateAsianSwap("AsiSwap_Fwd_"&amp;ROW(),IF(C211="",D211:E211,C211),B211,H211,0,G211,J211,H211,K211,L211,,I211,IF(H211="USD","None","ATC"))</f>
        <v>AsiSwap_Fwd_211¬5</v>
      </c>
      <c r="N211" s="14" cm="1">
        <f t="array" aca="1" ref="N211" ca="1">_xll.QIns_ProductParRate(M211,AModel)</f>
        <v>1000000</v>
      </c>
      <c r="O211" s="185" t="str" cm="1">
        <f t="array" aca="1" ref="O211" ca="1">_xll.QIns_CreateAsianSwap("AsiSwap_"&amp;ROW(),IF(C211="",D211:E211,C211),B211,H211,F211,G211,J211,H211,K211,L211,,I211,IF(H211="USD","None","ATC"))</f>
        <v>AsiSwap_211¬5</v>
      </c>
      <c r="P211" s="21" cm="1">
        <f t="array" aca="1" ref="P211" ca="1">_xll.QIns_ProductPV(O211,AModel,H211)</f>
        <v>0</v>
      </c>
      <c r="Q211" s="185" t="str" cm="1">
        <f t="array" aca="1" ref="Q211" ca="1">IF(VLOOKUP(B211,AssetStatic,4,FALSE),_xll.QRisk_PortfolioFxDeltaSpecific("asiOpt_DeltaA"&amp;ROW(),O211,AModel,B211,"ZAR",FALSE),_xll.QRisk_PortfolioDelta("asiOpt_DeltaA"&amp;ROW(),O211,AModel,FALSE))</f>
        <v>asiOpt_DeltaA211¬5</v>
      </c>
      <c r="R211" s="21" cm="1">
        <f t="array" aca="1" ref="R211" ca="1">_xll.QCube_SumAllRows(Q211)</f>
        <v>0</v>
      </c>
      <c r="S211" s="93" cm="1">
        <f t="array" aca="1" ref="S211" ca="1">_xll.QIns_QuickPFE(O211,AModel,0.95,"ZAR")</f>
        <v>0</v>
      </c>
    </row>
    <row r="212" spans="1:27" s="185" customFormat="1" x14ac:dyDescent="0.25">
      <c r="A212" s="6"/>
      <c r="B212" s="6" t="str">
        <f t="shared" ref="B212" si="165">B211</f>
        <v>ZS</v>
      </c>
      <c r="C212" s="102">
        <v>44136</v>
      </c>
      <c r="D212" s="102"/>
      <c r="E212" s="102"/>
      <c r="F212" s="103">
        <f t="shared" ref="F212" ca="1" si="166">N212</f>
        <v>1000000</v>
      </c>
      <c r="G212" s="103">
        <v>-5000</v>
      </c>
      <c r="H212" s="6" t="s">
        <v>21</v>
      </c>
      <c r="I212" s="104" t="str">
        <f t="shared" ref="I212" si="167">IF(H212="USD","USD.LIBOR.3M",H212&amp;".DISC.[USD.LIBOR.3M]")</f>
        <v>USD.LIBOR.3M</v>
      </c>
      <c r="J212" s="104" t="str">
        <f t="shared" ref="J212" si="168">VLOOKUP(B212,AssetStatic,3,FALSE)</f>
        <v>LON</v>
      </c>
      <c r="K212" s="105" t="s">
        <v>171</v>
      </c>
      <c r="L212" s="105" t="str">
        <f t="shared" ref="L212" si="169">VLOOKUP(B212,AssetStatic,2,FALSE)</f>
        <v>2b</v>
      </c>
      <c r="M212" s="185" t="str" cm="1">
        <f t="array" aca="1" ref="M212" ca="1">_xll.QIns_CreateAsianSwap("AsiSwap_Fwd_"&amp;ROW(),IF(C212="",D212:E212,C212),B212,H212,0,G212,J212,H212,K212,L212,,I212,IF(H212="USD","None","ATC"))</f>
        <v>AsiSwap_Fwd_212¬5</v>
      </c>
      <c r="N212" s="14" cm="1">
        <f t="array" aca="1" ref="N212" ca="1">_xll.QIns_ProductParRate(M212,AModel)</f>
        <v>1000000</v>
      </c>
      <c r="O212" s="185" t="str" cm="1">
        <f t="array" aca="1" ref="O212" ca="1">_xll.QIns_CreateAsianSwap("AsiSwap_"&amp;ROW(),IF(C212="",D212:E212,C212),B212,H212,F212,G212,J212,H212,K212,L212,,I212,IF(H212="USD","None","ATC"))</f>
        <v>AsiSwap_212¬5</v>
      </c>
      <c r="P212" s="21" cm="1">
        <f t="array" aca="1" ref="P212" ca="1">_xll.QIns_ProductPV(O212,AModel,H212)</f>
        <v>0</v>
      </c>
      <c r="Q212" s="185" t="str" cm="1">
        <f t="array" aca="1" ref="Q212" ca="1">IF(VLOOKUP(B212,AssetStatic,4,FALSE),_xll.QRisk_PortfolioFxDeltaSpecific("asiOpt_DeltaA"&amp;ROW(),O212,AModel,B212,"ZAR",FALSE),_xll.QRisk_PortfolioDelta("asiOpt_DeltaA"&amp;ROW(),O212,AModel,FALSE))</f>
        <v>asiOpt_DeltaA212¬5</v>
      </c>
      <c r="R212" s="21" cm="1">
        <f t="array" aca="1" ref="R212" ca="1">_xll.QCube_SumAllRows(Q212)</f>
        <v>0</v>
      </c>
      <c r="S212" s="93" cm="1">
        <f t="array" aca="1" ref="S212" ca="1">_xll.QIns_QuickPFE(O212,AModel,0.95,"ZAR")</f>
        <v>0</v>
      </c>
    </row>
    <row r="213" spans="1:27" s="185" customFormat="1" x14ac:dyDescent="0.25">
      <c r="A213" s="6"/>
      <c r="B213" s="6"/>
      <c r="C213" s="102"/>
      <c r="D213" s="102"/>
      <c r="E213" s="102"/>
      <c r="F213" s="103"/>
      <c r="G213" s="103"/>
      <c r="H213" s="6"/>
      <c r="I213" s="104"/>
      <c r="J213" s="104"/>
      <c r="K213" s="105"/>
      <c r="L213" s="105"/>
      <c r="N213" s="14"/>
      <c r="P213" s="21"/>
      <c r="R213" s="21"/>
      <c r="S213" s="93"/>
      <c r="U213" s="193"/>
      <c r="V213" s="194"/>
      <c r="W213" s="194"/>
      <c r="X213" s="194"/>
      <c r="Y213" s="194"/>
    </row>
    <row r="214" spans="1:27" x14ac:dyDescent="0.25">
      <c r="A214" s="6"/>
      <c r="B214" s="6"/>
      <c r="C214" s="102"/>
      <c r="D214" s="102"/>
      <c r="E214" s="102"/>
      <c r="F214" s="103"/>
      <c r="G214" s="103"/>
      <c r="H214" s="6"/>
      <c r="I214" s="104"/>
      <c r="J214" s="104"/>
      <c r="K214" s="105"/>
      <c r="L214" s="105"/>
      <c r="M214" s="185"/>
      <c r="N214" s="14"/>
      <c r="O214" s="185"/>
      <c r="Q214" s="185"/>
      <c r="R214" s="21"/>
      <c r="S214" s="93"/>
      <c r="U214" s="195"/>
      <c r="V214" s="196"/>
      <c r="W214" s="196"/>
      <c r="X214" s="167"/>
      <c r="Y214" s="195"/>
      <c r="AA214" s="197"/>
    </row>
    <row r="215" spans="1:27" x14ac:dyDescent="0.25">
      <c r="A215" s="6"/>
      <c r="B215" s="6"/>
      <c r="C215" s="102"/>
      <c r="D215" s="102"/>
      <c r="E215" s="102"/>
      <c r="F215" s="103"/>
      <c r="G215" s="103"/>
      <c r="H215" s="6"/>
      <c r="I215" s="104"/>
      <c r="J215" s="104"/>
      <c r="K215" s="105"/>
      <c r="L215" s="105"/>
      <c r="M215" s="185"/>
      <c r="N215" s="14"/>
      <c r="O215" s="185"/>
      <c r="Q215" s="185"/>
      <c r="R215" s="21"/>
      <c r="S215" s="93"/>
      <c r="U215" s="195"/>
      <c r="V215" s="196"/>
      <c r="W215" s="196"/>
      <c r="X215" s="167"/>
      <c r="Y215" s="195"/>
      <c r="AA215" s="197"/>
    </row>
    <row r="216" spans="1:27" x14ac:dyDescent="0.25">
      <c r="A216" s="6"/>
      <c r="B216" s="6"/>
      <c r="C216" s="102"/>
      <c r="D216" s="102"/>
      <c r="E216" s="102"/>
      <c r="F216" s="103"/>
      <c r="G216" s="103"/>
      <c r="H216" s="6"/>
      <c r="I216" s="104"/>
      <c r="J216" s="104"/>
      <c r="K216" s="105"/>
      <c r="L216" s="105"/>
      <c r="M216" s="185"/>
      <c r="N216" s="14"/>
      <c r="O216" s="185"/>
      <c r="Q216" s="185"/>
      <c r="R216" s="21"/>
      <c r="S216" s="93"/>
      <c r="U216" s="195"/>
      <c r="V216" s="196"/>
      <c r="W216" s="196"/>
      <c r="X216" s="167"/>
      <c r="Y216" s="195"/>
      <c r="AA216" s="197"/>
    </row>
    <row r="217" spans="1:27" x14ac:dyDescent="0.25">
      <c r="A217" s="6"/>
      <c r="B217" s="6"/>
      <c r="C217" s="102"/>
      <c r="D217" s="102"/>
      <c r="E217" s="102"/>
      <c r="F217" s="103"/>
      <c r="G217" s="103"/>
      <c r="H217" s="6"/>
      <c r="I217" s="104"/>
      <c r="J217" s="104"/>
      <c r="K217" s="105"/>
      <c r="L217" s="105"/>
      <c r="M217" s="185"/>
      <c r="N217" s="14"/>
      <c r="O217" s="185"/>
      <c r="Q217" s="185"/>
      <c r="R217" s="21"/>
      <c r="S217" s="93"/>
      <c r="U217" s="195"/>
      <c r="V217" s="196"/>
      <c r="W217" s="196"/>
      <c r="X217" s="167"/>
      <c r="Y217" s="195"/>
      <c r="AA217" s="197"/>
    </row>
    <row r="218" spans="1:27" x14ac:dyDescent="0.25">
      <c r="A218" s="6"/>
      <c r="B218" s="6"/>
      <c r="C218" s="102"/>
      <c r="D218" s="102"/>
      <c r="E218" s="102"/>
      <c r="F218" s="103"/>
      <c r="G218" s="103"/>
      <c r="H218" s="6"/>
      <c r="I218" s="104"/>
      <c r="J218" s="104"/>
      <c r="K218" s="105"/>
      <c r="L218" s="105"/>
      <c r="M218" s="185"/>
      <c r="N218" s="14"/>
      <c r="O218" s="185"/>
      <c r="Q218" s="185"/>
      <c r="R218" s="21"/>
      <c r="S218" s="93"/>
      <c r="U218" s="195"/>
      <c r="V218" s="196"/>
      <c r="W218" s="196"/>
      <c r="X218" s="167"/>
      <c r="Y218" s="195"/>
      <c r="AA218" s="197"/>
    </row>
    <row r="219" spans="1:27" x14ac:dyDescent="0.25">
      <c r="A219" s="6"/>
      <c r="B219" s="6"/>
      <c r="C219" s="102"/>
      <c r="D219" s="102"/>
      <c r="E219" s="102"/>
      <c r="F219" s="103"/>
      <c r="G219" s="103"/>
      <c r="H219" s="6"/>
      <c r="I219" s="104"/>
      <c r="J219" s="104"/>
      <c r="K219" s="105"/>
      <c r="L219" s="105"/>
      <c r="M219" s="185"/>
      <c r="N219" s="14"/>
      <c r="O219" s="185"/>
      <c r="Q219" s="185"/>
      <c r="R219" s="21"/>
      <c r="S219" s="93"/>
      <c r="U219" s="195"/>
      <c r="V219" s="196"/>
      <c r="W219" s="196"/>
      <c r="X219" s="167"/>
      <c r="Y219" s="195"/>
      <c r="AA219" s="197"/>
    </row>
    <row r="220" spans="1:27" x14ac:dyDescent="0.25">
      <c r="A220" s="6"/>
      <c r="B220" s="6"/>
      <c r="C220" s="102"/>
      <c r="D220" s="102"/>
      <c r="E220" s="102"/>
      <c r="F220" s="103"/>
      <c r="G220" s="103"/>
      <c r="H220" s="6"/>
      <c r="I220" s="104"/>
      <c r="J220" s="104"/>
      <c r="K220" s="105"/>
      <c r="L220" s="105"/>
      <c r="M220" s="185"/>
      <c r="N220" s="14"/>
      <c r="O220" s="185"/>
      <c r="Q220" s="185"/>
      <c r="R220" s="21"/>
      <c r="S220" s="93"/>
      <c r="U220" s="195"/>
      <c r="V220" s="196"/>
      <c r="W220" s="196"/>
      <c r="X220" s="167"/>
      <c r="Y220" s="195"/>
      <c r="AA220" s="197"/>
    </row>
    <row r="221" spans="1:27" x14ac:dyDescent="0.25">
      <c r="A221" s="6"/>
      <c r="B221" s="6"/>
      <c r="C221" s="102"/>
      <c r="D221" s="102"/>
      <c r="E221" s="102"/>
      <c r="F221" s="103"/>
      <c r="G221" s="103"/>
      <c r="H221" s="6"/>
      <c r="I221" s="104"/>
      <c r="J221" s="104"/>
      <c r="K221" s="105"/>
      <c r="L221" s="105"/>
      <c r="M221" s="185"/>
      <c r="N221" s="14"/>
      <c r="O221" s="185"/>
      <c r="Q221" s="185"/>
      <c r="R221" s="21"/>
      <c r="S221" s="93"/>
      <c r="U221" s="195"/>
      <c r="V221" s="196"/>
      <c r="W221" s="196"/>
      <c r="X221" s="167"/>
      <c r="Y221" s="195"/>
      <c r="AA221" s="197"/>
    </row>
    <row r="222" spans="1:27" x14ac:dyDescent="0.25">
      <c r="A222" s="6"/>
      <c r="B222" s="6"/>
      <c r="C222" s="102"/>
      <c r="D222" s="102"/>
      <c r="E222" s="102"/>
      <c r="F222" s="103"/>
      <c r="G222" s="103"/>
      <c r="H222" s="6"/>
      <c r="I222" s="104"/>
      <c r="J222" s="104"/>
      <c r="K222" s="105"/>
      <c r="L222" s="105"/>
      <c r="M222" s="185"/>
      <c r="N222" s="14"/>
      <c r="O222" s="185"/>
      <c r="Q222" s="185"/>
      <c r="R222" s="21"/>
      <c r="S222" s="93"/>
      <c r="U222" s="195"/>
      <c r="V222" s="196"/>
      <c r="W222" s="196"/>
      <c r="X222" s="167"/>
      <c r="Y222" s="195"/>
      <c r="AA222" s="197"/>
    </row>
    <row r="223" spans="1:27" x14ac:dyDescent="0.25">
      <c r="A223" s="6"/>
      <c r="B223" s="6"/>
      <c r="C223" s="102"/>
      <c r="D223" s="102"/>
      <c r="E223" s="102"/>
      <c r="F223" s="103"/>
      <c r="G223" s="192"/>
      <c r="H223" s="6"/>
      <c r="I223" s="104"/>
      <c r="J223" s="104"/>
      <c r="K223" s="105"/>
      <c r="L223" s="105"/>
      <c r="M223" s="185"/>
      <c r="N223" s="14"/>
      <c r="O223" s="185"/>
      <c r="Q223" s="185"/>
      <c r="R223" s="21"/>
      <c r="S223" s="93"/>
    </row>
    <row r="224" spans="1:27" x14ac:dyDescent="0.25">
      <c r="A224" s="6"/>
      <c r="B224" s="6"/>
      <c r="C224" s="102"/>
      <c r="D224" s="102"/>
      <c r="E224" s="102"/>
      <c r="F224" s="103"/>
      <c r="G224" s="103"/>
      <c r="H224" s="6"/>
      <c r="I224" s="104"/>
      <c r="J224" s="104"/>
      <c r="K224" s="105"/>
      <c r="L224" s="105"/>
      <c r="M224" s="185"/>
      <c r="N224" s="14"/>
      <c r="O224" s="185"/>
      <c r="Q224" s="185"/>
      <c r="R224" s="21"/>
      <c r="S224" s="93"/>
    </row>
    <row r="225" spans="1:19" s="185" customFormat="1" x14ac:dyDescent="0.25">
      <c r="A225" s="6"/>
      <c r="B225" s="6"/>
      <c r="C225" s="102"/>
      <c r="D225" s="102"/>
      <c r="E225" s="102"/>
      <c r="F225" s="103"/>
      <c r="G225" s="103"/>
      <c r="H225" s="6"/>
      <c r="I225" s="104"/>
      <c r="J225" s="104"/>
      <c r="K225" s="105"/>
      <c r="L225" s="105"/>
      <c r="N225" s="14"/>
      <c r="P225" s="21"/>
      <c r="R225" s="21"/>
      <c r="S225" s="93"/>
    </row>
    <row r="226" spans="1:19" s="185" customFormat="1" x14ac:dyDescent="0.25">
      <c r="A226" s="6"/>
      <c r="B226" s="6"/>
      <c r="C226" s="102"/>
      <c r="D226" s="102"/>
      <c r="E226" s="102"/>
      <c r="F226" s="103"/>
      <c r="G226" s="103"/>
      <c r="H226" s="6"/>
      <c r="I226" s="104"/>
      <c r="J226" s="104"/>
      <c r="K226" s="105"/>
      <c r="L226" s="105"/>
      <c r="N226" s="14"/>
      <c r="P226" s="21"/>
      <c r="R226" s="21"/>
      <c r="S226" s="93"/>
    </row>
    <row r="227" spans="1:19" x14ac:dyDescent="0.25">
      <c r="A227" s="6"/>
      <c r="B227" s="6"/>
      <c r="C227" s="102"/>
      <c r="D227" s="102"/>
      <c r="E227" s="102"/>
      <c r="F227" s="103"/>
      <c r="G227" s="103"/>
      <c r="H227" s="6"/>
      <c r="I227" s="104"/>
      <c r="J227" s="104"/>
      <c r="K227" s="105"/>
      <c r="L227" s="105"/>
      <c r="M227" s="185"/>
      <c r="N227" s="14"/>
      <c r="O227" s="185"/>
      <c r="Q227" s="185"/>
      <c r="R227" s="21"/>
      <c r="S227" s="93"/>
    </row>
    <row r="228" spans="1:19" x14ac:dyDescent="0.25">
      <c r="A228" s="6"/>
      <c r="B228" s="6"/>
      <c r="C228" s="102"/>
      <c r="D228" s="102"/>
      <c r="E228" s="102"/>
      <c r="F228" s="103"/>
      <c r="G228" s="103"/>
      <c r="H228" s="6"/>
      <c r="I228" s="104"/>
      <c r="J228" s="104"/>
      <c r="K228" s="105"/>
      <c r="L228" s="105"/>
      <c r="M228" s="185"/>
      <c r="N228" s="14"/>
      <c r="O228" s="185"/>
      <c r="Q228" s="185"/>
      <c r="R228" s="21"/>
      <c r="S228" s="93"/>
    </row>
    <row r="229" spans="1:19" x14ac:dyDescent="0.25">
      <c r="A229" s="6"/>
      <c r="B229" s="6"/>
      <c r="C229" s="102"/>
      <c r="D229" s="102"/>
      <c r="E229" s="102"/>
      <c r="F229" s="103"/>
      <c r="G229" s="103"/>
      <c r="H229" s="6"/>
      <c r="I229" s="104"/>
      <c r="J229" s="104"/>
      <c r="K229" s="105"/>
      <c r="L229" s="105"/>
      <c r="M229" s="185"/>
      <c r="N229" s="14"/>
      <c r="O229" s="185"/>
      <c r="Q229" s="185"/>
      <c r="R229" s="21"/>
      <c r="S229" s="93"/>
    </row>
    <row r="230" spans="1:19" x14ac:dyDescent="0.25">
      <c r="A230" s="6"/>
      <c r="B230" s="6"/>
      <c r="C230" s="102"/>
      <c r="D230" s="102"/>
      <c r="E230" s="102"/>
      <c r="F230" s="103"/>
      <c r="G230" s="103"/>
      <c r="H230" s="6"/>
      <c r="I230" s="104"/>
      <c r="J230" s="104"/>
      <c r="K230" s="105"/>
      <c r="L230" s="105"/>
      <c r="M230" s="185"/>
      <c r="N230" s="14"/>
      <c r="O230" s="185"/>
      <c r="Q230" s="185"/>
      <c r="R230" s="21"/>
      <c r="S230" s="93"/>
    </row>
    <row r="231" spans="1:19" x14ac:dyDescent="0.25">
      <c r="A231" s="6"/>
      <c r="B231" s="6"/>
      <c r="C231" s="102"/>
      <c r="D231" s="102"/>
      <c r="E231" s="102"/>
      <c r="F231" s="103"/>
      <c r="G231" s="103"/>
      <c r="H231" s="6"/>
      <c r="I231" s="104"/>
      <c r="J231" s="104"/>
      <c r="K231" s="105"/>
      <c r="L231" s="105"/>
      <c r="M231" s="185"/>
      <c r="N231" s="14"/>
      <c r="O231" s="185"/>
      <c r="Q231" s="185"/>
      <c r="R231" s="21"/>
      <c r="S231" s="93"/>
    </row>
    <row r="232" spans="1:19" x14ac:dyDescent="0.25">
      <c r="A232" s="6"/>
      <c r="B232" s="6"/>
      <c r="C232" s="102"/>
      <c r="D232" s="102"/>
      <c r="E232" s="102"/>
      <c r="F232" s="103"/>
      <c r="G232" s="103"/>
      <c r="H232" s="6"/>
      <c r="I232" s="104"/>
      <c r="J232" s="104"/>
      <c r="K232" s="105"/>
      <c r="L232" s="105"/>
      <c r="M232" s="185"/>
      <c r="N232" s="14"/>
      <c r="O232" s="185"/>
      <c r="Q232" s="185"/>
      <c r="R232" s="21"/>
      <c r="S232" s="93"/>
    </row>
    <row r="233" spans="1:19" x14ac:dyDescent="0.25">
      <c r="A233" s="6"/>
      <c r="B233" s="6"/>
      <c r="C233" s="102"/>
      <c r="D233" s="102"/>
      <c r="E233" s="102"/>
      <c r="F233" s="103"/>
      <c r="G233" s="103"/>
      <c r="H233" s="6"/>
      <c r="I233" s="104"/>
      <c r="J233" s="104"/>
      <c r="K233" s="105"/>
      <c r="L233" s="105"/>
      <c r="M233" s="185"/>
      <c r="N233" s="14"/>
      <c r="O233" s="185"/>
      <c r="Q233" s="185"/>
      <c r="R233" s="21"/>
      <c r="S233" s="93"/>
    </row>
    <row r="234" spans="1:19" x14ac:dyDescent="0.25">
      <c r="A234" s="6"/>
      <c r="B234" s="6"/>
      <c r="C234" s="102"/>
      <c r="D234" s="102"/>
      <c r="E234" s="102"/>
      <c r="F234" s="103"/>
      <c r="G234" s="103"/>
      <c r="H234" s="6"/>
      <c r="I234" s="104"/>
      <c r="J234" s="104"/>
      <c r="K234" s="105"/>
      <c r="L234" s="105"/>
      <c r="M234" s="185"/>
      <c r="N234" s="14"/>
      <c r="O234" s="185"/>
      <c r="Q234" s="185"/>
      <c r="R234" s="21"/>
      <c r="S234" s="93"/>
    </row>
    <row r="235" spans="1:19" x14ac:dyDescent="0.25">
      <c r="A235" s="6"/>
      <c r="B235" s="6"/>
      <c r="C235" s="102"/>
      <c r="D235" s="102"/>
      <c r="E235" s="102"/>
      <c r="F235" s="103"/>
      <c r="G235" s="103"/>
      <c r="H235" s="6"/>
      <c r="I235" s="104"/>
      <c r="J235" s="104"/>
      <c r="K235" s="105"/>
      <c r="L235" s="105"/>
      <c r="M235" s="185"/>
      <c r="N235" s="14"/>
      <c r="O235" s="185"/>
      <c r="Q235" s="185"/>
      <c r="R235" s="21"/>
      <c r="S235" s="93"/>
    </row>
    <row r="236" spans="1:19" x14ac:dyDescent="0.25">
      <c r="A236" s="6"/>
      <c r="B236" s="6"/>
      <c r="C236" s="102"/>
      <c r="D236" s="102"/>
      <c r="E236" s="102"/>
      <c r="F236" s="103"/>
      <c r="G236" s="103"/>
      <c r="H236" s="6"/>
      <c r="I236" s="104"/>
      <c r="J236" s="104"/>
      <c r="K236" s="105"/>
      <c r="L236" s="105"/>
      <c r="M236" s="185"/>
      <c r="N236" s="14"/>
      <c r="O236" s="185"/>
      <c r="Q236" s="185"/>
      <c r="R236" s="21"/>
      <c r="S236" s="93"/>
    </row>
    <row r="237" spans="1:19" x14ac:dyDescent="0.25">
      <c r="A237" s="6"/>
      <c r="B237" s="6"/>
      <c r="C237" s="102"/>
      <c r="D237" s="102"/>
      <c r="E237" s="102"/>
      <c r="F237" s="103"/>
      <c r="G237" s="103"/>
      <c r="H237" s="6"/>
      <c r="I237" s="104"/>
      <c r="J237" s="104"/>
      <c r="K237" s="105"/>
      <c r="L237" s="105"/>
      <c r="M237" s="185"/>
      <c r="N237" s="14"/>
      <c r="O237" s="185"/>
      <c r="Q237" s="185"/>
      <c r="R237" s="21"/>
      <c r="S237" s="93"/>
    </row>
    <row r="238" spans="1:19" x14ac:dyDescent="0.25">
      <c r="A238" s="6"/>
      <c r="B238" s="6"/>
      <c r="C238" s="102"/>
      <c r="D238" s="102"/>
      <c r="E238" s="102"/>
      <c r="F238" s="103"/>
      <c r="G238" s="103"/>
      <c r="H238" s="6"/>
      <c r="I238" s="104"/>
      <c r="J238" s="104"/>
      <c r="K238" s="104"/>
      <c r="L238" s="104"/>
    </row>
    <row r="239" spans="1:19" s="185" customFormat="1" x14ac:dyDescent="0.25">
      <c r="A239" s="6"/>
      <c r="B239" s="6"/>
      <c r="C239" s="102"/>
      <c r="D239" s="102"/>
      <c r="E239" s="102"/>
      <c r="F239" s="103"/>
      <c r="G239" s="103"/>
      <c r="H239" s="6"/>
      <c r="I239" s="104"/>
      <c r="J239" s="104"/>
      <c r="K239" s="105"/>
      <c r="L239" s="105"/>
      <c r="N239" s="14"/>
      <c r="P239" s="21"/>
      <c r="R239" s="21"/>
      <c r="S239" s="93"/>
    </row>
    <row r="240" spans="1:19" s="185" customFormat="1" x14ac:dyDescent="0.25">
      <c r="A240" s="6"/>
      <c r="B240" s="6"/>
      <c r="C240" s="102"/>
      <c r="D240" s="102"/>
      <c r="E240" s="102"/>
      <c r="F240" s="103"/>
      <c r="G240" s="103"/>
      <c r="H240" s="6"/>
      <c r="I240" s="104"/>
      <c r="J240" s="104"/>
      <c r="K240" s="105"/>
      <c r="L240" s="105"/>
      <c r="N240" s="14"/>
      <c r="P240" s="21"/>
      <c r="R240" s="21"/>
      <c r="S240" s="93"/>
    </row>
    <row r="241" spans="1:12" x14ac:dyDescent="0.25">
      <c r="A241" s="6"/>
      <c r="B241" s="6"/>
      <c r="C241" s="102"/>
      <c r="D241" s="102"/>
      <c r="E241" s="102"/>
      <c r="F241" s="103"/>
      <c r="G241" s="103"/>
      <c r="H241" s="6"/>
      <c r="I241" s="104"/>
      <c r="J241" s="104"/>
      <c r="K241" s="104"/>
      <c r="L241" s="104"/>
    </row>
    <row r="242" spans="1:12" x14ac:dyDescent="0.25">
      <c r="A242" s="6"/>
      <c r="B242" s="6"/>
      <c r="C242" s="102"/>
      <c r="D242" s="102"/>
      <c r="E242" s="102"/>
      <c r="F242" s="103"/>
      <c r="G242" s="103"/>
      <c r="H242" s="6"/>
      <c r="I242" s="104"/>
      <c r="J242" s="104"/>
      <c r="K242" s="104"/>
      <c r="L242" s="104"/>
    </row>
    <row r="243" spans="1:12" x14ac:dyDescent="0.25">
      <c r="A243" s="6"/>
      <c r="B243" s="6"/>
      <c r="C243" s="102"/>
      <c r="D243" s="102"/>
      <c r="E243" s="102"/>
      <c r="F243" s="103"/>
      <c r="G243" s="103"/>
      <c r="H243" s="6"/>
      <c r="I243" s="104"/>
      <c r="J243" s="104"/>
      <c r="K243" s="104"/>
      <c r="L243" s="104"/>
    </row>
    <row r="244" spans="1:12" x14ac:dyDescent="0.25">
      <c r="A244" s="6"/>
      <c r="B244" s="6"/>
      <c r="C244" s="102"/>
      <c r="D244" s="102"/>
      <c r="E244" s="102"/>
      <c r="F244" s="103"/>
      <c r="G244" s="103"/>
      <c r="H244" s="6"/>
      <c r="I244" s="104"/>
      <c r="J244" s="104"/>
      <c r="K244" s="104"/>
      <c r="L244" s="104"/>
    </row>
    <row r="245" spans="1:12" x14ac:dyDescent="0.25">
      <c r="A245" s="6"/>
      <c r="B245" s="6"/>
      <c r="C245" s="102"/>
      <c r="D245" s="102"/>
      <c r="E245" s="102"/>
      <c r="F245" s="103"/>
      <c r="G245" s="103"/>
      <c r="H245" s="6"/>
      <c r="I245" s="104"/>
      <c r="J245" s="104"/>
      <c r="K245" s="104"/>
      <c r="L245" s="104"/>
    </row>
    <row r="246" spans="1:12" x14ac:dyDescent="0.25">
      <c r="A246" s="6"/>
      <c r="B246" s="6"/>
      <c r="C246" s="102"/>
      <c r="D246" s="102"/>
      <c r="E246" s="102"/>
      <c r="F246" s="103"/>
      <c r="G246" s="103"/>
      <c r="H246" s="6"/>
      <c r="I246" s="104"/>
      <c r="J246" s="104"/>
      <c r="K246" s="104"/>
      <c r="L246" s="104"/>
    </row>
    <row r="247" spans="1:12" x14ac:dyDescent="0.25">
      <c r="A247" s="6"/>
      <c r="B247" s="6"/>
      <c r="C247" s="102"/>
      <c r="D247" s="102"/>
      <c r="E247" s="102"/>
      <c r="F247" s="103"/>
      <c r="G247" s="103"/>
      <c r="H247" s="6"/>
      <c r="I247" s="104"/>
      <c r="J247" s="104"/>
      <c r="K247" s="104"/>
      <c r="L247" s="104"/>
    </row>
    <row r="248" spans="1:12" x14ac:dyDescent="0.25">
      <c r="A248" s="6"/>
      <c r="B248" s="6"/>
      <c r="C248" s="102"/>
      <c r="D248" s="102"/>
      <c r="E248" s="102"/>
      <c r="F248" s="103"/>
      <c r="G248" s="103"/>
      <c r="H248" s="6"/>
      <c r="I248" s="104"/>
      <c r="J248" s="104"/>
      <c r="K248" s="104"/>
      <c r="L248" s="104"/>
    </row>
    <row r="249" spans="1:12" x14ac:dyDescent="0.25">
      <c r="A249" s="6"/>
      <c r="B249" s="6"/>
      <c r="C249" s="102"/>
      <c r="D249" s="102"/>
      <c r="E249" s="102"/>
      <c r="F249" s="103"/>
      <c r="G249" s="103"/>
      <c r="H249" s="6"/>
      <c r="I249" s="104"/>
      <c r="J249" s="104"/>
      <c r="K249" s="104"/>
      <c r="L249" s="104"/>
    </row>
    <row r="250" spans="1:12" x14ac:dyDescent="0.25">
      <c r="A250" s="6"/>
      <c r="B250" s="6"/>
      <c r="C250" s="102"/>
      <c r="D250" s="102"/>
      <c r="E250" s="102"/>
      <c r="F250" s="103"/>
      <c r="G250" s="103"/>
      <c r="H250" s="6"/>
      <c r="I250" s="104"/>
      <c r="J250" s="104"/>
      <c r="K250" s="104"/>
      <c r="L250" s="104"/>
    </row>
    <row r="251" spans="1:12" x14ac:dyDescent="0.25">
      <c r="A251" s="6"/>
      <c r="B251" s="6"/>
      <c r="C251" s="102"/>
      <c r="D251" s="102"/>
      <c r="E251" s="102"/>
      <c r="F251" s="103"/>
      <c r="G251" s="103"/>
      <c r="H251" s="6"/>
      <c r="I251" s="104"/>
      <c r="J251" s="104"/>
      <c r="K251" s="104"/>
      <c r="L251" s="104"/>
    </row>
    <row r="252" spans="1:12" x14ac:dyDescent="0.25">
      <c r="A252" s="6"/>
      <c r="B252" s="6"/>
      <c r="C252" s="102"/>
      <c r="D252" s="102"/>
      <c r="E252" s="102"/>
      <c r="F252" s="103"/>
      <c r="G252" s="103"/>
      <c r="H252" s="6"/>
      <c r="I252" s="104"/>
      <c r="J252" s="104"/>
      <c r="K252" s="104"/>
      <c r="L252" s="104"/>
    </row>
    <row r="253" spans="1:12" x14ac:dyDescent="0.25">
      <c r="A253" s="6"/>
      <c r="B253" s="6"/>
      <c r="C253" s="102"/>
      <c r="D253" s="102"/>
      <c r="E253" s="102"/>
      <c r="F253" s="103"/>
      <c r="G253" s="103"/>
      <c r="H253" s="6"/>
      <c r="I253" s="104"/>
      <c r="J253" s="104"/>
      <c r="K253" s="104"/>
      <c r="L253" s="104"/>
    </row>
    <row r="254" spans="1:12" x14ac:dyDescent="0.25">
      <c r="A254" s="6"/>
      <c r="B254" s="6"/>
      <c r="C254" s="102"/>
      <c r="D254" s="102"/>
      <c r="E254" s="102"/>
      <c r="F254" s="103"/>
      <c r="G254" s="103"/>
      <c r="H254" s="6"/>
      <c r="I254" s="104"/>
      <c r="J254" s="104"/>
      <c r="K254" s="104"/>
      <c r="L254" s="104"/>
    </row>
    <row r="255" spans="1:12" x14ac:dyDescent="0.25">
      <c r="A255" s="6"/>
      <c r="B255" s="6"/>
      <c r="C255" s="102"/>
      <c r="D255" s="102"/>
      <c r="E255" s="102"/>
      <c r="F255" s="103"/>
      <c r="G255" s="103"/>
      <c r="H255" s="6"/>
      <c r="I255" s="104"/>
      <c r="J255" s="104"/>
      <c r="K255" s="104"/>
      <c r="L255" s="104"/>
    </row>
    <row r="256" spans="1:12" x14ac:dyDescent="0.25">
      <c r="A256" s="6"/>
      <c r="B256" s="6"/>
      <c r="C256" s="102"/>
      <c r="D256" s="102"/>
      <c r="E256" s="102"/>
      <c r="F256" s="103"/>
      <c r="G256" s="103"/>
      <c r="H256" s="6"/>
      <c r="I256" s="104"/>
      <c r="J256" s="104"/>
      <c r="K256" s="104"/>
      <c r="L256" s="104"/>
    </row>
    <row r="257" spans="1:12" x14ac:dyDescent="0.25">
      <c r="A257" s="6"/>
      <c r="B257" s="6"/>
      <c r="C257" s="102"/>
      <c r="D257" s="102"/>
      <c r="E257" s="102"/>
      <c r="F257" s="103"/>
      <c r="G257" s="103"/>
      <c r="H257" s="6"/>
      <c r="I257" s="104"/>
      <c r="J257" s="104"/>
      <c r="K257" s="104"/>
      <c r="L257" s="104"/>
    </row>
    <row r="258" spans="1:12" x14ac:dyDescent="0.25">
      <c r="A258" s="6"/>
      <c r="B258" s="6"/>
      <c r="C258" s="102"/>
      <c r="D258" s="102"/>
      <c r="E258" s="102"/>
      <c r="F258" s="103"/>
      <c r="G258" s="103"/>
      <c r="H258" s="6"/>
      <c r="I258" s="104"/>
      <c r="J258" s="104"/>
      <c r="K258" s="104"/>
      <c r="L258" s="104"/>
    </row>
    <row r="259" spans="1:12" x14ac:dyDescent="0.25">
      <c r="A259" s="6"/>
      <c r="B259" s="6"/>
      <c r="C259" s="102"/>
      <c r="D259" s="102"/>
      <c r="E259" s="102"/>
      <c r="F259" s="103"/>
      <c r="G259" s="103"/>
      <c r="H259" s="6"/>
      <c r="I259" s="104"/>
      <c r="J259" s="104"/>
      <c r="K259" s="104"/>
      <c r="L259" s="104"/>
    </row>
    <row r="260" spans="1:12" x14ac:dyDescent="0.25">
      <c r="A260" s="6"/>
      <c r="B260" s="6"/>
      <c r="C260" s="102"/>
      <c r="D260" s="102"/>
      <c r="E260" s="102"/>
      <c r="F260" s="103"/>
      <c r="G260" s="103"/>
      <c r="H260" s="6"/>
      <c r="I260" s="104"/>
      <c r="J260" s="104"/>
      <c r="K260" s="104"/>
      <c r="L260" s="104"/>
    </row>
    <row r="261" spans="1:12" x14ac:dyDescent="0.25">
      <c r="A261" s="6"/>
      <c r="B261" s="6"/>
      <c r="C261" s="102"/>
      <c r="D261" s="102"/>
      <c r="E261" s="102"/>
      <c r="F261" s="103"/>
      <c r="G261" s="103"/>
      <c r="H261" s="6"/>
      <c r="I261" s="104"/>
      <c r="J261" s="104"/>
      <c r="K261" s="104"/>
      <c r="L261" s="104"/>
    </row>
    <row r="262" spans="1:12" x14ac:dyDescent="0.25">
      <c r="A262" s="6"/>
      <c r="B262" s="6"/>
      <c r="C262" s="102"/>
      <c r="D262" s="102"/>
      <c r="E262" s="102"/>
      <c r="F262" s="103"/>
      <c r="G262" s="103"/>
      <c r="H262" s="6"/>
      <c r="I262" s="104"/>
      <c r="J262" s="104"/>
      <c r="K262" s="104"/>
      <c r="L262" s="104"/>
    </row>
    <row r="263" spans="1:12" x14ac:dyDescent="0.25">
      <c r="A263" s="6"/>
      <c r="B263" s="6"/>
      <c r="C263" s="102"/>
      <c r="D263" s="102"/>
      <c r="E263" s="102"/>
      <c r="F263" s="103"/>
      <c r="G263" s="103"/>
      <c r="H263" s="6"/>
      <c r="I263" s="104"/>
      <c r="J263" s="104"/>
      <c r="K263" s="104"/>
      <c r="L263" s="104"/>
    </row>
    <row r="264" spans="1:12" x14ac:dyDescent="0.25">
      <c r="A264" s="6"/>
      <c r="B264" s="6"/>
      <c r="C264" s="102"/>
      <c r="D264" s="102"/>
      <c r="E264" s="102"/>
      <c r="F264" s="103"/>
      <c r="G264" s="103"/>
      <c r="H264" s="6"/>
      <c r="I264" s="104"/>
      <c r="J264" s="104"/>
      <c r="K264" s="104"/>
      <c r="L264" s="104"/>
    </row>
    <row r="265" spans="1:12" x14ac:dyDescent="0.25">
      <c r="A265" s="6"/>
      <c r="B265" s="6"/>
      <c r="C265" s="102"/>
      <c r="D265" s="102"/>
      <c r="E265" s="102"/>
      <c r="F265" s="103"/>
      <c r="G265" s="103"/>
      <c r="H265" s="6"/>
      <c r="I265" s="104"/>
      <c r="J265" s="104"/>
      <c r="K265" s="104"/>
      <c r="L265" s="104"/>
    </row>
    <row r="266" spans="1:12" x14ac:dyDescent="0.25">
      <c r="A266" s="6"/>
      <c r="B266" s="6"/>
      <c r="C266" s="102"/>
      <c r="D266" s="102"/>
      <c r="E266" s="102"/>
      <c r="F266" s="103"/>
      <c r="G266" s="103"/>
      <c r="H266" s="6"/>
      <c r="I266" s="104"/>
      <c r="J266" s="104"/>
      <c r="K266" s="104"/>
      <c r="L266" s="104"/>
    </row>
    <row r="267" spans="1:12" x14ac:dyDescent="0.25">
      <c r="A267" s="6"/>
      <c r="B267" s="6"/>
      <c r="C267" s="102"/>
      <c r="D267" s="102"/>
      <c r="E267" s="102"/>
      <c r="F267" s="103"/>
      <c r="G267" s="103"/>
      <c r="H267" s="6"/>
      <c r="I267" s="104"/>
      <c r="J267" s="104"/>
      <c r="K267" s="104"/>
      <c r="L267" s="104"/>
    </row>
    <row r="268" spans="1:12" x14ac:dyDescent="0.25">
      <c r="A268" s="6"/>
      <c r="B268" s="6"/>
      <c r="C268" s="102"/>
      <c r="D268" s="102"/>
      <c r="E268" s="102"/>
      <c r="F268" s="103"/>
      <c r="G268" s="103"/>
      <c r="H268" s="6"/>
      <c r="I268" s="104"/>
      <c r="J268" s="104"/>
      <c r="K268" s="104"/>
      <c r="L268" s="104"/>
    </row>
    <row r="269" spans="1:12" x14ac:dyDescent="0.25">
      <c r="A269" s="6"/>
      <c r="B269" s="6"/>
      <c r="C269" s="102"/>
      <c r="D269" s="102"/>
      <c r="E269" s="102"/>
      <c r="F269" s="103"/>
      <c r="G269" s="103"/>
      <c r="H269" s="6"/>
      <c r="I269" s="104"/>
      <c r="J269" s="104"/>
      <c r="K269" s="104"/>
      <c r="L269" s="104"/>
    </row>
    <row r="270" spans="1:12" x14ac:dyDescent="0.25">
      <c r="A270" s="6"/>
      <c r="B270" s="6"/>
      <c r="C270" s="102"/>
      <c r="D270" s="102"/>
      <c r="E270" s="102"/>
      <c r="F270" s="103"/>
      <c r="G270" s="103"/>
      <c r="H270" s="6"/>
      <c r="I270" s="104"/>
      <c r="J270" s="104"/>
      <c r="K270" s="104"/>
      <c r="L270" s="104"/>
    </row>
    <row r="271" spans="1:12" x14ac:dyDescent="0.25">
      <c r="A271" s="6"/>
      <c r="B271" s="6"/>
      <c r="C271" s="102"/>
      <c r="D271" s="102"/>
      <c r="E271" s="102"/>
      <c r="F271" s="103"/>
      <c r="G271" s="103"/>
      <c r="H271" s="6"/>
      <c r="I271" s="104"/>
      <c r="J271" s="104"/>
      <c r="K271" s="104"/>
      <c r="L271" s="104"/>
    </row>
    <row r="272" spans="1:12" x14ac:dyDescent="0.25">
      <c r="A272" s="6"/>
      <c r="B272" s="6"/>
      <c r="C272" s="102"/>
      <c r="D272" s="102"/>
      <c r="E272" s="102"/>
      <c r="F272" s="103"/>
      <c r="G272" s="103"/>
      <c r="H272" s="6"/>
      <c r="I272" s="104"/>
      <c r="J272" s="104"/>
      <c r="K272" s="104"/>
      <c r="L272" s="104"/>
    </row>
    <row r="273" spans="1:12" x14ac:dyDescent="0.25">
      <c r="A273" s="6"/>
      <c r="B273" s="6"/>
      <c r="C273" s="102"/>
      <c r="D273" s="102"/>
      <c r="E273" s="102"/>
      <c r="F273" s="103"/>
      <c r="G273" s="103"/>
      <c r="H273" s="6"/>
      <c r="I273" s="104"/>
      <c r="J273" s="104"/>
      <c r="K273" s="104"/>
      <c r="L273" s="104"/>
    </row>
    <row r="274" spans="1:12" x14ac:dyDescent="0.25">
      <c r="A274" s="6"/>
      <c r="B274" s="6"/>
      <c r="C274" s="102"/>
      <c r="D274" s="102"/>
      <c r="E274" s="102"/>
      <c r="F274" s="103"/>
      <c r="G274" s="103"/>
      <c r="H274" s="6"/>
      <c r="I274" s="104"/>
      <c r="J274" s="104"/>
      <c r="K274" s="104"/>
      <c r="L274" s="104"/>
    </row>
    <row r="275" spans="1:12" x14ac:dyDescent="0.25">
      <c r="A275" s="6"/>
      <c r="B275" s="6"/>
      <c r="C275" s="102"/>
      <c r="D275" s="102"/>
      <c r="E275" s="102"/>
      <c r="F275" s="103"/>
      <c r="G275" s="103"/>
      <c r="H275" s="6"/>
      <c r="I275" s="104"/>
      <c r="J275" s="104"/>
      <c r="K275" s="104"/>
      <c r="L275" s="104"/>
    </row>
    <row r="276" spans="1:12" x14ac:dyDescent="0.25">
      <c r="A276" s="6"/>
      <c r="B276" s="6"/>
      <c r="C276" s="102"/>
      <c r="D276" s="102"/>
      <c r="E276" s="102"/>
      <c r="F276" s="103"/>
      <c r="G276" s="103"/>
      <c r="H276" s="6"/>
      <c r="I276" s="104"/>
      <c r="J276" s="104"/>
      <c r="K276" s="104"/>
      <c r="L276" s="104"/>
    </row>
    <row r="277" spans="1:12" x14ac:dyDescent="0.25">
      <c r="A277" s="6"/>
      <c r="B277" s="6"/>
      <c r="C277" s="102"/>
      <c r="D277" s="102"/>
      <c r="E277" s="102"/>
      <c r="F277" s="103"/>
      <c r="G277" s="103"/>
      <c r="H277" s="6"/>
      <c r="I277" s="104"/>
      <c r="J277" s="104"/>
      <c r="K277" s="104"/>
      <c r="L277" s="104"/>
    </row>
    <row r="278" spans="1:12" x14ac:dyDescent="0.25">
      <c r="A278" s="6"/>
      <c r="B278" s="6"/>
      <c r="C278" s="102"/>
      <c r="D278" s="102"/>
      <c r="E278" s="102"/>
      <c r="F278" s="103"/>
      <c r="G278" s="103"/>
      <c r="H278" s="6"/>
      <c r="I278" s="104"/>
      <c r="J278" s="104"/>
      <c r="K278" s="104"/>
      <c r="L278" s="104"/>
    </row>
    <row r="279" spans="1:12" x14ac:dyDescent="0.25">
      <c r="A279" s="6"/>
      <c r="B279" s="6"/>
      <c r="C279" s="102"/>
      <c r="D279" s="102"/>
      <c r="E279" s="102"/>
      <c r="F279" s="103"/>
      <c r="G279" s="103"/>
      <c r="H279" s="6"/>
      <c r="I279" s="104"/>
      <c r="J279" s="104"/>
      <c r="K279" s="104"/>
      <c r="L279" s="104"/>
    </row>
    <row r="280" spans="1:12" x14ac:dyDescent="0.25">
      <c r="A280" s="6"/>
      <c r="B280" s="6"/>
      <c r="C280" s="102"/>
      <c r="D280" s="102"/>
      <c r="E280" s="102"/>
      <c r="F280" s="103"/>
      <c r="G280" s="103"/>
      <c r="H280" s="6"/>
      <c r="I280" s="104"/>
      <c r="J280" s="104"/>
      <c r="K280" s="104"/>
      <c r="L280" s="104"/>
    </row>
    <row r="281" spans="1:12" x14ac:dyDescent="0.25">
      <c r="A281" s="6"/>
      <c r="B281" s="6"/>
      <c r="C281" s="102"/>
      <c r="D281" s="102"/>
      <c r="E281" s="102"/>
      <c r="F281" s="103"/>
      <c r="G281" s="103"/>
      <c r="H281" s="6"/>
      <c r="I281" s="104"/>
      <c r="J281" s="104"/>
      <c r="K281" s="104"/>
      <c r="L281" s="104"/>
    </row>
    <row r="282" spans="1:12" x14ac:dyDescent="0.25">
      <c r="A282" s="6"/>
      <c r="B282" s="6"/>
      <c r="C282" s="102"/>
      <c r="D282" s="102"/>
      <c r="E282" s="102"/>
      <c r="F282" s="103"/>
      <c r="G282" s="103"/>
      <c r="H282" s="6"/>
      <c r="I282" s="104"/>
      <c r="J282" s="104"/>
      <c r="K282" s="104"/>
      <c r="L282" s="104"/>
    </row>
    <row r="283" spans="1:12" x14ac:dyDescent="0.25">
      <c r="A283" s="6"/>
      <c r="B283" s="6"/>
      <c r="C283" s="102"/>
      <c r="D283" s="102"/>
      <c r="E283" s="102"/>
      <c r="F283" s="103"/>
      <c r="G283" s="103"/>
      <c r="H283" s="6"/>
      <c r="I283" s="104"/>
      <c r="J283" s="104"/>
      <c r="K283" s="104"/>
      <c r="L283" s="104"/>
    </row>
    <row r="284" spans="1:12" x14ac:dyDescent="0.25">
      <c r="A284" s="6"/>
      <c r="B284" s="6"/>
      <c r="C284" s="102"/>
      <c r="D284" s="102"/>
      <c r="E284" s="102"/>
      <c r="F284" s="103"/>
      <c r="G284" s="103"/>
      <c r="H284" s="6"/>
      <c r="I284" s="104"/>
      <c r="J284" s="104"/>
      <c r="K284" s="104"/>
      <c r="L284" s="104"/>
    </row>
    <row r="285" spans="1:12" x14ac:dyDescent="0.25">
      <c r="A285" s="6"/>
      <c r="B285" s="6"/>
      <c r="C285" s="102"/>
      <c r="D285" s="102"/>
      <c r="E285" s="102"/>
      <c r="F285" s="103"/>
      <c r="G285" s="103"/>
      <c r="H285" s="6"/>
      <c r="I285" s="104"/>
      <c r="J285" s="104"/>
      <c r="K285" s="104"/>
      <c r="L285" s="104"/>
    </row>
    <row r="286" spans="1:12" x14ac:dyDescent="0.25">
      <c r="A286" s="6"/>
      <c r="B286" s="6"/>
      <c r="C286" s="102"/>
      <c r="D286" s="102"/>
      <c r="E286" s="102"/>
      <c r="F286" s="103"/>
      <c r="G286" s="103"/>
      <c r="H286" s="6"/>
      <c r="I286" s="104"/>
      <c r="J286" s="104"/>
      <c r="K286" s="104"/>
      <c r="L286" s="104"/>
    </row>
    <row r="287" spans="1:12" x14ac:dyDescent="0.25">
      <c r="A287" s="6"/>
      <c r="B287" s="6"/>
      <c r="C287" s="102"/>
      <c r="D287" s="102"/>
      <c r="E287" s="102"/>
      <c r="F287" s="103"/>
      <c r="G287" s="103"/>
      <c r="H287" s="6"/>
      <c r="I287" s="104"/>
      <c r="J287" s="104"/>
      <c r="K287" s="104"/>
      <c r="L287" s="104"/>
    </row>
    <row r="288" spans="1:12" x14ac:dyDescent="0.25">
      <c r="A288" s="6"/>
      <c r="B288" s="6"/>
      <c r="C288" s="102"/>
      <c r="D288" s="102"/>
      <c r="E288" s="102"/>
      <c r="F288" s="103"/>
      <c r="G288" s="103"/>
      <c r="H288" s="6"/>
      <c r="I288" s="104"/>
      <c r="J288" s="104"/>
      <c r="K288" s="104"/>
      <c r="L288" s="104"/>
    </row>
    <row r="289" spans="1:12" x14ac:dyDescent="0.25">
      <c r="A289" s="6"/>
      <c r="B289" s="6"/>
      <c r="C289" s="102"/>
      <c r="D289" s="102"/>
      <c r="E289" s="102"/>
      <c r="F289" s="103"/>
      <c r="G289" s="103"/>
      <c r="H289" s="6"/>
      <c r="I289" s="104"/>
      <c r="J289" s="104"/>
      <c r="K289" s="104"/>
      <c r="L289" s="104"/>
    </row>
    <row r="290" spans="1:12" x14ac:dyDescent="0.25">
      <c r="A290" s="6"/>
      <c r="B290" s="6"/>
      <c r="C290" s="102"/>
      <c r="D290" s="102"/>
      <c r="E290" s="102"/>
      <c r="F290" s="103"/>
      <c r="G290" s="103"/>
      <c r="H290" s="6"/>
      <c r="I290" s="104"/>
      <c r="J290" s="104"/>
      <c r="K290" s="104"/>
      <c r="L290" s="104"/>
    </row>
    <row r="291" spans="1:12" x14ac:dyDescent="0.25">
      <c r="A291" s="6"/>
      <c r="B291" s="6"/>
      <c r="C291" s="102"/>
      <c r="D291" s="102"/>
      <c r="E291" s="102"/>
      <c r="F291" s="103"/>
      <c r="G291" s="103"/>
      <c r="H291" s="6"/>
      <c r="I291" s="104"/>
      <c r="J291" s="104"/>
      <c r="K291" s="104"/>
      <c r="L291" s="104"/>
    </row>
    <row r="292" spans="1:12" x14ac:dyDescent="0.25">
      <c r="A292" s="6"/>
      <c r="B292" s="6"/>
      <c r="C292" s="102"/>
      <c r="D292" s="102"/>
      <c r="E292" s="102"/>
      <c r="F292" s="103"/>
      <c r="G292" s="103"/>
      <c r="H292" s="6"/>
      <c r="I292" s="104"/>
      <c r="J292" s="104"/>
      <c r="K292" s="104"/>
      <c r="L292" s="104"/>
    </row>
    <row r="293" spans="1:12" x14ac:dyDescent="0.25">
      <c r="A293" s="6"/>
      <c r="B293" s="6"/>
      <c r="C293" s="102"/>
      <c r="D293" s="102"/>
      <c r="E293" s="102"/>
      <c r="F293" s="103"/>
      <c r="G293" s="103"/>
      <c r="H293" s="6"/>
      <c r="I293" s="104"/>
      <c r="J293" s="104"/>
      <c r="K293" s="104"/>
      <c r="L293" s="104"/>
    </row>
    <row r="294" spans="1:12" x14ac:dyDescent="0.25">
      <c r="A294" s="6"/>
      <c r="B294" s="6"/>
      <c r="C294" s="102"/>
      <c r="D294" s="102"/>
      <c r="E294" s="102"/>
      <c r="F294" s="103"/>
      <c r="G294" s="103"/>
      <c r="H294" s="6"/>
      <c r="I294" s="104"/>
      <c r="J294" s="104"/>
      <c r="K294" s="104"/>
      <c r="L294" s="104"/>
    </row>
    <row r="295" spans="1:12" x14ac:dyDescent="0.25">
      <c r="A295" s="6"/>
      <c r="B295" s="6"/>
      <c r="C295" s="102"/>
      <c r="D295" s="102"/>
      <c r="E295" s="102"/>
      <c r="F295" s="103"/>
      <c r="G295" s="103"/>
      <c r="H295" s="6"/>
      <c r="I295" s="104"/>
      <c r="J295" s="104"/>
      <c r="K295" s="104"/>
      <c r="L295" s="104"/>
    </row>
    <row r="296" spans="1:12" x14ac:dyDescent="0.25">
      <c r="A296" s="6"/>
      <c r="B296" s="6"/>
      <c r="C296" s="102"/>
      <c r="D296" s="102"/>
      <c r="E296" s="102"/>
      <c r="F296" s="103"/>
      <c r="G296" s="103"/>
      <c r="H296" s="6"/>
      <c r="I296" s="104"/>
      <c r="J296" s="104"/>
      <c r="K296" s="104"/>
      <c r="L296" s="104"/>
    </row>
    <row r="297" spans="1:12" x14ac:dyDescent="0.25">
      <c r="A297" s="6"/>
      <c r="B297" s="6"/>
      <c r="C297" s="102"/>
      <c r="D297" s="102"/>
      <c r="E297" s="102"/>
      <c r="F297" s="103"/>
      <c r="G297" s="103"/>
      <c r="H297" s="6"/>
      <c r="I297" s="104"/>
      <c r="J297" s="104"/>
      <c r="K297" s="104"/>
      <c r="L297" s="104"/>
    </row>
    <row r="298" spans="1:12" x14ac:dyDescent="0.25">
      <c r="A298" s="6"/>
      <c r="B298" s="6"/>
      <c r="C298" s="102"/>
      <c r="D298" s="102"/>
      <c r="E298" s="102"/>
      <c r="F298" s="103"/>
      <c r="G298" s="103"/>
      <c r="H298" s="6"/>
      <c r="I298" s="104"/>
      <c r="J298" s="104"/>
      <c r="K298" s="104"/>
      <c r="L298" s="104"/>
    </row>
    <row r="299" spans="1:12" x14ac:dyDescent="0.25">
      <c r="A299" s="6"/>
      <c r="B299" s="6"/>
      <c r="C299" s="102"/>
      <c r="D299" s="102"/>
      <c r="E299" s="102"/>
      <c r="F299" s="103"/>
      <c r="G299" s="103"/>
      <c r="H299" s="6"/>
      <c r="I299" s="104"/>
      <c r="J299" s="104"/>
      <c r="K299" s="104"/>
      <c r="L299" s="104"/>
    </row>
    <row r="300" spans="1:12" x14ac:dyDescent="0.25">
      <c r="A300" s="6"/>
      <c r="B300" s="6"/>
      <c r="C300" s="102"/>
      <c r="D300" s="102"/>
      <c r="E300" s="102"/>
      <c r="F300" s="103"/>
      <c r="G300" s="103"/>
      <c r="H300" s="6"/>
      <c r="I300" s="104"/>
      <c r="J300" s="104"/>
      <c r="K300" s="104"/>
      <c r="L300" s="104"/>
    </row>
    <row r="301" spans="1:12" x14ac:dyDescent="0.25">
      <c r="A301" s="6"/>
      <c r="B301" s="6"/>
      <c r="C301" s="102"/>
      <c r="D301" s="102"/>
      <c r="E301" s="102"/>
      <c r="F301" s="103"/>
      <c r="G301" s="103"/>
      <c r="H301" s="6"/>
      <c r="I301" s="104"/>
      <c r="J301" s="104"/>
      <c r="K301" s="104"/>
      <c r="L301" s="104"/>
    </row>
    <row r="302" spans="1:12" x14ac:dyDescent="0.25">
      <c r="A302" s="6"/>
      <c r="B302" s="6"/>
      <c r="C302" s="102"/>
      <c r="D302" s="102"/>
      <c r="E302" s="102"/>
      <c r="F302" s="103"/>
      <c r="G302" s="103"/>
      <c r="H302" s="6"/>
      <c r="I302" s="104"/>
      <c r="J302" s="104"/>
      <c r="K302" s="104"/>
      <c r="L302" s="104"/>
    </row>
    <row r="303" spans="1:12" x14ac:dyDescent="0.25">
      <c r="A303" s="6"/>
      <c r="B303" s="6"/>
      <c r="C303" s="102"/>
      <c r="D303" s="102"/>
      <c r="E303" s="102"/>
      <c r="F303" s="103"/>
      <c r="G303" s="103"/>
      <c r="H303" s="6"/>
      <c r="I303" s="104"/>
      <c r="J303" s="104"/>
      <c r="K303" s="104"/>
      <c r="L303" s="104"/>
    </row>
    <row r="304" spans="1:12" x14ac:dyDescent="0.25">
      <c r="A304" s="6"/>
      <c r="B304" s="6"/>
      <c r="C304" s="102"/>
      <c r="D304" s="102"/>
      <c r="E304" s="102"/>
      <c r="F304" s="103"/>
      <c r="G304" s="103"/>
      <c r="H304" s="6"/>
      <c r="I304" s="104"/>
      <c r="J304" s="104"/>
      <c r="K304" s="104"/>
      <c r="L304" s="104"/>
    </row>
    <row r="305" spans="1:12" x14ac:dyDescent="0.25">
      <c r="A305" s="6"/>
      <c r="B305" s="6"/>
      <c r="C305" s="102"/>
      <c r="D305" s="102"/>
      <c r="E305" s="102"/>
      <c r="F305" s="103"/>
      <c r="G305" s="103"/>
      <c r="H305" s="6"/>
      <c r="I305" s="104"/>
      <c r="J305" s="104"/>
      <c r="K305" s="104"/>
      <c r="L305" s="104"/>
    </row>
    <row r="306" spans="1:12" x14ac:dyDescent="0.25">
      <c r="A306" s="6"/>
      <c r="B306" s="6"/>
      <c r="C306" s="102"/>
      <c r="D306" s="102"/>
      <c r="E306" s="102"/>
      <c r="F306" s="103"/>
      <c r="G306" s="103"/>
      <c r="H306" s="6"/>
      <c r="I306" s="104"/>
      <c r="J306" s="104"/>
      <c r="K306" s="104"/>
      <c r="L306" s="104"/>
    </row>
    <row r="307" spans="1:12" x14ac:dyDescent="0.25">
      <c r="A307" s="6"/>
      <c r="B307" s="6"/>
      <c r="C307" s="102"/>
      <c r="D307" s="102"/>
      <c r="E307" s="102"/>
      <c r="F307" s="103"/>
      <c r="G307" s="103"/>
      <c r="H307" s="6"/>
      <c r="I307" s="104"/>
      <c r="J307" s="104"/>
      <c r="K307" s="104"/>
      <c r="L307" s="104"/>
    </row>
    <row r="308" spans="1:12" x14ac:dyDescent="0.25">
      <c r="A308" s="6"/>
      <c r="B308" s="6"/>
      <c r="C308" s="102"/>
      <c r="D308" s="102"/>
      <c r="E308" s="102"/>
      <c r="F308" s="103"/>
      <c r="G308" s="103"/>
      <c r="H308" s="6"/>
      <c r="I308" s="104"/>
      <c r="J308" s="104"/>
      <c r="K308" s="104"/>
      <c r="L308" s="104"/>
    </row>
    <row r="309" spans="1:12" x14ac:dyDescent="0.25">
      <c r="A309" s="6"/>
      <c r="B309" s="6"/>
      <c r="C309" s="102"/>
      <c r="D309" s="102"/>
      <c r="E309" s="102"/>
      <c r="F309" s="103"/>
      <c r="G309" s="103"/>
      <c r="H309" s="6"/>
      <c r="I309" s="104"/>
      <c r="J309" s="104"/>
      <c r="K309" s="104"/>
      <c r="L309" s="104"/>
    </row>
    <row r="310" spans="1:12" x14ac:dyDescent="0.25">
      <c r="A310" s="6"/>
      <c r="B310" s="6"/>
      <c r="C310" s="102"/>
      <c r="D310" s="102"/>
      <c r="E310" s="102"/>
      <c r="F310" s="103"/>
      <c r="G310" s="103"/>
      <c r="H310" s="6"/>
      <c r="I310" s="104"/>
      <c r="J310" s="104"/>
      <c r="K310" s="104"/>
      <c r="L310" s="104"/>
    </row>
    <row r="311" spans="1:12" x14ac:dyDescent="0.25">
      <c r="A311" s="6"/>
      <c r="B311" s="6"/>
      <c r="C311" s="102"/>
      <c r="D311" s="102"/>
      <c r="E311" s="102"/>
      <c r="F311" s="103"/>
      <c r="G311" s="103"/>
      <c r="H311" s="6"/>
      <c r="I311" s="104"/>
      <c r="J311" s="104"/>
      <c r="K311" s="104"/>
      <c r="L311" s="104"/>
    </row>
    <row r="312" spans="1:12" x14ac:dyDescent="0.25">
      <c r="A312" s="6"/>
      <c r="B312" s="6"/>
      <c r="C312" s="102"/>
      <c r="D312" s="102"/>
      <c r="E312" s="102"/>
      <c r="F312" s="103"/>
      <c r="G312" s="103"/>
      <c r="H312" s="6"/>
      <c r="I312" s="104"/>
      <c r="J312" s="104"/>
      <c r="K312" s="104"/>
      <c r="L312" s="104"/>
    </row>
    <row r="313" spans="1:12" x14ac:dyDescent="0.25">
      <c r="A313" s="6"/>
      <c r="B313" s="6"/>
      <c r="C313" s="102"/>
      <c r="D313" s="102"/>
      <c r="E313" s="102"/>
      <c r="F313" s="103"/>
      <c r="G313" s="103"/>
      <c r="H313" s="6"/>
      <c r="I313" s="104"/>
      <c r="J313" s="104"/>
      <c r="K313" s="104"/>
      <c r="L313" s="104"/>
    </row>
    <row r="314" spans="1:12" x14ac:dyDescent="0.25">
      <c r="A314" s="6"/>
      <c r="B314" s="6"/>
      <c r="C314" s="102"/>
      <c r="D314" s="102"/>
      <c r="E314" s="102"/>
      <c r="F314" s="103"/>
      <c r="G314" s="103"/>
      <c r="H314" s="6"/>
      <c r="I314" s="104"/>
      <c r="J314" s="104"/>
      <c r="K314" s="104"/>
      <c r="L314" s="104"/>
    </row>
    <row r="315" spans="1:12" x14ac:dyDescent="0.25">
      <c r="A315" s="6"/>
      <c r="B315" s="6"/>
      <c r="C315" s="102"/>
      <c r="D315" s="102"/>
      <c r="E315" s="102"/>
      <c r="F315" s="103"/>
      <c r="G315" s="103"/>
      <c r="H315" s="6"/>
      <c r="I315" s="104"/>
      <c r="J315" s="104"/>
      <c r="K315" s="104"/>
      <c r="L315" s="104"/>
    </row>
    <row r="316" spans="1:12" x14ac:dyDescent="0.25">
      <c r="A316" s="6"/>
      <c r="B316" s="6"/>
      <c r="C316" s="102"/>
      <c r="D316" s="102"/>
      <c r="E316" s="102"/>
      <c r="F316" s="103"/>
      <c r="G316" s="103"/>
      <c r="H316" s="6"/>
      <c r="I316" s="104"/>
      <c r="J316" s="104"/>
      <c r="K316" s="104"/>
      <c r="L316" s="104"/>
    </row>
    <row r="317" spans="1:12" x14ac:dyDescent="0.25">
      <c r="A317" s="6"/>
      <c r="B317" s="6"/>
      <c r="C317" s="102"/>
      <c r="D317" s="102"/>
      <c r="E317" s="102"/>
      <c r="F317" s="103"/>
      <c r="G317" s="103"/>
      <c r="H317" s="6"/>
      <c r="I317" s="104"/>
      <c r="J317" s="104"/>
      <c r="K317" s="104"/>
      <c r="L317" s="104"/>
    </row>
    <row r="318" spans="1:12" x14ac:dyDescent="0.25">
      <c r="A318" s="6"/>
      <c r="B318" s="6"/>
      <c r="C318" s="102"/>
      <c r="D318" s="102"/>
      <c r="E318" s="102"/>
      <c r="F318" s="103"/>
      <c r="G318" s="103"/>
      <c r="H318" s="6"/>
      <c r="I318" s="104"/>
      <c r="J318" s="104"/>
      <c r="K318" s="104"/>
      <c r="L318" s="104"/>
    </row>
    <row r="319" spans="1:12" x14ac:dyDescent="0.25">
      <c r="A319" s="6"/>
      <c r="B319" s="6"/>
      <c r="C319" s="102"/>
      <c r="D319" s="102"/>
      <c r="E319" s="102"/>
      <c r="F319" s="103"/>
      <c r="G319" s="103"/>
      <c r="H319" s="6"/>
      <c r="I319" s="104"/>
      <c r="J319" s="104"/>
      <c r="K319" s="104"/>
      <c r="L319" s="104"/>
    </row>
    <row r="320" spans="1:12" x14ac:dyDescent="0.25">
      <c r="A320" s="6"/>
      <c r="B320" s="6"/>
      <c r="C320" s="102"/>
      <c r="D320" s="102"/>
      <c r="E320" s="102"/>
      <c r="F320" s="103"/>
      <c r="G320" s="103"/>
      <c r="H320" s="6"/>
      <c r="I320" s="104"/>
      <c r="J320" s="104"/>
      <c r="K320" s="104"/>
      <c r="L320" s="104"/>
    </row>
    <row r="321" spans="1:12" x14ac:dyDescent="0.25">
      <c r="A321" s="6"/>
      <c r="B321" s="6"/>
      <c r="C321" s="102"/>
      <c r="D321" s="102"/>
      <c r="E321" s="102"/>
      <c r="F321" s="103"/>
      <c r="G321" s="103"/>
      <c r="H321" s="6"/>
      <c r="I321" s="104"/>
      <c r="J321" s="104"/>
      <c r="K321" s="104"/>
      <c r="L321" s="104"/>
    </row>
    <row r="322" spans="1:12" x14ac:dyDescent="0.25">
      <c r="A322" s="6"/>
      <c r="B322" s="6"/>
      <c r="C322" s="102"/>
      <c r="D322" s="102"/>
      <c r="E322" s="102"/>
      <c r="F322" s="103"/>
      <c r="G322" s="103"/>
      <c r="H322" s="6"/>
      <c r="I322" s="104"/>
      <c r="J322" s="104"/>
      <c r="K322" s="104"/>
      <c r="L322" s="104"/>
    </row>
    <row r="323" spans="1:12" x14ac:dyDescent="0.25">
      <c r="A323" s="6"/>
      <c r="B323" s="6"/>
      <c r="C323" s="102"/>
      <c r="D323" s="102"/>
      <c r="E323" s="102"/>
      <c r="F323" s="103"/>
      <c r="G323" s="103"/>
      <c r="H323" s="6"/>
      <c r="I323" s="104"/>
      <c r="J323" s="104"/>
      <c r="K323" s="104"/>
      <c r="L323" s="104"/>
    </row>
    <row r="324" spans="1:12" x14ac:dyDescent="0.25">
      <c r="A324" s="6"/>
      <c r="B324" s="6"/>
      <c r="C324" s="102"/>
      <c r="D324" s="102"/>
      <c r="E324" s="102"/>
      <c r="F324" s="103"/>
      <c r="G324" s="103"/>
      <c r="H324" s="6"/>
      <c r="I324" s="104"/>
      <c r="J324" s="104"/>
      <c r="K324" s="104"/>
      <c r="L324" s="104"/>
    </row>
    <row r="325" spans="1:12" x14ac:dyDescent="0.25">
      <c r="A325" s="6"/>
      <c r="B325" s="6"/>
      <c r="C325" s="102"/>
      <c r="D325" s="102"/>
      <c r="E325" s="102"/>
      <c r="F325" s="103"/>
      <c r="G325" s="103"/>
      <c r="H325" s="6"/>
      <c r="I325" s="104"/>
      <c r="J325" s="104"/>
      <c r="K325" s="104"/>
      <c r="L325" s="104"/>
    </row>
    <row r="326" spans="1:12" x14ac:dyDescent="0.25">
      <c r="A326" s="6"/>
      <c r="B326" s="6"/>
      <c r="C326" s="102"/>
      <c r="D326" s="102"/>
      <c r="E326" s="102"/>
      <c r="F326" s="103"/>
      <c r="G326" s="103"/>
      <c r="H326" s="6"/>
      <c r="I326" s="104"/>
      <c r="J326" s="104"/>
      <c r="K326" s="104"/>
      <c r="L326" s="104"/>
    </row>
    <row r="327" spans="1:12" x14ac:dyDescent="0.25">
      <c r="A327" s="6"/>
      <c r="B327" s="6"/>
      <c r="C327" s="102"/>
      <c r="D327" s="102"/>
      <c r="E327" s="102"/>
      <c r="F327" s="103"/>
      <c r="G327" s="103"/>
      <c r="H327" s="6"/>
      <c r="I327" s="104"/>
      <c r="J327" s="104"/>
      <c r="K327" s="104"/>
      <c r="L327" s="104"/>
    </row>
    <row r="328" spans="1:12" x14ac:dyDescent="0.25">
      <c r="A328" s="6"/>
      <c r="B328" s="6"/>
      <c r="C328" s="102"/>
      <c r="D328" s="102"/>
      <c r="E328" s="102"/>
      <c r="F328" s="103"/>
      <c r="G328" s="103"/>
      <c r="H328" s="6"/>
      <c r="I328" s="104"/>
      <c r="J328" s="104"/>
      <c r="K328" s="104"/>
      <c r="L328" s="104"/>
    </row>
    <row r="329" spans="1:12" x14ac:dyDescent="0.25">
      <c r="A329" s="6"/>
      <c r="B329" s="6"/>
      <c r="C329" s="102"/>
      <c r="D329" s="102"/>
      <c r="E329" s="102"/>
      <c r="F329" s="103"/>
      <c r="G329" s="103"/>
      <c r="H329" s="6"/>
      <c r="I329" s="104"/>
      <c r="J329" s="104"/>
      <c r="K329" s="104"/>
      <c r="L329" s="104"/>
    </row>
    <row r="330" spans="1:12" x14ac:dyDescent="0.25">
      <c r="A330" s="6"/>
      <c r="B330" s="6"/>
      <c r="C330" s="102"/>
      <c r="D330" s="102"/>
      <c r="E330" s="102"/>
      <c r="F330" s="103"/>
      <c r="G330" s="103"/>
      <c r="H330" s="6"/>
      <c r="I330" s="104"/>
      <c r="J330" s="104"/>
      <c r="K330" s="104"/>
      <c r="L330" s="104"/>
    </row>
    <row r="331" spans="1:12" x14ac:dyDescent="0.25">
      <c r="A331" s="6"/>
      <c r="B331" s="6"/>
      <c r="C331" s="102"/>
      <c r="D331" s="102"/>
      <c r="E331" s="102"/>
      <c r="F331" s="103"/>
      <c r="G331" s="103"/>
      <c r="H331" s="6"/>
      <c r="I331" s="104"/>
      <c r="J331" s="104"/>
      <c r="K331" s="104"/>
      <c r="L331" s="104"/>
    </row>
    <row r="332" spans="1:12" x14ac:dyDescent="0.25">
      <c r="A332" s="6"/>
      <c r="B332" s="6"/>
      <c r="C332" s="102"/>
      <c r="D332" s="102"/>
      <c r="E332" s="102"/>
      <c r="F332" s="103"/>
      <c r="G332" s="103"/>
      <c r="H332" s="6"/>
      <c r="I332" s="104"/>
      <c r="J332" s="104"/>
      <c r="K332" s="104"/>
      <c r="L332" s="104"/>
    </row>
    <row r="333" spans="1:12" x14ac:dyDescent="0.25">
      <c r="A333" s="6"/>
      <c r="B333" s="6"/>
      <c r="C333" s="102"/>
      <c r="D333" s="102"/>
      <c r="E333" s="102"/>
      <c r="F333" s="103"/>
      <c r="G333" s="103"/>
      <c r="H333" s="6"/>
      <c r="I333" s="104"/>
      <c r="J333" s="104"/>
      <c r="K333" s="104"/>
      <c r="L333" s="104"/>
    </row>
    <row r="334" spans="1:12" x14ac:dyDescent="0.25">
      <c r="A334" s="6"/>
      <c r="B334" s="6"/>
      <c r="C334" s="102"/>
      <c r="D334" s="102"/>
      <c r="E334" s="102"/>
      <c r="F334" s="103"/>
      <c r="G334" s="103"/>
      <c r="H334" s="6"/>
      <c r="I334" s="104"/>
      <c r="J334" s="104"/>
      <c r="K334" s="104"/>
      <c r="L334" s="104"/>
    </row>
    <row r="335" spans="1:12" x14ac:dyDescent="0.25">
      <c r="A335" s="6"/>
      <c r="B335" s="6"/>
      <c r="C335" s="102"/>
      <c r="D335" s="102"/>
      <c r="E335" s="102"/>
      <c r="F335" s="103"/>
      <c r="G335" s="103"/>
      <c r="H335" s="6"/>
      <c r="I335" s="104"/>
      <c r="J335" s="104"/>
      <c r="K335" s="104"/>
      <c r="L335" s="104"/>
    </row>
    <row r="336" spans="1:12" x14ac:dyDescent="0.25">
      <c r="A336" s="6"/>
      <c r="B336" s="6"/>
      <c r="C336" s="102"/>
      <c r="D336" s="102"/>
      <c r="E336" s="102"/>
      <c r="F336" s="103"/>
      <c r="G336" s="103"/>
      <c r="H336" s="6"/>
      <c r="I336" s="104"/>
      <c r="J336" s="104"/>
      <c r="K336" s="104"/>
      <c r="L336" s="104"/>
    </row>
    <row r="337" spans="1:12" x14ac:dyDescent="0.25">
      <c r="A337" s="6"/>
      <c r="B337" s="6"/>
      <c r="C337" s="102"/>
      <c r="D337" s="102"/>
      <c r="E337" s="102"/>
      <c r="F337" s="103"/>
      <c r="G337" s="103"/>
      <c r="H337" s="6"/>
      <c r="I337" s="104"/>
      <c r="J337" s="104"/>
      <c r="K337" s="104"/>
      <c r="L337" s="104"/>
    </row>
    <row r="338" spans="1:12" x14ac:dyDescent="0.25">
      <c r="A338" s="6"/>
      <c r="B338" s="6"/>
      <c r="C338" s="102"/>
      <c r="D338" s="102"/>
      <c r="E338" s="102"/>
      <c r="F338" s="103"/>
      <c r="G338" s="103"/>
      <c r="H338" s="6"/>
      <c r="I338" s="104"/>
      <c r="J338" s="104"/>
      <c r="K338" s="104"/>
      <c r="L338" s="104"/>
    </row>
    <row r="339" spans="1:12" x14ac:dyDescent="0.25">
      <c r="A339" s="6"/>
      <c r="B339" s="6"/>
      <c r="C339" s="102"/>
      <c r="D339" s="102"/>
      <c r="E339" s="102"/>
      <c r="F339" s="103"/>
      <c r="G339" s="103"/>
      <c r="H339" s="6"/>
      <c r="I339" s="104"/>
      <c r="J339" s="104"/>
      <c r="K339" s="104"/>
      <c r="L339" s="104"/>
    </row>
    <row r="340" spans="1:12" x14ac:dyDescent="0.25">
      <c r="A340" s="6"/>
      <c r="B340" s="6"/>
      <c r="C340" s="102"/>
      <c r="D340" s="102"/>
      <c r="E340" s="102"/>
      <c r="F340" s="103"/>
      <c r="G340" s="103"/>
      <c r="H340" s="6"/>
      <c r="I340" s="104"/>
      <c r="J340" s="104"/>
      <c r="K340" s="104"/>
      <c r="L340" s="104"/>
    </row>
    <row r="341" spans="1:12" x14ac:dyDescent="0.25">
      <c r="A341" s="6"/>
      <c r="B341" s="6"/>
      <c r="C341" s="102"/>
      <c r="D341" s="102"/>
      <c r="E341" s="102"/>
      <c r="F341" s="103"/>
      <c r="G341" s="103"/>
      <c r="H341" s="6"/>
      <c r="I341" s="104"/>
      <c r="J341" s="104"/>
      <c r="K341" s="104"/>
      <c r="L341" s="104"/>
    </row>
    <row r="342" spans="1:12" x14ac:dyDescent="0.25">
      <c r="A342" s="6"/>
      <c r="B342" s="6"/>
      <c r="C342" s="102"/>
      <c r="D342" s="102"/>
      <c r="E342" s="102"/>
      <c r="F342" s="103"/>
      <c r="G342" s="103"/>
      <c r="H342" s="6"/>
      <c r="I342" s="104"/>
      <c r="J342" s="104"/>
      <c r="K342" s="104"/>
      <c r="L342" s="104"/>
    </row>
    <row r="343" spans="1:12" x14ac:dyDescent="0.25">
      <c r="A343" s="6"/>
      <c r="B343" s="6"/>
      <c r="C343" s="102"/>
      <c r="D343" s="102"/>
      <c r="E343" s="102"/>
      <c r="F343" s="103"/>
      <c r="G343" s="103"/>
      <c r="H343" s="6"/>
      <c r="I343" s="104"/>
      <c r="J343" s="104"/>
      <c r="K343" s="104"/>
      <c r="L343" s="104"/>
    </row>
    <row r="344" spans="1:12" x14ac:dyDescent="0.25">
      <c r="A344" s="6"/>
      <c r="B344" s="6"/>
      <c r="C344" s="102"/>
      <c r="D344" s="102"/>
      <c r="E344" s="102"/>
      <c r="F344" s="103"/>
      <c r="G344" s="103"/>
      <c r="H344" s="6"/>
      <c r="I344" s="104"/>
      <c r="J344" s="104"/>
      <c r="K344" s="104"/>
      <c r="L344" s="104"/>
    </row>
    <row r="345" spans="1:12" x14ac:dyDescent="0.25">
      <c r="A345" s="6"/>
      <c r="B345" s="6"/>
      <c r="C345" s="102"/>
      <c r="D345" s="102"/>
      <c r="E345" s="102"/>
      <c r="F345" s="103"/>
      <c r="G345" s="103"/>
      <c r="H345" s="6"/>
      <c r="I345" s="104"/>
      <c r="J345" s="104"/>
      <c r="K345" s="104"/>
      <c r="L345" s="104"/>
    </row>
    <row r="346" spans="1:12" x14ac:dyDescent="0.25">
      <c r="A346" s="6"/>
      <c r="B346" s="6"/>
      <c r="C346" s="102"/>
      <c r="D346" s="102"/>
      <c r="E346" s="102"/>
      <c r="F346" s="103"/>
      <c r="G346" s="103"/>
      <c r="H346" s="6"/>
      <c r="I346" s="104"/>
      <c r="J346" s="104"/>
      <c r="K346" s="104"/>
      <c r="L346" s="104"/>
    </row>
    <row r="347" spans="1:12" x14ac:dyDescent="0.25">
      <c r="A347" s="6"/>
      <c r="B347" s="6"/>
      <c r="C347" s="102"/>
      <c r="D347" s="102"/>
      <c r="E347" s="102"/>
      <c r="F347" s="103"/>
      <c r="G347" s="103"/>
      <c r="H347" s="6"/>
      <c r="I347" s="104"/>
      <c r="J347" s="104"/>
      <c r="K347" s="104"/>
      <c r="L347" s="104"/>
    </row>
    <row r="348" spans="1:12" x14ac:dyDescent="0.25">
      <c r="A348" s="6"/>
      <c r="B348" s="6"/>
      <c r="C348" s="102"/>
      <c r="D348" s="102"/>
      <c r="E348" s="102"/>
      <c r="F348" s="103"/>
      <c r="G348" s="103"/>
      <c r="H348" s="6"/>
      <c r="I348" s="104"/>
      <c r="J348" s="104"/>
      <c r="K348" s="104"/>
      <c r="L348" s="104"/>
    </row>
    <row r="349" spans="1:12" x14ac:dyDescent="0.25">
      <c r="A349" s="6"/>
      <c r="B349" s="6"/>
      <c r="C349" s="102"/>
      <c r="D349" s="102"/>
      <c r="E349" s="102"/>
      <c r="F349" s="103"/>
      <c r="G349" s="103"/>
      <c r="H349" s="6"/>
      <c r="I349" s="104"/>
      <c r="J349" s="104"/>
      <c r="K349" s="104"/>
      <c r="L349" s="104"/>
    </row>
    <row r="350" spans="1:12" x14ac:dyDescent="0.25">
      <c r="A350" s="6"/>
      <c r="B350" s="6"/>
      <c r="C350" s="102"/>
      <c r="D350" s="102"/>
      <c r="E350" s="102"/>
      <c r="F350" s="103"/>
      <c r="G350" s="103"/>
      <c r="H350" s="6"/>
      <c r="I350" s="104"/>
      <c r="J350" s="104"/>
      <c r="K350" s="104"/>
      <c r="L350" s="104"/>
    </row>
    <row r="351" spans="1:12" x14ac:dyDescent="0.25">
      <c r="A351" s="6"/>
      <c r="B351" s="6"/>
      <c r="C351" s="102"/>
      <c r="D351" s="102"/>
      <c r="E351" s="102"/>
      <c r="F351" s="103"/>
      <c r="G351" s="103"/>
      <c r="H351" s="6"/>
      <c r="I351" s="104"/>
      <c r="J351" s="104"/>
      <c r="K351" s="104"/>
      <c r="L351" s="104"/>
    </row>
    <row r="352" spans="1:12" x14ac:dyDescent="0.25">
      <c r="A352" s="6"/>
      <c r="B352" s="6"/>
      <c r="C352" s="102"/>
      <c r="D352" s="102"/>
      <c r="E352" s="102"/>
      <c r="F352" s="103"/>
      <c r="G352" s="103"/>
      <c r="H352" s="6"/>
      <c r="I352" s="104"/>
      <c r="J352" s="104"/>
      <c r="K352" s="104"/>
      <c r="L352" s="104"/>
    </row>
    <row r="353" spans="1:12" x14ac:dyDescent="0.25">
      <c r="A353" s="6"/>
      <c r="B353" s="6"/>
      <c r="C353" s="102"/>
      <c r="D353" s="102"/>
      <c r="E353" s="102"/>
      <c r="F353" s="103"/>
      <c r="G353" s="103"/>
      <c r="H353" s="6"/>
      <c r="I353" s="104"/>
      <c r="J353" s="104"/>
      <c r="K353" s="104"/>
      <c r="L353" s="104"/>
    </row>
    <row r="354" spans="1:12" x14ac:dyDescent="0.25">
      <c r="A354" s="6"/>
      <c r="B354" s="6"/>
      <c r="C354" s="102"/>
      <c r="D354" s="102"/>
      <c r="E354" s="102"/>
      <c r="F354" s="103"/>
      <c r="G354" s="103"/>
      <c r="H354" s="6"/>
      <c r="I354" s="104"/>
      <c r="J354" s="104"/>
      <c r="K354" s="104"/>
      <c r="L354" s="104"/>
    </row>
    <row r="355" spans="1:12" x14ac:dyDescent="0.25">
      <c r="A355" s="6"/>
      <c r="B355" s="6"/>
      <c r="C355" s="102"/>
      <c r="D355" s="102"/>
      <c r="E355" s="102"/>
      <c r="F355" s="103"/>
      <c r="G355" s="103"/>
      <c r="H355" s="6"/>
      <c r="I355" s="104"/>
      <c r="J355" s="104"/>
      <c r="K355" s="104"/>
      <c r="L355" s="104"/>
    </row>
    <row r="356" spans="1:12" x14ac:dyDescent="0.25">
      <c r="A356" s="6"/>
      <c r="B356" s="6"/>
      <c r="C356" s="102"/>
      <c r="D356" s="102"/>
      <c r="E356" s="102"/>
      <c r="F356" s="103"/>
      <c r="G356" s="103"/>
      <c r="H356" s="6"/>
      <c r="I356" s="104"/>
      <c r="J356" s="104"/>
      <c r="K356" s="104"/>
      <c r="L356" s="104"/>
    </row>
    <row r="357" spans="1:12" x14ac:dyDescent="0.25">
      <c r="A357" s="6"/>
      <c r="B357" s="6"/>
      <c r="C357" s="102"/>
      <c r="D357" s="102"/>
      <c r="E357" s="102"/>
      <c r="F357" s="103"/>
      <c r="G357" s="103"/>
      <c r="H357" s="6"/>
      <c r="I357" s="104"/>
      <c r="J357" s="104"/>
      <c r="K357" s="104"/>
      <c r="L357" s="104"/>
    </row>
    <row r="358" spans="1:12" x14ac:dyDescent="0.25">
      <c r="A358" s="6"/>
      <c r="B358" s="6"/>
      <c r="C358" s="102"/>
      <c r="D358" s="102"/>
      <c r="E358" s="102"/>
      <c r="F358" s="103"/>
      <c r="G358" s="103"/>
      <c r="H358" s="6"/>
      <c r="I358" s="104"/>
      <c r="J358" s="104"/>
      <c r="K358" s="104"/>
      <c r="L358" s="104"/>
    </row>
    <row r="359" spans="1:12" x14ac:dyDescent="0.25">
      <c r="A359" s="6"/>
      <c r="B359" s="6"/>
      <c r="C359" s="102"/>
      <c r="D359" s="102"/>
      <c r="E359" s="102"/>
      <c r="F359" s="103"/>
      <c r="G359" s="103"/>
      <c r="H359" s="6"/>
      <c r="I359" s="104"/>
      <c r="J359" s="104"/>
      <c r="K359" s="104"/>
      <c r="L359" s="104"/>
    </row>
    <row r="360" spans="1:12" x14ac:dyDescent="0.25">
      <c r="A360" s="6"/>
      <c r="B360" s="6"/>
      <c r="C360" s="102"/>
      <c r="D360" s="102"/>
      <c r="E360" s="102"/>
      <c r="F360" s="103"/>
      <c r="G360" s="103"/>
      <c r="H360" s="6"/>
      <c r="I360" s="104"/>
      <c r="J360" s="104"/>
      <c r="K360" s="104"/>
      <c r="L360" s="104"/>
    </row>
    <row r="361" spans="1:12" x14ac:dyDescent="0.25">
      <c r="A361" s="6"/>
      <c r="B361" s="6"/>
      <c r="C361" s="102"/>
      <c r="D361" s="102"/>
      <c r="E361" s="102"/>
      <c r="F361" s="103"/>
      <c r="G361" s="103"/>
      <c r="H361" s="6"/>
      <c r="I361" s="104"/>
      <c r="J361" s="104"/>
      <c r="K361" s="104"/>
      <c r="L361" s="104"/>
    </row>
    <row r="362" spans="1:12" x14ac:dyDescent="0.25">
      <c r="A362" s="6"/>
      <c r="B362" s="6"/>
      <c r="C362" s="102"/>
      <c r="D362" s="102"/>
      <c r="E362" s="102"/>
      <c r="F362" s="103"/>
      <c r="G362" s="103"/>
      <c r="H362" s="6"/>
      <c r="I362" s="104"/>
      <c r="J362" s="104"/>
      <c r="K362" s="104"/>
      <c r="L362" s="104"/>
    </row>
    <row r="363" spans="1:12" x14ac:dyDescent="0.25">
      <c r="A363" s="6"/>
      <c r="B363" s="6"/>
      <c r="C363" s="102"/>
      <c r="D363" s="102"/>
      <c r="E363" s="102"/>
      <c r="F363" s="103"/>
      <c r="G363" s="103"/>
      <c r="H363" s="6"/>
      <c r="I363" s="104"/>
      <c r="J363" s="104"/>
      <c r="K363" s="104"/>
      <c r="L363" s="104"/>
    </row>
    <row r="364" spans="1:12" x14ac:dyDescent="0.25">
      <c r="A364" s="6"/>
      <c r="B364" s="6"/>
      <c r="C364" s="102"/>
      <c r="D364" s="102"/>
      <c r="E364" s="102"/>
      <c r="F364" s="103"/>
      <c r="G364" s="103"/>
      <c r="H364" s="6"/>
      <c r="I364" s="104"/>
      <c r="J364" s="104"/>
      <c r="K364" s="104"/>
      <c r="L364" s="104"/>
    </row>
    <row r="365" spans="1:12" x14ac:dyDescent="0.25">
      <c r="A365" s="6"/>
      <c r="B365" s="6"/>
      <c r="C365" s="102"/>
      <c r="D365" s="102"/>
      <c r="E365" s="102"/>
      <c r="F365" s="103"/>
      <c r="G365" s="103"/>
      <c r="H365" s="6"/>
      <c r="I365" s="104"/>
      <c r="J365" s="104"/>
      <c r="K365" s="104"/>
      <c r="L365" s="104"/>
    </row>
    <row r="366" spans="1:12" x14ac:dyDescent="0.25">
      <c r="A366" s="6"/>
      <c r="B366" s="6"/>
      <c r="C366" s="102"/>
      <c r="D366" s="102"/>
      <c r="E366" s="102"/>
      <c r="F366" s="103"/>
      <c r="G366" s="103"/>
      <c r="H366" s="6"/>
      <c r="I366" s="104"/>
      <c r="J366" s="104"/>
      <c r="K366" s="104"/>
      <c r="L366" s="104"/>
    </row>
    <row r="367" spans="1:12" x14ac:dyDescent="0.25">
      <c r="A367" s="6"/>
      <c r="B367" s="6"/>
      <c r="C367" s="102"/>
      <c r="D367" s="102"/>
      <c r="E367" s="102"/>
      <c r="F367" s="103"/>
      <c r="G367" s="103"/>
      <c r="H367" s="6"/>
      <c r="I367" s="104"/>
      <c r="J367" s="104"/>
      <c r="K367" s="104"/>
      <c r="L367" s="104"/>
    </row>
    <row r="368" spans="1:12" x14ac:dyDescent="0.25">
      <c r="A368" s="6"/>
      <c r="B368" s="6"/>
      <c r="C368" s="102"/>
      <c r="D368" s="102"/>
      <c r="E368" s="102"/>
      <c r="F368" s="103"/>
      <c r="G368" s="103"/>
      <c r="H368" s="6"/>
      <c r="I368" s="104"/>
      <c r="J368" s="104"/>
      <c r="K368" s="104"/>
      <c r="L368" s="104"/>
    </row>
    <row r="369" spans="1:12" x14ac:dyDescent="0.25">
      <c r="A369" s="6"/>
      <c r="B369" s="6"/>
      <c r="C369" s="102"/>
      <c r="D369" s="102"/>
      <c r="E369" s="102"/>
      <c r="F369" s="103"/>
      <c r="G369" s="103"/>
      <c r="H369" s="6"/>
      <c r="I369" s="104"/>
      <c r="J369" s="104"/>
      <c r="K369" s="104"/>
      <c r="L369" s="104"/>
    </row>
    <row r="370" spans="1:12" x14ac:dyDescent="0.25">
      <c r="A370" s="6"/>
      <c r="B370" s="6"/>
      <c r="C370" s="102"/>
      <c r="D370" s="102"/>
      <c r="E370" s="102"/>
      <c r="F370" s="103"/>
      <c r="G370" s="103"/>
      <c r="H370" s="6"/>
      <c r="I370" s="104"/>
      <c r="J370" s="104"/>
      <c r="K370" s="104"/>
      <c r="L370" s="104"/>
    </row>
    <row r="371" spans="1:12" x14ac:dyDescent="0.25">
      <c r="A371" s="6"/>
      <c r="B371" s="6"/>
      <c r="C371" s="102"/>
      <c r="D371" s="102"/>
      <c r="E371" s="102"/>
      <c r="F371" s="103"/>
      <c r="G371" s="103"/>
      <c r="H371" s="6"/>
      <c r="I371" s="104"/>
      <c r="J371" s="104"/>
      <c r="K371" s="104"/>
      <c r="L371" s="104"/>
    </row>
    <row r="372" spans="1:12" x14ac:dyDescent="0.25">
      <c r="A372" s="6"/>
      <c r="B372" s="6"/>
      <c r="C372" s="102"/>
      <c r="D372" s="102"/>
      <c r="E372" s="102"/>
      <c r="F372" s="103"/>
      <c r="G372" s="103"/>
      <c r="H372" s="6"/>
      <c r="I372" s="104"/>
      <c r="J372" s="104"/>
      <c r="K372" s="104"/>
      <c r="L372" s="104"/>
    </row>
    <row r="373" spans="1:12" x14ac:dyDescent="0.25">
      <c r="A373" s="6"/>
      <c r="B373" s="6"/>
      <c r="C373" s="102"/>
      <c r="D373" s="102"/>
      <c r="E373" s="102"/>
      <c r="F373" s="103"/>
      <c r="G373" s="103"/>
      <c r="H373" s="6"/>
      <c r="I373" s="104"/>
      <c r="J373" s="104"/>
      <c r="K373" s="104"/>
      <c r="L373" s="104"/>
    </row>
    <row r="374" spans="1:12" x14ac:dyDescent="0.25">
      <c r="A374" s="6"/>
      <c r="B374" s="6"/>
      <c r="C374" s="102"/>
      <c r="D374" s="102"/>
      <c r="E374" s="102"/>
      <c r="F374" s="103"/>
      <c r="G374" s="103"/>
      <c r="H374" s="6"/>
      <c r="I374" s="104"/>
      <c r="J374" s="104"/>
      <c r="K374" s="104"/>
      <c r="L374" s="104"/>
    </row>
    <row r="375" spans="1:12" x14ac:dyDescent="0.25">
      <c r="A375" s="6"/>
      <c r="B375" s="6"/>
      <c r="C375" s="102"/>
      <c r="D375" s="102"/>
      <c r="E375" s="102"/>
      <c r="F375" s="103"/>
      <c r="G375" s="103"/>
      <c r="H375" s="6"/>
      <c r="I375" s="104"/>
      <c r="J375" s="104"/>
      <c r="K375" s="104"/>
      <c r="L375" s="104"/>
    </row>
    <row r="376" spans="1:12" x14ac:dyDescent="0.25">
      <c r="A376" s="6"/>
      <c r="B376" s="6"/>
      <c r="C376" s="102"/>
      <c r="D376" s="102"/>
      <c r="E376" s="102"/>
      <c r="F376" s="103"/>
      <c r="G376" s="103"/>
      <c r="H376" s="6"/>
      <c r="I376" s="104"/>
      <c r="J376" s="104"/>
      <c r="K376" s="104"/>
      <c r="L376" s="104"/>
    </row>
    <row r="377" spans="1:12" x14ac:dyDescent="0.25">
      <c r="A377" s="6"/>
      <c r="B377" s="6"/>
      <c r="C377" s="102"/>
      <c r="D377" s="102"/>
      <c r="E377" s="102"/>
      <c r="F377" s="103"/>
      <c r="G377" s="103"/>
      <c r="H377" s="6"/>
      <c r="I377" s="104"/>
      <c r="J377" s="104"/>
      <c r="K377" s="104"/>
      <c r="L377" s="104"/>
    </row>
    <row r="378" spans="1:12" x14ac:dyDescent="0.25">
      <c r="A378" s="6"/>
      <c r="B378" s="6"/>
      <c r="C378" s="102"/>
      <c r="D378" s="102"/>
      <c r="E378" s="102"/>
      <c r="F378" s="103"/>
      <c r="G378" s="103"/>
      <c r="H378" s="6"/>
      <c r="I378" s="104"/>
      <c r="J378" s="104"/>
      <c r="K378" s="104"/>
      <c r="L378" s="104"/>
    </row>
    <row r="379" spans="1:12" x14ac:dyDescent="0.25">
      <c r="A379" s="6"/>
      <c r="B379" s="6"/>
      <c r="C379" s="102"/>
      <c r="D379" s="102"/>
      <c r="E379" s="102"/>
      <c r="F379" s="103"/>
      <c r="G379" s="103"/>
      <c r="H379" s="6"/>
      <c r="I379" s="104"/>
      <c r="J379" s="104"/>
      <c r="K379" s="104"/>
      <c r="L379" s="104"/>
    </row>
    <row r="380" spans="1:12" x14ac:dyDescent="0.25">
      <c r="A380" s="6"/>
      <c r="B380" s="6"/>
      <c r="C380" s="102"/>
      <c r="D380" s="102"/>
      <c r="E380" s="102"/>
      <c r="F380" s="103"/>
      <c r="G380" s="103"/>
      <c r="H380" s="6"/>
      <c r="I380" s="104"/>
      <c r="J380" s="104"/>
      <c r="K380" s="104"/>
      <c r="L380" s="104"/>
    </row>
    <row r="381" spans="1:12" x14ac:dyDescent="0.25">
      <c r="A381" s="6"/>
      <c r="B381" s="6"/>
      <c r="C381" s="102"/>
      <c r="D381" s="102"/>
      <c r="E381" s="102"/>
      <c r="F381" s="103"/>
      <c r="G381" s="103"/>
      <c r="H381" s="6"/>
      <c r="I381" s="104"/>
      <c r="J381" s="104"/>
      <c r="K381" s="104"/>
      <c r="L381" s="104"/>
    </row>
    <row r="382" spans="1:12" x14ac:dyDescent="0.25">
      <c r="A382" s="6"/>
      <c r="B382" s="6"/>
      <c r="C382" s="102"/>
      <c r="D382" s="102"/>
      <c r="E382" s="102"/>
      <c r="F382" s="103"/>
      <c r="G382" s="103"/>
      <c r="H382" s="6"/>
      <c r="I382" s="104"/>
      <c r="J382" s="104"/>
      <c r="K382" s="104"/>
      <c r="L382" s="104"/>
    </row>
    <row r="383" spans="1:12" x14ac:dyDescent="0.25">
      <c r="A383" s="6"/>
      <c r="B383" s="6"/>
      <c r="C383" s="102"/>
      <c r="D383" s="102"/>
      <c r="E383" s="102"/>
      <c r="F383" s="103"/>
      <c r="G383" s="103"/>
      <c r="H383" s="6"/>
      <c r="I383" s="104"/>
      <c r="J383" s="104"/>
      <c r="K383" s="104"/>
      <c r="L383" s="104"/>
    </row>
    <row r="384" spans="1:12" x14ac:dyDescent="0.25">
      <c r="A384" s="6"/>
      <c r="B384" s="6"/>
      <c r="C384" s="102"/>
      <c r="D384" s="102"/>
      <c r="E384" s="102"/>
      <c r="F384" s="103"/>
      <c r="G384" s="103"/>
      <c r="H384" s="6"/>
      <c r="I384" s="104"/>
      <c r="J384" s="104"/>
      <c r="K384" s="104"/>
      <c r="L384" s="104"/>
    </row>
    <row r="385" spans="1:12" x14ac:dyDescent="0.25">
      <c r="A385" s="6"/>
      <c r="B385" s="6"/>
      <c r="C385" s="102"/>
      <c r="D385" s="102"/>
      <c r="E385" s="102"/>
      <c r="F385" s="103"/>
      <c r="G385" s="103"/>
      <c r="H385" s="6"/>
      <c r="I385" s="104"/>
      <c r="J385" s="104"/>
      <c r="K385" s="104"/>
      <c r="L385" s="104"/>
    </row>
    <row r="386" spans="1:12" x14ac:dyDescent="0.25">
      <c r="A386" s="6"/>
      <c r="B386" s="6"/>
      <c r="C386" s="102"/>
      <c r="D386" s="102"/>
      <c r="E386" s="102"/>
      <c r="F386" s="103"/>
      <c r="G386" s="103"/>
      <c r="H386" s="6"/>
      <c r="I386" s="104"/>
      <c r="J386" s="104"/>
      <c r="K386" s="104"/>
      <c r="L386" s="104"/>
    </row>
    <row r="387" spans="1:12" x14ac:dyDescent="0.25">
      <c r="A387" s="6"/>
      <c r="B387" s="6"/>
      <c r="C387" s="102"/>
      <c r="D387" s="102"/>
      <c r="E387" s="102"/>
      <c r="F387" s="103"/>
      <c r="G387" s="103"/>
      <c r="H387" s="6"/>
      <c r="I387" s="104"/>
      <c r="J387" s="104"/>
      <c r="K387" s="104"/>
      <c r="L387" s="104"/>
    </row>
    <row r="388" spans="1:12" x14ac:dyDescent="0.25">
      <c r="A388" s="6"/>
      <c r="B388" s="6"/>
      <c r="C388" s="102"/>
      <c r="D388" s="102"/>
      <c r="E388" s="102"/>
      <c r="F388" s="103"/>
      <c r="G388" s="103"/>
      <c r="H388" s="6"/>
      <c r="I388" s="104"/>
      <c r="J388" s="104"/>
      <c r="K388" s="104"/>
      <c r="L388" s="104"/>
    </row>
    <row r="389" spans="1:12" x14ac:dyDescent="0.25">
      <c r="A389" s="6"/>
      <c r="B389" s="6"/>
      <c r="C389" s="102"/>
      <c r="D389" s="102"/>
      <c r="E389" s="102"/>
      <c r="F389" s="103"/>
      <c r="G389" s="103"/>
      <c r="H389" s="6"/>
      <c r="I389" s="104"/>
      <c r="J389" s="104"/>
      <c r="K389" s="104"/>
      <c r="L389" s="104"/>
    </row>
    <row r="390" spans="1:12" x14ac:dyDescent="0.25">
      <c r="A390" s="6"/>
      <c r="B390" s="6"/>
      <c r="C390" s="102"/>
      <c r="D390" s="102"/>
      <c r="E390" s="102"/>
      <c r="F390" s="103"/>
      <c r="G390" s="103"/>
      <c r="H390" s="6"/>
      <c r="I390" s="104"/>
      <c r="J390" s="104"/>
      <c r="K390" s="104"/>
      <c r="L390" s="104"/>
    </row>
    <row r="391" spans="1:12" x14ac:dyDescent="0.25">
      <c r="A391" s="6"/>
      <c r="B391" s="6"/>
      <c r="C391" s="102"/>
      <c r="D391" s="102"/>
      <c r="E391" s="102"/>
      <c r="F391" s="103"/>
      <c r="G391" s="103"/>
      <c r="H391" s="6"/>
      <c r="I391" s="104"/>
      <c r="J391" s="104"/>
      <c r="K391" s="104"/>
      <c r="L391" s="104"/>
    </row>
    <row r="392" spans="1:12" x14ac:dyDescent="0.25">
      <c r="A392" s="6"/>
      <c r="B392" s="6"/>
      <c r="C392" s="102"/>
      <c r="D392" s="102"/>
      <c r="E392" s="102"/>
      <c r="F392" s="103"/>
      <c r="G392" s="103"/>
      <c r="H392" s="6"/>
      <c r="I392" s="104"/>
      <c r="J392" s="104"/>
      <c r="K392" s="104"/>
      <c r="L392" s="104"/>
    </row>
    <row r="393" spans="1:12" x14ac:dyDescent="0.25">
      <c r="A393" s="6"/>
      <c r="B393" s="6"/>
      <c r="C393" s="102"/>
      <c r="D393" s="102"/>
      <c r="E393" s="102"/>
      <c r="F393" s="103"/>
      <c r="G393" s="103"/>
      <c r="H393" s="6"/>
      <c r="I393" s="104"/>
      <c r="J393" s="104"/>
      <c r="K393" s="104"/>
      <c r="L393" s="104"/>
    </row>
    <row r="394" spans="1:12" x14ac:dyDescent="0.25">
      <c r="A394" s="6"/>
      <c r="B394" s="6"/>
      <c r="C394" s="102"/>
      <c r="D394" s="102"/>
      <c r="E394" s="102"/>
      <c r="F394" s="103"/>
      <c r="G394" s="103"/>
      <c r="H394" s="6"/>
      <c r="I394" s="104"/>
      <c r="J394" s="104"/>
      <c r="K394" s="104"/>
      <c r="L394" s="104"/>
    </row>
    <row r="395" spans="1:12" x14ac:dyDescent="0.25">
      <c r="A395" s="6"/>
      <c r="B395" s="6"/>
      <c r="C395" s="102"/>
      <c r="D395" s="102"/>
      <c r="E395" s="102"/>
      <c r="F395" s="103"/>
      <c r="G395" s="103"/>
      <c r="H395" s="6"/>
      <c r="I395" s="104"/>
      <c r="J395" s="104"/>
      <c r="K395" s="104"/>
      <c r="L395" s="104"/>
    </row>
    <row r="396" spans="1:12" x14ac:dyDescent="0.25">
      <c r="A396" s="6"/>
      <c r="B396" s="6"/>
      <c r="C396" s="102"/>
      <c r="D396" s="102"/>
      <c r="E396" s="102"/>
      <c r="F396" s="103"/>
      <c r="G396" s="103"/>
      <c r="H396" s="6"/>
      <c r="I396" s="104"/>
      <c r="J396" s="104"/>
      <c r="K396" s="104"/>
      <c r="L396" s="104"/>
    </row>
    <row r="397" spans="1:12" x14ac:dyDescent="0.25">
      <c r="A397" s="6"/>
      <c r="B397" s="6"/>
      <c r="C397" s="102"/>
      <c r="D397" s="102"/>
      <c r="E397" s="102"/>
      <c r="F397" s="103"/>
      <c r="G397" s="103"/>
      <c r="H397" s="6"/>
      <c r="I397" s="104"/>
      <c r="J397" s="104"/>
      <c r="K397" s="104"/>
      <c r="L397" s="104"/>
    </row>
    <row r="398" spans="1:12" x14ac:dyDescent="0.25">
      <c r="A398" s="6"/>
      <c r="B398" s="6"/>
      <c r="C398" s="102"/>
      <c r="D398" s="102"/>
      <c r="E398" s="102"/>
      <c r="F398" s="103"/>
      <c r="G398" s="103"/>
      <c r="H398" s="6"/>
      <c r="I398" s="104"/>
      <c r="J398" s="104"/>
      <c r="K398" s="104"/>
      <c r="L398" s="104"/>
    </row>
    <row r="399" spans="1:12" x14ac:dyDescent="0.25">
      <c r="A399" s="6"/>
      <c r="B399" s="6"/>
      <c r="C399" s="102"/>
      <c r="D399" s="102"/>
      <c r="E399" s="102"/>
      <c r="F399" s="103"/>
      <c r="G399" s="103"/>
      <c r="H399" s="6"/>
      <c r="I399" s="104"/>
      <c r="J399" s="104"/>
      <c r="K399" s="104"/>
      <c r="L399" s="104"/>
    </row>
    <row r="400" spans="1:12" x14ac:dyDescent="0.25">
      <c r="A400" s="6"/>
      <c r="B400" s="6"/>
      <c r="C400" s="102"/>
      <c r="D400" s="102"/>
      <c r="E400" s="102"/>
      <c r="F400" s="103"/>
      <c r="G400" s="103"/>
      <c r="H400" s="6"/>
      <c r="I400" s="104"/>
      <c r="J400" s="104"/>
      <c r="K400" s="104"/>
      <c r="L400" s="104"/>
    </row>
    <row r="401" spans="1:12" x14ac:dyDescent="0.25">
      <c r="A401" s="6"/>
      <c r="B401" s="6"/>
      <c r="C401" s="102"/>
      <c r="D401" s="102"/>
      <c r="E401" s="102"/>
      <c r="F401" s="103"/>
      <c r="G401" s="103"/>
      <c r="H401" s="6"/>
      <c r="I401" s="104"/>
      <c r="J401" s="104"/>
      <c r="K401" s="104"/>
      <c r="L401" s="104"/>
    </row>
    <row r="402" spans="1:12" x14ac:dyDescent="0.25">
      <c r="A402" s="6"/>
      <c r="B402" s="6"/>
      <c r="C402" s="102"/>
      <c r="D402" s="102"/>
      <c r="E402" s="102"/>
      <c r="F402" s="103"/>
      <c r="G402" s="103"/>
      <c r="H402" s="6"/>
      <c r="I402" s="104"/>
      <c r="J402" s="104"/>
      <c r="K402" s="104"/>
      <c r="L402" s="104"/>
    </row>
    <row r="403" spans="1:12" x14ac:dyDescent="0.25">
      <c r="A403" s="6"/>
      <c r="B403" s="6"/>
      <c r="C403" s="102"/>
      <c r="D403" s="102"/>
      <c r="E403" s="102"/>
      <c r="F403" s="103"/>
      <c r="G403" s="103"/>
      <c r="H403" s="6"/>
      <c r="I403" s="104"/>
      <c r="J403" s="104"/>
      <c r="K403" s="104"/>
      <c r="L403" s="104"/>
    </row>
    <row r="404" spans="1:12" x14ac:dyDescent="0.25">
      <c r="A404" s="6"/>
      <c r="B404" s="6"/>
      <c r="C404" s="102"/>
      <c r="D404" s="102"/>
      <c r="E404" s="102"/>
      <c r="F404" s="103"/>
      <c r="G404" s="103"/>
      <c r="H404" s="6"/>
      <c r="I404" s="104"/>
      <c r="J404" s="104"/>
      <c r="K404" s="104"/>
      <c r="L404" s="104"/>
    </row>
    <row r="405" spans="1:12" x14ac:dyDescent="0.25">
      <c r="A405" s="6"/>
      <c r="B405" s="6"/>
      <c r="C405" s="102"/>
      <c r="D405" s="102"/>
      <c r="E405" s="102"/>
      <c r="F405" s="103"/>
      <c r="G405" s="103"/>
      <c r="H405" s="6"/>
      <c r="I405" s="104"/>
      <c r="J405" s="104"/>
      <c r="K405" s="104"/>
      <c r="L405" s="104"/>
    </row>
    <row r="406" spans="1:12" x14ac:dyDescent="0.25">
      <c r="A406" s="6"/>
      <c r="B406" s="6"/>
      <c r="C406" s="102"/>
      <c r="D406" s="102"/>
      <c r="E406" s="102"/>
      <c r="F406" s="103"/>
      <c r="G406" s="103"/>
      <c r="H406" s="6"/>
      <c r="I406" s="104"/>
      <c r="J406" s="104"/>
      <c r="K406" s="104"/>
      <c r="L406" s="104"/>
    </row>
    <row r="407" spans="1:12" x14ac:dyDescent="0.25">
      <c r="A407" s="6"/>
      <c r="B407" s="6"/>
      <c r="C407" s="102"/>
      <c r="D407" s="102"/>
      <c r="E407" s="102"/>
      <c r="F407" s="103"/>
      <c r="G407" s="103"/>
      <c r="H407" s="6"/>
      <c r="I407" s="104"/>
      <c r="J407" s="104"/>
      <c r="K407" s="104"/>
      <c r="L407" s="104"/>
    </row>
    <row r="408" spans="1:12" x14ac:dyDescent="0.25">
      <c r="A408" s="6"/>
      <c r="B408" s="6"/>
      <c r="C408" s="102"/>
      <c r="D408" s="102"/>
      <c r="E408" s="102"/>
      <c r="F408" s="103"/>
      <c r="G408" s="103"/>
      <c r="H408" s="6"/>
      <c r="I408" s="104"/>
      <c r="J408" s="104"/>
      <c r="K408" s="104"/>
      <c r="L408" s="104"/>
    </row>
    <row r="409" spans="1:12" x14ac:dyDescent="0.25">
      <c r="A409" s="6"/>
      <c r="B409" s="6"/>
      <c r="C409" s="102"/>
      <c r="D409" s="102"/>
      <c r="E409" s="102"/>
      <c r="F409" s="103"/>
      <c r="G409" s="103"/>
      <c r="H409" s="6"/>
      <c r="I409" s="104"/>
      <c r="J409" s="104"/>
      <c r="K409" s="104"/>
      <c r="L409" s="104"/>
    </row>
    <row r="410" spans="1:12" x14ac:dyDescent="0.25">
      <c r="A410" s="6"/>
      <c r="B410" s="6"/>
      <c r="C410" s="102"/>
      <c r="D410" s="102"/>
      <c r="E410" s="102"/>
      <c r="F410" s="103"/>
      <c r="G410" s="103"/>
      <c r="H410" s="6"/>
      <c r="I410" s="104"/>
      <c r="J410" s="104"/>
      <c r="K410" s="104"/>
      <c r="L410" s="104"/>
    </row>
    <row r="411" spans="1:12" x14ac:dyDescent="0.25">
      <c r="A411" s="6"/>
      <c r="B411" s="6"/>
      <c r="C411" s="102"/>
      <c r="D411" s="102"/>
      <c r="E411" s="102"/>
      <c r="F411" s="103"/>
      <c r="G411" s="103"/>
      <c r="H411" s="6"/>
      <c r="I411" s="104"/>
      <c r="J411" s="104"/>
      <c r="K411" s="104"/>
      <c r="L411" s="104"/>
    </row>
    <row r="412" spans="1:12" x14ac:dyDescent="0.25">
      <c r="A412" s="6"/>
      <c r="B412" s="6"/>
      <c r="C412" s="102"/>
      <c r="D412" s="102"/>
      <c r="E412" s="102"/>
      <c r="F412" s="103"/>
      <c r="G412" s="103"/>
      <c r="H412" s="6"/>
      <c r="I412" s="104"/>
      <c r="J412" s="104"/>
      <c r="K412" s="104"/>
      <c r="L412" s="104"/>
    </row>
    <row r="413" spans="1:12" x14ac:dyDescent="0.25">
      <c r="A413" s="6"/>
      <c r="B413" s="6"/>
      <c r="C413" s="102"/>
      <c r="D413" s="102"/>
      <c r="E413" s="102"/>
      <c r="F413" s="103"/>
      <c r="G413" s="103"/>
      <c r="H413" s="6"/>
      <c r="I413" s="104"/>
      <c r="J413" s="104"/>
      <c r="K413" s="104"/>
      <c r="L413" s="104"/>
    </row>
    <row r="414" spans="1:12" x14ac:dyDescent="0.25">
      <c r="A414" s="6"/>
      <c r="B414" s="6"/>
      <c r="C414" s="102"/>
      <c r="D414" s="102"/>
      <c r="E414" s="102"/>
      <c r="F414" s="103"/>
      <c r="G414" s="103"/>
      <c r="H414" s="6"/>
      <c r="I414" s="104"/>
      <c r="J414" s="104"/>
      <c r="K414" s="104"/>
      <c r="L414" s="104"/>
    </row>
    <row r="415" spans="1:12" x14ac:dyDescent="0.25">
      <c r="A415" s="6"/>
      <c r="B415" s="6"/>
      <c r="C415" s="102"/>
      <c r="D415" s="102"/>
      <c r="E415" s="102"/>
      <c r="F415" s="103"/>
      <c r="G415" s="103"/>
      <c r="H415" s="6"/>
      <c r="I415" s="104"/>
      <c r="J415" s="104"/>
      <c r="K415" s="104"/>
      <c r="L415" s="104"/>
    </row>
    <row r="416" spans="1:12" x14ac:dyDescent="0.25">
      <c r="A416" s="6"/>
      <c r="B416" s="6"/>
      <c r="C416" s="102"/>
      <c r="D416" s="102"/>
      <c r="E416" s="102"/>
      <c r="F416" s="103"/>
      <c r="G416" s="103"/>
      <c r="H416" s="6"/>
      <c r="I416" s="104"/>
      <c r="J416" s="104"/>
      <c r="K416" s="104"/>
      <c r="L416" s="104"/>
    </row>
    <row r="417" spans="1:12" x14ac:dyDescent="0.25">
      <c r="A417" s="6"/>
      <c r="B417" s="6"/>
      <c r="C417" s="102"/>
      <c r="D417" s="102"/>
      <c r="E417" s="102"/>
      <c r="F417" s="103"/>
      <c r="G417" s="103"/>
      <c r="H417" s="6"/>
      <c r="I417" s="104"/>
      <c r="J417" s="104"/>
      <c r="K417" s="104"/>
      <c r="L417" s="104"/>
    </row>
    <row r="418" spans="1:12" x14ac:dyDescent="0.25">
      <c r="A418" s="6"/>
      <c r="B418" s="6"/>
      <c r="C418" s="102"/>
      <c r="D418" s="102"/>
      <c r="E418" s="102"/>
      <c r="F418" s="103"/>
      <c r="G418" s="103"/>
      <c r="H418" s="6"/>
      <c r="I418" s="104"/>
      <c r="J418" s="104"/>
      <c r="K418" s="104"/>
      <c r="L418" s="104"/>
    </row>
    <row r="419" spans="1:12" x14ac:dyDescent="0.25">
      <c r="A419" s="6"/>
      <c r="B419" s="6"/>
      <c r="C419" s="102"/>
      <c r="D419" s="102"/>
      <c r="E419" s="102"/>
      <c r="F419" s="103"/>
      <c r="G419" s="103"/>
      <c r="H419" s="6"/>
      <c r="I419" s="104"/>
      <c r="J419" s="104"/>
      <c r="K419" s="104"/>
      <c r="L419" s="104"/>
    </row>
    <row r="420" spans="1:12" x14ac:dyDescent="0.25">
      <c r="A420" s="6"/>
      <c r="B420" s="6"/>
      <c r="C420" s="102"/>
      <c r="D420" s="102"/>
      <c r="E420" s="102"/>
      <c r="F420" s="103"/>
      <c r="G420" s="103"/>
      <c r="H420" s="6"/>
      <c r="I420" s="104"/>
      <c r="J420" s="104"/>
      <c r="K420" s="104"/>
      <c r="L420" s="104"/>
    </row>
    <row r="421" spans="1:12" x14ac:dyDescent="0.25">
      <c r="A421" s="6"/>
      <c r="B421" s="6"/>
      <c r="C421" s="102"/>
      <c r="D421" s="102"/>
      <c r="E421" s="102"/>
      <c r="F421" s="103"/>
      <c r="G421" s="103"/>
      <c r="H421" s="6"/>
      <c r="I421" s="104"/>
      <c r="J421" s="104"/>
      <c r="K421" s="104"/>
      <c r="L421" s="104"/>
    </row>
    <row r="422" spans="1:12" x14ac:dyDescent="0.25">
      <c r="A422" s="6"/>
      <c r="B422" s="6"/>
      <c r="C422" s="102"/>
      <c r="D422" s="102"/>
      <c r="E422" s="102"/>
      <c r="F422" s="103"/>
      <c r="G422" s="103"/>
      <c r="H422" s="6"/>
      <c r="I422" s="104"/>
      <c r="J422" s="104"/>
      <c r="K422" s="104"/>
      <c r="L422" s="104"/>
    </row>
    <row r="423" spans="1:12" x14ac:dyDescent="0.25">
      <c r="A423" s="6"/>
      <c r="B423" s="6"/>
      <c r="C423" s="102"/>
      <c r="D423" s="102"/>
      <c r="E423" s="102"/>
      <c r="F423" s="103"/>
      <c r="G423" s="103"/>
      <c r="H423" s="6"/>
      <c r="I423" s="104"/>
      <c r="J423" s="104"/>
      <c r="K423" s="104"/>
      <c r="L423" s="104"/>
    </row>
    <row r="424" spans="1:12" x14ac:dyDescent="0.25">
      <c r="A424" s="6"/>
      <c r="B424" s="6"/>
      <c r="C424" s="102"/>
      <c r="D424" s="102"/>
      <c r="E424" s="102"/>
      <c r="F424" s="103"/>
      <c r="G424" s="103"/>
      <c r="H424" s="6"/>
      <c r="I424" s="104"/>
      <c r="J424" s="104"/>
      <c r="K424" s="104"/>
      <c r="L424" s="104"/>
    </row>
    <row r="425" spans="1:12" x14ac:dyDescent="0.25">
      <c r="A425" s="6"/>
      <c r="B425" s="6"/>
      <c r="C425" s="102"/>
      <c r="D425" s="102"/>
      <c r="E425" s="102"/>
      <c r="F425" s="103"/>
      <c r="G425" s="103"/>
      <c r="H425" s="6"/>
      <c r="I425" s="104"/>
      <c r="J425" s="104"/>
      <c r="K425" s="104"/>
      <c r="L425" s="104"/>
    </row>
    <row r="426" spans="1:12" x14ac:dyDescent="0.25">
      <c r="A426" s="6"/>
      <c r="B426" s="6"/>
      <c r="C426" s="102"/>
      <c r="D426" s="102"/>
      <c r="E426" s="102"/>
      <c r="F426" s="103"/>
      <c r="G426" s="103"/>
      <c r="H426" s="6"/>
      <c r="I426" s="104"/>
      <c r="J426" s="104"/>
      <c r="K426" s="104"/>
      <c r="L426" s="104"/>
    </row>
    <row r="427" spans="1:12" x14ac:dyDescent="0.25">
      <c r="A427" s="6"/>
      <c r="B427" s="6"/>
      <c r="C427" s="102"/>
      <c r="D427" s="102"/>
      <c r="E427" s="102"/>
      <c r="F427" s="103"/>
      <c r="G427" s="103"/>
      <c r="H427" s="6"/>
      <c r="I427" s="104"/>
      <c r="J427" s="104"/>
      <c r="K427" s="104"/>
      <c r="L427" s="104"/>
    </row>
    <row r="428" spans="1:12" x14ac:dyDescent="0.25">
      <c r="A428" s="6"/>
      <c r="B428" s="6"/>
      <c r="C428" s="102"/>
      <c r="D428" s="102"/>
      <c r="E428" s="102"/>
      <c r="F428" s="103"/>
      <c r="G428" s="103"/>
      <c r="H428" s="6"/>
      <c r="I428" s="104"/>
      <c r="J428" s="104"/>
      <c r="K428" s="104"/>
      <c r="L428" s="104"/>
    </row>
    <row r="429" spans="1:12" x14ac:dyDescent="0.25">
      <c r="A429" s="6"/>
      <c r="B429" s="6"/>
      <c r="C429" s="102"/>
      <c r="D429" s="102"/>
      <c r="E429" s="102"/>
      <c r="F429" s="103"/>
      <c r="G429" s="103"/>
      <c r="H429" s="6"/>
      <c r="I429" s="104"/>
      <c r="J429" s="104"/>
      <c r="K429" s="104"/>
      <c r="L429" s="104"/>
    </row>
    <row r="430" spans="1:12" x14ac:dyDescent="0.25">
      <c r="A430" s="6"/>
      <c r="B430" s="6"/>
      <c r="C430" s="102"/>
      <c r="D430" s="102"/>
      <c r="E430" s="102"/>
      <c r="F430" s="103"/>
      <c r="G430" s="103"/>
      <c r="H430" s="6"/>
      <c r="I430" s="104"/>
      <c r="J430" s="104"/>
      <c r="K430" s="104"/>
      <c r="L430" s="104"/>
    </row>
    <row r="431" spans="1:12" x14ac:dyDescent="0.25">
      <c r="A431" s="6"/>
      <c r="B431" s="6"/>
      <c r="C431" s="102"/>
      <c r="D431" s="102"/>
      <c r="E431" s="102"/>
      <c r="F431" s="103"/>
      <c r="G431" s="103"/>
      <c r="H431" s="6"/>
      <c r="I431" s="104"/>
      <c r="J431" s="104"/>
      <c r="K431" s="104"/>
      <c r="L431" s="104"/>
    </row>
    <row r="432" spans="1:12" x14ac:dyDescent="0.25">
      <c r="A432" s="6"/>
      <c r="B432" s="6"/>
      <c r="C432" s="102"/>
      <c r="D432" s="102"/>
      <c r="E432" s="102"/>
      <c r="F432" s="103"/>
      <c r="G432" s="103"/>
      <c r="H432" s="6"/>
      <c r="I432" s="104"/>
      <c r="J432" s="104"/>
      <c r="K432" s="104"/>
      <c r="L432" s="104"/>
    </row>
    <row r="433" spans="1:12" x14ac:dyDescent="0.25">
      <c r="A433" s="6"/>
      <c r="B433" s="6"/>
      <c r="C433" s="102"/>
      <c r="D433" s="102"/>
      <c r="E433" s="102"/>
      <c r="F433" s="103"/>
      <c r="G433" s="103"/>
      <c r="H433" s="6"/>
      <c r="I433" s="104"/>
      <c r="J433" s="104"/>
      <c r="K433" s="104"/>
      <c r="L433" s="104"/>
    </row>
    <row r="434" spans="1:12" x14ac:dyDescent="0.25">
      <c r="A434" s="6"/>
      <c r="B434" s="6"/>
      <c r="C434" s="102"/>
      <c r="D434" s="102"/>
      <c r="E434" s="102"/>
      <c r="F434" s="103"/>
      <c r="G434" s="103"/>
      <c r="H434" s="6"/>
      <c r="I434" s="104"/>
      <c r="J434" s="104"/>
      <c r="K434" s="104"/>
      <c r="L434" s="104"/>
    </row>
    <row r="435" spans="1:12" x14ac:dyDescent="0.25">
      <c r="A435" s="6"/>
      <c r="B435" s="6"/>
      <c r="C435" s="102"/>
      <c r="D435" s="102"/>
      <c r="E435" s="102"/>
      <c r="F435" s="103"/>
      <c r="G435" s="103"/>
      <c r="H435" s="6"/>
      <c r="I435" s="104"/>
      <c r="J435" s="104"/>
      <c r="K435" s="104"/>
      <c r="L435" s="104"/>
    </row>
    <row r="436" spans="1:12" x14ac:dyDescent="0.25">
      <c r="A436" s="6"/>
      <c r="B436" s="6"/>
      <c r="C436" s="102"/>
      <c r="D436" s="102"/>
      <c r="E436" s="102"/>
      <c r="F436" s="103"/>
      <c r="G436" s="103"/>
      <c r="H436" s="6"/>
      <c r="I436" s="104"/>
      <c r="J436" s="104"/>
      <c r="K436" s="104"/>
      <c r="L436" s="104"/>
    </row>
    <row r="437" spans="1:12" x14ac:dyDescent="0.25">
      <c r="A437" s="6"/>
      <c r="B437" s="6"/>
      <c r="C437" s="102"/>
      <c r="D437" s="102"/>
      <c r="E437" s="102"/>
      <c r="F437" s="103"/>
      <c r="G437" s="103"/>
      <c r="H437" s="6"/>
      <c r="I437" s="104"/>
      <c r="J437" s="104"/>
      <c r="K437" s="104"/>
      <c r="L437" s="104"/>
    </row>
    <row r="438" spans="1:12" x14ac:dyDescent="0.25">
      <c r="A438" s="6"/>
      <c r="B438" s="6"/>
      <c r="C438" s="102"/>
      <c r="D438" s="102"/>
      <c r="E438" s="102"/>
      <c r="F438" s="103"/>
      <c r="G438" s="103"/>
      <c r="H438" s="6"/>
      <c r="I438" s="104"/>
      <c r="J438" s="104"/>
      <c r="K438" s="104"/>
      <c r="L438" s="104"/>
    </row>
    <row r="439" spans="1:12" x14ac:dyDescent="0.25">
      <c r="A439" s="6"/>
      <c r="B439" s="6"/>
      <c r="C439" s="102"/>
      <c r="D439" s="102"/>
      <c r="E439" s="102"/>
      <c r="F439" s="103"/>
      <c r="G439" s="103"/>
      <c r="H439" s="6"/>
      <c r="I439" s="104"/>
      <c r="J439" s="104"/>
      <c r="K439" s="104"/>
      <c r="L439" s="104"/>
    </row>
    <row r="440" spans="1:12" x14ac:dyDescent="0.25">
      <c r="A440" s="6"/>
      <c r="B440" s="6"/>
      <c r="C440" s="102"/>
      <c r="D440" s="102"/>
      <c r="E440" s="102"/>
      <c r="F440" s="103"/>
      <c r="G440" s="103"/>
      <c r="H440" s="6"/>
      <c r="I440" s="104"/>
      <c r="J440" s="104"/>
      <c r="K440" s="104"/>
      <c r="L440" s="104"/>
    </row>
    <row r="441" spans="1:12" x14ac:dyDescent="0.25">
      <c r="A441" s="6"/>
      <c r="B441" s="6"/>
      <c r="C441" s="102"/>
      <c r="D441" s="102"/>
      <c r="E441" s="102"/>
      <c r="F441" s="103"/>
      <c r="G441" s="103"/>
      <c r="H441" s="6"/>
      <c r="I441" s="104"/>
      <c r="J441" s="104"/>
      <c r="K441" s="104"/>
      <c r="L441" s="104"/>
    </row>
    <row r="442" spans="1:12" x14ac:dyDescent="0.25">
      <c r="A442" s="6"/>
      <c r="B442" s="6"/>
      <c r="C442" s="102"/>
      <c r="D442" s="102"/>
      <c r="E442" s="102"/>
      <c r="F442" s="103"/>
      <c r="G442" s="103"/>
      <c r="H442" s="6"/>
      <c r="I442" s="104"/>
      <c r="J442" s="104"/>
      <c r="K442" s="104"/>
      <c r="L442" s="104"/>
    </row>
    <row r="443" spans="1:12" x14ac:dyDescent="0.25">
      <c r="A443" s="6"/>
      <c r="B443" s="6"/>
      <c r="C443" s="102"/>
      <c r="D443" s="102"/>
      <c r="E443" s="102"/>
      <c r="F443" s="103"/>
      <c r="G443" s="103"/>
      <c r="H443" s="6"/>
      <c r="I443" s="104"/>
      <c r="J443" s="104"/>
      <c r="K443" s="104"/>
      <c r="L443" s="104"/>
    </row>
    <row r="444" spans="1:12" x14ac:dyDescent="0.25">
      <c r="A444" s="6"/>
      <c r="B444" s="6"/>
      <c r="C444" s="102"/>
      <c r="D444" s="102"/>
      <c r="E444" s="102"/>
      <c r="F444" s="103"/>
      <c r="G444" s="103"/>
      <c r="H444" s="6"/>
      <c r="I444" s="104"/>
      <c r="J444" s="104"/>
      <c r="K444" s="104"/>
      <c r="L444" s="104"/>
    </row>
    <row r="445" spans="1:12" x14ac:dyDescent="0.25">
      <c r="A445" s="6"/>
      <c r="B445" s="6"/>
      <c r="C445" s="102"/>
      <c r="D445" s="102"/>
      <c r="E445" s="102"/>
      <c r="F445" s="103"/>
      <c r="G445" s="103"/>
      <c r="H445" s="6"/>
      <c r="I445" s="104"/>
      <c r="J445" s="104"/>
      <c r="K445" s="104"/>
      <c r="L445" s="104"/>
    </row>
    <row r="446" spans="1:12" x14ac:dyDescent="0.25">
      <c r="A446" s="6"/>
      <c r="B446" s="6"/>
      <c r="C446" s="102"/>
      <c r="D446" s="102"/>
      <c r="E446" s="102"/>
      <c r="F446" s="103"/>
      <c r="G446" s="103"/>
      <c r="H446" s="6"/>
      <c r="I446" s="104"/>
      <c r="J446" s="104"/>
      <c r="K446" s="104"/>
      <c r="L446" s="104"/>
    </row>
    <row r="447" spans="1:12" x14ac:dyDescent="0.25">
      <c r="A447" s="6"/>
      <c r="B447" s="6"/>
      <c r="C447" s="102"/>
      <c r="D447" s="102"/>
      <c r="E447" s="102"/>
      <c r="F447" s="103"/>
      <c r="G447" s="103"/>
      <c r="H447" s="6"/>
      <c r="I447" s="104"/>
      <c r="J447" s="104"/>
      <c r="K447" s="104"/>
      <c r="L447" s="104"/>
    </row>
    <row r="448" spans="1:12" x14ac:dyDescent="0.25">
      <c r="A448" s="6"/>
      <c r="B448" s="6"/>
      <c r="C448" s="102"/>
      <c r="D448" s="102"/>
      <c r="E448" s="102"/>
      <c r="F448" s="103"/>
      <c r="G448" s="103"/>
      <c r="H448" s="6"/>
      <c r="I448" s="104"/>
      <c r="J448" s="104"/>
      <c r="K448" s="104"/>
      <c r="L448" s="104"/>
    </row>
    <row r="449" spans="1:12" x14ac:dyDescent="0.25">
      <c r="A449" s="6"/>
      <c r="B449" s="6"/>
      <c r="C449" s="102"/>
      <c r="D449" s="102"/>
      <c r="E449" s="102"/>
      <c r="F449" s="103"/>
      <c r="G449" s="103"/>
      <c r="H449" s="6"/>
      <c r="I449" s="104"/>
      <c r="J449" s="104"/>
      <c r="K449" s="104"/>
      <c r="L449" s="104"/>
    </row>
    <row r="450" spans="1:12" x14ac:dyDescent="0.25">
      <c r="A450" s="6"/>
      <c r="B450" s="6"/>
      <c r="C450" s="102"/>
      <c r="D450" s="102"/>
      <c r="E450" s="102"/>
      <c r="F450" s="103"/>
      <c r="G450" s="103"/>
      <c r="H450" s="6"/>
      <c r="I450" s="104"/>
      <c r="J450" s="104"/>
      <c r="K450" s="104"/>
      <c r="L450" s="104"/>
    </row>
    <row r="451" spans="1:12" x14ac:dyDescent="0.25">
      <c r="A451" s="6"/>
      <c r="B451" s="6"/>
      <c r="C451" s="102"/>
      <c r="D451" s="102"/>
      <c r="E451" s="102"/>
      <c r="F451" s="103"/>
      <c r="G451" s="103"/>
      <c r="H451" s="6"/>
      <c r="I451" s="104"/>
      <c r="J451" s="104"/>
      <c r="K451" s="104"/>
      <c r="L451" s="104"/>
    </row>
    <row r="452" spans="1:12" x14ac:dyDescent="0.25">
      <c r="A452" s="6"/>
      <c r="B452" s="6"/>
      <c r="C452" s="102"/>
      <c r="D452" s="102"/>
      <c r="E452" s="102"/>
      <c r="F452" s="103"/>
      <c r="G452" s="103"/>
      <c r="H452" s="6"/>
      <c r="I452" s="104"/>
      <c r="J452" s="104"/>
      <c r="K452" s="104"/>
      <c r="L452" s="104"/>
    </row>
    <row r="453" spans="1:12" x14ac:dyDescent="0.25">
      <c r="A453" s="6"/>
      <c r="B453" s="6"/>
      <c r="C453" s="102"/>
      <c r="D453" s="102"/>
      <c r="E453" s="102"/>
      <c r="F453" s="103"/>
      <c r="G453" s="103"/>
      <c r="H453" s="6"/>
      <c r="I453" s="104"/>
      <c r="J453" s="104"/>
      <c r="K453" s="104"/>
      <c r="L453" s="104"/>
    </row>
    <row r="454" spans="1:12" x14ac:dyDescent="0.25">
      <c r="A454" s="6"/>
      <c r="B454" s="6"/>
      <c r="C454" s="102"/>
      <c r="D454" s="102"/>
      <c r="E454" s="102"/>
      <c r="F454" s="103"/>
      <c r="G454" s="103"/>
      <c r="H454" s="6"/>
      <c r="I454" s="104"/>
      <c r="J454" s="104"/>
      <c r="K454" s="104"/>
      <c r="L454" s="104"/>
    </row>
    <row r="455" spans="1:12" x14ac:dyDescent="0.25">
      <c r="A455" s="6"/>
      <c r="B455" s="6"/>
      <c r="C455" s="102"/>
      <c r="D455" s="102"/>
      <c r="E455" s="102"/>
      <c r="F455" s="103"/>
      <c r="G455" s="103"/>
      <c r="H455" s="6"/>
      <c r="I455" s="104"/>
      <c r="J455" s="104"/>
      <c r="K455" s="104"/>
      <c r="L455" s="104"/>
    </row>
    <row r="456" spans="1:12" x14ac:dyDescent="0.25">
      <c r="A456" s="6"/>
      <c r="B456" s="6"/>
      <c r="C456" s="102"/>
      <c r="D456" s="102"/>
      <c r="E456" s="102"/>
      <c r="F456" s="103"/>
      <c r="G456" s="103"/>
      <c r="H456" s="6"/>
      <c r="I456" s="104"/>
      <c r="J456" s="104"/>
      <c r="K456" s="104"/>
      <c r="L456" s="104"/>
    </row>
    <row r="457" spans="1:12" x14ac:dyDescent="0.25">
      <c r="A457" s="6"/>
      <c r="B457" s="6"/>
      <c r="C457" s="102"/>
      <c r="D457" s="102"/>
      <c r="E457" s="102"/>
      <c r="F457" s="103"/>
      <c r="G457" s="103"/>
      <c r="H457" s="6"/>
      <c r="I457" s="104"/>
      <c r="J457" s="104"/>
      <c r="K457" s="104"/>
      <c r="L457" s="104"/>
    </row>
    <row r="458" spans="1:12" x14ac:dyDescent="0.25">
      <c r="A458" s="6"/>
      <c r="B458" s="6"/>
      <c r="C458" s="102"/>
      <c r="D458" s="102"/>
      <c r="E458" s="102"/>
      <c r="F458" s="103"/>
      <c r="G458" s="103"/>
      <c r="H458" s="6"/>
      <c r="I458" s="104"/>
      <c r="J458" s="104"/>
      <c r="K458" s="104"/>
      <c r="L458" s="104"/>
    </row>
    <row r="459" spans="1:12" x14ac:dyDescent="0.25">
      <c r="A459" s="6"/>
      <c r="B459" s="6"/>
      <c r="C459" s="102"/>
      <c r="D459" s="102"/>
      <c r="E459" s="102"/>
      <c r="F459" s="103"/>
      <c r="G459" s="103"/>
      <c r="H459" s="6"/>
      <c r="I459" s="104"/>
      <c r="J459" s="104"/>
      <c r="K459" s="104"/>
      <c r="L459" s="104"/>
    </row>
    <row r="460" spans="1:12" x14ac:dyDescent="0.25">
      <c r="A460" s="6"/>
      <c r="B460" s="6"/>
      <c r="C460" s="102"/>
      <c r="D460" s="102"/>
      <c r="E460" s="102"/>
      <c r="F460" s="103"/>
      <c r="G460" s="103"/>
      <c r="H460" s="6"/>
      <c r="I460" s="104"/>
      <c r="J460" s="104"/>
      <c r="K460" s="104"/>
      <c r="L460" s="104"/>
    </row>
    <row r="461" spans="1:12" x14ac:dyDescent="0.25">
      <c r="A461" s="6"/>
      <c r="B461" s="6"/>
      <c r="C461" s="102"/>
      <c r="D461" s="102"/>
      <c r="E461" s="102"/>
      <c r="F461" s="103"/>
      <c r="G461" s="103"/>
      <c r="H461" s="6"/>
      <c r="I461" s="104"/>
      <c r="J461" s="104"/>
      <c r="K461" s="104"/>
      <c r="L461" s="104"/>
    </row>
    <row r="462" spans="1:12" x14ac:dyDescent="0.25">
      <c r="A462" s="6"/>
      <c r="B462" s="6"/>
      <c r="C462" s="102"/>
      <c r="D462" s="102"/>
      <c r="E462" s="102"/>
      <c r="F462" s="103"/>
      <c r="G462" s="103"/>
      <c r="H462" s="6"/>
      <c r="I462" s="104"/>
      <c r="J462" s="104"/>
      <c r="K462" s="104"/>
      <c r="L462" s="104"/>
    </row>
    <row r="463" spans="1:12" x14ac:dyDescent="0.25">
      <c r="A463" s="6"/>
      <c r="B463" s="6"/>
      <c r="C463" s="102"/>
      <c r="D463" s="102"/>
      <c r="E463" s="102"/>
      <c r="F463" s="103"/>
      <c r="G463" s="103"/>
      <c r="H463" s="6"/>
      <c r="I463" s="104"/>
      <c r="J463" s="104"/>
      <c r="K463" s="104"/>
      <c r="L463" s="104"/>
    </row>
    <row r="464" spans="1:12" x14ac:dyDescent="0.25">
      <c r="A464" s="6"/>
      <c r="B464" s="6"/>
      <c r="C464" s="102"/>
      <c r="D464" s="102"/>
      <c r="E464" s="102"/>
      <c r="F464" s="103"/>
      <c r="G464" s="103"/>
      <c r="H464" s="6"/>
      <c r="I464" s="104"/>
      <c r="J464" s="104"/>
      <c r="K464" s="104"/>
      <c r="L464" s="104"/>
    </row>
    <row r="465" spans="1:12" x14ac:dyDescent="0.25">
      <c r="A465" s="6"/>
      <c r="B465" s="6"/>
      <c r="C465" s="102"/>
      <c r="D465" s="102"/>
      <c r="E465" s="102"/>
      <c r="F465" s="103"/>
      <c r="G465" s="103"/>
      <c r="H465" s="6"/>
      <c r="I465" s="104"/>
      <c r="J465" s="104"/>
      <c r="K465" s="104"/>
      <c r="L465" s="104"/>
    </row>
    <row r="466" spans="1:12" x14ac:dyDescent="0.25">
      <c r="A466" s="6"/>
      <c r="B466" s="6"/>
      <c r="C466" s="102"/>
      <c r="D466" s="102"/>
      <c r="E466" s="102"/>
      <c r="F466" s="103"/>
      <c r="G466" s="103"/>
      <c r="H466" s="6"/>
      <c r="I466" s="104"/>
      <c r="J466" s="104"/>
      <c r="K466" s="104"/>
      <c r="L466" s="104"/>
    </row>
    <row r="467" spans="1:12" x14ac:dyDescent="0.25">
      <c r="A467" s="6"/>
      <c r="B467" s="6"/>
      <c r="C467" s="102"/>
      <c r="D467" s="102"/>
      <c r="E467" s="102"/>
      <c r="F467" s="103"/>
      <c r="G467" s="103"/>
      <c r="H467" s="6"/>
      <c r="I467" s="104"/>
      <c r="J467" s="104"/>
      <c r="K467" s="104"/>
      <c r="L467" s="104"/>
    </row>
    <row r="468" spans="1:12" x14ac:dyDescent="0.25">
      <c r="A468" s="6"/>
      <c r="B468" s="6"/>
      <c r="C468" s="102"/>
      <c r="D468" s="102"/>
      <c r="E468" s="102"/>
      <c r="F468" s="103"/>
      <c r="G468" s="103"/>
      <c r="H468" s="6"/>
      <c r="I468" s="104"/>
      <c r="J468" s="104"/>
      <c r="K468" s="104"/>
      <c r="L468" s="104"/>
    </row>
    <row r="469" spans="1:12" x14ac:dyDescent="0.25">
      <c r="A469" s="6"/>
      <c r="B469" s="6"/>
      <c r="C469" s="102"/>
      <c r="D469" s="102"/>
      <c r="E469" s="102"/>
      <c r="F469" s="103"/>
      <c r="G469" s="103"/>
      <c r="H469" s="6"/>
      <c r="I469" s="104"/>
      <c r="J469" s="104"/>
      <c r="K469" s="104"/>
      <c r="L469" s="104"/>
    </row>
    <row r="470" spans="1:12" x14ac:dyDescent="0.25">
      <c r="A470" s="6"/>
      <c r="B470" s="6"/>
      <c r="C470" s="102"/>
      <c r="D470" s="102"/>
      <c r="E470" s="102"/>
      <c r="F470" s="103"/>
      <c r="G470" s="103"/>
      <c r="H470" s="6"/>
      <c r="I470" s="104"/>
      <c r="J470" s="104"/>
      <c r="K470" s="104"/>
      <c r="L470" s="104"/>
    </row>
    <row r="471" spans="1:12" x14ac:dyDescent="0.25">
      <c r="A471" s="6"/>
      <c r="B471" s="6"/>
      <c r="C471" s="102"/>
      <c r="D471" s="102"/>
      <c r="E471" s="102"/>
      <c r="F471" s="103"/>
      <c r="G471" s="103"/>
      <c r="H471" s="6"/>
      <c r="I471" s="104"/>
      <c r="J471" s="104"/>
      <c r="K471" s="104"/>
      <c r="L471" s="104"/>
    </row>
    <row r="472" spans="1:12" x14ac:dyDescent="0.25">
      <c r="A472" s="6"/>
      <c r="B472" s="6"/>
      <c r="C472" s="102"/>
      <c r="D472" s="102"/>
      <c r="E472" s="102"/>
      <c r="F472" s="103"/>
      <c r="G472" s="103"/>
      <c r="H472" s="6"/>
      <c r="I472" s="104"/>
      <c r="J472" s="104"/>
      <c r="K472" s="104"/>
      <c r="L472" s="104"/>
    </row>
    <row r="473" spans="1:12" x14ac:dyDescent="0.25">
      <c r="A473" s="6"/>
      <c r="B473" s="6"/>
      <c r="C473" s="102"/>
      <c r="D473" s="102"/>
      <c r="E473" s="102"/>
      <c r="F473" s="103"/>
      <c r="G473" s="103"/>
      <c r="H473" s="6"/>
      <c r="I473" s="104"/>
      <c r="J473" s="104"/>
      <c r="K473" s="104"/>
      <c r="L473" s="104"/>
    </row>
    <row r="474" spans="1:12" x14ac:dyDescent="0.25">
      <c r="A474" s="6"/>
      <c r="B474" s="6"/>
      <c r="C474" s="102"/>
      <c r="D474" s="102"/>
      <c r="E474" s="102"/>
      <c r="F474" s="103"/>
      <c r="G474" s="103"/>
      <c r="H474" s="6"/>
      <c r="I474" s="104"/>
      <c r="J474" s="104"/>
      <c r="K474" s="104"/>
      <c r="L474" s="104"/>
    </row>
    <row r="475" spans="1:12" x14ac:dyDescent="0.25">
      <c r="A475" s="6"/>
      <c r="B475" s="6"/>
      <c r="C475" s="102"/>
      <c r="D475" s="102"/>
      <c r="E475" s="102"/>
      <c r="F475" s="103"/>
      <c r="G475" s="103"/>
      <c r="H475" s="6"/>
      <c r="I475" s="104"/>
      <c r="J475" s="104"/>
      <c r="K475" s="104"/>
      <c r="L475" s="104"/>
    </row>
    <row r="476" spans="1:12" x14ac:dyDescent="0.25">
      <c r="A476" s="6"/>
      <c r="B476" s="6"/>
      <c r="C476" s="102"/>
      <c r="D476" s="102"/>
      <c r="E476" s="102"/>
      <c r="F476" s="103"/>
      <c r="G476" s="103"/>
      <c r="H476" s="6"/>
      <c r="I476" s="104"/>
      <c r="J476" s="104"/>
      <c r="K476" s="104"/>
      <c r="L476" s="104"/>
    </row>
    <row r="477" spans="1:12" x14ac:dyDescent="0.25">
      <c r="A477" s="6"/>
      <c r="B477" s="6"/>
      <c r="C477" s="102"/>
      <c r="D477" s="102"/>
      <c r="E477" s="102"/>
      <c r="F477" s="103"/>
      <c r="G477" s="103"/>
      <c r="H477" s="6"/>
      <c r="I477" s="104"/>
      <c r="J477" s="104"/>
      <c r="K477" s="104"/>
      <c r="L477" s="104"/>
    </row>
    <row r="478" spans="1:12" x14ac:dyDescent="0.25">
      <c r="A478" s="6"/>
      <c r="B478" s="6"/>
      <c r="C478" s="102"/>
      <c r="D478" s="102"/>
      <c r="E478" s="102"/>
      <c r="F478" s="103"/>
      <c r="G478" s="103"/>
      <c r="H478" s="6"/>
      <c r="I478" s="104"/>
      <c r="J478" s="104"/>
      <c r="K478" s="104"/>
      <c r="L478" s="104"/>
    </row>
    <row r="479" spans="1:12" x14ac:dyDescent="0.25">
      <c r="A479" s="6"/>
      <c r="B479" s="6"/>
      <c r="C479" s="102"/>
      <c r="D479" s="102"/>
      <c r="E479" s="102"/>
      <c r="F479" s="103"/>
      <c r="G479" s="103"/>
      <c r="H479" s="6"/>
      <c r="I479" s="104"/>
      <c r="J479" s="104"/>
      <c r="K479" s="104"/>
      <c r="L479" s="104"/>
    </row>
    <row r="480" spans="1:12" x14ac:dyDescent="0.25">
      <c r="A480" s="6"/>
      <c r="B480" s="6"/>
      <c r="C480" s="102"/>
      <c r="D480" s="102"/>
      <c r="E480" s="102"/>
      <c r="F480" s="103"/>
      <c r="G480" s="103"/>
      <c r="H480" s="6"/>
      <c r="I480" s="104"/>
      <c r="J480" s="104"/>
      <c r="K480" s="104"/>
      <c r="L480" s="104"/>
    </row>
    <row r="481" spans="1:12" x14ac:dyDescent="0.25">
      <c r="A481" s="6"/>
      <c r="B481" s="6"/>
      <c r="C481" s="102"/>
      <c r="D481" s="102"/>
      <c r="E481" s="102"/>
      <c r="F481" s="103"/>
      <c r="G481" s="103"/>
      <c r="H481" s="6"/>
      <c r="I481" s="104"/>
      <c r="J481" s="104"/>
      <c r="K481" s="104"/>
      <c r="L481" s="104"/>
    </row>
    <row r="482" spans="1:12" x14ac:dyDescent="0.25">
      <c r="A482" s="6"/>
      <c r="B482" s="6"/>
      <c r="C482" s="102"/>
      <c r="D482" s="102"/>
      <c r="E482" s="102"/>
      <c r="F482" s="103"/>
      <c r="G482" s="103"/>
      <c r="H482" s="6"/>
      <c r="I482" s="104"/>
      <c r="J482" s="104"/>
      <c r="K482" s="104"/>
      <c r="L482" s="104"/>
    </row>
    <row r="483" spans="1:12" x14ac:dyDescent="0.25">
      <c r="A483" s="6"/>
      <c r="B483" s="6"/>
      <c r="C483" s="102"/>
      <c r="D483" s="102"/>
      <c r="E483" s="102"/>
      <c r="F483" s="103"/>
      <c r="G483" s="103"/>
      <c r="H483" s="6"/>
      <c r="I483" s="104"/>
      <c r="J483" s="104"/>
      <c r="K483" s="104"/>
      <c r="L483" s="104"/>
    </row>
    <row r="484" spans="1:12" x14ac:dyDescent="0.25">
      <c r="A484" s="6"/>
      <c r="B484" s="6"/>
      <c r="C484" s="102"/>
      <c r="D484" s="102"/>
      <c r="E484" s="102"/>
      <c r="F484" s="103"/>
      <c r="G484" s="103"/>
      <c r="H484" s="6"/>
      <c r="I484" s="104"/>
      <c r="J484" s="104"/>
      <c r="K484" s="104"/>
      <c r="L484" s="104"/>
    </row>
    <row r="485" spans="1:12" x14ac:dyDescent="0.25">
      <c r="A485" s="6"/>
      <c r="B485" s="6"/>
      <c r="C485" s="102"/>
      <c r="D485" s="102"/>
      <c r="E485" s="102"/>
      <c r="F485" s="103"/>
      <c r="G485" s="103"/>
      <c r="H485" s="6"/>
      <c r="I485" s="104"/>
      <c r="J485" s="104"/>
      <c r="K485" s="104"/>
      <c r="L485" s="104"/>
    </row>
    <row r="486" spans="1:12" x14ac:dyDescent="0.25">
      <c r="A486" s="6"/>
      <c r="B486" s="6"/>
      <c r="C486" s="102"/>
      <c r="D486" s="102"/>
      <c r="E486" s="102"/>
      <c r="F486" s="103"/>
      <c r="G486" s="103"/>
      <c r="H486" s="6"/>
      <c r="I486" s="104"/>
      <c r="J486" s="104"/>
      <c r="K486" s="104"/>
      <c r="L486" s="104"/>
    </row>
    <row r="487" spans="1:12" x14ac:dyDescent="0.25">
      <c r="A487" s="6"/>
      <c r="B487" s="6"/>
      <c r="C487" s="102"/>
      <c r="D487" s="102"/>
      <c r="E487" s="102"/>
      <c r="F487" s="103"/>
      <c r="G487" s="103"/>
      <c r="H487" s="6"/>
      <c r="I487" s="104"/>
      <c r="J487" s="104"/>
      <c r="K487" s="104"/>
      <c r="L487" s="104"/>
    </row>
    <row r="488" spans="1:12" x14ac:dyDescent="0.25">
      <c r="A488" s="6"/>
      <c r="B488" s="6"/>
      <c r="C488" s="102"/>
      <c r="D488" s="102"/>
      <c r="E488" s="102"/>
      <c r="F488" s="103"/>
      <c r="G488" s="103"/>
      <c r="H488" s="6"/>
      <c r="I488" s="104"/>
      <c r="J488" s="104"/>
      <c r="K488" s="104"/>
      <c r="L488" s="104"/>
    </row>
    <row r="489" spans="1:12" x14ac:dyDescent="0.25">
      <c r="A489" s="6"/>
      <c r="B489" s="6"/>
      <c r="C489" s="102"/>
      <c r="D489" s="102"/>
      <c r="E489" s="102"/>
      <c r="F489" s="103"/>
      <c r="G489" s="103"/>
      <c r="H489" s="6"/>
      <c r="I489" s="104"/>
      <c r="J489" s="104"/>
      <c r="K489" s="104"/>
      <c r="L489" s="104"/>
    </row>
    <row r="490" spans="1:12" x14ac:dyDescent="0.25">
      <c r="A490" s="6"/>
      <c r="B490" s="6"/>
      <c r="C490" s="102"/>
      <c r="D490" s="102"/>
      <c r="E490" s="102"/>
      <c r="F490" s="103"/>
      <c r="G490" s="103"/>
      <c r="H490" s="6"/>
      <c r="I490" s="104"/>
      <c r="J490" s="104"/>
      <c r="K490" s="104"/>
      <c r="L490" s="104"/>
    </row>
    <row r="491" spans="1:12" x14ac:dyDescent="0.25">
      <c r="A491" s="6"/>
      <c r="B491" s="6"/>
      <c r="C491" s="102"/>
      <c r="D491" s="102"/>
      <c r="E491" s="102"/>
      <c r="F491" s="103"/>
      <c r="G491" s="103"/>
      <c r="H491" s="6"/>
      <c r="I491" s="104"/>
      <c r="J491" s="104"/>
      <c r="K491" s="104"/>
      <c r="L491" s="104"/>
    </row>
    <row r="492" spans="1:12" x14ac:dyDescent="0.25">
      <c r="A492" s="6"/>
      <c r="B492" s="6"/>
      <c r="C492" s="102"/>
      <c r="D492" s="102"/>
      <c r="E492" s="102"/>
      <c r="F492" s="103"/>
      <c r="G492" s="103"/>
      <c r="H492" s="6"/>
      <c r="I492" s="104"/>
      <c r="J492" s="104"/>
      <c r="K492" s="104"/>
      <c r="L492" s="104"/>
    </row>
    <row r="493" spans="1:12" x14ac:dyDescent="0.25">
      <c r="A493" s="6"/>
      <c r="B493" s="6"/>
      <c r="C493" s="102"/>
      <c r="D493" s="102"/>
      <c r="E493" s="102"/>
      <c r="F493" s="103"/>
      <c r="G493" s="103"/>
      <c r="H493" s="6"/>
      <c r="I493" s="104"/>
      <c r="J493" s="104"/>
      <c r="K493" s="104"/>
      <c r="L493" s="104"/>
    </row>
    <row r="494" spans="1:12" x14ac:dyDescent="0.25">
      <c r="A494" s="6"/>
      <c r="B494" s="6"/>
      <c r="C494" s="102"/>
      <c r="D494" s="102"/>
      <c r="E494" s="102"/>
      <c r="F494" s="103"/>
      <c r="G494" s="103"/>
      <c r="H494" s="6"/>
      <c r="I494" s="104"/>
      <c r="J494" s="104"/>
      <c r="K494" s="104"/>
      <c r="L494" s="104"/>
    </row>
    <row r="495" spans="1:12" x14ac:dyDescent="0.25">
      <c r="A495" s="6"/>
      <c r="B495" s="6"/>
      <c r="C495" s="102"/>
      <c r="D495" s="102"/>
      <c r="E495" s="102"/>
      <c r="F495" s="103"/>
      <c r="G495" s="103"/>
      <c r="H495" s="6"/>
      <c r="I495" s="104"/>
      <c r="J495" s="104"/>
      <c r="K495" s="104"/>
      <c r="L495" s="104"/>
    </row>
    <row r="496" spans="1:12" x14ac:dyDescent="0.25">
      <c r="A496" s="6"/>
      <c r="B496" s="6"/>
      <c r="C496" s="102"/>
      <c r="D496" s="102"/>
      <c r="E496" s="102"/>
      <c r="F496" s="103"/>
      <c r="G496" s="103"/>
      <c r="H496" s="6"/>
      <c r="I496" s="104"/>
      <c r="J496" s="104"/>
      <c r="K496" s="104"/>
      <c r="L496" s="104"/>
    </row>
    <row r="497" spans="1:12" x14ac:dyDescent="0.25">
      <c r="A497" s="6"/>
      <c r="B497" s="6"/>
      <c r="C497" s="102"/>
      <c r="D497" s="102"/>
      <c r="E497" s="102"/>
      <c r="F497" s="103"/>
      <c r="G497" s="103"/>
      <c r="H497" s="6"/>
      <c r="I497" s="104"/>
      <c r="J497" s="104"/>
      <c r="K497" s="104"/>
      <c r="L497" s="104"/>
    </row>
    <row r="498" spans="1:12" x14ac:dyDescent="0.25">
      <c r="A498" s="6"/>
      <c r="B498" s="6"/>
      <c r="C498" s="102"/>
      <c r="D498" s="102"/>
      <c r="E498" s="102"/>
      <c r="F498" s="103"/>
      <c r="G498" s="103"/>
      <c r="H498" s="6"/>
      <c r="I498" s="104"/>
      <c r="J498" s="104"/>
      <c r="K498" s="104"/>
      <c r="L498" s="104"/>
    </row>
    <row r="499" spans="1:12" x14ac:dyDescent="0.25">
      <c r="A499" s="6"/>
      <c r="B499" s="6"/>
      <c r="C499" s="102"/>
      <c r="D499" s="102"/>
      <c r="E499" s="102"/>
      <c r="F499" s="103"/>
      <c r="G499" s="103"/>
      <c r="H499" s="6"/>
      <c r="I499" s="104"/>
      <c r="J499" s="104"/>
      <c r="K499" s="104"/>
      <c r="L499" s="104"/>
    </row>
    <row r="500" spans="1:12" x14ac:dyDescent="0.25">
      <c r="A500" s="6"/>
      <c r="B500" s="6"/>
      <c r="C500" s="102"/>
      <c r="D500" s="102"/>
      <c r="E500" s="102"/>
      <c r="F500" s="103"/>
      <c r="G500" s="103"/>
      <c r="H500" s="6"/>
      <c r="I500" s="104"/>
      <c r="J500" s="104"/>
      <c r="K500" s="104"/>
      <c r="L500" s="104"/>
    </row>
    <row r="501" spans="1:12" x14ac:dyDescent="0.25">
      <c r="A501" s="6"/>
      <c r="B501" s="6"/>
      <c r="C501" s="102"/>
      <c r="D501" s="102"/>
      <c r="E501" s="102"/>
      <c r="F501" s="103"/>
      <c r="G501" s="103"/>
      <c r="H501" s="6"/>
      <c r="I501" s="104"/>
      <c r="J501" s="104"/>
      <c r="K501" s="104"/>
      <c r="L501" s="104"/>
    </row>
    <row r="502" spans="1:12" x14ac:dyDescent="0.25">
      <c r="A502" s="6"/>
      <c r="B502" s="6"/>
      <c r="C502" s="102"/>
      <c r="D502" s="102"/>
      <c r="E502" s="102"/>
      <c r="F502" s="103"/>
      <c r="G502" s="103"/>
      <c r="H502" s="6"/>
      <c r="I502" s="104"/>
      <c r="J502" s="104"/>
      <c r="K502" s="104"/>
      <c r="L502" s="104"/>
    </row>
    <row r="503" spans="1:12" x14ac:dyDescent="0.25">
      <c r="A503" s="6"/>
      <c r="B503" s="6"/>
      <c r="C503" s="102"/>
      <c r="D503" s="102"/>
      <c r="E503" s="102"/>
      <c r="F503" s="103"/>
      <c r="G503" s="103"/>
      <c r="H503" s="6"/>
      <c r="I503" s="104"/>
      <c r="J503" s="104"/>
      <c r="K503" s="104"/>
      <c r="L503" s="104"/>
    </row>
    <row r="504" spans="1:12" x14ac:dyDescent="0.25">
      <c r="A504" s="6"/>
      <c r="B504" s="6"/>
      <c r="C504" s="102"/>
      <c r="D504" s="102"/>
      <c r="E504" s="102"/>
      <c r="F504" s="103"/>
      <c r="G504" s="103"/>
      <c r="H504" s="6"/>
      <c r="I504" s="104"/>
      <c r="J504" s="104"/>
      <c r="K504" s="104"/>
      <c r="L504" s="104"/>
    </row>
    <row r="505" spans="1:12" x14ac:dyDescent="0.25">
      <c r="A505" s="6"/>
      <c r="B505" s="6"/>
      <c r="C505" s="102"/>
      <c r="D505" s="102"/>
      <c r="E505" s="102"/>
      <c r="F505" s="103"/>
      <c r="G505" s="103"/>
      <c r="H505" s="6"/>
      <c r="I505" s="104"/>
      <c r="J505" s="104"/>
      <c r="K505" s="104"/>
      <c r="L505" s="104"/>
    </row>
    <row r="506" spans="1:12" x14ac:dyDescent="0.25">
      <c r="A506" s="6"/>
      <c r="B506" s="6"/>
      <c r="C506" s="102"/>
      <c r="D506" s="102"/>
      <c r="E506" s="102"/>
      <c r="F506" s="103"/>
      <c r="G506" s="103"/>
      <c r="H506" s="6"/>
      <c r="I506" s="104"/>
      <c r="J506" s="104"/>
      <c r="K506" s="104"/>
      <c r="L506" s="104"/>
    </row>
    <row r="507" spans="1:12" x14ac:dyDescent="0.25">
      <c r="A507" s="6"/>
      <c r="B507" s="6"/>
      <c r="C507" s="102"/>
      <c r="D507" s="102"/>
      <c r="E507" s="102"/>
      <c r="F507" s="103"/>
      <c r="G507" s="103"/>
      <c r="H507" s="6"/>
      <c r="I507" s="104"/>
      <c r="J507" s="104"/>
      <c r="K507" s="104"/>
      <c r="L507" s="104"/>
    </row>
    <row r="508" spans="1:12" x14ac:dyDescent="0.25">
      <c r="A508" s="6"/>
      <c r="B508" s="6"/>
      <c r="C508" s="102"/>
      <c r="D508" s="102"/>
      <c r="E508" s="102"/>
      <c r="F508" s="103"/>
      <c r="G508" s="103"/>
      <c r="H508" s="6"/>
      <c r="I508" s="104"/>
      <c r="J508" s="104"/>
      <c r="K508" s="104"/>
      <c r="L508" s="104"/>
    </row>
    <row r="509" spans="1:12" x14ac:dyDescent="0.25">
      <c r="A509" s="6"/>
      <c r="B509" s="6"/>
      <c r="C509" s="102"/>
      <c r="D509" s="102"/>
      <c r="E509" s="102"/>
      <c r="F509" s="103"/>
      <c r="G509" s="103"/>
      <c r="H509" s="6"/>
      <c r="I509" s="104"/>
      <c r="J509" s="104"/>
      <c r="K509" s="104"/>
      <c r="L509" s="104"/>
    </row>
    <row r="510" spans="1:12" x14ac:dyDescent="0.25">
      <c r="A510" s="6"/>
      <c r="B510" s="6"/>
      <c r="C510" s="102"/>
      <c r="D510" s="102"/>
      <c r="E510" s="102"/>
      <c r="F510" s="103"/>
      <c r="G510" s="103"/>
      <c r="H510" s="6"/>
      <c r="I510" s="104"/>
      <c r="J510" s="104"/>
      <c r="K510" s="104"/>
      <c r="L510" s="104"/>
    </row>
    <row r="511" spans="1:12" x14ac:dyDescent="0.25">
      <c r="A511" s="6"/>
      <c r="B511" s="6"/>
      <c r="C511" s="102"/>
      <c r="D511" s="102"/>
      <c r="E511" s="102"/>
      <c r="F511" s="103"/>
      <c r="G511" s="103"/>
      <c r="H511" s="6"/>
      <c r="I511" s="104"/>
      <c r="J511" s="104"/>
      <c r="K511" s="104"/>
      <c r="L511" s="104"/>
    </row>
    <row r="512" spans="1:12" x14ac:dyDescent="0.25">
      <c r="A512" s="6"/>
      <c r="B512" s="6"/>
      <c r="C512" s="102"/>
      <c r="D512" s="102"/>
      <c r="E512" s="102"/>
      <c r="F512" s="103"/>
      <c r="G512" s="103"/>
      <c r="H512" s="6"/>
      <c r="I512" s="104"/>
      <c r="J512" s="104"/>
      <c r="K512" s="104"/>
      <c r="L512" s="104"/>
    </row>
    <row r="513" spans="1:12" x14ac:dyDescent="0.25">
      <c r="A513" s="6"/>
      <c r="B513" s="6"/>
      <c r="C513" s="102"/>
      <c r="D513" s="102"/>
      <c r="E513" s="102"/>
      <c r="F513" s="103"/>
      <c r="G513" s="103"/>
      <c r="H513" s="6"/>
      <c r="I513" s="104"/>
      <c r="J513" s="104"/>
      <c r="K513" s="104"/>
      <c r="L513" s="104"/>
    </row>
    <row r="514" spans="1:12" x14ac:dyDescent="0.25">
      <c r="A514" s="6"/>
      <c r="B514" s="6"/>
      <c r="C514" s="102"/>
      <c r="D514" s="102"/>
      <c r="E514" s="102"/>
      <c r="F514" s="103"/>
      <c r="G514" s="103"/>
      <c r="H514" s="6"/>
      <c r="I514" s="104"/>
      <c r="J514" s="104"/>
      <c r="K514" s="104"/>
      <c r="L514" s="104"/>
    </row>
    <row r="515" spans="1:12" x14ac:dyDescent="0.25">
      <c r="A515" s="6"/>
      <c r="B515" s="6"/>
      <c r="C515" s="102"/>
      <c r="D515" s="102"/>
      <c r="E515" s="102"/>
      <c r="F515" s="103"/>
      <c r="G515" s="103"/>
      <c r="H515" s="6"/>
      <c r="I515" s="104"/>
      <c r="J515" s="104"/>
      <c r="K515" s="104"/>
      <c r="L515" s="104"/>
    </row>
    <row r="516" spans="1:12" x14ac:dyDescent="0.25">
      <c r="A516" s="6"/>
      <c r="B516" s="6"/>
      <c r="C516" s="102"/>
      <c r="D516" s="102"/>
      <c r="E516" s="102"/>
      <c r="F516" s="103"/>
      <c r="G516" s="103"/>
      <c r="H516" s="6"/>
      <c r="I516" s="104"/>
      <c r="J516" s="104"/>
      <c r="K516" s="104"/>
      <c r="L516" s="104"/>
    </row>
    <row r="517" spans="1:12" x14ac:dyDescent="0.25">
      <c r="A517" s="6"/>
      <c r="B517" s="6"/>
      <c r="C517" s="102"/>
      <c r="D517" s="102"/>
      <c r="E517" s="102"/>
      <c r="F517" s="103"/>
      <c r="G517" s="103"/>
      <c r="H517" s="6"/>
      <c r="I517" s="104"/>
      <c r="J517" s="104"/>
      <c r="K517" s="104"/>
      <c r="L517" s="104"/>
    </row>
    <row r="518" spans="1:12" x14ac:dyDescent="0.25">
      <c r="A518" s="6"/>
      <c r="B518" s="6"/>
      <c r="C518" s="102"/>
      <c r="D518" s="102"/>
      <c r="E518" s="102"/>
      <c r="F518" s="103"/>
      <c r="G518" s="103"/>
      <c r="H518" s="6"/>
      <c r="I518" s="104"/>
      <c r="J518" s="104"/>
      <c r="K518" s="104"/>
      <c r="L518" s="104"/>
    </row>
    <row r="519" spans="1:12" x14ac:dyDescent="0.25">
      <c r="A519" s="6"/>
      <c r="B519" s="6"/>
      <c r="C519" s="102"/>
      <c r="D519" s="102"/>
      <c r="E519" s="102"/>
      <c r="F519" s="103"/>
      <c r="G519" s="103"/>
      <c r="H519" s="6"/>
      <c r="I519" s="104"/>
      <c r="J519" s="104"/>
      <c r="K519" s="104"/>
      <c r="L519" s="104"/>
    </row>
    <row r="520" spans="1:12" x14ac:dyDescent="0.25">
      <c r="A520" s="6"/>
      <c r="B520" s="6"/>
      <c r="C520" s="102"/>
      <c r="D520" s="102"/>
      <c r="E520" s="102"/>
      <c r="F520" s="103"/>
      <c r="G520" s="103"/>
      <c r="H520" s="6"/>
      <c r="I520" s="104"/>
      <c r="J520" s="104"/>
      <c r="K520" s="104"/>
      <c r="L520" s="104"/>
    </row>
    <row r="521" spans="1:12" x14ac:dyDescent="0.25">
      <c r="A521" s="6"/>
      <c r="B521" s="6"/>
      <c r="C521" s="102"/>
      <c r="D521" s="102"/>
      <c r="E521" s="102"/>
      <c r="F521" s="103"/>
      <c r="G521" s="103"/>
      <c r="H521" s="6"/>
      <c r="I521" s="104"/>
      <c r="J521" s="104"/>
      <c r="K521" s="104"/>
      <c r="L521" s="104"/>
    </row>
    <row r="522" spans="1:12" x14ac:dyDescent="0.25">
      <c r="A522" s="6"/>
      <c r="B522" s="6"/>
      <c r="C522" s="102"/>
      <c r="D522" s="102"/>
      <c r="E522" s="102"/>
      <c r="F522" s="103"/>
      <c r="G522" s="103"/>
      <c r="H522" s="6"/>
      <c r="I522" s="104"/>
      <c r="J522" s="104"/>
      <c r="K522" s="104"/>
      <c r="L522" s="104"/>
    </row>
    <row r="523" spans="1:12" x14ac:dyDescent="0.25">
      <c r="A523" s="6"/>
      <c r="B523" s="6"/>
      <c r="C523" s="102"/>
      <c r="D523" s="102"/>
      <c r="E523" s="102"/>
      <c r="F523" s="103"/>
      <c r="G523" s="103"/>
      <c r="H523" s="6"/>
      <c r="I523" s="104"/>
      <c r="J523" s="104"/>
      <c r="K523" s="104"/>
      <c r="L523" s="104"/>
    </row>
    <row r="524" spans="1:12" x14ac:dyDescent="0.25">
      <c r="A524" s="6"/>
      <c r="B524" s="6"/>
      <c r="C524" s="102"/>
      <c r="D524" s="102"/>
      <c r="E524" s="102"/>
      <c r="F524" s="103"/>
      <c r="G524" s="103"/>
      <c r="H524" s="6"/>
      <c r="I524" s="104"/>
      <c r="J524" s="104"/>
      <c r="K524" s="104"/>
      <c r="L524" s="104"/>
    </row>
    <row r="525" spans="1:12" x14ac:dyDescent="0.25">
      <c r="A525" s="6"/>
      <c r="B525" s="6"/>
      <c r="C525" s="102"/>
      <c r="D525" s="102"/>
      <c r="E525" s="102"/>
      <c r="F525" s="103"/>
      <c r="G525" s="103"/>
      <c r="H525" s="6"/>
      <c r="I525" s="104"/>
      <c r="J525" s="104"/>
      <c r="K525" s="104"/>
      <c r="L525" s="104"/>
    </row>
    <row r="526" spans="1:12" x14ac:dyDescent="0.25">
      <c r="A526" s="6"/>
      <c r="B526" s="6"/>
      <c r="C526" s="102"/>
      <c r="D526" s="102"/>
      <c r="E526" s="102"/>
      <c r="F526" s="103"/>
      <c r="G526" s="103"/>
      <c r="H526" s="6"/>
      <c r="I526" s="104"/>
      <c r="J526" s="104"/>
      <c r="K526" s="104"/>
      <c r="L526" s="104"/>
    </row>
    <row r="527" spans="1:12" x14ac:dyDescent="0.25">
      <c r="A527" s="6"/>
      <c r="B527" s="6"/>
      <c r="C527" s="102"/>
      <c r="D527" s="102"/>
      <c r="E527" s="102"/>
      <c r="F527" s="103"/>
      <c r="G527" s="103"/>
      <c r="H527" s="6"/>
      <c r="I527" s="104"/>
      <c r="J527" s="104"/>
      <c r="K527" s="104"/>
      <c r="L527" s="104"/>
    </row>
    <row r="528" spans="1:12" x14ac:dyDescent="0.25">
      <c r="A528" s="6"/>
      <c r="B528" s="6"/>
      <c r="C528" s="102"/>
      <c r="D528" s="102"/>
      <c r="E528" s="102"/>
      <c r="F528" s="103"/>
      <c r="G528" s="103"/>
      <c r="H528" s="6"/>
      <c r="I528" s="104"/>
      <c r="J528" s="104"/>
      <c r="K528" s="104"/>
      <c r="L528" s="104"/>
    </row>
    <row r="529" spans="1:12" x14ac:dyDescent="0.25">
      <c r="A529" s="6"/>
      <c r="B529" s="6"/>
      <c r="C529" s="102"/>
      <c r="D529" s="102"/>
      <c r="E529" s="102"/>
      <c r="F529" s="103"/>
      <c r="G529" s="103"/>
      <c r="H529" s="6"/>
      <c r="I529" s="104"/>
      <c r="J529" s="104"/>
      <c r="K529" s="104"/>
      <c r="L529" s="104"/>
    </row>
    <row r="530" spans="1:12" x14ac:dyDescent="0.25">
      <c r="A530" s="6"/>
      <c r="B530" s="6"/>
      <c r="C530" s="102"/>
      <c r="D530" s="102"/>
      <c r="E530" s="102"/>
      <c r="F530" s="103"/>
      <c r="G530" s="103"/>
      <c r="H530" s="6"/>
      <c r="I530" s="104"/>
      <c r="J530" s="104"/>
      <c r="K530" s="104"/>
      <c r="L530" s="104"/>
    </row>
    <row r="531" spans="1:12" x14ac:dyDescent="0.25">
      <c r="A531" s="6"/>
      <c r="B531" s="6"/>
      <c r="C531" s="102"/>
      <c r="D531" s="102"/>
      <c r="E531" s="102"/>
      <c r="F531" s="103"/>
      <c r="G531" s="103"/>
      <c r="H531" s="6"/>
      <c r="I531" s="104"/>
      <c r="J531" s="104"/>
      <c r="K531" s="104"/>
      <c r="L531" s="104"/>
    </row>
    <row r="532" spans="1:12" x14ac:dyDescent="0.25">
      <c r="A532" s="6"/>
      <c r="B532" s="6"/>
      <c r="C532" s="102"/>
      <c r="D532" s="102"/>
      <c r="E532" s="102"/>
      <c r="F532" s="103"/>
      <c r="G532" s="103"/>
      <c r="H532" s="6"/>
      <c r="I532" s="104"/>
      <c r="J532" s="104"/>
      <c r="K532" s="104"/>
      <c r="L532" s="104"/>
    </row>
    <row r="533" spans="1:12" x14ac:dyDescent="0.25">
      <c r="A533" s="6"/>
      <c r="B533" s="6"/>
      <c r="C533" s="102"/>
      <c r="D533" s="102"/>
      <c r="E533" s="102"/>
      <c r="F533" s="103"/>
      <c r="G533" s="103"/>
      <c r="H533" s="6"/>
      <c r="I533" s="104"/>
      <c r="J533" s="104"/>
      <c r="K533" s="104"/>
      <c r="L533" s="104"/>
    </row>
    <row r="534" spans="1:12" x14ac:dyDescent="0.25">
      <c r="A534" s="6"/>
      <c r="B534" s="6"/>
      <c r="C534" s="102"/>
      <c r="D534" s="102"/>
      <c r="E534" s="102"/>
      <c r="F534" s="103"/>
      <c r="G534" s="103"/>
      <c r="H534" s="6"/>
      <c r="I534" s="104"/>
      <c r="J534" s="104"/>
      <c r="K534" s="104"/>
      <c r="L534" s="104"/>
    </row>
    <row r="535" spans="1:12" x14ac:dyDescent="0.25">
      <c r="A535" s="6"/>
      <c r="B535" s="6"/>
      <c r="C535" s="102"/>
      <c r="D535" s="102"/>
      <c r="E535" s="102"/>
      <c r="F535" s="103"/>
      <c r="G535" s="103"/>
      <c r="H535" s="6"/>
      <c r="I535" s="104"/>
      <c r="J535" s="104"/>
      <c r="K535" s="104"/>
      <c r="L535" s="104"/>
    </row>
    <row r="536" spans="1:12" x14ac:dyDescent="0.25">
      <c r="A536" s="6"/>
      <c r="B536" s="6"/>
      <c r="C536" s="102"/>
      <c r="D536" s="102"/>
      <c r="E536" s="102"/>
      <c r="F536" s="103"/>
      <c r="G536" s="103"/>
      <c r="H536" s="6"/>
      <c r="I536" s="104"/>
      <c r="J536" s="104"/>
      <c r="K536" s="104"/>
      <c r="L536" s="104"/>
    </row>
    <row r="537" spans="1:12" x14ac:dyDescent="0.25">
      <c r="A537" s="6"/>
      <c r="B537" s="6"/>
      <c r="C537" s="102"/>
      <c r="D537" s="102"/>
      <c r="E537" s="102"/>
      <c r="F537" s="103"/>
      <c r="G537" s="103"/>
      <c r="H537" s="6"/>
      <c r="I537" s="104"/>
      <c r="J537" s="104"/>
      <c r="K537" s="104"/>
      <c r="L537" s="104"/>
    </row>
    <row r="538" spans="1:12" x14ac:dyDescent="0.25">
      <c r="A538" s="6"/>
      <c r="B538" s="6"/>
      <c r="C538" s="102"/>
      <c r="D538" s="102"/>
      <c r="E538" s="102"/>
      <c r="F538" s="103"/>
      <c r="G538" s="103"/>
      <c r="H538" s="6"/>
      <c r="I538" s="104"/>
      <c r="J538" s="104"/>
      <c r="K538" s="104"/>
      <c r="L538" s="104"/>
    </row>
    <row r="539" spans="1:12" x14ac:dyDescent="0.25">
      <c r="A539" s="6"/>
      <c r="B539" s="6"/>
      <c r="C539" s="102"/>
      <c r="D539" s="102"/>
      <c r="E539" s="102"/>
      <c r="F539" s="103"/>
      <c r="G539" s="103"/>
      <c r="H539" s="6"/>
      <c r="I539" s="104"/>
      <c r="J539" s="104"/>
      <c r="K539" s="104"/>
      <c r="L539" s="104"/>
    </row>
    <row r="540" spans="1:12" x14ac:dyDescent="0.25">
      <c r="A540" s="6"/>
      <c r="B540" s="6"/>
      <c r="C540" s="102"/>
      <c r="D540" s="102"/>
      <c r="E540" s="102"/>
      <c r="F540" s="103"/>
      <c r="G540" s="103"/>
      <c r="H540" s="6"/>
      <c r="I540" s="104"/>
      <c r="J540" s="104"/>
      <c r="K540" s="104"/>
      <c r="L540" s="104"/>
    </row>
    <row r="541" spans="1:12" x14ac:dyDescent="0.25">
      <c r="A541" s="6"/>
      <c r="B541" s="6"/>
      <c r="C541" s="102"/>
      <c r="D541" s="102"/>
      <c r="E541" s="102"/>
      <c r="F541" s="103"/>
      <c r="G541" s="103"/>
      <c r="H541" s="6"/>
      <c r="I541" s="104"/>
      <c r="J541" s="104"/>
      <c r="K541" s="104"/>
      <c r="L541" s="104"/>
    </row>
    <row r="542" spans="1:12" x14ac:dyDescent="0.25">
      <c r="A542" s="6"/>
      <c r="B542" s="6"/>
      <c r="C542" s="102"/>
      <c r="D542" s="102"/>
      <c r="E542" s="102"/>
      <c r="F542" s="103"/>
      <c r="G542" s="103"/>
      <c r="H542" s="6"/>
      <c r="I542" s="104"/>
      <c r="J542" s="104"/>
      <c r="K542" s="104"/>
      <c r="L542" s="104"/>
    </row>
    <row r="543" spans="1:12" x14ac:dyDescent="0.25">
      <c r="A543" s="6"/>
      <c r="B543" s="6"/>
      <c r="C543" s="102"/>
      <c r="D543" s="102"/>
      <c r="E543" s="102"/>
      <c r="F543" s="103"/>
      <c r="G543" s="103"/>
      <c r="H543" s="6"/>
      <c r="I543" s="104"/>
      <c r="J543" s="104"/>
      <c r="K543" s="104"/>
      <c r="L543" s="104"/>
    </row>
    <row r="544" spans="1:12" x14ac:dyDescent="0.25">
      <c r="A544" s="6"/>
      <c r="B544" s="6"/>
      <c r="C544" s="102"/>
      <c r="D544" s="102"/>
      <c r="E544" s="102"/>
      <c r="F544" s="103"/>
      <c r="G544" s="103"/>
      <c r="H544" s="6"/>
      <c r="I544" s="104"/>
      <c r="J544" s="104"/>
      <c r="K544" s="104"/>
      <c r="L544" s="104"/>
    </row>
    <row r="545" spans="1:12" x14ac:dyDescent="0.25">
      <c r="A545" s="6"/>
      <c r="B545" s="6"/>
      <c r="C545" s="102"/>
      <c r="D545" s="102"/>
      <c r="E545" s="102"/>
      <c r="F545" s="103"/>
      <c r="G545" s="103"/>
      <c r="H545" s="6"/>
      <c r="I545" s="104"/>
      <c r="J545" s="104"/>
      <c r="K545" s="104"/>
      <c r="L545" s="104"/>
    </row>
    <row r="546" spans="1:12" x14ac:dyDescent="0.25">
      <c r="A546" s="6"/>
      <c r="B546" s="6"/>
      <c r="C546" s="102"/>
      <c r="D546" s="102"/>
      <c r="E546" s="102"/>
      <c r="F546" s="103"/>
      <c r="G546" s="103"/>
      <c r="H546" s="6"/>
      <c r="I546" s="104"/>
      <c r="J546" s="104"/>
      <c r="K546" s="104"/>
      <c r="L546" s="104"/>
    </row>
    <row r="547" spans="1:12" x14ac:dyDescent="0.25">
      <c r="A547" s="6"/>
      <c r="B547" s="6"/>
      <c r="C547" s="102"/>
      <c r="D547" s="102"/>
      <c r="E547" s="102"/>
      <c r="F547" s="103"/>
      <c r="G547" s="103"/>
      <c r="H547" s="6"/>
      <c r="I547" s="104"/>
      <c r="J547" s="104"/>
      <c r="K547" s="104"/>
      <c r="L547" s="104"/>
    </row>
    <row r="548" spans="1:12" x14ac:dyDescent="0.25">
      <c r="A548" s="6"/>
      <c r="B548" s="6"/>
      <c r="C548" s="102"/>
      <c r="D548" s="102"/>
      <c r="E548" s="102"/>
      <c r="F548" s="103"/>
      <c r="G548" s="103"/>
      <c r="H548" s="6"/>
      <c r="I548" s="104"/>
      <c r="J548" s="104"/>
      <c r="K548" s="104"/>
      <c r="L548" s="104"/>
    </row>
    <row r="549" spans="1:12" x14ac:dyDescent="0.25">
      <c r="A549" s="6"/>
      <c r="B549" s="6"/>
      <c r="C549" s="102"/>
      <c r="D549" s="102"/>
      <c r="E549" s="102"/>
      <c r="F549" s="103"/>
      <c r="G549" s="103"/>
      <c r="H549" s="6"/>
      <c r="I549" s="104"/>
      <c r="J549" s="104"/>
      <c r="K549" s="104"/>
      <c r="L549" s="104"/>
    </row>
    <row r="550" spans="1:12" x14ac:dyDescent="0.25">
      <c r="A550" s="6"/>
      <c r="B550" s="6"/>
      <c r="C550" s="102"/>
      <c r="D550" s="102"/>
      <c r="E550" s="102"/>
      <c r="F550" s="103"/>
      <c r="G550" s="103"/>
      <c r="H550" s="6"/>
      <c r="I550" s="104"/>
      <c r="J550" s="104"/>
      <c r="K550" s="104"/>
      <c r="L550" s="104"/>
    </row>
    <row r="551" spans="1:12" x14ac:dyDescent="0.25">
      <c r="A551" s="6"/>
      <c r="B551" s="6"/>
      <c r="C551" s="102"/>
      <c r="D551" s="102"/>
      <c r="E551" s="102"/>
      <c r="F551" s="103"/>
      <c r="G551" s="103"/>
      <c r="H551" s="6"/>
      <c r="I551" s="104"/>
      <c r="J551" s="104"/>
      <c r="K551" s="104"/>
      <c r="L551" s="104"/>
    </row>
    <row r="552" spans="1:12" x14ac:dyDescent="0.25">
      <c r="A552" s="6"/>
      <c r="B552" s="6"/>
      <c r="C552" s="102"/>
      <c r="D552" s="102"/>
      <c r="E552" s="102"/>
      <c r="F552" s="103"/>
      <c r="G552" s="103"/>
      <c r="H552" s="6"/>
      <c r="I552" s="104"/>
      <c r="J552" s="104"/>
      <c r="K552" s="104"/>
      <c r="L552" s="104"/>
    </row>
    <row r="553" spans="1:12" x14ac:dyDescent="0.25">
      <c r="A553" s="6"/>
      <c r="B553" s="6"/>
      <c r="C553" s="102"/>
      <c r="D553" s="102"/>
      <c r="E553" s="102"/>
      <c r="F553" s="103"/>
      <c r="G553" s="103"/>
      <c r="H553" s="6"/>
      <c r="I553" s="104"/>
      <c r="J553" s="104"/>
      <c r="K553" s="104"/>
      <c r="L553" s="104"/>
    </row>
    <row r="554" spans="1:12" x14ac:dyDescent="0.25">
      <c r="A554" s="6"/>
      <c r="B554" s="6"/>
      <c r="C554" s="102"/>
      <c r="D554" s="102"/>
      <c r="E554" s="102"/>
      <c r="F554" s="103"/>
      <c r="G554" s="103"/>
      <c r="H554" s="6"/>
      <c r="I554" s="104"/>
      <c r="J554" s="104"/>
      <c r="K554" s="104"/>
      <c r="L554" s="104"/>
    </row>
    <row r="555" spans="1:12" x14ac:dyDescent="0.25">
      <c r="A555" s="6"/>
      <c r="B555" s="6"/>
      <c r="C555" s="102"/>
      <c r="D555" s="102"/>
      <c r="E555" s="102"/>
      <c r="F555" s="103"/>
      <c r="G555" s="103"/>
      <c r="H555" s="6"/>
      <c r="I555" s="104"/>
      <c r="J555" s="104"/>
      <c r="K555" s="104"/>
      <c r="L555" s="104"/>
    </row>
    <row r="556" spans="1:12" x14ac:dyDescent="0.25">
      <c r="A556" s="6"/>
      <c r="B556" s="6"/>
      <c r="C556" s="102"/>
      <c r="D556" s="102"/>
      <c r="E556" s="102"/>
      <c r="F556" s="103"/>
      <c r="G556" s="103"/>
      <c r="H556" s="6"/>
      <c r="I556" s="104"/>
      <c r="J556" s="104"/>
      <c r="K556" s="104"/>
      <c r="L556" s="104"/>
    </row>
    <row r="557" spans="1:12" x14ac:dyDescent="0.25">
      <c r="A557" s="6"/>
      <c r="B557" s="6"/>
      <c r="C557" s="102"/>
      <c r="D557" s="102"/>
      <c r="E557" s="102"/>
      <c r="F557" s="103"/>
      <c r="G557" s="103"/>
      <c r="H557" s="6"/>
      <c r="I557" s="104"/>
      <c r="J557" s="104"/>
      <c r="K557" s="104"/>
      <c r="L557" s="104"/>
    </row>
    <row r="558" spans="1:12" x14ac:dyDescent="0.25">
      <c r="A558" s="6"/>
      <c r="B558" s="6"/>
      <c r="C558" s="102"/>
      <c r="D558" s="102"/>
      <c r="E558" s="102"/>
      <c r="F558" s="103"/>
      <c r="G558" s="103"/>
      <c r="H558" s="6"/>
      <c r="I558" s="104"/>
      <c r="J558" s="104"/>
      <c r="K558" s="104"/>
      <c r="L558" s="104"/>
    </row>
    <row r="559" spans="1:12" x14ac:dyDescent="0.25">
      <c r="A559" s="6"/>
      <c r="B559" s="6"/>
      <c r="C559" s="102"/>
      <c r="D559" s="102"/>
      <c r="E559" s="102"/>
      <c r="F559" s="103"/>
      <c r="G559" s="103"/>
      <c r="H559" s="6"/>
      <c r="I559" s="104"/>
      <c r="J559" s="104"/>
      <c r="K559" s="104"/>
      <c r="L559" s="104"/>
    </row>
    <row r="560" spans="1:12" x14ac:dyDescent="0.25">
      <c r="A560" s="6"/>
      <c r="B560" s="6"/>
      <c r="C560" s="102"/>
      <c r="D560" s="102"/>
      <c r="E560" s="102"/>
      <c r="F560" s="103"/>
      <c r="G560" s="103"/>
      <c r="H560" s="6"/>
      <c r="I560" s="104"/>
      <c r="J560" s="104"/>
      <c r="K560" s="104"/>
      <c r="L560" s="104"/>
    </row>
    <row r="561" spans="1:12" x14ac:dyDescent="0.25">
      <c r="A561" s="6"/>
      <c r="B561" s="6"/>
      <c r="C561" s="102"/>
      <c r="D561" s="102"/>
      <c r="E561" s="102"/>
      <c r="F561" s="103"/>
      <c r="G561" s="103"/>
      <c r="H561" s="6"/>
      <c r="I561" s="104"/>
      <c r="J561" s="104"/>
      <c r="K561" s="104"/>
      <c r="L561" s="104"/>
    </row>
    <row r="562" spans="1:12" x14ac:dyDescent="0.25">
      <c r="A562" s="6"/>
      <c r="B562" s="6"/>
      <c r="C562" s="102"/>
      <c r="D562" s="102"/>
      <c r="E562" s="102"/>
      <c r="F562" s="103"/>
      <c r="G562" s="103"/>
      <c r="H562" s="6"/>
      <c r="I562" s="104"/>
      <c r="J562" s="104"/>
      <c r="K562" s="104"/>
      <c r="L562" s="104"/>
    </row>
    <row r="563" spans="1:12" x14ac:dyDescent="0.25">
      <c r="A563" s="6"/>
      <c r="B563" s="6"/>
      <c r="C563" s="102"/>
      <c r="D563" s="102"/>
      <c r="E563" s="102"/>
      <c r="F563" s="103"/>
      <c r="G563" s="103"/>
      <c r="H563" s="6"/>
      <c r="I563" s="104"/>
      <c r="J563" s="104"/>
      <c r="K563" s="104"/>
      <c r="L563" s="104"/>
    </row>
    <row r="564" spans="1:12" x14ac:dyDescent="0.25">
      <c r="A564" s="6"/>
      <c r="B564" s="6"/>
      <c r="C564" s="102"/>
      <c r="D564" s="102"/>
      <c r="E564" s="102"/>
      <c r="F564" s="103"/>
      <c r="G564" s="103"/>
      <c r="H564" s="6"/>
      <c r="I564" s="104"/>
      <c r="J564" s="104"/>
      <c r="K564" s="104"/>
      <c r="L564" s="104"/>
    </row>
    <row r="565" spans="1:12" x14ac:dyDescent="0.25">
      <c r="A565" s="6"/>
      <c r="B565" s="6"/>
      <c r="C565" s="102"/>
      <c r="D565" s="102"/>
      <c r="E565" s="102"/>
      <c r="F565" s="103"/>
      <c r="G565" s="103"/>
      <c r="H565" s="6"/>
      <c r="I565" s="104"/>
      <c r="J565" s="104"/>
      <c r="K565" s="104"/>
      <c r="L565" s="104"/>
    </row>
    <row r="566" spans="1:12" x14ac:dyDescent="0.25">
      <c r="A566" s="6"/>
      <c r="B566" s="6"/>
      <c r="C566" s="102"/>
      <c r="D566" s="102"/>
      <c r="E566" s="102"/>
      <c r="F566" s="103"/>
      <c r="G566" s="103"/>
      <c r="H566" s="6"/>
      <c r="I566" s="104"/>
      <c r="J566" s="104"/>
      <c r="K566" s="104"/>
      <c r="L566" s="104"/>
    </row>
    <row r="567" spans="1:12" x14ac:dyDescent="0.25">
      <c r="A567" s="6"/>
      <c r="B567" s="6"/>
      <c r="C567" s="102"/>
      <c r="D567" s="102"/>
      <c r="E567" s="102"/>
      <c r="F567" s="103"/>
      <c r="G567" s="103"/>
      <c r="H567" s="6"/>
      <c r="I567" s="104"/>
      <c r="J567" s="104"/>
      <c r="K567" s="104"/>
      <c r="L567" s="104"/>
    </row>
    <row r="568" spans="1:12" x14ac:dyDescent="0.25">
      <c r="A568" s="6"/>
      <c r="B568" s="6"/>
      <c r="C568" s="102"/>
      <c r="D568" s="102"/>
      <c r="E568" s="102"/>
      <c r="F568" s="103"/>
      <c r="G568" s="103"/>
      <c r="H568" s="6"/>
      <c r="I568" s="104"/>
      <c r="J568" s="104"/>
      <c r="K568" s="104"/>
      <c r="L568" s="104"/>
    </row>
    <row r="569" spans="1:12" x14ac:dyDescent="0.25">
      <c r="A569" s="6"/>
      <c r="B569" s="6"/>
      <c r="C569" s="102"/>
      <c r="D569" s="102"/>
      <c r="E569" s="102"/>
      <c r="F569" s="103"/>
      <c r="G569" s="103"/>
      <c r="H569" s="6"/>
      <c r="I569" s="104"/>
      <c r="J569" s="104"/>
      <c r="K569" s="104"/>
      <c r="L569" s="104"/>
    </row>
    <row r="570" spans="1:12" x14ac:dyDescent="0.25">
      <c r="A570" s="6"/>
      <c r="B570" s="6"/>
      <c r="C570" s="102"/>
      <c r="D570" s="102"/>
      <c r="E570" s="102"/>
      <c r="F570" s="103"/>
      <c r="G570" s="103"/>
      <c r="H570" s="6"/>
      <c r="I570" s="104"/>
      <c r="J570" s="104"/>
      <c r="K570" s="104"/>
      <c r="L570" s="104"/>
    </row>
    <row r="571" spans="1:12" x14ac:dyDescent="0.25">
      <c r="A571" s="6"/>
      <c r="B571" s="6"/>
      <c r="C571" s="102"/>
      <c r="D571" s="102"/>
      <c r="E571" s="102"/>
      <c r="F571" s="103"/>
      <c r="G571" s="103"/>
      <c r="H571" s="6"/>
      <c r="I571" s="104"/>
      <c r="J571" s="104"/>
      <c r="K571" s="104"/>
      <c r="L571" s="104"/>
    </row>
    <row r="572" spans="1:12" x14ac:dyDescent="0.25">
      <c r="A572" s="6"/>
      <c r="B572" s="6"/>
      <c r="C572" s="102"/>
      <c r="D572" s="102"/>
      <c r="E572" s="102"/>
      <c r="F572" s="103"/>
      <c r="G572" s="103"/>
      <c r="H572" s="6"/>
      <c r="I572" s="104"/>
      <c r="J572" s="104"/>
      <c r="K572" s="104"/>
      <c r="L572" s="104"/>
    </row>
    <row r="573" spans="1:12" x14ac:dyDescent="0.25">
      <c r="A573" s="6"/>
      <c r="B573" s="6"/>
      <c r="C573" s="102"/>
      <c r="D573" s="102"/>
      <c r="E573" s="102"/>
      <c r="F573" s="103"/>
      <c r="G573" s="103"/>
      <c r="H573" s="6"/>
      <c r="I573" s="104"/>
      <c r="J573" s="104"/>
      <c r="K573" s="104"/>
      <c r="L573" s="104"/>
    </row>
    <row r="574" spans="1:12" x14ac:dyDescent="0.25">
      <c r="A574" s="6"/>
      <c r="B574" s="6"/>
      <c r="C574" s="102"/>
      <c r="D574" s="102"/>
      <c r="E574" s="102"/>
      <c r="F574" s="103"/>
      <c r="G574" s="103"/>
      <c r="H574" s="6"/>
      <c r="I574" s="104"/>
      <c r="J574" s="104"/>
      <c r="K574" s="104"/>
      <c r="L574" s="104"/>
    </row>
    <row r="575" spans="1:12" x14ac:dyDescent="0.25">
      <c r="A575" s="6"/>
      <c r="B575" s="6"/>
      <c r="C575" s="102"/>
      <c r="D575" s="102"/>
      <c r="E575" s="102"/>
      <c r="F575" s="103"/>
      <c r="G575" s="103"/>
      <c r="H575" s="6"/>
      <c r="I575" s="104"/>
      <c r="J575" s="104"/>
      <c r="K575" s="104"/>
      <c r="L575" s="104"/>
    </row>
    <row r="576" spans="1:12" x14ac:dyDescent="0.25">
      <c r="A576" s="6"/>
      <c r="B576" s="6"/>
      <c r="C576" s="102"/>
      <c r="D576" s="102"/>
      <c r="E576" s="102"/>
      <c r="F576" s="103"/>
      <c r="G576" s="103"/>
      <c r="H576" s="6"/>
      <c r="I576" s="104"/>
      <c r="J576" s="104"/>
      <c r="K576" s="104"/>
      <c r="L576" s="104"/>
    </row>
    <row r="577" spans="1:12" x14ac:dyDescent="0.25">
      <c r="A577" s="6"/>
      <c r="B577" s="6"/>
      <c r="C577" s="102"/>
      <c r="D577" s="102"/>
      <c r="E577" s="102"/>
      <c r="F577" s="103"/>
      <c r="G577" s="103"/>
      <c r="H577" s="6"/>
      <c r="I577" s="104"/>
      <c r="J577" s="104"/>
      <c r="K577" s="104"/>
      <c r="L577" s="104"/>
    </row>
    <row r="578" spans="1:12" x14ac:dyDescent="0.25">
      <c r="A578" s="6"/>
      <c r="B578" s="6"/>
      <c r="C578" s="102"/>
      <c r="D578" s="102"/>
      <c r="E578" s="102"/>
      <c r="F578" s="103"/>
      <c r="G578" s="103"/>
      <c r="H578" s="6"/>
      <c r="I578" s="104"/>
      <c r="J578" s="104"/>
      <c r="K578" s="104"/>
      <c r="L578" s="104"/>
    </row>
    <row r="579" spans="1:12" x14ac:dyDescent="0.25">
      <c r="A579" s="6"/>
      <c r="B579" s="6"/>
      <c r="C579" s="102"/>
      <c r="D579" s="102"/>
      <c r="E579" s="102"/>
      <c r="F579" s="103"/>
      <c r="G579" s="103"/>
      <c r="H579" s="6"/>
      <c r="I579" s="104"/>
      <c r="J579" s="104"/>
      <c r="K579" s="104"/>
      <c r="L579" s="104"/>
    </row>
    <row r="580" spans="1:12" x14ac:dyDescent="0.25">
      <c r="A580" s="6"/>
      <c r="B580" s="6"/>
      <c r="C580" s="102"/>
      <c r="D580" s="102"/>
      <c r="E580" s="102"/>
      <c r="F580" s="103"/>
      <c r="G580" s="103"/>
      <c r="H580" s="6"/>
      <c r="I580" s="104"/>
      <c r="J580" s="104"/>
      <c r="K580" s="104"/>
      <c r="L580" s="104"/>
    </row>
    <row r="581" spans="1:12" x14ac:dyDescent="0.25">
      <c r="A581" s="6"/>
      <c r="B581" s="6"/>
      <c r="C581" s="102"/>
      <c r="D581" s="102"/>
      <c r="E581" s="102"/>
      <c r="F581" s="103"/>
      <c r="G581" s="103"/>
      <c r="H581" s="6"/>
      <c r="I581" s="104"/>
      <c r="J581" s="104"/>
      <c r="K581" s="104"/>
      <c r="L581" s="104"/>
    </row>
    <row r="582" spans="1:12" x14ac:dyDescent="0.25">
      <c r="A582" s="6"/>
      <c r="B582" s="6"/>
      <c r="C582" s="102"/>
      <c r="D582" s="102"/>
      <c r="E582" s="102"/>
      <c r="F582" s="103"/>
      <c r="G582" s="103"/>
      <c r="H582" s="6"/>
      <c r="I582" s="104"/>
      <c r="J582" s="104"/>
      <c r="K582" s="104"/>
      <c r="L582" s="104"/>
    </row>
    <row r="583" spans="1:12" x14ac:dyDescent="0.25">
      <c r="A583" s="6"/>
      <c r="B583" s="6"/>
      <c r="C583" s="102"/>
      <c r="D583" s="102"/>
      <c r="E583" s="102"/>
      <c r="F583" s="103"/>
      <c r="G583" s="103"/>
      <c r="H583" s="6"/>
      <c r="I583" s="104"/>
      <c r="J583" s="104"/>
      <c r="K583" s="104"/>
      <c r="L583" s="104"/>
    </row>
    <row r="584" spans="1:12" x14ac:dyDescent="0.25">
      <c r="A584" s="6"/>
      <c r="B584" s="6"/>
      <c r="C584" s="102"/>
      <c r="D584" s="102"/>
      <c r="E584" s="102"/>
      <c r="F584" s="103"/>
      <c r="G584" s="103"/>
      <c r="H584" s="6"/>
      <c r="I584" s="104"/>
      <c r="J584" s="104"/>
      <c r="K584" s="104"/>
      <c r="L584" s="104"/>
    </row>
    <row r="585" spans="1:12" x14ac:dyDescent="0.25">
      <c r="A585" s="6"/>
      <c r="B585" s="6"/>
      <c r="C585" s="102"/>
      <c r="D585" s="102"/>
      <c r="E585" s="102"/>
      <c r="F585" s="103"/>
      <c r="G585" s="103"/>
      <c r="H585" s="6"/>
      <c r="I585" s="104"/>
      <c r="J585" s="104"/>
      <c r="K585" s="104"/>
      <c r="L585" s="104"/>
    </row>
    <row r="586" spans="1:12" x14ac:dyDescent="0.25">
      <c r="A586" s="6"/>
      <c r="B586" s="6"/>
      <c r="C586" s="102"/>
      <c r="D586" s="102"/>
      <c r="E586" s="102"/>
      <c r="F586" s="103"/>
      <c r="G586" s="103"/>
      <c r="H586" s="6"/>
      <c r="I586" s="104"/>
      <c r="J586" s="104"/>
      <c r="K586" s="104"/>
      <c r="L586" s="104"/>
    </row>
    <row r="587" spans="1:12" x14ac:dyDescent="0.25">
      <c r="A587" s="6"/>
      <c r="B587" s="6"/>
      <c r="C587" s="102"/>
      <c r="D587" s="102"/>
      <c r="E587" s="102"/>
      <c r="F587" s="103"/>
      <c r="G587" s="103"/>
      <c r="H587" s="6"/>
      <c r="I587" s="104"/>
      <c r="J587" s="104"/>
      <c r="K587" s="104"/>
      <c r="L587" s="104"/>
    </row>
    <row r="588" spans="1:12" x14ac:dyDescent="0.25">
      <c r="A588" s="6"/>
      <c r="B588" s="6"/>
      <c r="C588" s="102"/>
      <c r="D588" s="102"/>
      <c r="E588" s="102"/>
      <c r="F588" s="103"/>
      <c r="G588" s="103"/>
      <c r="H588" s="6"/>
      <c r="I588" s="104"/>
      <c r="J588" s="104"/>
      <c r="K588" s="104"/>
      <c r="L588" s="104"/>
    </row>
    <row r="589" spans="1:12" x14ac:dyDescent="0.25">
      <c r="A589" s="6"/>
      <c r="B589" s="6"/>
      <c r="C589" s="102"/>
      <c r="D589" s="102"/>
      <c r="E589" s="102"/>
      <c r="F589" s="103"/>
      <c r="G589" s="103"/>
      <c r="H589" s="6"/>
      <c r="I589" s="104"/>
      <c r="J589" s="104"/>
      <c r="K589" s="104"/>
      <c r="L589" s="104"/>
    </row>
    <row r="590" spans="1:12" x14ac:dyDescent="0.25">
      <c r="A590" s="6"/>
      <c r="B590" s="6"/>
      <c r="C590" s="102"/>
      <c r="D590" s="102"/>
      <c r="E590" s="102"/>
      <c r="F590" s="103"/>
      <c r="G590" s="103"/>
      <c r="H590" s="6"/>
      <c r="I590" s="104"/>
      <c r="J590" s="104"/>
      <c r="K590" s="104"/>
      <c r="L590" s="104"/>
    </row>
    <row r="591" spans="1:12" x14ac:dyDescent="0.25">
      <c r="A591" s="6"/>
      <c r="B591" s="6"/>
      <c r="C591" s="102"/>
      <c r="D591" s="102"/>
      <c r="E591" s="102"/>
      <c r="F591" s="103"/>
      <c r="G591" s="103"/>
      <c r="H591" s="6"/>
      <c r="I591" s="104"/>
      <c r="J591" s="104"/>
      <c r="K591" s="104"/>
      <c r="L591" s="104"/>
    </row>
    <row r="592" spans="1:12" x14ac:dyDescent="0.25">
      <c r="A592" s="6"/>
      <c r="B592" s="6"/>
      <c r="C592" s="102"/>
      <c r="D592" s="102"/>
      <c r="E592" s="102"/>
      <c r="F592" s="103"/>
      <c r="G592" s="103"/>
      <c r="H592" s="6"/>
      <c r="I592" s="104"/>
      <c r="J592" s="104"/>
      <c r="K592" s="104"/>
      <c r="L592" s="104"/>
    </row>
    <row r="593" spans="1:12" x14ac:dyDescent="0.25">
      <c r="A593" s="6"/>
      <c r="B593" s="6"/>
      <c r="C593" s="102"/>
      <c r="D593" s="102"/>
      <c r="E593" s="102"/>
      <c r="F593" s="103"/>
      <c r="G593" s="103"/>
      <c r="H593" s="6"/>
      <c r="I593" s="104"/>
      <c r="J593" s="104"/>
      <c r="K593" s="104"/>
      <c r="L593" s="104"/>
    </row>
    <row r="594" spans="1:12" x14ac:dyDescent="0.25">
      <c r="A594" s="6"/>
      <c r="B594" s="6"/>
      <c r="C594" s="102"/>
      <c r="D594" s="102"/>
      <c r="E594" s="102"/>
      <c r="F594" s="103"/>
      <c r="G594" s="103"/>
      <c r="H594" s="6"/>
      <c r="I594" s="104"/>
      <c r="J594" s="104"/>
      <c r="K594" s="104"/>
      <c r="L594" s="104"/>
    </row>
    <row r="595" spans="1:12" x14ac:dyDescent="0.25">
      <c r="A595" s="6"/>
      <c r="B595" s="6"/>
      <c r="C595" s="102"/>
      <c r="D595" s="102"/>
      <c r="E595" s="102"/>
      <c r="F595" s="103"/>
      <c r="G595" s="103"/>
      <c r="H595" s="6"/>
      <c r="I595" s="104"/>
      <c r="J595" s="104"/>
      <c r="K595" s="104"/>
      <c r="L595" s="104"/>
    </row>
    <row r="596" spans="1:12" x14ac:dyDescent="0.25">
      <c r="A596" s="6"/>
      <c r="B596" s="6"/>
      <c r="C596" s="102"/>
      <c r="D596" s="102"/>
      <c r="E596" s="102"/>
      <c r="F596" s="103"/>
      <c r="G596" s="103"/>
      <c r="H596" s="6"/>
      <c r="I596" s="104"/>
      <c r="J596" s="104"/>
      <c r="K596" s="104"/>
      <c r="L596" s="104"/>
    </row>
    <row r="597" spans="1:12" x14ac:dyDescent="0.25">
      <c r="A597" s="6"/>
      <c r="B597" s="6"/>
      <c r="C597" s="102"/>
      <c r="D597" s="102"/>
      <c r="E597" s="102"/>
      <c r="F597" s="103"/>
      <c r="G597" s="103"/>
      <c r="H597" s="6"/>
      <c r="I597" s="104"/>
      <c r="J597" s="104"/>
      <c r="K597" s="104"/>
      <c r="L597" s="104"/>
    </row>
    <row r="598" spans="1:12" x14ac:dyDescent="0.25">
      <c r="A598" s="6"/>
      <c r="B598" s="6"/>
      <c r="C598" s="102"/>
      <c r="D598" s="102"/>
      <c r="E598" s="102"/>
      <c r="F598" s="103"/>
      <c r="G598" s="103"/>
      <c r="H598" s="6"/>
      <c r="I598" s="104"/>
      <c r="J598" s="104"/>
      <c r="K598" s="104"/>
      <c r="L598" s="104"/>
    </row>
    <row r="599" spans="1:12" x14ac:dyDescent="0.25">
      <c r="A599" s="6"/>
      <c r="B599" s="6"/>
      <c r="C599" s="102"/>
      <c r="D599" s="102"/>
      <c r="E599" s="102"/>
      <c r="F599" s="103"/>
      <c r="G599" s="103"/>
      <c r="H599" s="6"/>
      <c r="I599" s="104"/>
      <c r="J599" s="104"/>
      <c r="K599" s="104"/>
      <c r="L599" s="104"/>
    </row>
    <row r="600" spans="1:12" x14ac:dyDescent="0.25">
      <c r="A600" s="6"/>
      <c r="B600" s="6"/>
      <c r="C600" s="102"/>
      <c r="D600" s="102"/>
      <c r="E600" s="102"/>
      <c r="F600" s="103"/>
      <c r="G600" s="103"/>
      <c r="H600" s="6"/>
      <c r="I600" s="104"/>
      <c r="J600" s="104"/>
      <c r="K600" s="104"/>
      <c r="L600" s="104"/>
    </row>
    <row r="601" spans="1:12" x14ac:dyDescent="0.25">
      <c r="A601" s="6"/>
      <c r="B601" s="6"/>
      <c r="C601" s="102"/>
      <c r="D601" s="102"/>
      <c r="E601" s="102"/>
      <c r="F601" s="103"/>
      <c r="G601" s="103"/>
      <c r="H601" s="6"/>
      <c r="I601" s="104"/>
      <c r="J601" s="104"/>
      <c r="K601" s="104"/>
      <c r="L601" s="104"/>
    </row>
    <row r="602" spans="1:12" x14ac:dyDescent="0.25">
      <c r="A602" s="6"/>
      <c r="B602" s="6"/>
      <c r="C602" s="102"/>
      <c r="D602" s="102"/>
      <c r="E602" s="102"/>
      <c r="F602" s="103"/>
      <c r="G602" s="103"/>
      <c r="H602" s="6"/>
      <c r="I602" s="104"/>
      <c r="J602" s="104"/>
      <c r="K602" s="104"/>
      <c r="L602" s="104"/>
    </row>
    <row r="603" spans="1:12" x14ac:dyDescent="0.25">
      <c r="A603" s="6"/>
      <c r="B603" s="6"/>
      <c r="C603" s="102"/>
      <c r="D603" s="102"/>
      <c r="E603" s="102"/>
      <c r="F603" s="103"/>
      <c r="G603" s="103"/>
      <c r="H603" s="6"/>
      <c r="I603" s="104"/>
      <c r="J603" s="104"/>
      <c r="K603" s="104"/>
      <c r="L603" s="104"/>
    </row>
    <row r="604" spans="1:12" x14ac:dyDescent="0.25">
      <c r="A604" s="6"/>
      <c r="B604" s="6"/>
      <c r="C604" s="102"/>
      <c r="D604" s="102"/>
      <c r="E604" s="102"/>
      <c r="F604" s="103"/>
      <c r="G604" s="103"/>
      <c r="H604" s="6"/>
      <c r="I604" s="104"/>
      <c r="J604" s="104"/>
      <c r="K604" s="104"/>
      <c r="L604" s="104"/>
    </row>
    <row r="605" spans="1:12" x14ac:dyDescent="0.25">
      <c r="A605" s="6"/>
      <c r="B605" s="6"/>
      <c r="C605" s="102"/>
      <c r="D605" s="102"/>
      <c r="E605" s="102"/>
      <c r="F605" s="103"/>
      <c r="G605" s="103"/>
      <c r="H605" s="6"/>
      <c r="I605" s="104"/>
      <c r="J605" s="104"/>
      <c r="K605" s="104"/>
      <c r="L605" s="104"/>
    </row>
    <row r="606" spans="1:12" x14ac:dyDescent="0.25">
      <c r="A606" s="6"/>
      <c r="B606" s="6"/>
      <c r="C606" s="102"/>
      <c r="D606" s="102"/>
      <c r="E606" s="102"/>
      <c r="F606" s="103"/>
      <c r="G606" s="103"/>
      <c r="H606" s="6"/>
      <c r="I606" s="104"/>
      <c r="J606" s="104"/>
      <c r="K606" s="104"/>
      <c r="L606" s="104"/>
    </row>
    <row r="607" spans="1:12" x14ac:dyDescent="0.25">
      <c r="A607" s="6"/>
      <c r="B607" s="6"/>
      <c r="C607" s="102"/>
      <c r="D607" s="102"/>
      <c r="E607" s="102"/>
      <c r="F607" s="103"/>
      <c r="G607" s="103"/>
      <c r="H607" s="6"/>
      <c r="I607" s="104"/>
      <c r="J607" s="104"/>
      <c r="K607" s="104"/>
      <c r="L607" s="104"/>
    </row>
    <row r="608" spans="1:12" x14ac:dyDescent="0.25">
      <c r="A608" s="6"/>
      <c r="B608" s="6"/>
      <c r="C608" s="102"/>
      <c r="D608" s="102"/>
      <c r="E608" s="102"/>
      <c r="F608" s="103"/>
      <c r="G608" s="103"/>
      <c r="H608" s="6"/>
      <c r="I608" s="104"/>
      <c r="J608" s="104"/>
      <c r="K608" s="104"/>
      <c r="L608" s="104"/>
    </row>
    <row r="609" spans="1:12" x14ac:dyDescent="0.25">
      <c r="A609" s="6"/>
      <c r="B609" s="6"/>
      <c r="C609" s="102"/>
      <c r="D609" s="102"/>
      <c r="E609" s="102"/>
      <c r="F609" s="103"/>
      <c r="G609" s="103"/>
      <c r="H609" s="6"/>
      <c r="I609" s="104"/>
      <c r="J609" s="104"/>
      <c r="K609" s="104"/>
      <c r="L609" s="104"/>
    </row>
    <row r="610" spans="1:12" x14ac:dyDescent="0.25">
      <c r="A610" s="6"/>
      <c r="B610" s="6"/>
      <c r="C610" s="102"/>
      <c r="D610" s="102"/>
      <c r="E610" s="102"/>
      <c r="F610" s="103"/>
      <c r="G610" s="103"/>
      <c r="H610" s="6"/>
      <c r="I610" s="104"/>
      <c r="J610" s="104"/>
      <c r="K610" s="104"/>
      <c r="L610" s="104"/>
    </row>
    <row r="611" spans="1:12" x14ac:dyDescent="0.25">
      <c r="A611" s="6"/>
      <c r="B611" s="6"/>
      <c r="C611" s="102"/>
      <c r="D611" s="102"/>
      <c r="E611" s="102"/>
      <c r="F611" s="103"/>
      <c r="G611" s="103"/>
      <c r="H611" s="6"/>
      <c r="I611" s="104"/>
      <c r="J611" s="104"/>
      <c r="K611" s="104"/>
      <c r="L611" s="104"/>
    </row>
    <row r="612" spans="1:12" x14ac:dyDescent="0.25">
      <c r="A612" s="6"/>
      <c r="B612" s="6"/>
      <c r="C612" s="102"/>
      <c r="D612" s="102"/>
      <c r="E612" s="102"/>
      <c r="F612" s="103"/>
      <c r="G612" s="103"/>
      <c r="H612" s="6"/>
      <c r="I612" s="104"/>
      <c r="J612" s="104"/>
      <c r="K612" s="104"/>
      <c r="L612" s="104"/>
    </row>
    <row r="613" spans="1:12" x14ac:dyDescent="0.25">
      <c r="A613" s="6"/>
      <c r="B613" s="6"/>
      <c r="C613" s="102"/>
      <c r="D613" s="102"/>
      <c r="E613" s="102"/>
      <c r="F613" s="103"/>
      <c r="G613" s="103"/>
      <c r="H613" s="6"/>
      <c r="I613" s="104"/>
      <c r="J613" s="104"/>
      <c r="K613" s="104"/>
      <c r="L613" s="104"/>
    </row>
    <row r="614" spans="1:12" x14ac:dyDescent="0.25">
      <c r="A614" s="6"/>
      <c r="B614" s="6"/>
      <c r="C614" s="102"/>
      <c r="D614" s="102"/>
      <c r="E614" s="102"/>
      <c r="F614" s="103"/>
      <c r="G614" s="103"/>
      <c r="H614" s="6"/>
      <c r="I614" s="104"/>
      <c r="J614" s="104"/>
      <c r="K614" s="104"/>
      <c r="L614" s="104"/>
    </row>
    <row r="615" spans="1:12" x14ac:dyDescent="0.25">
      <c r="A615" s="6"/>
      <c r="B615" s="6"/>
      <c r="C615" s="102"/>
      <c r="D615" s="102"/>
      <c r="E615" s="102"/>
      <c r="F615" s="103"/>
      <c r="G615" s="103"/>
      <c r="H615" s="6"/>
      <c r="I615" s="104"/>
      <c r="J615" s="104"/>
      <c r="K615" s="104"/>
      <c r="L615" s="104"/>
    </row>
    <row r="616" spans="1:12" x14ac:dyDescent="0.25">
      <c r="A616" s="6"/>
      <c r="B616" s="6"/>
      <c r="C616" s="102"/>
      <c r="D616" s="102"/>
      <c r="E616" s="102"/>
      <c r="F616" s="103"/>
      <c r="G616" s="103"/>
      <c r="H616" s="6"/>
      <c r="I616" s="104"/>
      <c r="J616" s="104"/>
      <c r="K616" s="104"/>
      <c r="L616" s="104"/>
    </row>
    <row r="617" spans="1:12" x14ac:dyDescent="0.25">
      <c r="A617" s="6"/>
      <c r="B617" s="6"/>
      <c r="C617" s="102"/>
      <c r="D617" s="102"/>
      <c r="E617" s="102"/>
      <c r="F617" s="103"/>
      <c r="G617" s="103"/>
      <c r="H617" s="6"/>
      <c r="I617" s="104"/>
      <c r="J617" s="104"/>
      <c r="K617" s="104"/>
      <c r="L617" s="104"/>
    </row>
    <row r="618" spans="1:12" x14ac:dyDescent="0.25">
      <c r="A618" s="6"/>
      <c r="B618" s="6"/>
      <c r="C618" s="102"/>
      <c r="D618" s="102"/>
      <c r="E618" s="102"/>
      <c r="F618" s="103"/>
      <c r="G618" s="103"/>
      <c r="H618" s="6"/>
      <c r="I618" s="104"/>
      <c r="J618" s="104"/>
      <c r="K618" s="104"/>
      <c r="L618" s="104"/>
    </row>
    <row r="619" spans="1:12" x14ac:dyDescent="0.25">
      <c r="A619" s="6"/>
      <c r="B619" s="6"/>
      <c r="C619" s="102"/>
      <c r="D619" s="102"/>
      <c r="E619" s="102"/>
      <c r="F619" s="103"/>
      <c r="G619" s="103"/>
      <c r="H619" s="6"/>
      <c r="I619" s="104"/>
      <c r="J619" s="104"/>
      <c r="K619" s="104"/>
      <c r="L619" s="104"/>
    </row>
    <row r="620" spans="1:12" x14ac:dyDescent="0.25">
      <c r="A620" s="6"/>
      <c r="B620" s="6"/>
      <c r="C620" s="102"/>
      <c r="D620" s="102"/>
      <c r="E620" s="102"/>
      <c r="F620" s="103"/>
      <c r="G620" s="103"/>
      <c r="H620" s="6"/>
      <c r="I620" s="104"/>
      <c r="J620" s="104"/>
      <c r="K620" s="104"/>
      <c r="L620" s="104"/>
    </row>
    <row r="621" spans="1:12" x14ac:dyDescent="0.25">
      <c r="A621" s="6"/>
      <c r="B621" s="6"/>
      <c r="C621" s="102"/>
      <c r="D621" s="102"/>
      <c r="E621" s="102"/>
      <c r="F621" s="103"/>
      <c r="G621" s="103"/>
      <c r="H621" s="6"/>
      <c r="I621" s="104"/>
      <c r="J621" s="104"/>
      <c r="K621" s="104"/>
      <c r="L621" s="104"/>
    </row>
    <row r="622" spans="1:12" x14ac:dyDescent="0.25">
      <c r="A622" s="6"/>
      <c r="B622" s="6"/>
      <c r="C622" s="102"/>
      <c r="D622" s="102"/>
      <c r="E622" s="102"/>
      <c r="F622" s="103"/>
      <c r="G622" s="103"/>
      <c r="H622" s="6"/>
      <c r="I622" s="104"/>
      <c r="J622" s="104"/>
      <c r="K622" s="104"/>
      <c r="L622" s="104"/>
    </row>
    <row r="623" spans="1:12" x14ac:dyDescent="0.25">
      <c r="A623" s="6"/>
      <c r="B623" s="6"/>
      <c r="C623" s="102"/>
      <c r="D623" s="102"/>
      <c r="E623" s="102"/>
      <c r="F623" s="103"/>
      <c r="G623" s="103"/>
      <c r="H623" s="6"/>
      <c r="I623" s="104"/>
      <c r="J623" s="104"/>
      <c r="K623" s="104"/>
      <c r="L623" s="104"/>
    </row>
    <row r="624" spans="1:12" x14ac:dyDescent="0.25">
      <c r="A624" s="6"/>
      <c r="B624" s="6"/>
      <c r="C624" s="102"/>
      <c r="D624" s="102"/>
      <c r="E624" s="102"/>
      <c r="F624" s="103"/>
      <c r="G624" s="103"/>
      <c r="H624" s="6"/>
      <c r="I624" s="104"/>
      <c r="J624" s="104"/>
      <c r="K624" s="104"/>
      <c r="L624" s="104"/>
    </row>
    <row r="625" spans="1:12" x14ac:dyDescent="0.25">
      <c r="A625" s="6"/>
      <c r="B625" s="6"/>
      <c r="C625" s="102"/>
      <c r="D625" s="102"/>
      <c r="E625" s="102"/>
      <c r="F625" s="103"/>
      <c r="G625" s="103"/>
      <c r="H625" s="6"/>
      <c r="I625" s="104"/>
      <c r="J625" s="104"/>
      <c r="K625" s="104"/>
      <c r="L625" s="104"/>
    </row>
    <row r="626" spans="1:12" x14ac:dyDescent="0.25">
      <c r="A626" s="6"/>
      <c r="B626" s="6"/>
      <c r="C626" s="102"/>
      <c r="D626" s="102"/>
      <c r="E626" s="102"/>
      <c r="F626" s="103"/>
      <c r="G626" s="103"/>
      <c r="H626" s="6"/>
      <c r="I626" s="104"/>
      <c r="J626" s="104"/>
      <c r="K626" s="104"/>
      <c r="L626" s="104"/>
    </row>
    <row r="627" spans="1:12" x14ac:dyDescent="0.25">
      <c r="A627" s="6"/>
      <c r="B627" s="6"/>
      <c r="C627" s="102"/>
      <c r="D627" s="102"/>
      <c r="E627" s="102"/>
      <c r="F627" s="103"/>
      <c r="G627" s="103"/>
      <c r="H627" s="6"/>
      <c r="I627" s="104"/>
      <c r="J627" s="104"/>
      <c r="K627" s="104"/>
      <c r="L627" s="104"/>
    </row>
    <row r="628" spans="1:12" x14ac:dyDescent="0.25">
      <c r="A628" s="6"/>
      <c r="B628" s="6"/>
      <c r="C628" s="102"/>
      <c r="D628" s="102"/>
      <c r="E628" s="102"/>
      <c r="F628" s="103"/>
      <c r="G628" s="103"/>
      <c r="H628" s="6"/>
      <c r="I628" s="104"/>
      <c r="J628" s="104"/>
      <c r="K628" s="104"/>
      <c r="L628" s="104"/>
    </row>
    <row r="629" spans="1:12" x14ac:dyDescent="0.25">
      <c r="A629" s="6"/>
      <c r="B629" s="6"/>
      <c r="C629" s="102"/>
      <c r="D629" s="102"/>
      <c r="E629" s="102"/>
      <c r="F629" s="103"/>
      <c r="G629" s="103"/>
      <c r="H629" s="6"/>
      <c r="I629" s="104"/>
      <c r="J629" s="104"/>
      <c r="K629" s="104"/>
      <c r="L629" s="104"/>
    </row>
    <row r="630" spans="1:12" x14ac:dyDescent="0.25">
      <c r="A630" s="6"/>
      <c r="B630" s="6"/>
      <c r="C630" s="102"/>
      <c r="D630" s="102"/>
      <c r="E630" s="102"/>
      <c r="F630" s="103"/>
      <c r="G630" s="103"/>
      <c r="H630" s="6"/>
      <c r="I630" s="104"/>
      <c r="J630" s="104"/>
      <c r="K630" s="104"/>
      <c r="L630" s="104"/>
    </row>
    <row r="631" spans="1:12" x14ac:dyDescent="0.25">
      <c r="A631" s="6"/>
      <c r="B631" s="6"/>
      <c r="C631" s="102"/>
      <c r="D631" s="102"/>
      <c r="E631" s="102"/>
      <c r="F631" s="103"/>
      <c r="G631" s="103"/>
      <c r="H631" s="6"/>
      <c r="I631" s="104"/>
      <c r="J631" s="104"/>
      <c r="K631" s="104"/>
      <c r="L631" s="104"/>
    </row>
    <row r="632" spans="1:12" x14ac:dyDescent="0.25">
      <c r="A632" s="6"/>
      <c r="B632" s="6"/>
      <c r="C632" s="102"/>
      <c r="D632" s="102"/>
      <c r="E632" s="102"/>
      <c r="F632" s="103"/>
      <c r="G632" s="103"/>
      <c r="H632" s="6"/>
      <c r="I632" s="104"/>
      <c r="J632" s="104"/>
      <c r="K632" s="104"/>
      <c r="L632" s="104"/>
    </row>
    <row r="633" spans="1:12" x14ac:dyDescent="0.25">
      <c r="A633" s="6"/>
      <c r="B633" s="6"/>
      <c r="C633" s="102"/>
      <c r="D633" s="102"/>
      <c r="E633" s="102"/>
      <c r="F633" s="103"/>
      <c r="G633" s="103"/>
      <c r="H633" s="6"/>
      <c r="I633" s="104"/>
      <c r="J633" s="104"/>
      <c r="K633" s="104"/>
      <c r="L633" s="104"/>
    </row>
    <row r="634" spans="1:12" x14ac:dyDescent="0.25">
      <c r="A634" s="6"/>
      <c r="B634" s="6"/>
      <c r="C634" s="102"/>
      <c r="D634" s="102"/>
      <c r="E634" s="102"/>
      <c r="F634" s="103"/>
      <c r="G634" s="103"/>
      <c r="H634" s="6"/>
      <c r="I634" s="104"/>
      <c r="J634" s="104"/>
      <c r="K634" s="104"/>
      <c r="L634" s="104"/>
    </row>
    <row r="635" spans="1:12" x14ac:dyDescent="0.25">
      <c r="A635" s="6"/>
      <c r="B635" s="6"/>
      <c r="C635" s="102"/>
      <c r="D635" s="102"/>
      <c r="E635" s="102"/>
      <c r="F635" s="103"/>
      <c r="G635" s="103"/>
      <c r="H635" s="6"/>
      <c r="I635" s="104"/>
      <c r="J635" s="104"/>
      <c r="K635" s="104"/>
      <c r="L635" s="104"/>
    </row>
    <row r="636" spans="1:12" x14ac:dyDescent="0.25">
      <c r="A636" s="6"/>
      <c r="B636" s="6"/>
      <c r="C636" s="102"/>
      <c r="D636" s="102"/>
      <c r="E636" s="102"/>
      <c r="F636" s="103"/>
      <c r="G636" s="103"/>
      <c r="H636" s="6"/>
      <c r="I636" s="104"/>
      <c r="J636" s="104"/>
      <c r="K636" s="104"/>
      <c r="L636" s="104"/>
    </row>
    <row r="637" spans="1:12" x14ac:dyDescent="0.25">
      <c r="A637" s="6"/>
      <c r="B637" s="6"/>
      <c r="C637" s="102"/>
      <c r="D637" s="102"/>
      <c r="E637" s="102"/>
      <c r="F637" s="103"/>
      <c r="G637" s="103"/>
      <c r="H637" s="6"/>
      <c r="I637" s="104"/>
      <c r="J637" s="104"/>
      <c r="K637" s="104"/>
      <c r="L637" s="104"/>
    </row>
    <row r="638" spans="1:12" x14ac:dyDescent="0.25">
      <c r="A638" s="6"/>
      <c r="B638" s="6"/>
      <c r="C638" s="102"/>
      <c r="D638" s="102"/>
      <c r="E638" s="102"/>
      <c r="F638" s="103"/>
      <c r="G638" s="103"/>
      <c r="H638" s="6"/>
      <c r="I638" s="104"/>
      <c r="J638" s="104"/>
      <c r="K638" s="104"/>
      <c r="L638" s="104"/>
    </row>
    <row r="639" spans="1:12" x14ac:dyDescent="0.25">
      <c r="A639" s="6"/>
      <c r="B639" s="6"/>
      <c r="C639" s="102"/>
      <c r="D639" s="102"/>
      <c r="E639" s="102"/>
      <c r="F639" s="103"/>
      <c r="G639" s="103"/>
      <c r="H639" s="6"/>
      <c r="I639" s="104"/>
      <c r="J639" s="104"/>
      <c r="K639" s="104"/>
      <c r="L639" s="104"/>
    </row>
    <row r="640" spans="1:12" x14ac:dyDescent="0.25">
      <c r="A640" s="6"/>
      <c r="B640" s="6"/>
      <c r="C640" s="102"/>
      <c r="D640" s="102"/>
      <c r="E640" s="102"/>
      <c r="F640" s="103"/>
      <c r="G640" s="103"/>
      <c r="H640" s="6"/>
      <c r="I640" s="104"/>
      <c r="J640" s="104"/>
      <c r="K640" s="104"/>
      <c r="L640" s="104"/>
    </row>
    <row r="641" spans="1:12" x14ac:dyDescent="0.25">
      <c r="A641" s="6"/>
      <c r="B641" s="6"/>
      <c r="C641" s="102"/>
      <c r="D641" s="102"/>
      <c r="E641" s="102"/>
      <c r="F641" s="103"/>
      <c r="G641" s="103"/>
      <c r="H641" s="6"/>
      <c r="I641" s="104"/>
      <c r="J641" s="104"/>
      <c r="K641" s="104"/>
      <c r="L641" s="104"/>
    </row>
    <row r="642" spans="1:12" x14ac:dyDescent="0.25">
      <c r="A642" s="6"/>
      <c r="B642" s="6"/>
      <c r="C642" s="102"/>
      <c r="D642" s="102"/>
      <c r="E642" s="102"/>
      <c r="F642" s="103"/>
      <c r="G642" s="103"/>
      <c r="H642" s="6"/>
      <c r="I642" s="104"/>
      <c r="J642" s="104"/>
      <c r="K642" s="104"/>
      <c r="L642" s="104"/>
    </row>
    <row r="643" spans="1:12" x14ac:dyDescent="0.25">
      <c r="A643" s="6"/>
      <c r="B643" s="6"/>
      <c r="C643" s="102"/>
      <c r="D643" s="102"/>
      <c r="E643" s="102"/>
      <c r="F643" s="103"/>
      <c r="G643" s="103"/>
      <c r="H643" s="6"/>
      <c r="I643" s="104"/>
      <c r="J643" s="104"/>
      <c r="K643" s="104"/>
      <c r="L643" s="104"/>
    </row>
    <row r="644" spans="1:12" x14ac:dyDescent="0.25">
      <c r="A644" s="6"/>
      <c r="B644" s="6"/>
      <c r="C644" s="102"/>
      <c r="D644" s="102"/>
      <c r="E644" s="102"/>
      <c r="F644" s="103"/>
      <c r="G644" s="103"/>
      <c r="H644" s="6"/>
      <c r="I644" s="104"/>
      <c r="J644" s="104"/>
      <c r="K644" s="104"/>
      <c r="L644" s="104"/>
    </row>
    <row r="645" spans="1:12" x14ac:dyDescent="0.25">
      <c r="A645" s="6"/>
      <c r="B645" s="6"/>
      <c r="C645" s="102"/>
      <c r="D645" s="102"/>
      <c r="E645" s="102"/>
      <c r="F645" s="103"/>
      <c r="G645" s="103"/>
      <c r="H645" s="6"/>
      <c r="I645" s="104"/>
      <c r="J645" s="104"/>
      <c r="K645" s="104"/>
      <c r="L645" s="104"/>
    </row>
    <row r="646" spans="1:12" x14ac:dyDescent="0.25">
      <c r="A646" s="6"/>
      <c r="B646" s="6"/>
      <c r="C646" s="102"/>
      <c r="D646" s="102"/>
      <c r="E646" s="102"/>
      <c r="F646" s="103"/>
      <c r="G646" s="103"/>
      <c r="H646" s="6"/>
      <c r="I646" s="104"/>
      <c r="J646" s="104"/>
      <c r="K646" s="104"/>
      <c r="L646" s="104"/>
    </row>
    <row r="647" spans="1:12" x14ac:dyDescent="0.25">
      <c r="A647" s="6"/>
      <c r="B647" s="6"/>
      <c r="C647" s="102"/>
      <c r="D647" s="102"/>
      <c r="E647" s="102"/>
      <c r="F647" s="103"/>
      <c r="G647" s="103"/>
      <c r="H647" s="6"/>
      <c r="I647" s="104"/>
      <c r="J647" s="104"/>
      <c r="K647" s="104"/>
      <c r="L647" s="104"/>
    </row>
    <row r="648" spans="1:12" x14ac:dyDescent="0.25">
      <c r="A648" s="6"/>
      <c r="B648" s="6"/>
      <c r="C648" s="102"/>
      <c r="D648" s="102"/>
      <c r="E648" s="102"/>
      <c r="F648" s="103"/>
      <c r="G648" s="103"/>
      <c r="H648" s="6"/>
      <c r="I648" s="104"/>
      <c r="J648" s="104"/>
      <c r="K648" s="104"/>
      <c r="L648" s="104"/>
    </row>
    <row r="649" spans="1:12" x14ac:dyDescent="0.25">
      <c r="A649" s="6"/>
      <c r="B649" s="6"/>
      <c r="C649" s="102"/>
      <c r="D649" s="102"/>
      <c r="E649" s="102"/>
      <c r="F649" s="103"/>
      <c r="G649" s="103"/>
      <c r="H649" s="6"/>
      <c r="I649" s="104"/>
      <c r="J649" s="104"/>
      <c r="K649" s="104"/>
      <c r="L649" s="104"/>
    </row>
    <row r="650" spans="1:12" x14ac:dyDescent="0.25">
      <c r="A650" s="6"/>
      <c r="B650" s="6"/>
      <c r="C650" s="102"/>
      <c r="D650" s="102"/>
      <c r="E650" s="102"/>
      <c r="F650" s="103"/>
      <c r="G650" s="103"/>
      <c r="H650" s="6"/>
      <c r="I650" s="104"/>
      <c r="J650" s="104"/>
      <c r="K650" s="104"/>
      <c r="L650" s="104"/>
    </row>
    <row r="651" spans="1:12" x14ac:dyDescent="0.25">
      <c r="A651" s="6"/>
      <c r="B651" s="6"/>
      <c r="C651" s="102"/>
      <c r="D651" s="102"/>
      <c r="E651" s="102"/>
      <c r="F651" s="103"/>
      <c r="G651" s="103"/>
      <c r="H651" s="6"/>
      <c r="I651" s="104"/>
      <c r="J651" s="104"/>
      <c r="K651" s="104"/>
      <c r="L651" s="104"/>
    </row>
    <row r="652" spans="1:12" x14ac:dyDescent="0.25">
      <c r="A652" s="6"/>
      <c r="B652" s="6"/>
      <c r="C652" s="102"/>
      <c r="D652" s="102"/>
      <c r="E652" s="102"/>
      <c r="F652" s="103"/>
      <c r="G652" s="103"/>
      <c r="H652" s="6"/>
      <c r="I652" s="104"/>
      <c r="J652" s="104"/>
      <c r="K652" s="104"/>
      <c r="L652" s="104"/>
    </row>
    <row r="653" spans="1:12" x14ac:dyDescent="0.25">
      <c r="A653" s="6"/>
      <c r="B653" s="6"/>
      <c r="C653" s="102"/>
      <c r="D653" s="102"/>
      <c r="E653" s="102"/>
      <c r="F653" s="103"/>
      <c r="G653" s="103"/>
      <c r="H653" s="6"/>
      <c r="I653" s="104"/>
      <c r="J653" s="104"/>
      <c r="K653" s="104"/>
      <c r="L653" s="104"/>
    </row>
    <row r="654" spans="1:12" x14ac:dyDescent="0.25">
      <c r="A654" s="6"/>
      <c r="B654" s="6"/>
      <c r="C654" s="102"/>
      <c r="D654" s="102"/>
      <c r="E654" s="102"/>
      <c r="F654" s="103"/>
      <c r="G654" s="103"/>
      <c r="H654" s="6"/>
      <c r="I654" s="104"/>
      <c r="J654" s="104"/>
      <c r="K654" s="104"/>
      <c r="L654" s="104"/>
    </row>
    <row r="655" spans="1:12" x14ac:dyDescent="0.25">
      <c r="A655" s="6"/>
      <c r="B655" s="6"/>
      <c r="C655" s="102"/>
      <c r="D655" s="102"/>
      <c r="E655" s="102"/>
      <c r="F655" s="103"/>
      <c r="G655" s="103"/>
      <c r="H655" s="6"/>
      <c r="I655" s="104"/>
      <c r="J655" s="104"/>
      <c r="K655" s="104"/>
      <c r="L655" s="104"/>
    </row>
    <row r="656" spans="1:12" x14ac:dyDescent="0.25">
      <c r="A656" s="6"/>
      <c r="B656" s="6"/>
      <c r="C656" s="102"/>
      <c r="D656" s="102"/>
      <c r="E656" s="102"/>
      <c r="F656" s="103"/>
      <c r="G656" s="103"/>
      <c r="H656" s="6"/>
      <c r="I656" s="104"/>
      <c r="J656" s="104"/>
      <c r="K656" s="104"/>
      <c r="L656" s="104"/>
    </row>
    <row r="657" spans="1:12" x14ac:dyDescent="0.25">
      <c r="A657" s="6"/>
      <c r="B657" s="6"/>
      <c r="C657" s="102"/>
      <c r="D657" s="102"/>
      <c r="E657" s="102"/>
      <c r="F657" s="103"/>
      <c r="G657" s="103"/>
      <c r="H657" s="6"/>
      <c r="I657" s="104"/>
      <c r="J657" s="104"/>
      <c r="K657" s="104"/>
      <c r="L657" s="104"/>
    </row>
    <row r="658" spans="1:12" x14ac:dyDescent="0.25">
      <c r="A658" s="6"/>
      <c r="B658" s="6"/>
      <c r="C658" s="102"/>
      <c r="D658" s="102"/>
      <c r="E658" s="102"/>
      <c r="F658" s="103"/>
      <c r="G658" s="103"/>
      <c r="H658" s="6"/>
      <c r="I658" s="104"/>
      <c r="J658" s="104"/>
      <c r="K658" s="104"/>
      <c r="L658" s="104"/>
    </row>
    <row r="659" spans="1:12" x14ac:dyDescent="0.25">
      <c r="A659" s="6"/>
      <c r="B659" s="6"/>
      <c r="C659" s="102"/>
      <c r="D659" s="102"/>
      <c r="E659" s="102"/>
      <c r="F659" s="103"/>
      <c r="G659" s="103"/>
      <c r="H659" s="6"/>
      <c r="I659" s="104"/>
      <c r="J659" s="104"/>
      <c r="K659" s="104"/>
      <c r="L659" s="104"/>
    </row>
    <row r="660" spans="1:12" x14ac:dyDescent="0.25">
      <c r="A660" s="6"/>
      <c r="B660" s="6"/>
      <c r="C660" s="102"/>
      <c r="D660" s="102"/>
      <c r="E660" s="102"/>
      <c r="F660" s="103"/>
      <c r="G660" s="103"/>
      <c r="H660" s="6"/>
      <c r="I660" s="104"/>
      <c r="J660" s="104"/>
      <c r="K660" s="104"/>
      <c r="L660" s="104"/>
    </row>
    <row r="661" spans="1:12" x14ac:dyDescent="0.25">
      <c r="A661" s="6"/>
      <c r="B661" s="6"/>
      <c r="C661" s="102"/>
      <c r="D661" s="102"/>
      <c r="E661" s="102"/>
      <c r="F661" s="103"/>
      <c r="G661" s="103"/>
      <c r="H661" s="6"/>
      <c r="I661" s="104"/>
      <c r="J661" s="104"/>
      <c r="K661" s="104"/>
      <c r="L661" s="104"/>
    </row>
    <row r="662" spans="1:12" x14ac:dyDescent="0.25">
      <c r="A662" s="6"/>
      <c r="B662" s="6"/>
      <c r="C662" s="102"/>
      <c r="D662" s="102"/>
      <c r="E662" s="102"/>
      <c r="F662" s="103"/>
      <c r="G662" s="103"/>
      <c r="H662" s="6"/>
      <c r="I662" s="104"/>
      <c r="J662" s="104"/>
      <c r="K662" s="104"/>
      <c r="L662" s="104"/>
    </row>
    <row r="663" spans="1:12" x14ac:dyDescent="0.25">
      <c r="A663" s="6"/>
      <c r="B663" s="6"/>
      <c r="C663" s="102"/>
      <c r="D663" s="102"/>
      <c r="E663" s="102"/>
      <c r="F663" s="103"/>
      <c r="G663" s="103"/>
      <c r="H663" s="6"/>
      <c r="I663" s="104"/>
      <c r="J663" s="104"/>
      <c r="K663" s="104"/>
      <c r="L663" s="104"/>
    </row>
    <row r="664" spans="1:12" x14ac:dyDescent="0.25">
      <c r="A664" s="6"/>
      <c r="B664" s="6"/>
      <c r="C664" s="102"/>
      <c r="D664" s="102"/>
      <c r="E664" s="102"/>
      <c r="F664" s="103"/>
      <c r="G664" s="103"/>
      <c r="H664" s="6"/>
      <c r="I664" s="104"/>
      <c r="J664" s="104"/>
      <c r="K664" s="104"/>
      <c r="L664" s="104"/>
    </row>
    <row r="665" spans="1:12" x14ac:dyDescent="0.25">
      <c r="A665" s="6"/>
      <c r="B665" s="6"/>
      <c r="C665" s="102"/>
      <c r="D665" s="102"/>
      <c r="E665" s="102"/>
      <c r="F665" s="103"/>
      <c r="G665" s="103"/>
      <c r="H665" s="6"/>
      <c r="I665" s="104"/>
      <c r="J665" s="104"/>
      <c r="K665" s="104"/>
      <c r="L665" s="104"/>
    </row>
    <row r="666" spans="1:12" x14ac:dyDescent="0.25">
      <c r="A666" s="6"/>
      <c r="B666" s="6"/>
      <c r="C666" s="102"/>
      <c r="D666" s="102"/>
      <c r="E666" s="102"/>
      <c r="F666" s="103"/>
      <c r="G666" s="103"/>
      <c r="H666" s="6"/>
      <c r="I666" s="104"/>
      <c r="J666" s="104"/>
      <c r="K666" s="104"/>
      <c r="L666" s="104"/>
    </row>
    <row r="667" spans="1:12" x14ac:dyDescent="0.25">
      <c r="A667" s="6"/>
      <c r="B667" s="6"/>
      <c r="C667" s="102"/>
      <c r="D667" s="102"/>
      <c r="E667" s="102"/>
      <c r="F667" s="103"/>
      <c r="G667" s="103"/>
      <c r="H667" s="6"/>
      <c r="I667" s="104"/>
      <c r="J667" s="104"/>
      <c r="K667" s="104"/>
      <c r="L667" s="104"/>
    </row>
    <row r="668" spans="1:12" x14ac:dyDescent="0.25">
      <c r="A668" s="6"/>
      <c r="B668" s="6"/>
      <c r="C668" s="102"/>
      <c r="D668" s="102"/>
      <c r="E668" s="102"/>
      <c r="F668" s="103"/>
      <c r="G668" s="103"/>
      <c r="H668" s="6"/>
      <c r="I668" s="104"/>
      <c r="J668" s="104"/>
      <c r="K668" s="104"/>
      <c r="L668" s="104"/>
    </row>
    <row r="669" spans="1:12" x14ac:dyDescent="0.25">
      <c r="A669" s="6"/>
      <c r="B669" s="6"/>
      <c r="C669" s="102"/>
      <c r="D669" s="102"/>
      <c r="E669" s="102"/>
      <c r="F669" s="103"/>
      <c r="G669" s="103"/>
      <c r="H669" s="6"/>
      <c r="I669" s="104"/>
      <c r="J669" s="104"/>
      <c r="K669" s="104"/>
      <c r="L669" s="104"/>
    </row>
    <row r="670" spans="1:12" x14ac:dyDescent="0.25">
      <c r="A670" s="6"/>
      <c r="B670" s="6"/>
      <c r="C670" s="102"/>
      <c r="D670" s="102"/>
      <c r="E670" s="102"/>
      <c r="F670" s="103"/>
      <c r="G670" s="103"/>
      <c r="H670" s="6"/>
      <c r="I670" s="104"/>
      <c r="J670" s="104"/>
      <c r="K670" s="104"/>
      <c r="L670" s="104"/>
    </row>
    <row r="671" spans="1:12" x14ac:dyDescent="0.25">
      <c r="A671" s="6"/>
      <c r="B671" s="6"/>
      <c r="C671" s="102"/>
      <c r="D671" s="102"/>
      <c r="E671" s="102"/>
      <c r="F671" s="103"/>
      <c r="G671" s="103"/>
      <c r="H671" s="6"/>
      <c r="I671" s="104"/>
      <c r="J671" s="104"/>
      <c r="K671" s="104"/>
      <c r="L671" s="104"/>
    </row>
    <row r="672" spans="1:12" x14ac:dyDescent="0.25">
      <c r="A672" s="6"/>
      <c r="B672" s="6"/>
      <c r="C672" s="102"/>
      <c r="D672" s="102"/>
      <c r="E672" s="102"/>
      <c r="F672" s="103"/>
      <c r="G672" s="103"/>
      <c r="H672" s="6"/>
      <c r="I672" s="104"/>
      <c r="J672" s="104"/>
      <c r="K672" s="104"/>
      <c r="L672" s="104"/>
    </row>
    <row r="673" spans="1:12" x14ac:dyDescent="0.25">
      <c r="A673" s="6"/>
      <c r="B673" s="6"/>
      <c r="C673" s="102"/>
      <c r="D673" s="102"/>
      <c r="E673" s="102"/>
      <c r="F673" s="103"/>
      <c r="G673" s="103"/>
      <c r="H673" s="6"/>
      <c r="I673" s="104"/>
      <c r="J673" s="104"/>
      <c r="K673" s="104"/>
      <c r="L673" s="104"/>
    </row>
    <row r="674" spans="1:12" x14ac:dyDescent="0.25">
      <c r="A674" s="6"/>
      <c r="B674" s="6"/>
      <c r="C674" s="102"/>
      <c r="D674" s="102"/>
      <c r="E674" s="102"/>
      <c r="F674" s="103"/>
      <c r="G674" s="103"/>
      <c r="H674" s="6"/>
      <c r="I674" s="104"/>
      <c r="J674" s="104"/>
      <c r="K674" s="104"/>
      <c r="L674" s="104"/>
    </row>
    <row r="675" spans="1:12" x14ac:dyDescent="0.25">
      <c r="A675" s="6"/>
      <c r="B675" s="6"/>
      <c r="C675" s="102"/>
      <c r="D675" s="102"/>
      <c r="E675" s="102"/>
      <c r="F675" s="103"/>
      <c r="G675" s="103"/>
      <c r="H675" s="6"/>
      <c r="I675" s="104"/>
      <c r="J675" s="104"/>
      <c r="K675" s="104"/>
      <c r="L675" s="104"/>
    </row>
    <row r="676" spans="1:12" x14ac:dyDescent="0.25">
      <c r="A676" s="6"/>
      <c r="B676" s="6"/>
      <c r="C676" s="102"/>
      <c r="D676" s="102"/>
      <c r="E676" s="102"/>
      <c r="F676" s="103"/>
      <c r="G676" s="103"/>
      <c r="H676" s="6"/>
      <c r="I676" s="104"/>
      <c r="J676" s="104"/>
      <c r="K676" s="104"/>
      <c r="L676" s="104"/>
    </row>
    <row r="677" spans="1:12" x14ac:dyDescent="0.25">
      <c r="A677" s="6"/>
      <c r="B677" s="6"/>
      <c r="C677" s="102"/>
      <c r="D677" s="102"/>
      <c r="E677" s="102"/>
      <c r="F677" s="103"/>
      <c r="G677" s="103"/>
      <c r="H677" s="6"/>
      <c r="I677" s="104"/>
      <c r="J677" s="104"/>
      <c r="K677" s="104"/>
      <c r="L677" s="104"/>
    </row>
    <row r="678" spans="1:12" x14ac:dyDescent="0.25">
      <c r="A678" s="6"/>
      <c r="B678" s="6"/>
      <c r="C678" s="102"/>
      <c r="D678" s="102"/>
      <c r="E678" s="102"/>
      <c r="F678" s="103"/>
      <c r="G678" s="103"/>
      <c r="H678" s="6"/>
      <c r="I678" s="104"/>
      <c r="J678" s="104"/>
      <c r="K678" s="104"/>
      <c r="L678" s="104"/>
    </row>
    <row r="679" spans="1:12" x14ac:dyDescent="0.25">
      <c r="A679" s="6"/>
      <c r="B679" s="6"/>
      <c r="C679" s="102"/>
      <c r="D679" s="102"/>
      <c r="E679" s="102"/>
      <c r="F679" s="103"/>
      <c r="G679" s="103"/>
      <c r="H679" s="6"/>
      <c r="I679" s="104"/>
      <c r="J679" s="104"/>
      <c r="K679" s="104"/>
      <c r="L679" s="104"/>
    </row>
    <row r="680" spans="1:12" x14ac:dyDescent="0.25">
      <c r="A680" s="6"/>
      <c r="B680" s="6"/>
      <c r="C680" s="102"/>
      <c r="D680" s="102"/>
      <c r="E680" s="102"/>
      <c r="F680" s="103"/>
      <c r="G680" s="103"/>
      <c r="H680" s="6"/>
      <c r="I680" s="104"/>
      <c r="J680" s="104"/>
      <c r="K680" s="104"/>
      <c r="L680" s="104"/>
    </row>
    <row r="681" spans="1:12" x14ac:dyDescent="0.25">
      <c r="A681" s="6"/>
      <c r="B681" s="6"/>
      <c r="C681" s="102"/>
      <c r="D681" s="102"/>
      <c r="E681" s="102"/>
      <c r="F681" s="103"/>
      <c r="G681" s="103"/>
      <c r="H681" s="6"/>
      <c r="I681" s="104"/>
      <c r="J681" s="104"/>
      <c r="K681" s="104"/>
      <c r="L681" s="104"/>
    </row>
    <row r="682" spans="1:12" x14ac:dyDescent="0.25">
      <c r="A682" s="6"/>
      <c r="B682" s="6"/>
      <c r="C682" s="102"/>
      <c r="D682" s="102"/>
      <c r="E682" s="102"/>
      <c r="F682" s="103"/>
      <c r="G682" s="103"/>
      <c r="H682" s="6"/>
      <c r="I682" s="104"/>
      <c r="J682" s="104"/>
      <c r="K682" s="104"/>
      <c r="L682" s="104"/>
    </row>
    <row r="683" spans="1:12" x14ac:dyDescent="0.25">
      <c r="A683" s="6"/>
      <c r="B683" s="6"/>
      <c r="C683" s="102"/>
      <c r="D683" s="102"/>
      <c r="E683" s="102"/>
      <c r="F683" s="103"/>
      <c r="G683" s="103"/>
      <c r="H683" s="6"/>
      <c r="I683" s="104"/>
      <c r="J683" s="104"/>
      <c r="K683" s="104"/>
      <c r="L683" s="104"/>
    </row>
    <row r="684" spans="1:12" x14ac:dyDescent="0.25">
      <c r="A684" s="6"/>
      <c r="B684" s="6"/>
      <c r="C684" s="102"/>
      <c r="D684" s="102"/>
      <c r="E684" s="102"/>
      <c r="F684" s="103"/>
      <c r="G684" s="103"/>
      <c r="H684" s="6"/>
      <c r="I684" s="104"/>
      <c r="J684" s="104"/>
      <c r="K684" s="104"/>
      <c r="L684" s="104"/>
    </row>
    <row r="685" spans="1:12" x14ac:dyDescent="0.25">
      <c r="A685" s="6"/>
      <c r="B685" s="6"/>
      <c r="C685" s="102"/>
      <c r="D685" s="102"/>
      <c r="E685" s="102"/>
      <c r="F685" s="103"/>
      <c r="G685" s="103"/>
      <c r="H685" s="6"/>
      <c r="I685" s="104"/>
      <c r="J685" s="104"/>
      <c r="K685" s="104"/>
      <c r="L685" s="104"/>
    </row>
    <row r="686" spans="1:12" x14ac:dyDescent="0.25">
      <c r="A686" s="6"/>
      <c r="B686" s="6"/>
      <c r="C686" s="102"/>
      <c r="D686" s="102"/>
      <c r="E686" s="102"/>
      <c r="F686" s="103"/>
      <c r="G686" s="103"/>
      <c r="H686" s="6"/>
      <c r="I686" s="104"/>
      <c r="J686" s="104"/>
      <c r="K686" s="104"/>
      <c r="L686" s="104"/>
    </row>
    <row r="687" spans="1:12" x14ac:dyDescent="0.25">
      <c r="A687" s="6"/>
      <c r="B687" s="6"/>
      <c r="C687" s="102"/>
      <c r="D687" s="102"/>
      <c r="E687" s="102"/>
      <c r="F687" s="103"/>
      <c r="G687" s="103"/>
      <c r="H687" s="6"/>
      <c r="I687" s="104"/>
      <c r="J687" s="104"/>
      <c r="K687" s="104"/>
      <c r="L687" s="104"/>
    </row>
    <row r="688" spans="1:12" x14ac:dyDescent="0.25">
      <c r="A688" s="6"/>
      <c r="B688" s="6"/>
      <c r="C688" s="102"/>
      <c r="D688" s="102"/>
      <c r="E688" s="102"/>
      <c r="F688" s="103"/>
      <c r="G688" s="103"/>
      <c r="H688" s="6"/>
      <c r="I688" s="104"/>
      <c r="J688" s="104"/>
      <c r="K688" s="104"/>
      <c r="L688" s="104"/>
    </row>
    <row r="689" spans="1:12" x14ac:dyDescent="0.25">
      <c r="A689" s="6"/>
      <c r="B689" s="6"/>
      <c r="C689" s="102"/>
      <c r="D689" s="102"/>
      <c r="E689" s="102"/>
      <c r="F689" s="103"/>
      <c r="G689" s="103"/>
      <c r="H689" s="6"/>
      <c r="I689" s="104"/>
      <c r="J689" s="104"/>
      <c r="K689" s="104"/>
      <c r="L689" s="104"/>
    </row>
    <row r="690" spans="1:12" x14ac:dyDescent="0.25">
      <c r="A690" s="6"/>
      <c r="B690" s="6"/>
      <c r="C690" s="102"/>
      <c r="D690" s="102"/>
      <c r="E690" s="102"/>
      <c r="F690" s="103"/>
      <c r="G690" s="103"/>
      <c r="H690" s="6"/>
      <c r="I690" s="104"/>
      <c r="J690" s="104"/>
      <c r="K690" s="104"/>
      <c r="L690" s="104"/>
    </row>
    <row r="691" spans="1:12" x14ac:dyDescent="0.25">
      <c r="A691" s="6"/>
      <c r="B691" s="6"/>
      <c r="C691" s="102"/>
      <c r="D691" s="102"/>
      <c r="E691" s="102"/>
      <c r="F691" s="103"/>
      <c r="G691" s="103"/>
      <c r="H691" s="6"/>
      <c r="I691" s="104"/>
      <c r="J691" s="104"/>
      <c r="K691" s="104"/>
      <c r="L691" s="104"/>
    </row>
    <row r="692" spans="1:12" x14ac:dyDescent="0.25">
      <c r="A692" s="6"/>
      <c r="B692" s="6"/>
      <c r="C692" s="102"/>
      <c r="D692" s="102"/>
      <c r="E692" s="102"/>
      <c r="F692" s="103"/>
      <c r="G692" s="103"/>
      <c r="H692" s="6"/>
      <c r="I692" s="104"/>
      <c r="J692" s="104"/>
      <c r="K692" s="104"/>
      <c r="L692" s="104"/>
    </row>
    <row r="693" spans="1:12" x14ac:dyDescent="0.25">
      <c r="A693" s="6"/>
      <c r="B693" s="6"/>
      <c r="C693" s="102"/>
      <c r="D693" s="102"/>
      <c r="E693" s="102"/>
      <c r="F693" s="103"/>
      <c r="G693" s="103"/>
      <c r="H693" s="6"/>
      <c r="I693" s="104"/>
      <c r="J693" s="104"/>
      <c r="K693" s="104"/>
      <c r="L693" s="104"/>
    </row>
    <row r="694" spans="1:12" x14ac:dyDescent="0.25">
      <c r="A694" s="6"/>
      <c r="B694" s="6"/>
      <c r="C694" s="102"/>
      <c r="D694" s="102"/>
      <c r="E694" s="102"/>
      <c r="F694" s="103"/>
      <c r="G694" s="103"/>
      <c r="H694" s="6"/>
      <c r="I694" s="104"/>
      <c r="J694" s="104"/>
      <c r="K694" s="104"/>
      <c r="L694" s="104"/>
    </row>
    <row r="695" spans="1:12" x14ac:dyDescent="0.25">
      <c r="A695" s="6"/>
      <c r="B695" s="6"/>
      <c r="C695" s="102"/>
      <c r="D695" s="102"/>
      <c r="E695" s="102"/>
      <c r="F695" s="103"/>
      <c r="G695" s="103"/>
      <c r="H695" s="6"/>
      <c r="I695" s="104"/>
      <c r="J695" s="104"/>
      <c r="K695" s="104"/>
      <c r="L695" s="104"/>
    </row>
    <row r="696" spans="1:12" x14ac:dyDescent="0.25">
      <c r="A696" s="6"/>
      <c r="B696" s="6"/>
      <c r="C696" s="102"/>
      <c r="D696" s="102"/>
      <c r="E696" s="102"/>
      <c r="F696" s="103"/>
      <c r="G696" s="103"/>
      <c r="H696" s="6"/>
      <c r="I696" s="104"/>
      <c r="J696" s="104"/>
      <c r="K696" s="104"/>
      <c r="L696" s="104"/>
    </row>
    <row r="697" spans="1:12" x14ac:dyDescent="0.25">
      <c r="A697" s="6"/>
      <c r="B697" s="6"/>
      <c r="C697" s="102"/>
      <c r="D697" s="102"/>
      <c r="E697" s="102"/>
      <c r="F697" s="103"/>
      <c r="G697" s="103"/>
      <c r="H697" s="6"/>
      <c r="I697" s="104"/>
      <c r="J697" s="104"/>
      <c r="K697" s="104"/>
      <c r="L697" s="104"/>
    </row>
    <row r="698" spans="1:12" x14ac:dyDescent="0.25">
      <c r="A698" s="6"/>
      <c r="B698" s="6"/>
      <c r="C698" s="102"/>
      <c r="D698" s="102"/>
      <c r="E698" s="102"/>
      <c r="F698" s="103"/>
      <c r="G698" s="103"/>
      <c r="H698" s="6"/>
      <c r="I698" s="104"/>
      <c r="J698" s="104"/>
      <c r="K698" s="104"/>
      <c r="L698" s="104"/>
    </row>
    <row r="699" spans="1:12" x14ac:dyDescent="0.25">
      <c r="A699" s="6"/>
      <c r="B699" s="6"/>
      <c r="C699" s="102"/>
      <c r="D699" s="102"/>
      <c r="E699" s="102"/>
      <c r="F699" s="103"/>
      <c r="G699" s="103"/>
      <c r="H699" s="6"/>
      <c r="I699" s="104"/>
      <c r="J699" s="104"/>
      <c r="K699" s="104"/>
      <c r="L699" s="104"/>
    </row>
    <row r="700" spans="1:12" x14ac:dyDescent="0.25">
      <c r="A700" s="6"/>
      <c r="B700" s="6"/>
      <c r="C700" s="102"/>
      <c r="D700" s="102"/>
      <c r="E700" s="102"/>
      <c r="F700" s="103"/>
      <c r="G700" s="103"/>
      <c r="H700" s="6"/>
      <c r="I700" s="104"/>
      <c r="J700" s="104"/>
      <c r="K700" s="104"/>
      <c r="L700" s="104"/>
    </row>
    <row r="701" spans="1:12" x14ac:dyDescent="0.25">
      <c r="A701" s="6"/>
      <c r="B701" s="6"/>
      <c r="C701" s="102"/>
      <c r="D701" s="102"/>
      <c r="E701" s="102"/>
      <c r="F701" s="103"/>
      <c r="G701" s="103"/>
      <c r="H701" s="6"/>
      <c r="I701" s="104"/>
      <c r="J701" s="104"/>
      <c r="K701" s="104"/>
      <c r="L701" s="104"/>
    </row>
    <row r="702" spans="1:12" x14ac:dyDescent="0.25">
      <c r="A702" s="6"/>
      <c r="B702" s="6"/>
      <c r="C702" s="102"/>
      <c r="D702" s="102"/>
      <c r="E702" s="102"/>
      <c r="F702" s="103"/>
      <c r="G702" s="103"/>
      <c r="H702" s="6"/>
      <c r="I702" s="104"/>
      <c r="J702" s="104"/>
      <c r="K702" s="104"/>
      <c r="L702" s="104"/>
    </row>
    <row r="703" spans="1:12" x14ac:dyDescent="0.25">
      <c r="A703" s="6"/>
      <c r="B703" s="6"/>
      <c r="C703" s="102"/>
      <c r="D703" s="102"/>
      <c r="E703" s="102"/>
      <c r="F703" s="103"/>
      <c r="G703" s="103"/>
      <c r="H703" s="6"/>
      <c r="I703" s="104"/>
      <c r="J703" s="104"/>
      <c r="K703" s="104"/>
      <c r="L703" s="104"/>
    </row>
    <row r="704" spans="1:12" x14ac:dyDescent="0.25">
      <c r="A704" s="6"/>
      <c r="B704" s="6"/>
      <c r="C704" s="102"/>
      <c r="D704" s="102"/>
      <c r="E704" s="102"/>
      <c r="F704" s="103"/>
      <c r="G704" s="103"/>
      <c r="H704" s="6"/>
      <c r="I704" s="104"/>
      <c r="J704" s="104"/>
      <c r="K704" s="104"/>
      <c r="L704" s="104"/>
    </row>
    <row r="705" spans="1:12" x14ac:dyDescent="0.25">
      <c r="A705" s="6"/>
      <c r="B705" s="6"/>
      <c r="C705" s="102"/>
      <c r="D705" s="102"/>
      <c r="E705" s="102"/>
      <c r="F705" s="103"/>
      <c r="G705" s="103"/>
      <c r="H705" s="6"/>
      <c r="I705" s="104"/>
      <c r="J705" s="104"/>
      <c r="K705" s="104"/>
      <c r="L705" s="104"/>
    </row>
    <row r="706" spans="1:12" x14ac:dyDescent="0.25">
      <c r="A706" s="6"/>
      <c r="B706" s="6"/>
      <c r="C706" s="102"/>
      <c r="D706" s="102"/>
      <c r="E706" s="102"/>
      <c r="F706" s="103"/>
      <c r="G706" s="103"/>
      <c r="H706" s="6"/>
      <c r="I706" s="104"/>
      <c r="J706" s="104"/>
      <c r="K706" s="104"/>
      <c r="L706" s="104"/>
    </row>
    <row r="707" spans="1:12" x14ac:dyDescent="0.25">
      <c r="A707" s="6"/>
      <c r="B707" s="6"/>
      <c r="C707" s="102"/>
      <c r="D707" s="102"/>
      <c r="E707" s="102"/>
      <c r="F707" s="103"/>
      <c r="G707" s="103"/>
      <c r="H707" s="6"/>
      <c r="I707" s="104"/>
      <c r="J707" s="104"/>
      <c r="K707" s="104"/>
      <c r="L707" s="104"/>
    </row>
    <row r="708" spans="1:12" x14ac:dyDescent="0.25">
      <c r="A708" s="6"/>
      <c r="B708" s="6"/>
      <c r="C708" s="102"/>
      <c r="D708" s="102"/>
      <c r="E708" s="102"/>
      <c r="F708" s="103"/>
      <c r="G708" s="103"/>
      <c r="H708" s="6"/>
      <c r="I708" s="104"/>
      <c r="J708" s="104"/>
      <c r="K708" s="104"/>
      <c r="L708" s="104"/>
    </row>
    <row r="709" spans="1:12" x14ac:dyDescent="0.25">
      <c r="A709" s="6"/>
      <c r="B709" s="6"/>
      <c r="C709" s="102"/>
      <c r="D709" s="102"/>
      <c r="E709" s="102"/>
      <c r="F709" s="103"/>
      <c r="G709" s="103"/>
      <c r="H709" s="6"/>
      <c r="I709" s="104"/>
      <c r="J709" s="104"/>
      <c r="K709" s="104"/>
      <c r="L709" s="104"/>
    </row>
    <row r="710" spans="1:12" x14ac:dyDescent="0.25">
      <c r="A710" s="6"/>
      <c r="B710" s="6"/>
      <c r="C710" s="102"/>
      <c r="D710" s="102"/>
      <c r="E710" s="102"/>
      <c r="F710" s="103"/>
      <c r="G710" s="103"/>
      <c r="H710" s="6"/>
      <c r="I710" s="104"/>
      <c r="J710" s="104"/>
      <c r="K710" s="104"/>
      <c r="L710" s="104"/>
    </row>
    <row r="711" spans="1:12" x14ac:dyDescent="0.25">
      <c r="A711" s="6"/>
      <c r="B711" s="6"/>
      <c r="C711" s="102"/>
      <c r="D711" s="102"/>
      <c r="E711" s="102"/>
      <c r="F711" s="103"/>
      <c r="G711" s="103"/>
      <c r="H711" s="6"/>
      <c r="I711" s="104"/>
      <c r="J711" s="104"/>
      <c r="K711" s="104"/>
      <c r="L711" s="104"/>
    </row>
    <row r="712" spans="1:12" x14ac:dyDescent="0.25">
      <c r="A712" s="6"/>
      <c r="B712" s="6"/>
      <c r="C712" s="102"/>
      <c r="D712" s="102"/>
      <c r="E712" s="102"/>
      <c r="F712" s="103"/>
      <c r="G712" s="103"/>
      <c r="H712" s="6"/>
      <c r="I712" s="104"/>
      <c r="J712" s="104"/>
      <c r="K712" s="104"/>
      <c r="L712" s="104"/>
    </row>
    <row r="713" spans="1:12" x14ac:dyDescent="0.25">
      <c r="A713" s="6"/>
      <c r="B713" s="6"/>
      <c r="C713" s="102"/>
      <c r="D713" s="102"/>
      <c r="E713" s="102"/>
      <c r="F713" s="103"/>
      <c r="G713" s="103"/>
      <c r="H713" s="6"/>
      <c r="I713" s="104"/>
      <c r="J713" s="104"/>
      <c r="K713" s="104"/>
      <c r="L713" s="104"/>
    </row>
    <row r="714" spans="1:12" x14ac:dyDescent="0.25">
      <c r="A714" s="6"/>
      <c r="B714" s="6"/>
      <c r="C714" s="102"/>
      <c r="D714" s="102"/>
      <c r="E714" s="102"/>
      <c r="F714" s="103"/>
      <c r="G714" s="103"/>
      <c r="H714" s="6"/>
      <c r="I714" s="104"/>
      <c r="J714" s="104"/>
      <c r="K714" s="104"/>
      <c r="L714" s="104"/>
    </row>
    <row r="715" spans="1:12" x14ac:dyDescent="0.25">
      <c r="A715" s="6"/>
      <c r="B715" s="6"/>
      <c r="C715" s="102"/>
      <c r="D715" s="102"/>
      <c r="E715" s="102"/>
      <c r="F715" s="103"/>
      <c r="G715" s="103"/>
      <c r="H715" s="6"/>
      <c r="I715" s="104"/>
      <c r="J715" s="104"/>
      <c r="K715" s="104"/>
      <c r="L715" s="104"/>
    </row>
    <row r="716" spans="1:12" x14ac:dyDescent="0.25">
      <c r="A716" s="6"/>
      <c r="B716" s="6"/>
      <c r="C716" s="102"/>
      <c r="D716" s="102"/>
      <c r="E716" s="102"/>
      <c r="F716" s="103"/>
      <c r="G716" s="103"/>
      <c r="H716" s="6"/>
      <c r="I716" s="104"/>
      <c r="J716" s="104"/>
      <c r="K716" s="104"/>
      <c r="L716" s="104"/>
    </row>
    <row r="717" spans="1:12" x14ac:dyDescent="0.25">
      <c r="A717" s="6"/>
      <c r="B717" s="6"/>
      <c r="C717" s="102"/>
      <c r="D717" s="102"/>
      <c r="E717" s="102"/>
      <c r="F717" s="103"/>
      <c r="G717" s="103"/>
      <c r="H717" s="6"/>
      <c r="I717" s="104"/>
      <c r="J717" s="104"/>
      <c r="K717" s="104"/>
      <c r="L717" s="104"/>
    </row>
    <row r="718" spans="1:12" x14ac:dyDescent="0.25">
      <c r="A718" s="6"/>
      <c r="B718" s="6"/>
      <c r="C718" s="102"/>
      <c r="D718" s="102"/>
      <c r="E718" s="102"/>
      <c r="F718" s="103"/>
      <c r="G718" s="103"/>
      <c r="H718" s="6"/>
      <c r="I718" s="104"/>
      <c r="J718" s="104"/>
      <c r="K718" s="104"/>
      <c r="L718" s="104"/>
    </row>
    <row r="719" spans="1:12" x14ac:dyDescent="0.25">
      <c r="A719" s="6"/>
      <c r="B719" s="6"/>
      <c r="C719" s="102"/>
      <c r="D719" s="102"/>
      <c r="E719" s="102"/>
      <c r="F719" s="103"/>
      <c r="G719" s="103"/>
      <c r="H719" s="6"/>
      <c r="I719" s="104"/>
      <c r="J719" s="104"/>
      <c r="K719" s="104"/>
      <c r="L719" s="104"/>
    </row>
    <row r="720" spans="1:12" x14ac:dyDescent="0.25">
      <c r="A720" s="6"/>
      <c r="B720" s="6"/>
      <c r="C720" s="102"/>
      <c r="D720" s="102"/>
      <c r="E720" s="102"/>
      <c r="F720" s="103"/>
      <c r="G720" s="103"/>
      <c r="H720" s="6"/>
      <c r="I720" s="104"/>
      <c r="J720" s="104"/>
      <c r="K720" s="104"/>
      <c r="L720" s="104"/>
    </row>
    <row r="721" spans="1:12" x14ac:dyDescent="0.25">
      <c r="A721" s="6"/>
      <c r="B721" s="6"/>
      <c r="C721" s="102"/>
      <c r="D721" s="102"/>
      <c r="E721" s="102"/>
      <c r="F721" s="103"/>
      <c r="G721" s="103"/>
      <c r="H721" s="6"/>
      <c r="I721" s="104"/>
      <c r="J721" s="104"/>
      <c r="K721" s="104"/>
      <c r="L721" s="104"/>
    </row>
    <row r="722" spans="1:12" x14ac:dyDescent="0.25">
      <c r="A722" s="6"/>
      <c r="B722" s="6"/>
      <c r="C722" s="102"/>
      <c r="D722" s="102"/>
      <c r="E722" s="102"/>
      <c r="F722" s="103"/>
      <c r="G722" s="103"/>
      <c r="H722" s="6"/>
      <c r="I722" s="104"/>
      <c r="J722" s="104"/>
      <c r="K722" s="104"/>
      <c r="L722" s="104"/>
    </row>
    <row r="723" spans="1:12" x14ac:dyDescent="0.25">
      <c r="A723" s="6"/>
      <c r="B723" s="6"/>
      <c r="C723" s="102"/>
      <c r="D723" s="102"/>
      <c r="E723" s="102"/>
      <c r="F723" s="103"/>
      <c r="G723" s="103"/>
      <c r="H723" s="6"/>
      <c r="I723" s="104"/>
      <c r="J723" s="104"/>
      <c r="K723" s="104"/>
      <c r="L723" s="104"/>
    </row>
    <row r="724" spans="1:12" x14ac:dyDescent="0.25">
      <c r="A724" s="6"/>
      <c r="B724" s="6"/>
      <c r="C724" s="102"/>
      <c r="D724" s="102"/>
      <c r="E724" s="102"/>
      <c r="F724" s="103"/>
      <c r="G724" s="103"/>
      <c r="H724" s="6"/>
      <c r="I724" s="104"/>
      <c r="J724" s="104"/>
      <c r="K724" s="104"/>
      <c r="L724" s="104"/>
    </row>
    <row r="725" spans="1:12" x14ac:dyDescent="0.25">
      <c r="A725" s="6"/>
      <c r="B725" s="6"/>
      <c r="C725" s="102"/>
      <c r="D725" s="102"/>
      <c r="E725" s="102"/>
      <c r="F725" s="103"/>
      <c r="G725" s="103"/>
      <c r="H725" s="6"/>
      <c r="I725" s="104"/>
      <c r="J725" s="104"/>
      <c r="K725" s="104"/>
      <c r="L725" s="104"/>
    </row>
    <row r="726" spans="1:12" x14ac:dyDescent="0.25">
      <c r="A726" s="6"/>
      <c r="B726" s="6"/>
      <c r="C726" s="102"/>
      <c r="D726" s="102"/>
      <c r="E726" s="102"/>
      <c r="F726" s="103"/>
      <c r="G726" s="103"/>
      <c r="H726" s="6"/>
      <c r="I726" s="104"/>
      <c r="J726" s="104"/>
      <c r="K726" s="104"/>
      <c r="L726" s="104"/>
    </row>
    <row r="727" spans="1:12" x14ac:dyDescent="0.25">
      <c r="A727" s="6"/>
      <c r="B727" s="6"/>
      <c r="C727" s="102"/>
      <c r="D727" s="102"/>
      <c r="E727" s="102"/>
      <c r="F727" s="103"/>
      <c r="G727" s="103"/>
      <c r="H727" s="6"/>
      <c r="I727" s="104"/>
      <c r="J727" s="104"/>
      <c r="K727" s="104"/>
      <c r="L727" s="104"/>
    </row>
    <row r="728" spans="1:12" x14ac:dyDescent="0.25">
      <c r="A728" s="6"/>
      <c r="B728" s="6"/>
      <c r="C728" s="102"/>
      <c r="D728" s="102"/>
      <c r="E728" s="102"/>
      <c r="F728" s="103"/>
      <c r="G728" s="103"/>
      <c r="H728" s="6"/>
      <c r="I728" s="104"/>
      <c r="J728" s="104"/>
      <c r="K728" s="104"/>
      <c r="L728" s="104"/>
    </row>
    <row r="729" spans="1:12" x14ac:dyDescent="0.25">
      <c r="A729" s="6"/>
      <c r="B729" s="6"/>
      <c r="C729" s="102"/>
      <c r="D729" s="102"/>
      <c r="E729" s="102"/>
      <c r="F729" s="103"/>
      <c r="G729" s="103"/>
      <c r="H729" s="6"/>
      <c r="I729" s="104"/>
      <c r="J729" s="104"/>
      <c r="K729" s="104"/>
      <c r="L729" s="104"/>
    </row>
    <row r="730" spans="1:12" x14ac:dyDescent="0.25">
      <c r="A730" s="6"/>
      <c r="B730" s="6"/>
      <c r="C730" s="102"/>
      <c r="D730" s="102"/>
      <c r="E730" s="102"/>
      <c r="F730" s="103"/>
      <c r="G730" s="103"/>
      <c r="H730" s="6"/>
      <c r="I730" s="104"/>
      <c r="J730" s="104"/>
      <c r="K730" s="104"/>
      <c r="L730" s="104"/>
    </row>
    <row r="731" spans="1:12" x14ac:dyDescent="0.25">
      <c r="A731" s="6"/>
      <c r="B731" s="6"/>
      <c r="C731" s="102"/>
      <c r="D731" s="102"/>
      <c r="E731" s="102"/>
      <c r="F731" s="103"/>
      <c r="G731" s="103"/>
      <c r="H731" s="6"/>
      <c r="I731" s="104"/>
      <c r="J731" s="104"/>
      <c r="K731" s="104"/>
      <c r="L731" s="104"/>
    </row>
    <row r="732" spans="1:12" x14ac:dyDescent="0.25">
      <c r="A732" s="6"/>
      <c r="B732" s="6"/>
      <c r="C732" s="102"/>
      <c r="D732" s="102"/>
      <c r="E732" s="102"/>
      <c r="F732" s="103"/>
      <c r="G732" s="103"/>
      <c r="H732" s="6"/>
      <c r="I732" s="104"/>
      <c r="J732" s="104"/>
      <c r="K732" s="104"/>
      <c r="L732" s="104"/>
    </row>
    <row r="733" spans="1:12" x14ac:dyDescent="0.25">
      <c r="A733" s="6"/>
      <c r="B733" s="6"/>
      <c r="C733" s="102"/>
      <c r="D733" s="102"/>
      <c r="E733" s="102"/>
      <c r="F733" s="103"/>
      <c r="G733" s="103"/>
      <c r="H733" s="6"/>
      <c r="I733" s="104"/>
      <c r="J733" s="104"/>
      <c r="K733" s="104"/>
      <c r="L733" s="104"/>
    </row>
    <row r="734" spans="1:12" x14ac:dyDescent="0.25">
      <c r="A734" s="6"/>
      <c r="B734" s="6"/>
      <c r="C734" s="102"/>
      <c r="D734" s="102"/>
      <c r="E734" s="102"/>
      <c r="F734" s="103"/>
      <c r="G734" s="103"/>
      <c r="H734" s="6"/>
      <c r="I734" s="104"/>
      <c r="J734" s="104"/>
      <c r="K734" s="104"/>
      <c r="L734" s="104"/>
    </row>
    <row r="735" spans="1:12" x14ac:dyDescent="0.25">
      <c r="A735" s="6"/>
      <c r="B735" s="6"/>
      <c r="C735" s="102"/>
      <c r="D735" s="102"/>
      <c r="E735" s="102"/>
      <c r="F735" s="103"/>
      <c r="G735" s="103"/>
      <c r="H735" s="6"/>
      <c r="I735" s="104"/>
      <c r="J735" s="104"/>
      <c r="K735" s="104"/>
      <c r="L735" s="104"/>
    </row>
    <row r="736" spans="1:12" x14ac:dyDescent="0.25">
      <c r="A736" s="6"/>
      <c r="B736" s="6"/>
      <c r="C736" s="102"/>
      <c r="D736" s="102"/>
      <c r="E736" s="102"/>
      <c r="F736" s="103"/>
      <c r="G736" s="103"/>
      <c r="H736" s="6"/>
      <c r="I736" s="104"/>
      <c r="J736" s="104"/>
      <c r="K736" s="104"/>
      <c r="L736" s="104"/>
    </row>
    <row r="737" spans="1:12" x14ac:dyDescent="0.25">
      <c r="A737" s="6"/>
      <c r="B737" s="6"/>
      <c r="C737" s="102"/>
      <c r="D737" s="102"/>
      <c r="E737" s="102"/>
      <c r="F737" s="103"/>
      <c r="G737" s="103"/>
      <c r="H737" s="6"/>
      <c r="I737" s="104"/>
      <c r="J737" s="104"/>
      <c r="K737" s="104"/>
      <c r="L737" s="104"/>
    </row>
    <row r="738" spans="1:12" x14ac:dyDescent="0.25">
      <c r="A738" s="6"/>
      <c r="B738" s="6"/>
      <c r="C738" s="102"/>
      <c r="D738" s="102"/>
      <c r="E738" s="102"/>
      <c r="F738" s="103"/>
      <c r="G738" s="103"/>
      <c r="H738" s="6"/>
      <c r="I738" s="104"/>
      <c r="J738" s="104"/>
      <c r="K738" s="104"/>
      <c r="L738" s="104"/>
    </row>
    <row r="739" spans="1:12" x14ac:dyDescent="0.25">
      <c r="A739" s="6"/>
      <c r="B739" s="6"/>
      <c r="C739" s="102"/>
      <c r="D739" s="102"/>
      <c r="E739" s="102"/>
      <c r="F739" s="103"/>
      <c r="G739" s="103"/>
      <c r="H739" s="6"/>
      <c r="I739" s="104"/>
      <c r="J739" s="104"/>
      <c r="K739" s="104"/>
      <c r="L739" s="104"/>
    </row>
    <row r="740" spans="1:12" x14ac:dyDescent="0.25">
      <c r="A740" s="6"/>
      <c r="B740" s="6"/>
      <c r="C740" s="102"/>
      <c r="D740" s="102"/>
      <c r="E740" s="102"/>
      <c r="F740" s="103"/>
      <c r="G740" s="103"/>
      <c r="H740" s="6"/>
      <c r="I740" s="104"/>
      <c r="J740" s="104"/>
      <c r="K740" s="104"/>
      <c r="L740" s="104"/>
    </row>
    <row r="741" spans="1:12" x14ac:dyDescent="0.25">
      <c r="A741" s="6"/>
      <c r="B741" s="6"/>
      <c r="C741" s="102"/>
      <c r="D741" s="102"/>
      <c r="E741" s="102"/>
      <c r="F741" s="103"/>
      <c r="G741" s="103"/>
      <c r="H741" s="6"/>
      <c r="I741" s="104"/>
      <c r="J741" s="104"/>
      <c r="K741" s="104"/>
      <c r="L741" s="104"/>
    </row>
    <row r="742" spans="1:12" x14ac:dyDescent="0.25">
      <c r="A742" s="6"/>
      <c r="B742" s="6"/>
      <c r="C742" s="102"/>
      <c r="D742" s="102"/>
      <c r="E742" s="102"/>
      <c r="F742" s="103"/>
      <c r="G742" s="103"/>
      <c r="H742" s="6"/>
      <c r="I742" s="104"/>
      <c r="J742" s="104"/>
      <c r="K742" s="104"/>
      <c r="L742" s="104"/>
    </row>
    <row r="743" spans="1:12" x14ac:dyDescent="0.25">
      <c r="A743" s="6"/>
      <c r="B743" s="6"/>
      <c r="C743" s="102"/>
      <c r="D743" s="102"/>
      <c r="E743" s="102"/>
      <c r="F743" s="103"/>
      <c r="G743" s="103"/>
      <c r="H743" s="6"/>
      <c r="I743" s="104"/>
      <c r="J743" s="104"/>
      <c r="K743" s="104"/>
      <c r="L743" s="104"/>
    </row>
    <row r="744" spans="1:12" x14ac:dyDescent="0.25">
      <c r="A744" s="6"/>
      <c r="B744" s="6"/>
      <c r="C744" s="102"/>
      <c r="D744" s="102"/>
      <c r="E744" s="102"/>
      <c r="F744" s="103"/>
      <c r="G744" s="103"/>
      <c r="H744" s="6"/>
      <c r="I744" s="104"/>
      <c r="J744" s="104"/>
      <c r="K744" s="104"/>
      <c r="L744" s="104"/>
    </row>
    <row r="745" spans="1:12" x14ac:dyDescent="0.25">
      <c r="A745" s="6"/>
      <c r="B745" s="6"/>
      <c r="C745" s="102"/>
      <c r="D745" s="102"/>
      <c r="E745" s="102"/>
      <c r="F745" s="103"/>
      <c r="G745" s="103"/>
      <c r="H745" s="6"/>
      <c r="I745" s="104"/>
      <c r="J745" s="104"/>
      <c r="K745" s="104"/>
      <c r="L745" s="104"/>
    </row>
    <row r="746" spans="1:12" x14ac:dyDescent="0.25">
      <c r="A746" s="6"/>
      <c r="B746" s="6"/>
      <c r="C746" s="102"/>
      <c r="D746" s="102"/>
      <c r="E746" s="102"/>
      <c r="F746" s="103"/>
      <c r="G746" s="103"/>
      <c r="H746" s="6"/>
      <c r="I746" s="104"/>
      <c r="J746" s="104"/>
      <c r="K746" s="104"/>
      <c r="L746" s="104"/>
    </row>
    <row r="747" spans="1:12" x14ac:dyDescent="0.25">
      <c r="A747" s="6"/>
      <c r="B747" s="6"/>
      <c r="C747" s="102"/>
      <c r="D747" s="102"/>
      <c r="E747" s="102"/>
      <c r="F747" s="103"/>
      <c r="G747" s="103"/>
      <c r="H747" s="6"/>
      <c r="I747" s="104"/>
      <c r="J747" s="104"/>
      <c r="K747" s="104"/>
      <c r="L747" s="104"/>
    </row>
    <row r="748" spans="1:12" x14ac:dyDescent="0.25">
      <c r="A748" s="6"/>
      <c r="B748" s="6"/>
      <c r="C748" s="102"/>
      <c r="D748" s="102"/>
      <c r="E748" s="102"/>
      <c r="F748" s="103"/>
      <c r="G748" s="103"/>
      <c r="H748" s="6"/>
      <c r="I748" s="104"/>
      <c r="J748" s="104"/>
      <c r="K748" s="104"/>
      <c r="L748" s="104"/>
    </row>
    <row r="749" spans="1:12" x14ac:dyDescent="0.25">
      <c r="A749" s="6"/>
      <c r="B749" s="6"/>
      <c r="C749" s="102"/>
      <c r="D749" s="102"/>
      <c r="E749" s="102"/>
      <c r="F749" s="103"/>
      <c r="G749" s="103"/>
      <c r="H749" s="6"/>
      <c r="I749" s="104"/>
      <c r="J749" s="104"/>
      <c r="K749" s="104"/>
      <c r="L749" s="104"/>
    </row>
    <row r="750" spans="1:12" x14ac:dyDescent="0.25">
      <c r="A750" s="6"/>
      <c r="B750" s="6"/>
      <c r="C750" s="102"/>
      <c r="D750" s="102"/>
      <c r="E750" s="102"/>
      <c r="F750" s="103"/>
      <c r="G750" s="103"/>
      <c r="H750" s="6"/>
      <c r="I750" s="104"/>
      <c r="J750" s="104"/>
      <c r="K750" s="104"/>
      <c r="L750" s="104"/>
    </row>
    <row r="751" spans="1:12" x14ac:dyDescent="0.25">
      <c r="A751" s="6"/>
      <c r="B751" s="6"/>
      <c r="C751" s="102"/>
      <c r="D751" s="102"/>
      <c r="E751" s="102"/>
      <c r="F751" s="103"/>
      <c r="G751" s="103"/>
      <c r="H751" s="6"/>
      <c r="I751" s="104"/>
      <c r="J751" s="104"/>
      <c r="K751" s="104"/>
      <c r="L751" s="104"/>
    </row>
    <row r="752" spans="1:12" x14ac:dyDescent="0.25">
      <c r="A752" s="6"/>
      <c r="B752" s="6"/>
      <c r="C752" s="102"/>
      <c r="D752" s="102"/>
      <c r="E752" s="102"/>
      <c r="F752" s="103"/>
      <c r="G752" s="103"/>
      <c r="H752" s="6"/>
      <c r="I752" s="104"/>
      <c r="J752" s="104"/>
      <c r="K752" s="104"/>
      <c r="L752" s="104"/>
    </row>
    <row r="753" spans="1:12" x14ac:dyDescent="0.25">
      <c r="A753" s="6"/>
      <c r="B753" s="6"/>
      <c r="C753" s="102"/>
      <c r="D753" s="102"/>
      <c r="E753" s="102"/>
      <c r="F753" s="103"/>
      <c r="G753" s="103"/>
      <c r="H753" s="6"/>
      <c r="I753" s="104"/>
      <c r="J753" s="104"/>
      <c r="K753" s="104"/>
      <c r="L753" s="104"/>
    </row>
    <row r="754" spans="1:12" x14ac:dyDescent="0.25">
      <c r="A754" s="6"/>
      <c r="B754" s="6"/>
      <c r="C754" s="102"/>
      <c r="D754" s="102"/>
      <c r="E754" s="102"/>
      <c r="F754" s="103"/>
      <c r="G754" s="103"/>
      <c r="H754" s="6"/>
      <c r="I754" s="104"/>
      <c r="J754" s="104"/>
      <c r="K754" s="104"/>
      <c r="L754" s="104"/>
    </row>
    <row r="755" spans="1:12" x14ac:dyDescent="0.25">
      <c r="A755" s="6"/>
      <c r="B755" s="6"/>
      <c r="C755" s="102"/>
      <c r="D755" s="102"/>
      <c r="E755" s="102"/>
      <c r="F755" s="103"/>
      <c r="G755" s="103"/>
      <c r="H755" s="6"/>
      <c r="I755" s="104"/>
      <c r="J755" s="104"/>
      <c r="K755" s="104"/>
      <c r="L755" s="104"/>
    </row>
    <row r="756" spans="1:12" x14ac:dyDescent="0.25">
      <c r="A756" s="6"/>
      <c r="B756" s="6"/>
      <c r="C756" s="102"/>
      <c r="D756" s="102"/>
      <c r="E756" s="102"/>
      <c r="F756" s="103"/>
      <c r="G756" s="103"/>
      <c r="H756" s="6"/>
      <c r="I756" s="104"/>
      <c r="J756" s="104"/>
      <c r="K756" s="104"/>
      <c r="L756" s="104"/>
    </row>
    <row r="757" spans="1:12" x14ac:dyDescent="0.25">
      <c r="A757" s="6"/>
      <c r="B757" s="6"/>
      <c r="C757" s="102"/>
      <c r="D757" s="102"/>
      <c r="E757" s="102"/>
      <c r="F757" s="103"/>
      <c r="G757" s="103"/>
      <c r="H757" s="6"/>
      <c r="I757" s="104"/>
      <c r="J757" s="104"/>
      <c r="K757" s="104"/>
      <c r="L757" s="104"/>
    </row>
    <row r="758" spans="1:12" x14ac:dyDescent="0.25">
      <c r="A758" s="6"/>
      <c r="B758" s="6"/>
      <c r="C758" s="102"/>
      <c r="D758" s="102"/>
      <c r="E758" s="102"/>
      <c r="F758" s="103"/>
      <c r="G758" s="103"/>
      <c r="H758" s="6"/>
      <c r="I758" s="104"/>
      <c r="J758" s="104"/>
      <c r="K758" s="104"/>
      <c r="L758" s="104"/>
    </row>
    <row r="759" spans="1:12" x14ac:dyDescent="0.25">
      <c r="A759" s="6"/>
      <c r="B759" s="6"/>
      <c r="C759" s="102"/>
      <c r="D759" s="102"/>
      <c r="E759" s="102"/>
      <c r="F759" s="103"/>
      <c r="G759" s="103"/>
      <c r="H759" s="6"/>
      <c r="I759" s="104"/>
      <c r="J759" s="104"/>
      <c r="K759" s="104"/>
      <c r="L759" s="104"/>
    </row>
    <row r="760" spans="1:12" x14ac:dyDescent="0.25">
      <c r="A760" s="6"/>
      <c r="B760" s="6"/>
      <c r="C760" s="102"/>
      <c r="D760" s="102"/>
      <c r="E760" s="102"/>
      <c r="F760" s="103"/>
      <c r="G760" s="103"/>
      <c r="H760" s="6"/>
      <c r="I760" s="104"/>
      <c r="J760" s="104"/>
      <c r="K760" s="104"/>
      <c r="L760" s="104"/>
    </row>
    <row r="761" spans="1:12" x14ac:dyDescent="0.25">
      <c r="A761" s="6"/>
      <c r="B761" s="6"/>
      <c r="C761" s="102"/>
      <c r="D761" s="102"/>
      <c r="E761" s="102"/>
      <c r="F761" s="103"/>
      <c r="G761" s="103"/>
      <c r="H761" s="6"/>
      <c r="I761" s="104"/>
      <c r="J761" s="104"/>
      <c r="K761" s="104"/>
      <c r="L761" s="104"/>
    </row>
    <row r="762" spans="1:12" x14ac:dyDescent="0.25">
      <c r="A762" s="6"/>
      <c r="B762" s="6"/>
      <c r="C762" s="102"/>
      <c r="D762" s="102"/>
      <c r="E762" s="102"/>
      <c r="F762" s="103"/>
      <c r="G762" s="103"/>
      <c r="H762" s="6"/>
      <c r="I762" s="104"/>
      <c r="J762" s="104"/>
      <c r="K762" s="104"/>
      <c r="L762" s="104"/>
    </row>
    <row r="763" spans="1:12" x14ac:dyDescent="0.25">
      <c r="A763" s="6"/>
      <c r="B763" s="6"/>
      <c r="C763" s="102"/>
      <c r="D763" s="102"/>
      <c r="E763" s="102"/>
      <c r="F763" s="103"/>
      <c r="G763" s="103"/>
      <c r="H763" s="6"/>
      <c r="I763" s="104"/>
      <c r="J763" s="104"/>
      <c r="K763" s="104"/>
      <c r="L763" s="104"/>
    </row>
    <row r="764" spans="1:12" x14ac:dyDescent="0.25">
      <c r="A764" s="6"/>
      <c r="B764" s="6"/>
      <c r="C764" s="102"/>
      <c r="D764" s="102"/>
      <c r="E764" s="102"/>
      <c r="F764" s="103"/>
      <c r="G764" s="103"/>
      <c r="H764" s="6"/>
      <c r="I764" s="104"/>
      <c r="J764" s="104"/>
      <c r="K764" s="104"/>
      <c r="L764" s="104"/>
    </row>
    <row r="765" spans="1:12" x14ac:dyDescent="0.25">
      <c r="A765" s="6"/>
      <c r="B765" s="6"/>
      <c r="C765" s="102"/>
      <c r="D765" s="102"/>
      <c r="E765" s="102"/>
      <c r="F765" s="103"/>
      <c r="G765" s="103"/>
      <c r="H765" s="6"/>
      <c r="I765" s="104"/>
      <c r="J765" s="104"/>
      <c r="K765" s="104"/>
      <c r="L765" s="104"/>
    </row>
    <row r="766" spans="1:12" x14ac:dyDescent="0.25">
      <c r="A766" s="6"/>
      <c r="B766" s="6"/>
      <c r="C766" s="102"/>
      <c r="D766" s="102"/>
      <c r="E766" s="102"/>
      <c r="F766" s="103"/>
      <c r="G766" s="103"/>
      <c r="H766" s="6"/>
      <c r="I766" s="104"/>
      <c r="J766" s="104"/>
      <c r="K766" s="104"/>
      <c r="L766" s="104"/>
    </row>
    <row r="767" spans="1:12" x14ac:dyDescent="0.25">
      <c r="A767" s="6"/>
      <c r="B767" s="6"/>
      <c r="C767" s="102"/>
      <c r="D767" s="102"/>
      <c r="E767" s="102"/>
      <c r="F767" s="103"/>
      <c r="G767" s="103"/>
      <c r="H767" s="6"/>
      <c r="I767" s="104"/>
      <c r="J767" s="104"/>
      <c r="K767" s="104"/>
      <c r="L767" s="104"/>
    </row>
    <row r="768" spans="1:12" x14ac:dyDescent="0.25">
      <c r="A768" s="6"/>
      <c r="B768" s="6"/>
      <c r="C768" s="102"/>
      <c r="D768" s="102"/>
      <c r="E768" s="102"/>
      <c r="F768" s="103"/>
      <c r="G768" s="103"/>
      <c r="H768" s="6"/>
      <c r="I768" s="104"/>
      <c r="J768" s="104"/>
      <c r="K768" s="104"/>
      <c r="L768" s="104"/>
    </row>
    <row r="769" spans="1:12" x14ac:dyDescent="0.25">
      <c r="A769" s="6"/>
      <c r="B769" s="6"/>
      <c r="C769" s="102"/>
      <c r="D769" s="102"/>
      <c r="E769" s="102"/>
      <c r="F769" s="103"/>
      <c r="G769" s="103"/>
      <c r="H769" s="6"/>
      <c r="I769" s="104"/>
      <c r="J769" s="104"/>
      <c r="K769" s="104"/>
      <c r="L769" s="104"/>
    </row>
    <row r="770" spans="1:12" x14ac:dyDescent="0.25">
      <c r="A770" s="6"/>
      <c r="B770" s="6"/>
      <c r="C770" s="102"/>
      <c r="D770" s="102"/>
      <c r="E770" s="102"/>
      <c r="F770" s="103"/>
      <c r="G770" s="103"/>
      <c r="H770" s="6"/>
      <c r="I770" s="104"/>
      <c r="J770" s="104"/>
      <c r="K770" s="104"/>
      <c r="L770" s="104"/>
    </row>
    <row r="771" spans="1:12" x14ac:dyDescent="0.25">
      <c r="A771" s="6"/>
      <c r="B771" s="6"/>
      <c r="C771" s="102"/>
      <c r="D771" s="102"/>
      <c r="E771" s="102"/>
      <c r="F771" s="103"/>
      <c r="G771" s="103"/>
      <c r="H771" s="6"/>
      <c r="I771" s="104"/>
      <c r="J771" s="104"/>
      <c r="K771" s="104"/>
      <c r="L771" s="104"/>
    </row>
    <row r="772" spans="1:12" x14ac:dyDescent="0.25">
      <c r="A772" s="6"/>
      <c r="B772" s="6"/>
      <c r="C772" s="102"/>
      <c r="D772" s="102"/>
      <c r="E772" s="102"/>
      <c r="F772" s="103"/>
      <c r="G772" s="103"/>
      <c r="H772" s="6"/>
      <c r="I772" s="104"/>
      <c r="J772" s="104"/>
      <c r="K772" s="104"/>
      <c r="L772" s="104"/>
    </row>
    <row r="773" spans="1:12" x14ac:dyDescent="0.25">
      <c r="A773" s="6"/>
      <c r="B773" s="6"/>
      <c r="C773" s="102"/>
      <c r="D773" s="102"/>
      <c r="E773" s="102"/>
      <c r="F773" s="103"/>
      <c r="G773" s="103"/>
      <c r="H773" s="6"/>
      <c r="I773" s="104"/>
      <c r="J773" s="104"/>
      <c r="K773" s="104"/>
      <c r="L773" s="104"/>
    </row>
    <row r="774" spans="1:12" x14ac:dyDescent="0.25">
      <c r="A774" s="6"/>
      <c r="B774" s="6"/>
      <c r="C774" s="102"/>
      <c r="D774" s="102"/>
      <c r="E774" s="102"/>
      <c r="F774" s="103"/>
      <c r="G774" s="103"/>
      <c r="H774" s="6"/>
      <c r="I774" s="104"/>
      <c r="J774" s="104"/>
      <c r="K774" s="104"/>
      <c r="L774" s="104"/>
    </row>
    <row r="775" spans="1:12" x14ac:dyDescent="0.25">
      <c r="A775" s="6"/>
      <c r="B775" s="6"/>
      <c r="C775" s="102"/>
      <c r="D775" s="102"/>
      <c r="E775" s="102"/>
      <c r="F775" s="103"/>
      <c r="G775" s="103"/>
      <c r="H775" s="6"/>
      <c r="I775" s="104"/>
      <c r="J775" s="104"/>
      <c r="K775" s="104"/>
      <c r="L775" s="104"/>
    </row>
    <row r="776" spans="1:12" x14ac:dyDescent="0.25">
      <c r="A776" s="6"/>
      <c r="B776" s="6"/>
      <c r="C776" s="102"/>
      <c r="D776" s="102"/>
      <c r="E776" s="102"/>
      <c r="F776" s="103"/>
      <c r="G776" s="103"/>
      <c r="H776" s="6"/>
      <c r="I776" s="104"/>
      <c r="J776" s="104"/>
      <c r="K776" s="104"/>
      <c r="L776" s="104"/>
    </row>
    <row r="777" spans="1:12" x14ac:dyDescent="0.25">
      <c r="A777" s="6"/>
      <c r="B777" s="6"/>
      <c r="C777" s="102"/>
      <c r="D777" s="102"/>
      <c r="E777" s="102"/>
      <c r="F777" s="103"/>
      <c r="G777" s="103"/>
      <c r="H777" s="6"/>
      <c r="I777" s="104"/>
      <c r="J777" s="104"/>
      <c r="K777" s="104"/>
      <c r="L777" s="104"/>
    </row>
    <row r="778" spans="1:12" x14ac:dyDescent="0.25">
      <c r="A778" s="6"/>
      <c r="B778" s="6"/>
      <c r="C778" s="102"/>
      <c r="D778" s="102"/>
      <c r="E778" s="102"/>
      <c r="F778" s="103"/>
      <c r="G778" s="103"/>
      <c r="H778" s="6"/>
      <c r="I778" s="104"/>
      <c r="J778" s="104"/>
      <c r="K778" s="104"/>
      <c r="L778" s="104"/>
    </row>
    <row r="779" spans="1:12" x14ac:dyDescent="0.25">
      <c r="A779" s="6"/>
      <c r="B779" s="6"/>
      <c r="C779" s="102"/>
      <c r="D779" s="102"/>
      <c r="E779" s="102"/>
      <c r="F779" s="103"/>
      <c r="G779" s="103"/>
      <c r="H779" s="6"/>
      <c r="I779" s="104"/>
      <c r="J779" s="104"/>
      <c r="K779" s="104"/>
      <c r="L779" s="104"/>
    </row>
    <row r="780" spans="1:12" x14ac:dyDescent="0.25">
      <c r="A780" s="6"/>
      <c r="B780" s="6"/>
      <c r="C780" s="102"/>
      <c r="D780" s="102"/>
      <c r="E780" s="102"/>
      <c r="F780" s="103"/>
      <c r="G780" s="103"/>
      <c r="H780" s="6"/>
      <c r="I780" s="104"/>
      <c r="J780" s="104"/>
      <c r="K780" s="104"/>
      <c r="L780" s="104"/>
    </row>
    <row r="781" spans="1:12" x14ac:dyDescent="0.25">
      <c r="A781" s="6"/>
      <c r="B781" s="6"/>
      <c r="C781" s="102"/>
      <c r="D781" s="102"/>
      <c r="E781" s="102"/>
      <c r="F781" s="103"/>
      <c r="G781" s="103"/>
      <c r="H781" s="6"/>
      <c r="I781" s="104"/>
      <c r="J781" s="104"/>
      <c r="K781" s="104"/>
      <c r="L781" s="104"/>
    </row>
    <row r="782" spans="1:12" x14ac:dyDescent="0.25">
      <c r="A782" s="6"/>
      <c r="B782" s="6"/>
      <c r="C782" s="102"/>
      <c r="D782" s="102"/>
      <c r="E782" s="102"/>
      <c r="F782" s="103"/>
      <c r="G782" s="103"/>
      <c r="H782" s="6"/>
      <c r="I782" s="104"/>
      <c r="J782" s="104"/>
      <c r="K782" s="104"/>
      <c r="L782" s="104"/>
    </row>
    <row r="783" spans="1:12" x14ac:dyDescent="0.25">
      <c r="A783" s="6"/>
      <c r="B783" s="6"/>
      <c r="C783" s="102"/>
      <c r="D783" s="102"/>
      <c r="E783" s="102"/>
      <c r="F783" s="103"/>
      <c r="G783" s="103"/>
      <c r="H783" s="6"/>
      <c r="I783" s="104"/>
      <c r="J783" s="104"/>
      <c r="K783" s="104"/>
      <c r="L783" s="104"/>
    </row>
    <row r="784" spans="1:12" x14ac:dyDescent="0.25">
      <c r="A784" s="6"/>
      <c r="B784" s="6"/>
      <c r="C784" s="102"/>
      <c r="D784" s="102"/>
      <c r="E784" s="102"/>
      <c r="F784" s="103"/>
      <c r="G784" s="103"/>
      <c r="H784" s="6"/>
      <c r="I784" s="104"/>
      <c r="J784" s="104"/>
      <c r="K784" s="104"/>
      <c r="L784" s="104"/>
    </row>
    <row r="785" spans="1:12" x14ac:dyDescent="0.25">
      <c r="A785" s="6"/>
      <c r="B785" s="6"/>
      <c r="C785" s="102"/>
      <c r="D785" s="102"/>
      <c r="E785" s="102"/>
      <c r="F785" s="103"/>
      <c r="G785" s="103"/>
      <c r="H785" s="6"/>
      <c r="I785" s="104"/>
      <c r="J785" s="104"/>
      <c r="K785" s="104"/>
      <c r="L785" s="104"/>
    </row>
    <row r="786" spans="1:12" x14ac:dyDescent="0.25">
      <c r="A786" s="6"/>
      <c r="B786" s="6"/>
      <c r="C786" s="102"/>
      <c r="D786" s="102"/>
      <c r="E786" s="102"/>
      <c r="F786" s="103"/>
      <c r="G786" s="103"/>
      <c r="H786" s="6"/>
      <c r="I786" s="104"/>
      <c r="J786" s="104"/>
      <c r="K786" s="104"/>
      <c r="L786" s="104"/>
    </row>
    <row r="787" spans="1:12" x14ac:dyDescent="0.25">
      <c r="A787" s="6"/>
      <c r="B787" s="6"/>
      <c r="C787" s="102"/>
      <c r="D787" s="102"/>
      <c r="E787" s="102"/>
      <c r="F787" s="103"/>
      <c r="G787" s="103"/>
      <c r="H787" s="6"/>
      <c r="I787" s="104"/>
      <c r="J787" s="104"/>
      <c r="K787" s="104"/>
      <c r="L787" s="104"/>
    </row>
    <row r="788" spans="1:12" x14ac:dyDescent="0.25">
      <c r="A788" s="6"/>
      <c r="B788" s="6"/>
      <c r="C788" s="102"/>
      <c r="D788" s="102"/>
      <c r="E788" s="102"/>
      <c r="F788" s="103"/>
      <c r="G788" s="103"/>
      <c r="H788" s="6"/>
      <c r="I788" s="104"/>
      <c r="J788" s="104"/>
      <c r="K788" s="104"/>
      <c r="L788" s="104"/>
    </row>
    <row r="789" spans="1:12" x14ac:dyDescent="0.25">
      <c r="A789" s="6"/>
      <c r="B789" s="6"/>
      <c r="C789" s="102"/>
      <c r="D789" s="102"/>
      <c r="E789" s="102"/>
      <c r="F789" s="103"/>
      <c r="G789" s="103"/>
      <c r="H789" s="6"/>
      <c r="I789" s="104"/>
      <c r="J789" s="104"/>
      <c r="K789" s="104"/>
      <c r="L789" s="104"/>
    </row>
    <row r="790" spans="1:12" x14ac:dyDescent="0.25">
      <c r="A790" s="6"/>
      <c r="B790" s="6"/>
      <c r="C790" s="102"/>
      <c r="D790" s="102"/>
      <c r="E790" s="102"/>
      <c r="F790" s="103"/>
      <c r="G790" s="103"/>
      <c r="H790" s="6"/>
      <c r="I790" s="104"/>
      <c r="J790" s="104"/>
      <c r="K790" s="104"/>
      <c r="L790" s="104"/>
    </row>
    <row r="791" spans="1:12" x14ac:dyDescent="0.25">
      <c r="A791" s="6"/>
      <c r="B791" s="6"/>
      <c r="C791" s="102"/>
      <c r="D791" s="102"/>
      <c r="E791" s="102"/>
      <c r="F791" s="103"/>
      <c r="G791" s="103"/>
      <c r="H791" s="6"/>
      <c r="I791" s="104"/>
      <c r="J791" s="104"/>
      <c r="K791" s="104"/>
      <c r="L791" s="104"/>
    </row>
    <row r="792" spans="1:12" x14ac:dyDescent="0.25">
      <c r="A792" s="6"/>
      <c r="B792" s="6"/>
      <c r="C792" s="102"/>
      <c r="D792" s="102"/>
      <c r="E792" s="102"/>
      <c r="F792" s="103"/>
      <c r="G792" s="103"/>
      <c r="H792" s="6"/>
      <c r="I792" s="104"/>
      <c r="J792" s="104"/>
      <c r="K792" s="104"/>
      <c r="L792" s="104"/>
    </row>
    <row r="793" spans="1:12" x14ac:dyDescent="0.25">
      <c r="A793" s="6"/>
      <c r="B793" s="6"/>
      <c r="C793" s="102"/>
      <c r="D793" s="102"/>
      <c r="E793" s="102"/>
      <c r="F793" s="103"/>
      <c r="G793" s="103"/>
      <c r="H793" s="6"/>
      <c r="I793" s="104"/>
      <c r="J793" s="104"/>
      <c r="K793" s="104"/>
      <c r="L793" s="104"/>
    </row>
    <row r="794" spans="1:12" x14ac:dyDescent="0.25">
      <c r="A794" s="6"/>
      <c r="B794" s="6"/>
      <c r="C794" s="102"/>
      <c r="D794" s="102"/>
      <c r="E794" s="102"/>
      <c r="F794" s="103"/>
      <c r="G794" s="103"/>
      <c r="H794" s="6"/>
      <c r="I794" s="104"/>
      <c r="J794" s="104"/>
      <c r="K794" s="104"/>
      <c r="L794" s="104"/>
    </row>
    <row r="795" spans="1:12" x14ac:dyDescent="0.25">
      <c r="A795" s="6"/>
      <c r="B795" s="6"/>
      <c r="C795" s="102"/>
      <c r="D795" s="102"/>
      <c r="E795" s="102"/>
      <c r="F795" s="103"/>
      <c r="G795" s="103"/>
      <c r="H795" s="6"/>
      <c r="I795" s="104"/>
      <c r="J795" s="104"/>
      <c r="K795" s="104"/>
      <c r="L795" s="104"/>
    </row>
    <row r="796" spans="1:12" x14ac:dyDescent="0.25">
      <c r="A796" s="6"/>
      <c r="B796" s="6"/>
      <c r="C796" s="102"/>
      <c r="D796" s="102"/>
      <c r="E796" s="102"/>
      <c r="F796" s="103"/>
      <c r="G796" s="103"/>
      <c r="H796" s="6"/>
      <c r="I796" s="104"/>
      <c r="J796" s="104"/>
      <c r="K796" s="104"/>
      <c r="L796" s="104"/>
    </row>
    <row r="797" spans="1:12" x14ac:dyDescent="0.25">
      <c r="A797" s="6"/>
      <c r="B797" s="6"/>
      <c r="C797" s="102"/>
      <c r="D797" s="102"/>
      <c r="E797" s="102"/>
      <c r="F797" s="103"/>
      <c r="G797" s="103"/>
      <c r="H797" s="6"/>
      <c r="I797" s="104"/>
      <c r="J797" s="104"/>
      <c r="K797" s="104"/>
      <c r="L797" s="104"/>
    </row>
    <row r="798" spans="1:12" x14ac:dyDescent="0.25">
      <c r="A798" s="6"/>
      <c r="B798" s="6"/>
      <c r="C798" s="102"/>
      <c r="D798" s="102"/>
      <c r="E798" s="102"/>
      <c r="F798" s="103"/>
      <c r="G798" s="103"/>
      <c r="H798" s="6"/>
      <c r="I798" s="104"/>
      <c r="J798" s="104"/>
      <c r="K798" s="104"/>
      <c r="L798" s="104"/>
    </row>
    <row r="799" spans="1:12" x14ac:dyDescent="0.25">
      <c r="A799" s="6"/>
      <c r="B799" s="6"/>
      <c r="C799" s="102"/>
      <c r="D799" s="102"/>
      <c r="E799" s="102"/>
      <c r="F799" s="103"/>
      <c r="G799" s="103"/>
      <c r="H799" s="6"/>
      <c r="I799" s="104"/>
      <c r="J799" s="104"/>
      <c r="K799" s="104"/>
      <c r="L799" s="104"/>
    </row>
    <row r="800" spans="1:12" x14ac:dyDescent="0.25">
      <c r="A800" s="6"/>
      <c r="B800" s="6"/>
      <c r="C800" s="102"/>
      <c r="D800" s="102"/>
      <c r="E800" s="102"/>
      <c r="F800" s="103"/>
      <c r="G800" s="103"/>
      <c r="H800" s="6"/>
      <c r="I800" s="104"/>
      <c r="J800" s="104"/>
      <c r="K800" s="104"/>
      <c r="L800" s="104"/>
    </row>
    <row r="801" spans="1:12" x14ac:dyDescent="0.25">
      <c r="A801" s="6"/>
      <c r="B801" s="6"/>
      <c r="C801" s="102"/>
      <c r="D801" s="102"/>
      <c r="E801" s="102"/>
      <c r="F801" s="103"/>
      <c r="G801" s="103"/>
      <c r="H801" s="6"/>
      <c r="I801" s="104"/>
      <c r="J801" s="104"/>
      <c r="K801" s="104"/>
      <c r="L801" s="104"/>
    </row>
    <row r="802" spans="1:12" x14ac:dyDescent="0.25">
      <c r="A802" s="6"/>
      <c r="B802" s="6"/>
      <c r="C802" s="102"/>
      <c r="D802" s="102"/>
      <c r="E802" s="102"/>
      <c r="F802" s="103"/>
      <c r="G802" s="103"/>
      <c r="H802" s="6"/>
      <c r="I802" s="104"/>
      <c r="J802" s="104"/>
      <c r="K802" s="104"/>
      <c r="L802" s="104"/>
    </row>
    <row r="803" spans="1:12" x14ac:dyDescent="0.25">
      <c r="A803" s="6"/>
      <c r="B803" s="6"/>
      <c r="C803" s="102"/>
      <c r="D803" s="102"/>
      <c r="E803" s="102"/>
      <c r="F803" s="103"/>
      <c r="G803" s="103"/>
      <c r="H803" s="6"/>
      <c r="I803" s="104"/>
      <c r="J803" s="104"/>
      <c r="K803" s="104"/>
      <c r="L803" s="104"/>
    </row>
    <row r="804" spans="1:12" x14ac:dyDescent="0.25">
      <c r="A804" s="6"/>
      <c r="B804" s="6"/>
      <c r="C804" s="102"/>
      <c r="D804" s="102"/>
      <c r="E804" s="102"/>
      <c r="F804" s="103"/>
      <c r="G804" s="103"/>
      <c r="H804" s="6"/>
      <c r="I804" s="104"/>
      <c r="J804" s="104"/>
      <c r="K804" s="104"/>
      <c r="L804" s="104"/>
    </row>
    <row r="805" spans="1:12" x14ac:dyDescent="0.25">
      <c r="A805" s="6"/>
      <c r="B805" s="6"/>
      <c r="C805" s="102"/>
      <c r="D805" s="102"/>
      <c r="E805" s="102"/>
      <c r="F805" s="103"/>
      <c r="G805" s="103"/>
      <c r="H805" s="6"/>
      <c r="I805" s="104"/>
      <c r="J805" s="104"/>
      <c r="K805" s="104"/>
      <c r="L805" s="104"/>
    </row>
    <row r="806" spans="1:12" x14ac:dyDescent="0.25">
      <c r="A806" s="6"/>
      <c r="B806" s="6"/>
      <c r="C806" s="102"/>
      <c r="D806" s="102"/>
      <c r="E806" s="102"/>
      <c r="F806" s="103"/>
      <c r="G806" s="103"/>
      <c r="H806" s="6"/>
      <c r="I806" s="104"/>
      <c r="J806" s="104"/>
      <c r="K806" s="104"/>
      <c r="L806" s="104"/>
    </row>
    <row r="807" spans="1:12" x14ac:dyDescent="0.25">
      <c r="A807" s="6"/>
      <c r="B807" s="6"/>
      <c r="C807" s="102"/>
      <c r="D807" s="102"/>
      <c r="E807" s="102"/>
      <c r="F807" s="103"/>
      <c r="G807" s="103"/>
      <c r="H807" s="6"/>
      <c r="I807" s="104"/>
      <c r="J807" s="104"/>
      <c r="K807" s="104"/>
      <c r="L807" s="104"/>
    </row>
    <row r="808" spans="1:12" x14ac:dyDescent="0.25">
      <c r="A808" s="6"/>
      <c r="B808" s="6"/>
      <c r="C808" s="102"/>
      <c r="D808" s="102"/>
      <c r="E808" s="102"/>
      <c r="F808" s="103"/>
      <c r="G808" s="103"/>
      <c r="H808" s="6"/>
      <c r="I808" s="104"/>
      <c r="J808" s="104"/>
      <c r="K808" s="104"/>
      <c r="L808" s="104"/>
    </row>
    <row r="809" spans="1:12" x14ac:dyDescent="0.25">
      <c r="A809" s="6"/>
      <c r="B809" s="6"/>
      <c r="C809" s="102"/>
      <c r="D809" s="102"/>
      <c r="E809" s="102"/>
      <c r="F809" s="103"/>
      <c r="G809" s="103"/>
      <c r="H809" s="6"/>
      <c r="I809" s="104"/>
      <c r="J809" s="104"/>
      <c r="K809" s="104"/>
      <c r="L809" s="104"/>
    </row>
    <row r="810" spans="1:12" x14ac:dyDescent="0.25">
      <c r="A810" s="6"/>
      <c r="B810" s="6"/>
      <c r="C810" s="102"/>
      <c r="D810" s="102"/>
      <c r="E810" s="102"/>
      <c r="F810" s="103"/>
      <c r="G810" s="103"/>
      <c r="H810" s="6"/>
      <c r="I810" s="104"/>
      <c r="J810" s="104"/>
      <c r="K810" s="104"/>
      <c r="L810" s="104"/>
    </row>
    <row r="811" spans="1:12" x14ac:dyDescent="0.25">
      <c r="A811" s="6"/>
      <c r="B811" s="6"/>
      <c r="C811" s="102"/>
      <c r="D811" s="102"/>
      <c r="E811" s="102"/>
      <c r="F811" s="103"/>
      <c r="G811" s="103"/>
      <c r="H811" s="6"/>
      <c r="I811" s="104"/>
      <c r="J811" s="104"/>
      <c r="K811" s="104"/>
      <c r="L811" s="104"/>
    </row>
    <row r="812" spans="1:12" x14ac:dyDescent="0.25">
      <c r="A812" s="6"/>
      <c r="B812" s="6"/>
      <c r="C812" s="102"/>
      <c r="D812" s="102"/>
      <c r="E812" s="102"/>
      <c r="F812" s="103"/>
      <c r="G812" s="103"/>
      <c r="H812" s="6"/>
      <c r="I812" s="104"/>
      <c r="J812" s="104"/>
      <c r="K812" s="104"/>
      <c r="L812" s="104"/>
    </row>
    <row r="813" spans="1:12" x14ac:dyDescent="0.25">
      <c r="A813" s="6"/>
      <c r="B813" s="6"/>
      <c r="C813" s="102"/>
      <c r="D813" s="102"/>
      <c r="E813" s="102"/>
      <c r="F813" s="103"/>
      <c r="G813" s="103"/>
      <c r="H813" s="6"/>
      <c r="I813" s="104"/>
      <c r="J813" s="104"/>
      <c r="K813" s="104"/>
      <c r="L813" s="104"/>
    </row>
    <row r="814" spans="1:12" x14ac:dyDescent="0.25">
      <c r="A814" s="6"/>
      <c r="B814" s="6"/>
      <c r="C814" s="102"/>
      <c r="D814" s="102"/>
      <c r="E814" s="102"/>
      <c r="F814" s="103"/>
      <c r="G814" s="103"/>
      <c r="H814" s="6"/>
      <c r="I814" s="104"/>
      <c r="J814" s="104"/>
      <c r="K814" s="104"/>
      <c r="L814" s="104"/>
    </row>
    <row r="815" spans="1:12" x14ac:dyDescent="0.25">
      <c r="A815" s="6"/>
      <c r="B815" s="6"/>
      <c r="C815" s="102"/>
      <c r="D815" s="102"/>
      <c r="E815" s="102"/>
      <c r="F815" s="103"/>
      <c r="G815" s="103"/>
      <c r="H815" s="6"/>
      <c r="I815" s="104"/>
      <c r="J815" s="104"/>
      <c r="K815" s="104"/>
      <c r="L815" s="104"/>
    </row>
    <row r="816" spans="1:12" x14ac:dyDescent="0.25">
      <c r="A816" s="6"/>
      <c r="B816" s="6"/>
      <c r="C816" s="102"/>
      <c r="D816" s="102"/>
      <c r="E816" s="102"/>
      <c r="F816" s="103"/>
      <c r="G816" s="103"/>
      <c r="H816" s="6"/>
      <c r="I816" s="104"/>
      <c r="J816" s="104"/>
      <c r="K816" s="104"/>
      <c r="L816" s="104"/>
    </row>
    <row r="817" spans="1:12" x14ac:dyDescent="0.25">
      <c r="A817" s="6"/>
      <c r="B817" s="6"/>
      <c r="C817" s="102"/>
      <c r="D817" s="102"/>
      <c r="E817" s="102"/>
      <c r="F817" s="103"/>
      <c r="G817" s="103"/>
      <c r="H817" s="6"/>
      <c r="I817" s="104"/>
      <c r="J817" s="104"/>
      <c r="K817" s="104"/>
      <c r="L817" s="104"/>
    </row>
    <row r="818" spans="1:12" x14ac:dyDescent="0.25">
      <c r="A818" s="6"/>
      <c r="B818" s="6"/>
      <c r="C818" s="102"/>
      <c r="D818" s="102"/>
      <c r="E818" s="102"/>
      <c r="F818" s="103"/>
      <c r="G818" s="103"/>
      <c r="H818" s="6"/>
      <c r="I818" s="104"/>
      <c r="J818" s="104"/>
      <c r="K818" s="104"/>
      <c r="L818" s="104"/>
    </row>
    <row r="819" spans="1:12" x14ac:dyDescent="0.25">
      <c r="A819" s="6"/>
      <c r="B819" s="6"/>
      <c r="C819" s="102"/>
      <c r="D819" s="102"/>
      <c r="E819" s="102"/>
      <c r="F819" s="103"/>
      <c r="G819" s="103"/>
      <c r="H819" s="6"/>
      <c r="I819" s="104"/>
      <c r="J819" s="104"/>
      <c r="K819" s="104"/>
      <c r="L819" s="104"/>
    </row>
    <row r="820" spans="1:12" x14ac:dyDescent="0.25">
      <c r="A820" s="6"/>
      <c r="B820" s="6"/>
      <c r="C820" s="102"/>
      <c r="D820" s="102"/>
      <c r="E820" s="102"/>
      <c r="F820" s="103"/>
      <c r="G820" s="103"/>
      <c r="H820" s="6"/>
      <c r="I820" s="104"/>
      <c r="J820" s="104"/>
      <c r="K820" s="104"/>
      <c r="L820" s="104"/>
    </row>
    <row r="821" spans="1:12" x14ac:dyDescent="0.25">
      <c r="A821" s="6"/>
      <c r="B821" s="6"/>
      <c r="C821" s="102"/>
      <c r="D821" s="102"/>
      <c r="E821" s="102"/>
      <c r="F821" s="103"/>
      <c r="G821" s="103"/>
      <c r="H821" s="6"/>
      <c r="I821" s="104"/>
      <c r="J821" s="104"/>
      <c r="K821" s="104"/>
      <c r="L821" s="104"/>
    </row>
    <row r="822" spans="1:12" x14ac:dyDescent="0.25">
      <c r="A822" s="6"/>
      <c r="B822" s="6"/>
      <c r="C822" s="102"/>
      <c r="D822" s="102"/>
      <c r="E822" s="102"/>
      <c r="F822" s="103"/>
      <c r="G822" s="103"/>
      <c r="H822" s="6"/>
      <c r="I822" s="104"/>
      <c r="J822" s="104"/>
      <c r="K822" s="104"/>
      <c r="L822" s="104"/>
    </row>
    <row r="823" spans="1:12" x14ac:dyDescent="0.25">
      <c r="A823" s="6"/>
      <c r="B823" s="6"/>
      <c r="C823" s="102"/>
      <c r="D823" s="102"/>
      <c r="E823" s="102"/>
      <c r="F823" s="103"/>
      <c r="G823" s="103"/>
      <c r="H823" s="6"/>
      <c r="I823" s="104"/>
      <c r="J823" s="104"/>
      <c r="K823" s="104"/>
      <c r="L823" s="104"/>
    </row>
    <row r="824" spans="1:12" x14ac:dyDescent="0.25">
      <c r="A824" s="6"/>
      <c r="B824" s="6"/>
      <c r="C824" s="102"/>
      <c r="D824" s="102"/>
      <c r="E824" s="102"/>
      <c r="F824" s="103"/>
      <c r="G824" s="103"/>
      <c r="H824" s="6"/>
      <c r="I824" s="104"/>
      <c r="J824" s="104"/>
      <c r="K824" s="104"/>
      <c r="L824" s="104"/>
    </row>
    <row r="825" spans="1:12" x14ac:dyDescent="0.25">
      <c r="A825" s="6"/>
      <c r="B825" s="6"/>
      <c r="C825" s="102"/>
      <c r="D825" s="102"/>
      <c r="E825" s="102"/>
      <c r="F825" s="103"/>
      <c r="G825" s="103"/>
      <c r="H825" s="6"/>
      <c r="I825" s="104"/>
      <c r="J825" s="104"/>
      <c r="K825" s="104"/>
      <c r="L825" s="104"/>
    </row>
    <row r="826" spans="1:12" x14ac:dyDescent="0.25">
      <c r="A826" s="6"/>
      <c r="B826" s="6"/>
      <c r="C826" s="102"/>
      <c r="D826" s="102"/>
      <c r="E826" s="102"/>
      <c r="F826" s="103"/>
      <c r="G826" s="103"/>
      <c r="H826" s="6"/>
      <c r="I826" s="104"/>
      <c r="J826" s="104"/>
      <c r="K826" s="104"/>
      <c r="L826" s="104"/>
    </row>
    <row r="827" spans="1:12" x14ac:dyDescent="0.25">
      <c r="A827" s="6"/>
      <c r="B827" s="6"/>
      <c r="C827" s="102"/>
      <c r="D827" s="102"/>
      <c r="E827" s="102"/>
      <c r="F827" s="103"/>
      <c r="G827" s="103"/>
      <c r="H827" s="6"/>
      <c r="I827" s="104"/>
      <c r="J827" s="104"/>
      <c r="K827" s="104"/>
      <c r="L827" s="104"/>
    </row>
    <row r="828" spans="1:12" x14ac:dyDescent="0.25">
      <c r="A828" s="6"/>
      <c r="B828" s="6"/>
      <c r="C828" s="102"/>
      <c r="D828" s="102"/>
      <c r="E828" s="102"/>
      <c r="F828" s="103"/>
      <c r="G828" s="103"/>
      <c r="H828" s="6"/>
      <c r="I828" s="104"/>
      <c r="J828" s="104"/>
      <c r="K828" s="104"/>
      <c r="L828" s="104"/>
    </row>
    <row r="829" spans="1:12" x14ac:dyDescent="0.25">
      <c r="A829" s="6"/>
      <c r="B829" s="6"/>
      <c r="C829" s="102"/>
      <c r="D829" s="102"/>
      <c r="E829" s="102"/>
      <c r="F829" s="103"/>
      <c r="G829" s="103"/>
      <c r="H829" s="6"/>
      <c r="I829" s="104"/>
      <c r="J829" s="104"/>
      <c r="K829" s="104"/>
      <c r="L829" s="104"/>
    </row>
    <row r="830" spans="1:12" x14ac:dyDescent="0.25">
      <c r="A830" s="6"/>
      <c r="B830" s="6"/>
      <c r="C830" s="102"/>
      <c r="D830" s="102"/>
      <c r="E830" s="102"/>
      <c r="F830" s="103"/>
      <c r="G830" s="103"/>
      <c r="H830" s="6"/>
      <c r="I830" s="104"/>
      <c r="J830" s="104"/>
      <c r="K830" s="104"/>
      <c r="L830" s="104"/>
    </row>
    <row r="831" spans="1:12" x14ac:dyDescent="0.25">
      <c r="A831" s="6"/>
      <c r="B831" s="6"/>
      <c r="C831" s="102"/>
      <c r="D831" s="102"/>
      <c r="E831" s="102"/>
      <c r="F831" s="103"/>
      <c r="G831" s="103"/>
      <c r="H831" s="6"/>
      <c r="I831" s="104"/>
      <c r="J831" s="104"/>
      <c r="K831" s="104"/>
      <c r="L831" s="104"/>
    </row>
    <row r="832" spans="1:12" x14ac:dyDescent="0.25">
      <c r="A832" s="6"/>
      <c r="B832" s="6"/>
      <c r="C832" s="102"/>
      <c r="D832" s="102"/>
      <c r="E832" s="102"/>
      <c r="F832" s="103"/>
      <c r="G832" s="103"/>
      <c r="H832" s="6"/>
      <c r="I832" s="104"/>
      <c r="J832" s="104"/>
      <c r="K832" s="104"/>
      <c r="L832" s="104"/>
    </row>
    <row r="833" spans="1:12" x14ac:dyDescent="0.25">
      <c r="A833" s="6"/>
      <c r="B833" s="6"/>
      <c r="C833" s="102"/>
      <c r="D833" s="102"/>
      <c r="E833" s="102"/>
      <c r="F833" s="103"/>
      <c r="G833" s="103"/>
      <c r="H833" s="6"/>
      <c r="I833" s="104"/>
      <c r="J833" s="104"/>
      <c r="K833" s="104"/>
      <c r="L833" s="104"/>
    </row>
    <row r="834" spans="1:12" x14ac:dyDescent="0.25">
      <c r="A834" s="6"/>
      <c r="B834" s="6"/>
      <c r="C834" s="102"/>
      <c r="D834" s="102"/>
      <c r="E834" s="102"/>
      <c r="F834" s="103"/>
      <c r="G834" s="103"/>
      <c r="H834" s="6"/>
      <c r="I834" s="104"/>
      <c r="J834" s="104"/>
      <c r="K834" s="104"/>
      <c r="L834" s="104"/>
    </row>
    <row r="835" spans="1:12" x14ac:dyDescent="0.25">
      <c r="A835" s="6"/>
      <c r="B835" s="6"/>
      <c r="C835" s="102"/>
      <c r="D835" s="102"/>
      <c r="E835" s="102"/>
      <c r="F835" s="103"/>
      <c r="G835" s="103"/>
      <c r="H835" s="6"/>
      <c r="I835" s="104"/>
      <c r="J835" s="104"/>
      <c r="K835" s="104"/>
      <c r="L835" s="104"/>
    </row>
    <row r="836" spans="1:12" x14ac:dyDescent="0.25">
      <c r="A836" s="6"/>
      <c r="B836" s="6"/>
      <c r="C836" s="102"/>
      <c r="D836" s="102"/>
      <c r="E836" s="102"/>
      <c r="F836" s="103"/>
      <c r="G836" s="103"/>
      <c r="H836" s="6"/>
      <c r="I836" s="104"/>
      <c r="J836" s="104"/>
      <c r="K836" s="104"/>
      <c r="L836" s="104"/>
    </row>
    <row r="837" spans="1:12" x14ac:dyDescent="0.25">
      <c r="A837" s="6"/>
      <c r="B837" s="6"/>
      <c r="C837" s="102"/>
      <c r="D837" s="102"/>
      <c r="E837" s="102"/>
      <c r="F837" s="103"/>
      <c r="G837" s="103"/>
      <c r="H837" s="6"/>
      <c r="I837" s="104"/>
      <c r="J837" s="104"/>
      <c r="K837" s="104"/>
      <c r="L837" s="104"/>
    </row>
    <row r="838" spans="1:12" x14ac:dyDescent="0.25">
      <c r="A838" s="6"/>
      <c r="B838" s="6"/>
      <c r="C838" s="102"/>
      <c r="D838" s="102"/>
      <c r="E838" s="102"/>
      <c r="F838" s="103"/>
      <c r="G838" s="103"/>
      <c r="H838" s="6"/>
      <c r="I838" s="104"/>
      <c r="J838" s="104"/>
      <c r="K838" s="104"/>
      <c r="L838" s="104"/>
    </row>
    <row r="839" spans="1:12" x14ac:dyDescent="0.25">
      <c r="A839" s="6"/>
      <c r="B839" s="6"/>
      <c r="C839" s="102"/>
      <c r="D839" s="102"/>
      <c r="E839" s="102"/>
      <c r="F839" s="103"/>
      <c r="G839" s="103"/>
      <c r="H839" s="6"/>
      <c r="I839" s="104"/>
      <c r="J839" s="104"/>
      <c r="K839" s="104"/>
      <c r="L839" s="104"/>
    </row>
    <row r="840" spans="1:12" x14ac:dyDescent="0.25">
      <c r="A840" s="6"/>
      <c r="B840" s="6"/>
      <c r="C840" s="102"/>
      <c r="D840" s="102"/>
      <c r="E840" s="102"/>
      <c r="F840" s="103"/>
      <c r="G840" s="103"/>
      <c r="H840" s="6"/>
      <c r="I840" s="104"/>
      <c r="J840" s="104"/>
      <c r="K840" s="104"/>
      <c r="L840" s="104"/>
    </row>
    <row r="841" spans="1:12" x14ac:dyDescent="0.25">
      <c r="A841" s="6"/>
      <c r="B841" s="6"/>
      <c r="C841" s="102"/>
      <c r="D841" s="102"/>
      <c r="E841" s="102"/>
      <c r="F841" s="103"/>
      <c r="G841" s="103"/>
      <c r="H841" s="6"/>
      <c r="I841" s="104"/>
      <c r="J841" s="104"/>
      <c r="K841" s="104"/>
      <c r="L841" s="104"/>
    </row>
    <row r="842" spans="1:12" x14ac:dyDescent="0.25">
      <c r="A842" s="6"/>
      <c r="B842" s="6"/>
      <c r="C842" s="102"/>
      <c r="D842" s="102"/>
      <c r="E842" s="102"/>
      <c r="F842" s="103"/>
      <c r="G842" s="103"/>
      <c r="H842" s="6"/>
      <c r="I842" s="104"/>
      <c r="J842" s="104"/>
      <c r="K842" s="104"/>
      <c r="L842" s="104"/>
    </row>
    <row r="843" spans="1:12" x14ac:dyDescent="0.25">
      <c r="A843" s="6"/>
      <c r="B843" s="6"/>
      <c r="C843" s="102"/>
      <c r="D843" s="102"/>
      <c r="E843" s="102"/>
      <c r="F843" s="103"/>
      <c r="G843" s="103"/>
      <c r="H843" s="6"/>
      <c r="I843" s="104"/>
      <c r="J843" s="104"/>
      <c r="K843" s="104"/>
      <c r="L843" s="104"/>
    </row>
    <row r="844" spans="1:12" x14ac:dyDescent="0.25">
      <c r="A844" s="6"/>
      <c r="B844" s="6"/>
      <c r="C844" s="102"/>
      <c r="D844" s="102"/>
      <c r="E844" s="102"/>
      <c r="F844" s="103"/>
      <c r="G844" s="103"/>
      <c r="H844" s="6"/>
      <c r="I844" s="104"/>
      <c r="J844" s="104"/>
      <c r="K844" s="104"/>
      <c r="L844" s="104"/>
    </row>
    <row r="845" spans="1:12" x14ac:dyDescent="0.25">
      <c r="A845" s="6"/>
      <c r="B845" s="6"/>
      <c r="C845" s="102"/>
      <c r="D845" s="102"/>
      <c r="E845" s="102"/>
      <c r="F845" s="103"/>
      <c r="G845" s="103"/>
      <c r="H845" s="6"/>
      <c r="I845" s="104"/>
      <c r="J845" s="104"/>
      <c r="K845" s="104"/>
      <c r="L845" s="104"/>
    </row>
    <row r="846" spans="1:12" x14ac:dyDescent="0.25">
      <c r="A846" s="6"/>
      <c r="B846" s="6"/>
      <c r="C846" s="102"/>
      <c r="D846" s="102"/>
      <c r="E846" s="102"/>
      <c r="F846" s="103"/>
      <c r="G846" s="103"/>
      <c r="H846" s="6"/>
      <c r="I846" s="104"/>
      <c r="J846" s="104"/>
      <c r="K846" s="104"/>
      <c r="L846" s="104"/>
    </row>
    <row r="847" spans="1:12" x14ac:dyDescent="0.25">
      <c r="A847" s="6"/>
      <c r="B847" s="6"/>
      <c r="C847" s="102"/>
      <c r="D847" s="102"/>
      <c r="E847" s="102"/>
      <c r="F847" s="103"/>
      <c r="G847" s="103"/>
      <c r="H847" s="6"/>
      <c r="I847" s="104"/>
      <c r="J847" s="104"/>
      <c r="K847" s="104"/>
      <c r="L847" s="104"/>
    </row>
    <row r="848" spans="1:12" x14ac:dyDescent="0.25">
      <c r="A848" s="6"/>
      <c r="B848" s="6"/>
      <c r="C848" s="102"/>
      <c r="D848" s="102"/>
      <c r="E848" s="102"/>
      <c r="F848" s="103"/>
      <c r="G848" s="103"/>
      <c r="H848" s="6"/>
      <c r="I848" s="104"/>
      <c r="J848" s="104"/>
      <c r="K848" s="104"/>
      <c r="L848" s="104"/>
    </row>
    <row r="849" spans="1:12" x14ac:dyDescent="0.25">
      <c r="A849" s="6"/>
      <c r="B849" s="6"/>
      <c r="C849" s="102"/>
      <c r="D849" s="102"/>
      <c r="E849" s="102"/>
      <c r="F849" s="103"/>
      <c r="G849" s="103"/>
      <c r="H849" s="6"/>
      <c r="I849" s="104"/>
      <c r="J849" s="104"/>
      <c r="K849" s="104"/>
      <c r="L849" s="104"/>
    </row>
    <row r="850" spans="1:12" x14ac:dyDescent="0.25">
      <c r="A850" s="6"/>
      <c r="B850" s="6"/>
      <c r="C850" s="102"/>
      <c r="D850" s="102"/>
      <c r="E850" s="102"/>
      <c r="F850" s="103"/>
      <c r="G850" s="103"/>
      <c r="H850" s="6"/>
      <c r="I850" s="104"/>
      <c r="J850" s="104"/>
      <c r="K850" s="104"/>
      <c r="L850" s="104"/>
    </row>
    <row r="851" spans="1:12" x14ac:dyDescent="0.25">
      <c r="A851" s="6"/>
      <c r="B851" s="6"/>
      <c r="C851" s="102"/>
      <c r="D851" s="102"/>
      <c r="E851" s="102"/>
      <c r="F851" s="103"/>
      <c r="G851" s="103"/>
      <c r="H851" s="6"/>
      <c r="I851" s="104"/>
      <c r="J851" s="104"/>
      <c r="K851" s="104"/>
      <c r="L851" s="104"/>
    </row>
    <row r="852" spans="1:12" x14ac:dyDescent="0.25">
      <c r="A852" s="6"/>
      <c r="B852" s="6"/>
      <c r="C852" s="102"/>
      <c r="D852" s="102"/>
      <c r="E852" s="102"/>
      <c r="F852" s="103"/>
      <c r="G852" s="103"/>
      <c r="H852" s="6"/>
      <c r="I852" s="104"/>
      <c r="J852" s="104"/>
      <c r="K852" s="104"/>
      <c r="L852" s="104"/>
    </row>
    <row r="853" spans="1:12" x14ac:dyDescent="0.25">
      <c r="A853" s="6"/>
      <c r="B853" s="6"/>
      <c r="C853" s="102"/>
      <c r="D853" s="102"/>
      <c r="E853" s="102"/>
      <c r="F853" s="103"/>
      <c r="G853" s="103"/>
      <c r="H853" s="6"/>
      <c r="I853" s="104"/>
      <c r="J853" s="104"/>
      <c r="K853" s="104"/>
      <c r="L853" s="104"/>
    </row>
    <row r="854" spans="1:12" x14ac:dyDescent="0.25">
      <c r="A854" s="6"/>
      <c r="B854" s="6"/>
      <c r="C854" s="102"/>
      <c r="D854" s="102"/>
      <c r="E854" s="102"/>
      <c r="F854" s="103"/>
      <c r="G854" s="103"/>
      <c r="H854" s="6"/>
      <c r="I854" s="104"/>
      <c r="J854" s="104"/>
      <c r="K854" s="104"/>
      <c r="L854" s="104"/>
    </row>
    <row r="855" spans="1:12" x14ac:dyDescent="0.25">
      <c r="A855" s="6"/>
      <c r="B855" s="6"/>
      <c r="C855" s="102"/>
      <c r="D855" s="102"/>
      <c r="E855" s="102"/>
      <c r="F855" s="103"/>
      <c r="G855" s="103"/>
      <c r="H855" s="6"/>
      <c r="I855" s="104"/>
      <c r="J855" s="104"/>
      <c r="K855" s="104"/>
      <c r="L855" s="104"/>
    </row>
    <row r="856" spans="1:12" x14ac:dyDescent="0.25">
      <c r="A856" s="6"/>
      <c r="B856" s="6"/>
      <c r="C856" s="102"/>
      <c r="D856" s="102"/>
      <c r="E856" s="102"/>
      <c r="F856" s="103"/>
      <c r="G856" s="103"/>
      <c r="H856" s="6"/>
      <c r="I856" s="104"/>
      <c r="J856" s="104"/>
      <c r="K856" s="104"/>
      <c r="L856" s="104"/>
    </row>
    <row r="857" spans="1:12" x14ac:dyDescent="0.25">
      <c r="A857" s="6"/>
      <c r="B857" s="6"/>
      <c r="C857" s="102"/>
      <c r="D857" s="102"/>
      <c r="E857" s="102"/>
      <c r="F857" s="103"/>
      <c r="G857" s="103"/>
      <c r="H857" s="6"/>
      <c r="I857" s="104"/>
      <c r="J857" s="104"/>
      <c r="K857" s="104"/>
      <c r="L857" s="104"/>
    </row>
    <row r="858" spans="1:12" x14ac:dyDescent="0.25">
      <c r="A858" s="6"/>
      <c r="B858" s="6"/>
      <c r="C858" s="102"/>
      <c r="D858" s="102"/>
      <c r="E858" s="102"/>
      <c r="F858" s="103"/>
      <c r="G858" s="103"/>
      <c r="H858" s="6"/>
      <c r="I858" s="104"/>
      <c r="J858" s="104"/>
      <c r="K858" s="104"/>
      <c r="L858" s="104"/>
    </row>
    <row r="859" spans="1:12" x14ac:dyDescent="0.25">
      <c r="A859" s="6"/>
      <c r="B859" s="6"/>
      <c r="C859" s="102"/>
      <c r="D859" s="102"/>
      <c r="E859" s="102"/>
      <c r="F859" s="103"/>
      <c r="G859" s="103"/>
      <c r="H859" s="6"/>
      <c r="I859" s="104"/>
      <c r="J859" s="104"/>
      <c r="K859" s="104"/>
      <c r="L859" s="104"/>
    </row>
    <row r="860" spans="1:12" x14ac:dyDescent="0.25">
      <c r="A860" s="6"/>
      <c r="B860" s="6"/>
      <c r="C860" s="102"/>
      <c r="D860" s="102"/>
      <c r="E860" s="102"/>
      <c r="F860" s="103"/>
      <c r="G860" s="103"/>
      <c r="H860" s="6"/>
      <c r="I860" s="104"/>
      <c r="J860" s="104"/>
      <c r="K860" s="104"/>
      <c r="L860" s="104"/>
    </row>
    <row r="861" spans="1:12" x14ac:dyDescent="0.25">
      <c r="A861" s="6"/>
      <c r="B861" s="6"/>
      <c r="C861" s="102"/>
      <c r="D861" s="102"/>
      <c r="E861" s="102"/>
      <c r="F861" s="103"/>
      <c r="G861" s="103"/>
      <c r="H861" s="6"/>
      <c r="I861" s="104"/>
      <c r="J861" s="104"/>
      <c r="K861" s="104"/>
      <c r="L861" s="104"/>
    </row>
    <row r="862" spans="1:12" x14ac:dyDescent="0.25">
      <c r="A862" s="6"/>
      <c r="B862" s="6"/>
      <c r="C862" s="102"/>
      <c r="D862" s="102"/>
      <c r="E862" s="102"/>
      <c r="F862" s="103"/>
      <c r="G862" s="103"/>
      <c r="H862" s="6"/>
      <c r="I862" s="104"/>
      <c r="J862" s="104"/>
      <c r="K862" s="104"/>
      <c r="L862" s="104"/>
    </row>
    <row r="863" spans="1:12" x14ac:dyDescent="0.25">
      <c r="A863" s="6"/>
      <c r="B863" s="6"/>
      <c r="C863" s="102"/>
      <c r="D863" s="102"/>
      <c r="E863" s="102"/>
      <c r="F863" s="103"/>
      <c r="G863" s="103"/>
      <c r="H863" s="6"/>
      <c r="I863" s="104"/>
      <c r="J863" s="104"/>
      <c r="K863" s="104"/>
      <c r="L863" s="104"/>
    </row>
    <row r="864" spans="1:12" x14ac:dyDescent="0.25">
      <c r="A864" s="6"/>
      <c r="B864" s="6"/>
      <c r="C864" s="102"/>
      <c r="D864" s="102"/>
      <c r="E864" s="102"/>
      <c r="F864" s="103"/>
      <c r="G864" s="103"/>
      <c r="H864" s="6"/>
      <c r="I864" s="104"/>
      <c r="J864" s="104"/>
      <c r="K864" s="104"/>
      <c r="L864" s="104"/>
    </row>
    <row r="865" spans="1:12" x14ac:dyDescent="0.25">
      <c r="A865" s="6"/>
      <c r="B865" s="6"/>
      <c r="C865" s="102"/>
      <c r="D865" s="102"/>
      <c r="E865" s="102"/>
      <c r="F865" s="103"/>
      <c r="G865" s="103"/>
      <c r="H865" s="6"/>
      <c r="I865" s="104"/>
      <c r="J865" s="104"/>
      <c r="K865" s="104"/>
      <c r="L865" s="104"/>
    </row>
    <row r="866" spans="1:12" x14ac:dyDescent="0.25">
      <c r="A866" s="6"/>
      <c r="B866" s="6"/>
      <c r="C866" s="102"/>
      <c r="D866" s="102"/>
      <c r="E866" s="102"/>
      <c r="F866" s="103"/>
      <c r="G866" s="103"/>
      <c r="H866" s="6"/>
      <c r="I866" s="104"/>
      <c r="J866" s="104"/>
      <c r="K866" s="104"/>
      <c r="L866" s="104"/>
    </row>
    <row r="867" spans="1:12" x14ac:dyDescent="0.25">
      <c r="A867" s="6"/>
      <c r="B867" s="6"/>
      <c r="C867" s="102"/>
      <c r="D867" s="102"/>
      <c r="E867" s="102"/>
      <c r="F867" s="103"/>
      <c r="G867" s="103"/>
      <c r="H867" s="6"/>
      <c r="I867" s="104"/>
      <c r="J867" s="104"/>
      <c r="K867" s="104"/>
      <c r="L867" s="104"/>
    </row>
    <row r="868" spans="1:12" x14ac:dyDescent="0.25">
      <c r="A868" s="6"/>
      <c r="B868" s="6"/>
      <c r="C868" s="102"/>
      <c r="D868" s="102"/>
      <c r="E868" s="102"/>
      <c r="F868" s="103"/>
      <c r="G868" s="103"/>
      <c r="H868" s="6"/>
      <c r="I868" s="104"/>
      <c r="J868" s="104"/>
      <c r="K868" s="104"/>
      <c r="L868" s="104"/>
    </row>
    <row r="869" spans="1:12" x14ac:dyDescent="0.25">
      <c r="A869" s="6"/>
      <c r="B869" s="6"/>
      <c r="C869" s="102"/>
      <c r="D869" s="102"/>
      <c r="E869" s="102"/>
      <c r="F869" s="103"/>
      <c r="G869" s="103"/>
      <c r="H869" s="6"/>
      <c r="I869" s="104"/>
      <c r="J869" s="104"/>
      <c r="K869" s="104"/>
      <c r="L869" s="104"/>
    </row>
    <row r="870" spans="1:12" x14ac:dyDescent="0.25">
      <c r="A870" s="6"/>
      <c r="B870" s="6"/>
      <c r="C870" s="102"/>
      <c r="D870" s="102"/>
      <c r="E870" s="102"/>
      <c r="F870" s="103"/>
      <c r="G870" s="103"/>
      <c r="H870" s="6"/>
      <c r="I870" s="104"/>
      <c r="J870" s="104"/>
      <c r="K870" s="104"/>
      <c r="L870" s="104"/>
    </row>
    <row r="871" spans="1:12" x14ac:dyDescent="0.25">
      <c r="A871" s="6"/>
      <c r="B871" s="6"/>
      <c r="C871" s="102"/>
      <c r="D871" s="102"/>
      <c r="E871" s="102"/>
      <c r="F871" s="103"/>
      <c r="G871" s="103"/>
      <c r="H871" s="6"/>
      <c r="I871" s="104"/>
      <c r="J871" s="104"/>
      <c r="K871" s="104"/>
      <c r="L871" s="104"/>
    </row>
    <row r="872" spans="1:12" x14ac:dyDescent="0.25">
      <c r="A872" s="6"/>
      <c r="B872" s="6"/>
      <c r="C872" s="102"/>
      <c r="D872" s="102"/>
      <c r="E872" s="102"/>
      <c r="F872" s="103"/>
      <c r="G872" s="103"/>
      <c r="H872" s="6"/>
      <c r="I872" s="104"/>
      <c r="J872" s="104"/>
      <c r="K872" s="104"/>
      <c r="L872" s="104"/>
    </row>
    <row r="873" spans="1:12" x14ac:dyDescent="0.25">
      <c r="A873" s="6"/>
      <c r="B873" s="6"/>
      <c r="C873" s="102"/>
      <c r="D873" s="102"/>
      <c r="E873" s="102"/>
      <c r="F873" s="103"/>
      <c r="G873" s="103"/>
      <c r="H873" s="6"/>
      <c r="I873" s="104"/>
      <c r="J873" s="104"/>
      <c r="K873" s="104"/>
      <c r="L873" s="104"/>
    </row>
    <row r="874" spans="1:12" x14ac:dyDescent="0.25">
      <c r="A874" s="6"/>
      <c r="B874" s="6"/>
      <c r="C874" s="102"/>
      <c r="D874" s="102"/>
      <c r="E874" s="102"/>
      <c r="F874" s="103"/>
      <c r="G874" s="103"/>
      <c r="H874" s="6"/>
      <c r="I874" s="104"/>
      <c r="J874" s="104"/>
      <c r="K874" s="104"/>
      <c r="L874" s="104"/>
    </row>
    <row r="875" spans="1:12" x14ac:dyDescent="0.25">
      <c r="A875" s="6"/>
      <c r="B875" s="6"/>
      <c r="C875" s="102"/>
      <c r="D875" s="102"/>
      <c r="E875" s="102"/>
      <c r="F875" s="103"/>
      <c r="G875" s="103"/>
      <c r="H875" s="6"/>
      <c r="I875" s="104"/>
      <c r="J875" s="104"/>
      <c r="K875" s="104"/>
      <c r="L875" s="104"/>
    </row>
    <row r="876" spans="1:12" x14ac:dyDescent="0.25">
      <c r="A876" s="6"/>
      <c r="B876" s="6"/>
      <c r="C876" s="102"/>
      <c r="D876" s="102"/>
      <c r="E876" s="102"/>
      <c r="F876" s="103"/>
      <c r="G876" s="103"/>
      <c r="H876" s="6"/>
      <c r="I876" s="104"/>
      <c r="J876" s="104"/>
      <c r="K876" s="104"/>
      <c r="L876" s="104"/>
    </row>
    <row r="877" spans="1:12" x14ac:dyDescent="0.25">
      <c r="A877" s="6"/>
      <c r="B877" s="6"/>
      <c r="C877" s="102"/>
      <c r="D877" s="102"/>
      <c r="E877" s="102"/>
      <c r="F877" s="103"/>
      <c r="G877" s="103"/>
      <c r="H877" s="6"/>
      <c r="I877" s="104"/>
      <c r="J877" s="104"/>
      <c r="K877" s="104"/>
      <c r="L877" s="104"/>
    </row>
    <row r="878" spans="1:12" x14ac:dyDescent="0.25">
      <c r="A878" s="6"/>
      <c r="B878" s="6"/>
      <c r="C878" s="102"/>
      <c r="D878" s="102"/>
      <c r="E878" s="102"/>
      <c r="F878" s="103"/>
      <c r="G878" s="103"/>
      <c r="H878" s="6"/>
      <c r="I878" s="104"/>
      <c r="J878" s="104"/>
      <c r="K878" s="104"/>
      <c r="L878" s="104"/>
    </row>
    <row r="879" spans="1:12" x14ac:dyDescent="0.25">
      <c r="A879" s="6"/>
      <c r="B879" s="6"/>
      <c r="C879" s="102"/>
      <c r="D879" s="102"/>
      <c r="E879" s="102"/>
      <c r="F879" s="103"/>
      <c r="G879" s="103"/>
      <c r="H879" s="6"/>
      <c r="I879" s="104"/>
      <c r="J879" s="104"/>
      <c r="K879" s="104"/>
      <c r="L879" s="104"/>
    </row>
    <row r="880" spans="1:12" x14ac:dyDescent="0.25">
      <c r="A880" s="6"/>
      <c r="B880" s="6"/>
      <c r="C880" s="102"/>
      <c r="D880" s="102"/>
      <c r="E880" s="102"/>
      <c r="F880" s="103"/>
      <c r="G880" s="103"/>
      <c r="H880" s="6"/>
      <c r="I880" s="104"/>
      <c r="J880" s="104"/>
      <c r="K880" s="104"/>
      <c r="L880" s="104"/>
    </row>
    <row r="881" spans="1:12" x14ac:dyDescent="0.25">
      <c r="A881" s="6"/>
      <c r="B881" s="6"/>
      <c r="C881" s="102"/>
      <c r="D881" s="102"/>
      <c r="E881" s="102"/>
      <c r="F881" s="103"/>
      <c r="G881" s="103"/>
      <c r="H881" s="6"/>
      <c r="I881" s="104"/>
      <c r="J881" s="104"/>
      <c r="K881" s="104"/>
      <c r="L881" s="104"/>
    </row>
    <row r="882" spans="1:12" x14ac:dyDescent="0.25">
      <c r="A882" s="6"/>
      <c r="B882" s="6"/>
      <c r="C882" s="102"/>
      <c r="D882" s="102"/>
      <c r="E882" s="102"/>
      <c r="F882" s="103"/>
      <c r="G882" s="103"/>
      <c r="H882" s="6"/>
      <c r="I882" s="104"/>
      <c r="J882" s="104"/>
      <c r="K882" s="104"/>
      <c r="L882" s="104"/>
    </row>
    <row r="883" spans="1:12" x14ac:dyDescent="0.25">
      <c r="A883" s="6"/>
      <c r="B883" s="6"/>
      <c r="C883" s="102"/>
      <c r="D883" s="102"/>
      <c r="E883" s="102"/>
      <c r="F883" s="103"/>
      <c r="G883" s="103"/>
      <c r="H883" s="6"/>
      <c r="I883" s="104"/>
      <c r="J883" s="104"/>
      <c r="K883" s="104"/>
      <c r="L883" s="104"/>
    </row>
    <row r="884" spans="1:12" x14ac:dyDescent="0.25">
      <c r="A884" s="6"/>
      <c r="B884" s="6"/>
      <c r="C884" s="102"/>
      <c r="D884" s="102"/>
      <c r="E884" s="102"/>
      <c r="F884" s="103"/>
      <c r="G884" s="103"/>
      <c r="H884" s="6"/>
      <c r="I884" s="104"/>
      <c r="J884" s="104"/>
      <c r="K884" s="104"/>
      <c r="L884" s="104"/>
    </row>
    <row r="885" spans="1:12" x14ac:dyDescent="0.25">
      <c r="A885" s="6"/>
      <c r="B885" s="6"/>
      <c r="C885" s="102"/>
      <c r="D885" s="102"/>
      <c r="E885" s="102"/>
      <c r="F885" s="103"/>
      <c r="G885" s="103"/>
      <c r="H885" s="6"/>
      <c r="I885" s="104"/>
      <c r="J885" s="104"/>
      <c r="K885" s="104"/>
      <c r="L885" s="104"/>
    </row>
    <row r="886" spans="1:12" x14ac:dyDescent="0.25">
      <c r="A886" s="6"/>
      <c r="B886" s="6"/>
      <c r="C886" s="102"/>
      <c r="D886" s="102"/>
      <c r="E886" s="102"/>
      <c r="F886" s="103"/>
      <c r="G886" s="103"/>
      <c r="H886" s="6"/>
      <c r="I886" s="104"/>
      <c r="J886" s="104"/>
      <c r="K886" s="104"/>
      <c r="L886" s="104"/>
    </row>
    <row r="887" spans="1:12" x14ac:dyDescent="0.25">
      <c r="A887" s="6"/>
      <c r="B887" s="6"/>
      <c r="C887" s="102"/>
      <c r="D887" s="102"/>
      <c r="E887" s="102"/>
      <c r="F887" s="103"/>
      <c r="G887" s="103"/>
      <c r="H887" s="6"/>
      <c r="I887" s="104"/>
      <c r="J887" s="104"/>
      <c r="K887" s="104"/>
      <c r="L887" s="104"/>
    </row>
    <row r="888" spans="1:12" x14ac:dyDescent="0.25">
      <c r="A888" s="6"/>
      <c r="B888" s="6"/>
      <c r="C888" s="102"/>
      <c r="D888" s="102"/>
      <c r="E888" s="102"/>
      <c r="F888" s="103"/>
      <c r="G888" s="103"/>
      <c r="H888" s="6"/>
      <c r="I888" s="104"/>
      <c r="J888" s="104"/>
      <c r="K888" s="104"/>
      <c r="L888" s="104"/>
    </row>
    <row r="889" spans="1:12" x14ac:dyDescent="0.25">
      <c r="A889" s="6"/>
      <c r="B889" s="6"/>
      <c r="C889" s="102"/>
      <c r="D889" s="102"/>
      <c r="E889" s="102"/>
      <c r="F889" s="103"/>
      <c r="G889" s="103"/>
      <c r="H889" s="6"/>
      <c r="I889" s="104"/>
      <c r="J889" s="104"/>
      <c r="K889" s="104"/>
      <c r="L889" s="104"/>
    </row>
    <row r="890" spans="1:12" x14ac:dyDescent="0.25">
      <c r="A890" s="6"/>
      <c r="B890" s="6"/>
      <c r="C890" s="102"/>
      <c r="D890" s="102"/>
      <c r="E890" s="102"/>
      <c r="F890" s="103"/>
      <c r="G890" s="103"/>
      <c r="H890" s="6"/>
      <c r="I890" s="104"/>
      <c r="J890" s="104"/>
      <c r="K890" s="104"/>
      <c r="L890" s="104"/>
    </row>
    <row r="891" spans="1:12" x14ac:dyDescent="0.25">
      <c r="A891" s="6"/>
      <c r="B891" s="6"/>
      <c r="C891" s="102"/>
      <c r="D891" s="102"/>
      <c r="E891" s="102"/>
      <c r="F891" s="103"/>
      <c r="G891" s="103"/>
      <c r="H891" s="6"/>
      <c r="I891" s="104"/>
      <c r="J891" s="104"/>
      <c r="K891" s="104"/>
      <c r="L891" s="104"/>
    </row>
    <row r="892" spans="1:12" x14ac:dyDescent="0.25">
      <c r="A892" s="6"/>
      <c r="B892" s="6"/>
      <c r="C892" s="102"/>
      <c r="D892" s="102"/>
      <c r="E892" s="102"/>
      <c r="F892" s="103"/>
      <c r="G892" s="103"/>
      <c r="H892" s="6"/>
      <c r="I892" s="104"/>
      <c r="J892" s="104"/>
      <c r="K892" s="104"/>
      <c r="L892" s="104"/>
    </row>
    <row r="893" spans="1:12" x14ac:dyDescent="0.25">
      <c r="A893" s="6"/>
      <c r="B893" s="6"/>
      <c r="C893" s="102"/>
      <c r="D893" s="102"/>
      <c r="E893" s="102"/>
      <c r="F893" s="103"/>
      <c r="G893" s="103"/>
      <c r="H893" s="6"/>
      <c r="I893" s="104"/>
      <c r="J893" s="104"/>
      <c r="K893" s="104"/>
      <c r="L893" s="104"/>
    </row>
    <row r="894" spans="1:12" x14ac:dyDescent="0.25">
      <c r="A894" s="6"/>
      <c r="B894" s="6"/>
      <c r="C894" s="102"/>
      <c r="D894" s="102"/>
      <c r="E894" s="102"/>
      <c r="F894" s="103"/>
      <c r="G894" s="103"/>
      <c r="H894" s="6"/>
      <c r="I894" s="104"/>
      <c r="J894" s="104"/>
      <c r="K894" s="104"/>
      <c r="L894" s="104"/>
    </row>
    <row r="895" spans="1:12" x14ac:dyDescent="0.25">
      <c r="A895" s="6"/>
      <c r="B895" s="6"/>
      <c r="C895" s="102"/>
      <c r="D895" s="102"/>
      <c r="E895" s="102"/>
      <c r="F895" s="103"/>
      <c r="G895" s="103"/>
      <c r="H895" s="6"/>
      <c r="I895" s="104"/>
      <c r="J895" s="104"/>
      <c r="K895" s="104"/>
      <c r="L895" s="104"/>
    </row>
    <row r="896" spans="1:12" x14ac:dyDescent="0.25">
      <c r="A896" s="6"/>
      <c r="B896" s="6"/>
      <c r="C896" s="102"/>
      <c r="D896" s="102"/>
      <c r="E896" s="102"/>
      <c r="F896" s="103"/>
      <c r="G896" s="103"/>
      <c r="H896" s="6"/>
      <c r="I896" s="104"/>
      <c r="J896" s="104"/>
      <c r="K896" s="104"/>
      <c r="L896" s="104"/>
    </row>
    <row r="897" spans="1:12" x14ac:dyDescent="0.25">
      <c r="A897" s="6"/>
      <c r="B897" s="6"/>
      <c r="C897" s="102"/>
      <c r="D897" s="102"/>
      <c r="E897" s="102"/>
      <c r="F897" s="103"/>
      <c r="G897" s="103"/>
      <c r="H897" s="6"/>
      <c r="I897" s="104"/>
      <c r="J897" s="104"/>
      <c r="K897" s="104"/>
      <c r="L897" s="104"/>
    </row>
    <row r="898" spans="1:12" x14ac:dyDescent="0.25">
      <c r="A898" s="6"/>
      <c r="B898" s="6"/>
      <c r="C898" s="102"/>
      <c r="D898" s="102"/>
      <c r="E898" s="102"/>
      <c r="F898" s="103"/>
      <c r="G898" s="103"/>
      <c r="H898" s="6"/>
      <c r="I898" s="104"/>
      <c r="J898" s="104"/>
      <c r="K898" s="104"/>
      <c r="L898" s="104"/>
    </row>
    <row r="899" spans="1:12" x14ac:dyDescent="0.25">
      <c r="A899" s="6"/>
      <c r="B899" s="6"/>
      <c r="C899" s="102"/>
      <c r="D899" s="102"/>
      <c r="E899" s="102"/>
      <c r="F899" s="103"/>
      <c r="G899" s="103"/>
      <c r="H899" s="6"/>
      <c r="I899" s="104"/>
      <c r="J899" s="104"/>
      <c r="K899" s="104"/>
      <c r="L899" s="104"/>
    </row>
    <row r="900" spans="1:12" x14ac:dyDescent="0.25">
      <c r="A900" s="6"/>
      <c r="B900" s="6"/>
      <c r="C900" s="102"/>
      <c r="D900" s="102"/>
      <c r="E900" s="102"/>
      <c r="F900" s="103"/>
      <c r="G900" s="103"/>
      <c r="H900" s="6"/>
      <c r="I900" s="104"/>
      <c r="J900" s="104"/>
      <c r="K900" s="104"/>
      <c r="L900" s="104"/>
    </row>
    <row r="901" spans="1:12" x14ac:dyDescent="0.25">
      <c r="A901" s="6"/>
      <c r="B901" s="6"/>
      <c r="C901" s="102"/>
      <c r="D901" s="102"/>
      <c r="E901" s="102"/>
      <c r="F901" s="103"/>
      <c r="G901" s="103"/>
      <c r="H901" s="6"/>
      <c r="I901" s="104"/>
      <c r="J901" s="104"/>
      <c r="K901" s="104"/>
      <c r="L901" s="104"/>
    </row>
    <row r="902" spans="1:12" x14ac:dyDescent="0.25">
      <c r="A902" s="6"/>
      <c r="B902" s="6"/>
      <c r="C902" s="102"/>
      <c r="D902" s="102"/>
      <c r="E902" s="102"/>
      <c r="F902" s="103"/>
      <c r="G902" s="103"/>
      <c r="H902" s="6"/>
      <c r="I902" s="104"/>
      <c r="J902" s="104"/>
      <c r="K902" s="104"/>
      <c r="L902" s="104"/>
    </row>
    <row r="903" spans="1:12" x14ac:dyDescent="0.25">
      <c r="A903" s="6"/>
      <c r="B903" s="6"/>
      <c r="C903" s="102"/>
      <c r="D903" s="102"/>
      <c r="E903" s="102"/>
      <c r="F903" s="103"/>
      <c r="G903" s="103"/>
      <c r="H903" s="6"/>
      <c r="I903" s="104"/>
      <c r="J903" s="104"/>
      <c r="K903" s="104"/>
      <c r="L903" s="104"/>
    </row>
    <row r="904" spans="1:12" x14ac:dyDescent="0.25">
      <c r="A904" s="6"/>
      <c r="B904" s="6"/>
      <c r="C904" s="102"/>
      <c r="D904" s="102"/>
      <c r="E904" s="102"/>
      <c r="F904" s="103"/>
      <c r="G904" s="103"/>
      <c r="H904" s="6"/>
      <c r="I904" s="104"/>
      <c r="J904" s="104"/>
      <c r="K904" s="104"/>
      <c r="L904" s="104"/>
    </row>
    <row r="905" spans="1:12" x14ac:dyDescent="0.25">
      <c r="A905" s="6"/>
      <c r="B905" s="6"/>
      <c r="C905" s="102"/>
      <c r="D905" s="102"/>
      <c r="E905" s="102"/>
      <c r="F905" s="103"/>
      <c r="G905" s="103"/>
      <c r="H905" s="6"/>
      <c r="I905" s="104"/>
      <c r="J905" s="104"/>
      <c r="K905" s="104"/>
      <c r="L905" s="104"/>
    </row>
    <row r="906" spans="1:12" x14ac:dyDescent="0.25">
      <c r="A906" s="6"/>
      <c r="B906" s="6"/>
      <c r="C906" s="102"/>
      <c r="D906" s="102"/>
      <c r="E906" s="102"/>
      <c r="F906" s="103"/>
      <c r="G906" s="103"/>
      <c r="H906" s="6"/>
      <c r="I906" s="104"/>
      <c r="J906" s="104"/>
      <c r="K906" s="104"/>
      <c r="L906" s="104"/>
    </row>
    <row r="907" spans="1:12" x14ac:dyDescent="0.25">
      <c r="A907" s="6"/>
      <c r="B907" s="6"/>
      <c r="C907" s="102"/>
      <c r="D907" s="102"/>
      <c r="E907" s="102"/>
      <c r="F907" s="103"/>
      <c r="G907" s="103"/>
      <c r="H907" s="6"/>
      <c r="I907" s="104"/>
      <c r="J907" s="104"/>
      <c r="K907" s="104"/>
      <c r="L907" s="104"/>
    </row>
    <row r="908" spans="1:12" x14ac:dyDescent="0.25">
      <c r="A908" s="6"/>
      <c r="B908" s="6"/>
      <c r="C908" s="102"/>
      <c r="D908" s="102"/>
      <c r="E908" s="102"/>
      <c r="F908" s="103"/>
      <c r="G908" s="103"/>
      <c r="H908" s="6"/>
      <c r="I908" s="104"/>
      <c r="J908" s="104"/>
      <c r="K908" s="104"/>
      <c r="L908" s="104"/>
    </row>
    <row r="909" spans="1:12" x14ac:dyDescent="0.25">
      <c r="A909" s="6"/>
      <c r="B909" s="6"/>
      <c r="C909" s="102"/>
      <c r="D909" s="102"/>
      <c r="E909" s="102"/>
      <c r="F909" s="103"/>
      <c r="G909" s="103"/>
      <c r="H909" s="6"/>
      <c r="I909" s="104"/>
      <c r="J909" s="104"/>
      <c r="K909" s="104"/>
      <c r="L909" s="104"/>
    </row>
    <row r="910" spans="1:12" x14ac:dyDescent="0.25">
      <c r="A910" s="6"/>
      <c r="B910" s="6"/>
      <c r="C910" s="102"/>
      <c r="D910" s="102"/>
      <c r="E910" s="102"/>
      <c r="F910" s="103"/>
      <c r="G910" s="103"/>
      <c r="H910" s="6"/>
      <c r="I910" s="104"/>
      <c r="J910" s="104"/>
      <c r="K910" s="104"/>
      <c r="L910" s="104"/>
    </row>
    <row r="911" spans="1:12" x14ac:dyDescent="0.25">
      <c r="A911" s="6"/>
      <c r="B911" s="6"/>
      <c r="C911" s="102"/>
      <c r="D911" s="102"/>
      <c r="E911" s="102"/>
      <c r="F911" s="103"/>
      <c r="G911" s="103"/>
      <c r="H911" s="6"/>
      <c r="I911" s="104"/>
      <c r="J911" s="104"/>
      <c r="K911" s="104"/>
      <c r="L911" s="104"/>
    </row>
    <row r="912" spans="1:12" x14ac:dyDescent="0.25">
      <c r="A912" s="6"/>
      <c r="B912" s="6"/>
      <c r="C912" s="102"/>
      <c r="D912" s="102"/>
      <c r="E912" s="102"/>
      <c r="F912" s="103"/>
      <c r="G912" s="103"/>
      <c r="H912" s="6"/>
      <c r="I912" s="104"/>
      <c r="J912" s="104"/>
      <c r="K912" s="104"/>
      <c r="L912" s="104"/>
    </row>
    <row r="913" spans="1:12" x14ac:dyDescent="0.25">
      <c r="A913" s="6"/>
      <c r="B913" s="6"/>
      <c r="C913" s="102"/>
      <c r="D913" s="102"/>
      <c r="E913" s="102"/>
      <c r="F913" s="103"/>
      <c r="G913" s="103"/>
      <c r="H913" s="6"/>
      <c r="I913" s="104"/>
      <c r="J913" s="104"/>
      <c r="K913" s="104"/>
      <c r="L913" s="104"/>
    </row>
    <row r="914" spans="1:12" x14ac:dyDescent="0.25">
      <c r="A914" s="6"/>
      <c r="B914" s="6"/>
      <c r="C914" s="102"/>
      <c r="D914" s="102"/>
      <c r="E914" s="102"/>
      <c r="F914" s="103"/>
      <c r="G914" s="103"/>
      <c r="H914" s="6"/>
      <c r="I914" s="104"/>
      <c r="J914" s="104"/>
      <c r="K914" s="104"/>
      <c r="L914" s="104"/>
    </row>
    <row r="915" spans="1:12" x14ac:dyDescent="0.25">
      <c r="A915" s="6"/>
      <c r="B915" s="6"/>
      <c r="C915" s="102"/>
      <c r="D915" s="102"/>
      <c r="E915" s="102"/>
      <c r="F915" s="103"/>
      <c r="G915" s="103"/>
      <c r="H915" s="6"/>
      <c r="I915" s="104"/>
      <c r="J915" s="104"/>
      <c r="K915" s="104"/>
      <c r="L915" s="104"/>
    </row>
    <row r="916" spans="1:12" x14ac:dyDescent="0.25">
      <c r="A916" s="6"/>
      <c r="B916" s="6"/>
      <c r="C916" s="102"/>
      <c r="D916" s="102"/>
      <c r="E916" s="102"/>
      <c r="F916" s="103"/>
      <c r="G916" s="103"/>
      <c r="H916" s="6"/>
      <c r="I916" s="104"/>
      <c r="J916" s="104"/>
      <c r="K916" s="104"/>
      <c r="L916" s="104"/>
    </row>
    <row r="917" spans="1:12" x14ac:dyDescent="0.25">
      <c r="A917" s="6"/>
      <c r="B917" s="6"/>
      <c r="C917" s="102"/>
      <c r="D917" s="102"/>
      <c r="E917" s="102"/>
      <c r="F917" s="103"/>
      <c r="G917" s="103"/>
      <c r="H917" s="6"/>
      <c r="I917" s="104"/>
      <c r="J917" s="104"/>
      <c r="K917" s="104"/>
      <c r="L917" s="104"/>
    </row>
    <row r="918" spans="1:12" x14ac:dyDescent="0.25">
      <c r="A918" s="6"/>
      <c r="B918" s="6"/>
      <c r="C918" s="102"/>
      <c r="D918" s="102"/>
      <c r="E918" s="102"/>
      <c r="F918" s="103"/>
      <c r="G918" s="103"/>
      <c r="H918" s="6"/>
      <c r="I918" s="104"/>
      <c r="J918" s="104"/>
      <c r="K918" s="104"/>
      <c r="L918" s="104"/>
    </row>
    <row r="919" spans="1:12" x14ac:dyDescent="0.25">
      <c r="A919" s="6"/>
      <c r="B919" s="6"/>
      <c r="C919" s="102"/>
      <c r="D919" s="102"/>
      <c r="E919" s="102"/>
      <c r="F919" s="103"/>
      <c r="G919" s="103"/>
      <c r="H919" s="6"/>
      <c r="I919" s="104"/>
      <c r="J919" s="104"/>
      <c r="K919" s="104"/>
      <c r="L919" s="104"/>
    </row>
    <row r="920" spans="1:12" x14ac:dyDescent="0.25">
      <c r="A920" s="6"/>
      <c r="B920" s="6"/>
      <c r="C920" s="102"/>
      <c r="D920" s="102"/>
      <c r="E920" s="102"/>
      <c r="F920" s="103"/>
      <c r="G920" s="103"/>
      <c r="H920" s="6"/>
      <c r="I920" s="104"/>
      <c r="J920" s="104"/>
      <c r="K920" s="104"/>
      <c r="L920" s="104"/>
    </row>
    <row r="921" spans="1:12" x14ac:dyDescent="0.25">
      <c r="A921" s="6"/>
      <c r="B921" s="6"/>
      <c r="C921" s="102"/>
      <c r="D921" s="102"/>
      <c r="E921" s="102"/>
      <c r="F921" s="103"/>
      <c r="G921" s="103"/>
      <c r="H921" s="6"/>
      <c r="I921" s="104"/>
      <c r="J921" s="104"/>
      <c r="K921" s="104"/>
      <c r="L921" s="104"/>
    </row>
    <row r="922" spans="1:12" x14ac:dyDescent="0.25">
      <c r="A922" s="6"/>
      <c r="B922" s="6"/>
      <c r="C922" s="102"/>
      <c r="D922" s="102"/>
      <c r="E922" s="102"/>
      <c r="F922" s="103"/>
      <c r="G922" s="103"/>
      <c r="H922" s="6"/>
      <c r="I922" s="104"/>
      <c r="J922" s="104"/>
      <c r="K922" s="104"/>
      <c r="L922" s="104"/>
    </row>
    <row r="923" spans="1:12" x14ac:dyDescent="0.25">
      <c r="A923" s="6"/>
      <c r="B923" s="6"/>
      <c r="C923" s="102"/>
      <c r="D923" s="102"/>
      <c r="E923" s="102"/>
      <c r="F923" s="103"/>
      <c r="G923" s="103"/>
      <c r="H923" s="6"/>
      <c r="I923" s="104"/>
      <c r="J923" s="104"/>
      <c r="K923" s="104"/>
      <c r="L923" s="104"/>
    </row>
    <row r="924" spans="1:12" x14ac:dyDescent="0.25">
      <c r="A924" s="6"/>
      <c r="B924" s="6"/>
      <c r="C924" s="102"/>
      <c r="D924" s="102"/>
      <c r="E924" s="102"/>
      <c r="F924" s="103"/>
      <c r="G924" s="103"/>
      <c r="H924" s="6"/>
      <c r="I924" s="104"/>
      <c r="J924" s="104"/>
      <c r="K924" s="104"/>
      <c r="L924" s="104"/>
    </row>
    <row r="925" spans="1:12" x14ac:dyDescent="0.25">
      <c r="A925" s="6"/>
      <c r="B925" s="6"/>
      <c r="C925" s="102"/>
      <c r="D925" s="102"/>
      <c r="E925" s="102"/>
      <c r="F925" s="103"/>
      <c r="G925" s="103"/>
      <c r="H925" s="6"/>
      <c r="I925" s="104"/>
      <c r="J925" s="104"/>
      <c r="K925" s="104"/>
      <c r="L925" s="104"/>
    </row>
    <row r="926" spans="1:12" x14ac:dyDescent="0.25">
      <c r="A926" s="6"/>
      <c r="B926" s="6"/>
      <c r="C926" s="102"/>
      <c r="D926" s="102"/>
      <c r="E926" s="102"/>
      <c r="F926" s="103"/>
      <c r="G926" s="103"/>
      <c r="H926" s="6"/>
      <c r="I926" s="104"/>
      <c r="J926" s="104"/>
      <c r="K926" s="104"/>
      <c r="L926" s="104"/>
    </row>
    <row r="927" spans="1:12" x14ac:dyDescent="0.25">
      <c r="A927" s="6"/>
      <c r="B927" s="6"/>
      <c r="C927" s="102"/>
      <c r="D927" s="102"/>
      <c r="E927" s="102"/>
      <c r="F927" s="103"/>
      <c r="G927" s="103"/>
      <c r="H927" s="6"/>
      <c r="I927" s="104"/>
      <c r="J927" s="104"/>
      <c r="K927" s="104"/>
      <c r="L927" s="104"/>
    </row>
    <row r="928" spans="1:12" x14ac:dyDescent="0.25">
      <c r="A928" s="6"/>
      <c r="B928" s="6"/>
      <c r="C928" s="102"/>
      <c r="D928" s="102"/>
      <c r="E928" s="102"/>
      <c r="F928" s="103"/>
      <c r="G928" s="103"/>
      <c r="H928" s="6"/>
      <c r="I928" s="104"/>
      <c r="J928" s="104"/>
      <c r="K928" s="104"/>
      <c r="L928" s="104"/>
    </row>
    <row r="929" spans="1:12" x14ac:dyDescent="0.25">
      <c r="A929" s="6"/>
      <c r="B929" s="6"/>
      <c r="C929" s="102"/>
      <c r="D929" s="102"/>
      <c r="E929" s="102"/>
      <c r="F929" s="103"/>
      <c r="G929" s="103"/>
      <c r="H929" s="6"/>
      <c r="I929" s="104"/>
      <c r="J929" s="104"/>
      <c r="K929" s="104"/>
      <c r="L929" s="104"/>
    </row>
    <row r="930" spans="1:12" x14ac:dyDescent="0.25">
      <c r="A930" s="6"/>
      <c r="B930" s="6"/>
      <c r="C930" s="102"/>
      <c r="D930" s="102"/>
      <c r="E930" s="102"/>
      <c r="F930" s="103"/>
      <c r="G930" s="103"/>
      <c r="H930" s="6"/>
      <c r="I930" s="104"/>
      <c r="J930" s="104"/>
      <c r="K930" s="104"/>
      <c r="L930" s="104"/>
    </row>
    <row r="931" spans="1:12" x14ac:dyDescent="0.25">
      <c r="A931" s="6"/>
      <c r="B931" s="6"/>
      <c r="C931" s="102"/>
      <c r="D931" s="102"/>
      <c r="E931" s="102"/>
      <c r="F931" s="103"/>
      <c r="G931" s="103"/>
      <c r="H931" s="6"/>
      <c r="I931" s="104"/>
      <c r="J931" s="104"/>
      <c r="K931" s="104"/>
      <c r="L931" s="104"/>
    </row>
    <row r="932" spans="1:12" x14ac:dyDescent="0.25">
      <c r="A932" s="6"/>
      <c r="B932" s="6"/>
      <c r="C932" s="102"/>
      <c r="D932" s="102"/>
      <c r="E932" s="102"/>
      <c r="F932" s="103"/>
      <c r="G932" s="103"/>
      <c r="H932" s="6"/>
      <c r="I932" s="104"/>
      <c r="J932" s="104"/>
      <c r="K932" s="104"/>
      <c r="L932" s="104"/>
    </row>
    <row r="933" spans="1:12" x14ac:dyDescent="0.25">
      <c r="A933" s="6"/>
      <c r="B933" s="6"/>
      <c r="C933" s="102"/>
      <c r="D933" s="102"/>
      <c r="E933" s="102"/>
      <c r="F933" s="103"/>
      <c r="G933" s="103"/>
      <c r="H933" s="6"/>
      <c r="I933" s="104"/>
      <c r="J933" s="104"/>
      <c r="K933" s="104"/>
      <c r="L933" s="104"/>
    </row>
    <row r="934" spans="1:12" x14ac:dyDescent="0.25">
      <c r="A934" s="6"/>
      <c r="B934" s="6"/>
      <c r="C934" s="102"/>
      <c r="D934" s="102"/>
      <c r="E934" s="102"/>
      <c r="F934" s="103"/>
      <c r="G934" s="103"/>
      <c r="H934" s="6"/>
      <c r="I934" s="104"/>
      <c r="J934" s="104"/>
      <c r="K934" s="104"/>
      <c r="L934" s="104"/>
    </row>
    <row r="935" spans="1:12" x14ac:dyDescent="0.25">
      <c r="A935" s="6"/>
      <c r="B935" s="6"/>
      <c r="C935" s="102"/>
      <c r="D935" s="102"/>
      <c r="E935" s="102"/>
      <c r="F935" s="103"/>
      <c r="G935" s="103"/>
      <c r="H935" s="6"/>
      <c r="I935" s="104"/>
      <c r="J935" s="104"/>
      <c r="K935" s="104"/>
      <c r="L935" s="104"/>
    </row>
    <row r="936" spans="1:12" x14ac:dyDescent="0.25">
      <c r="A936" s="6"/>
      <c r="B936" s="6"/>
      <c r="C936" s="102"/>
      <c r="D936" s="102"/>
      <c r="E936" s="102"/>
      <c r="F936" s="103"/>
      <c r="G936" s="103"/>
      <c r="H936" s="6"/>
      <c r="I936" s="104"/>
      <c r="J936" s="104"/>
      <c r="K936" s="104"/>
      <c r="L936" s="104"/>
    </row>
    <row r="937" spans="1:12" x14ac:dyDescent="0.25">
      <c r="A937" s="6"/>
      <c r="B937" s="6"/>
      <c r="C937" s="102"/>
      <c r="D937" s="102"/>
      <c r="E937" s="102"/>
      <c r="F937" s="103"/>
      <c r="G937" s="103"/>
      <c r="H937" s="6"/>
      <c r="I937" s="104"/>
      <c r="J937" s="104"/>
      <c r="K937" s="104"/>
      <c r="L937" s="104"/>
    </row>
    <row r="938" spans="1:12" x14ac:dyDescent="0.25">
      <c r="A938" s="6"/>
      <c r="B938" s="6"/>
      <c r="C938" s="102"/>
      <c r="D938" s="102"/>
      <c r="E938" s="102"/>
      <c r="F938" s="103"/>
      <c r="G938" s="103"/>
      <c r="H938" s="6"/>
      <c r="I938" s="104"/>
      <c r="J938" s="104"/>
      <c r="K938" s="104"/>
      <c r="L938" s="104"/>
    </row>
    <row r="939" spans="1:12" x14ac:dyDescent="0.25">
      <c r="A939" s="6"/>
      <c r="B939" s="6"/>
      <c r="C939" s="102"/>
      <c r="D939" s="102"/>
      <c r="E939" s="102"/>
      <c r="F939" s="103"/>
      <c r="G939" s="103"/>
      <c r="H939" s="6"/>
      <c r="I939" s="104"/>
      <c r="J939" s="104"/>
      <c r="K939" s="104"/>
      <c r="L939" s="104"/>
    </row>
    <row r="940" spans="1:12" x14ac:dyDescent="0.25">
      <c r="A940" s="6"/>
      <c r="B940" s="6"/>
      <c r="C940" s="102"/>
      <c r="D940" s="102"/>
      <c r="E940" s="102"/>
      <c r="F940" s="103"/>
      <c r="G940" s="103"/>
      <c r="H940" s="6"/>
      <c r="I940" s="104"/>
      <c r="J940" s="104"/>
      <c r="K940" s="104"/>
      <c r="L940" s="104"/>
    </row>
    <row r="941" spans="1:12" x14ac:dyDescent="0.25">
      <c r="A941" s="6"/>
      <c r="B941" s="6"/>
      <c r="C941" s="102"/>
      <c r="D941" s="102"/>
      <c r="E941" s="102"/>
      <c r="F941" s="103"/>
      <c r="G941" s="103"/>
      <c r="H941" s="6"/>
      <c r="I941" s="104"/>
      <c r="J941" s="104"/>
      <c r="K941" s="104"/>
      <c r="L941" s="104"/>
    </row>
    <row r="942" spans="1:12" x14ac:dyDescent="0.25">
      <c r="A942" s="6"/>
      <c r="B942" s="6"/>
      <c r="C942" s="102"/>
      <c r="D942" s="102"/>
      <c r="E942" s="102"/>
      <c r="F942" s="103"/>
      <c r="G942" s="103"/>
      <c r="H942" s="6"/>
      <c r="I942" s="104"/>
      <c r="J942" s="104"/>
      <c r="K942" s="104"/>
      <c r="L942" s="104"/>
    </row>
    <row r="943" spans="1:12" x14ac:dyDescent="0.25">
      <c r="A943" s="6"/>
      <c r="B943" s="6"/>
      <c r="C943" s="102"/>
      <c r="D943" s="102"/>
      <c r="E943" s="102"/>
      <c r="F943" s="103"/>
      <c r="G943" s="103"/>
      <c r="H943" s="6"/>
      <c r="I943" s="104"/>
      <c r="J943" s="104"/>
      <c r="K943" s="104"/>
      <c r="L943" s="104"/>
    </row>
    <row r="944" spans="1:12" x14ac:dyDescent="0.25">
      <c r="A944" s="6"/>
      <c r="B944" s="6"/>
      <c r="C944" s="102"/>
      <c r="D944" s="102"/>
      <c r="E944" s="102"/>
      <c r="F944" s="103"/>
      <c r="G944" s="103"/>
      <c r="H944" s="6"/>
      <c r="I944" s="104"/>
      <c r="J944" s="104"/>
      <c r="K944" s="104"/>
      <c r="L944" s="104"/>
    </row>
    <row r="945" spans="1:12" x14ac:dyDescent="0.25">
      <c r="A945" s="6"/>
      <c r="B945" s="6"/>
      <c r="C945" s="102"/>
      <c r="D945" s="102"/>
      <c r="E945" s="102"/>
      <c r="F945" s="103"/>
      <c r="G945" s="103"/>
      <c r="H945" s="6"/>
      <c r="I945" s="104"/>
      <c r="J945" s="104"/>
      <c r="K945" s="104"/>
      <c r="L945" s="104"/>
    </row>
    <row r="946" spans="1:12" x14ac:dyDescent="0.25">
      <c r="A946" s="6"/>
      <c r="B946" s="6"/>
      <c r="C946" s="102"/>
      <c r="D946" s="102"/>
      <c r="E946" s="102"/>
      <c r="F946" s="103"/>
      <c r="G946" s="103"/>
      <c r="H946" s="6"/>
      <c r="I946" s="104"/>
      <c r="J946" s="104"/>
      <c r="K946" s="104"/>
      <c r="L946" s="104"/>
    </row>
    <row r="947" spans="1:12" x14ac:dyDescent="0.25">
      <c r="A947" s="6"/>
      <c r="B947" s="6"/>
      <c r="C947" s="102"/>
      <c r="D947" s="102"/>
      <c r="E947" s="102"/>
      <c r="F947" s="103"/>
      <c r="G947" s="103"/>
      <c r="H947" s="6"/>
      <c r="I947" s="104"/>
      <c r="J947" s="104"/>
      <c r="K947" s="104"/>
      <c r="L947" s="104"/>
    </row>
    <row r="948" spans="1:12" x14ac:dyDescent="0.25">
      <c r="A948" s="6"/>
      <c r="B948" s="6"/>
      <c r="C948" s="102"/>
      <c r="D948" s="102"/>
      <c r="E948" s="102"/>
      <c r="F948" s="103"/>
      <c r="G948" s="103"/>
      <c r="H948" s="6"/>
      <c r="I948" s="104"/>
      <c r="J948" s="104"/>
      <c r="K948" s="104"/>
      <c r="L948" s="104"/>
    </row>
    <row r="949" spans="1:12" x14ac:dyDescent="0.25">
      <c r="A949" s="6"/>
      <c r="B949" s="6"/>
      <c r="C949" s="102"/>
      <c r="D949" s="102"/>
      <c r="E949" s="102"/>
      <c r="F949" s="103"/>
      <c r="G949" s="103"/>
      <c r="H949" s="6"/>
      <c r="I949" s="104"/>
      <c r="J949" s="104"/>
      <c r="K949" s="104"/>
      <c r="L949" s="104"/>
    </row>
    <row r="950" spans="1:12" x14ac:dyDescent="0.25">
      <c r="A950" s="6"/>
      <c r="B950" s="6"/>
      <c r="C950" s="102"/>
      <c r="D950" s="102"/>
      <c r="E950" s="102"/>
      <c r="F950" s="103"/>
      <c r="G950" s="103"/>
      <c r="H950" s="6"/>
      <c r="I950" s="104"/>
      <c r="J950" s="104"/>
      <c r="K950" s="104"/>
      <c r="L950" s="104"/>
    </row>
    <row r="951" spans="1:12" x14ac:dyDescent="0.25">
      <c r="A951" s="6"/>
      <c r="B951" s="6"/>
      <c r="C951" s="102"/>
      <c r="D951" s="102"/>
      <c r="E951" s="102"/>
      <c r="F951" s="103"/>
      <c r="G951" s="103"/>
      <c r="H951" s="6"/>
      <c r="I951" s="104"/>
      <c r="J951" s="104"/>
      <c r="K951" s="104"/>
      <c r="L951" s="104"/>
    </row>
    <row r="952" spans="1:12" x14ac:dyDescent="0.25">
      <c r="A952" s="6"/>
      <c r="B952" s="6"/>
      <c r="C952" s="102"/>
      <c r="D952" s="102"/>
      <c r="E952" s="102"/>
      <c r="F952" s="103"/>
      <c r="G952" s="103"/>
      <c r="H952" s="6"/>
      <c r="I952" s="104"/>
      <c r="J952" s="104"/>
      <c r="K952" s="104"/>
      <c r="L952" s="104"/>
    </row>
    <row r="953" spans="1:12" x14ac:dyDescent="0.25">
      <c r="A953" s="6"/>
      <c r="B953" s="6"/>
      <c r="C953" s="102"/>
      <c r="D953" s="102"/>
      <c r="E953" s="102"/>
      <c r="F953" s="103"/>
      <c r="G953" s="103"/>
      <c r="H953" s="6"/>
      <c r="I953" s="104"/>
      <c r="J953" s="104"/>
      <c r="K953" s="104"/>
      <c r="L953" s="104"/>
    </row>
    <row r="954" spans="1:12" x14ac:dyDescent="0.25">
      <c r="A954" s="6"/>
      <c r="B954" s="6"/>
      <c r="C954" s="102"/>
      <c r="D954" s="102"/>
      <c r="E954" s="102"/>
      <c r="F954" s="103"/>
      <c r="G954" s="103"/>
      <c r="H954" s="6"/>
      <c r="I954" s="104"/>
      <c r="J954" s="104"/>
      <c r="K954" s="104"/>
      <c r="L954" s="104"/>
    </row>
    <row r="955" spans="1:12" x14ac:dyDescent="0.25">
      <c r="A955" s="6"/>
      <c r="B955" s="6"/>
      <c r="C955" s="102"/>
      <c r="D955" s="102"/>
      <c r="E955" s="102"/>
      <c r="F955" s="103"/>
      <c r="G955" s="103"/>
      <c r="H955" s="6"/>
      <c r="I955" s="104"/>
      <c r="J955" s="104"/>
      <c r="K955" s="104"/>
      <c r="L955" s="104"/>
    </row>
    <row r="956" spans="1:12" x14ac:dyDescent="0.25">
      <c r="A956" s="6"/>
      <c r="B956" s="6"/>
      <c r="C956" s="102"/>
      <c r="D956" s="102"/>
      <c r="E956" s="102"/>
      <c r="F956" s="103"/>
      <c r="G956" s="103"/>
      <c r="H956" s="6"/>
      <c r="I956" s="104"/>
      <c r="J956" s="104"/>
      <c r="K956" s="104"/>
      <c r="L956" s="104"/>
    </row>
    <row r="957" spans="1:12" x14ac:dyDescent="0.25">
      <c r="A957" s="6"/>
      <c r="B957" s="6"/>
      <c r="C957" s="102"/>
      <c r="D957" s="102"/>
      <c r="E957" s="102"/>
      <c r="F957" s="103"/>
      <c r="G957" s="103"/>
      <c r="H957" s="6"/>
      <c r="I957" s="104"/>
      <c r="J957" s="104"/>
      <c r="K957" s="104"/>
      <c r="L957" s="104"/>
    </row>
    <row r="958" spans="1:12" x14ac:dyDescent="0.25">
      <c r="A958" s="6"/>
      <c r="B958" s="6"/>
      <c r="C958" s="102"/>
      <c r="D958" s="102"/>
      <c r="E958" s="102"/>
      <c r="F958" s="103"/>
      <c r="G958" s="103"/>
      <c r="H958" s="6"/>
      <c r="I958" s="104"/>
      <c r="J958" s="104"/>
      <c r="K958" s="104"/>
      <c r="L958" s="104"/>
    </row>
    <row r="959" spans="1:12" x14ac:dyDescent="0.25">
      <c r="A959" s="6"/>
      <c r="B959" s="6"/>
      <c r="C959" s="102"/>
      <c r="D959" s="102"/>
      <c r="E959" s="102"/>
      <c r="F959" s="103"/>
      <c r="G959" s="103"/>
      <c r="H959" s="6"/>
      <c r="I959" s="104"/>
      <c r="J959" s="104"/>
      <c r="K959" s="104"/>
      <c r="L959" s="104"/>
    </row>
    <row r="960" spans="1:12" x14ac:dyDescent="0.25">
      <c r="A960" s="6"/>
      <c r="B960" s="6"/>
      <c r="C960" s="102"/>
      <c r="D960" s="102"/>
      <c r="E960" s="102"/>
      <c r="F960" s="103"/>
      <c r="G960" s="103"/>
      <c r="H960" s="6"/>
      <c r="I960" s="104"/>
      <c r="J960" s="104"/>
      <c r="K960" s="104"/>
      <c r="L960" s="104"/>
    </row>
    <row r="961" spans="1:12" x14ac:dyDescent="0.25">
      <c r="A961" s="6"/>
      <c r="B961" s="6"/>
      <c r="C961" s="102"/>
      <c r="D961" s="102"/>
      <c r="E961" s="102"/>
      <c r="F961" s="103"/>
      <c r="G961" s="103"/>
      <c r="H961" s="6"/>
      <c r="I961" s="104"/>
      <c r="J961" s="104"/>
      <c r="K961" s="104"/>
      <c r="L961" s="104"/>
    </row>
    <row r="962" spans="1:12" x14ac:dyDescent="0.25">
      <c r="A962" s="6"/>
      <c r="B962" s="6"/>
      <c r="C962" s="102"/>
      <c r="D962" s="102"/>
      <c r="E962" s="102"/>
      <c r="F962" s="103"/>
      <c r="G962" s="103"/>
      <c r="H962" s="6"/>
      <c r="I962" s="104"/>
      <c r="J962" s="104"/>
      <c r="K962" s="104"/>
      <c r="L962" s="104"/>
    </row>
    <row r="963" spans="1:12" x14ac:dyDescent="0.25">
      <c r="A963" s="6"/>
      <c r="B963" s="6"/>
      <c r="C963" s="102"/>
      <c r="D963" s="102"/>
      <c r="E963" s="102"/>
      <c r="F963" s="103"/>
      <c r="G963" s="103"/>
      <c r="H963" s="6"/>
      <c r="I963" s="104"/>
      <c r="J963" s="104"/>
      <c r="K963" s="104"/>
      <c r="L963" s="104"/>
    </row>
    <row r="964" spans="1:12" x14ac:dyDescent="0.25">
      <c r="A964" s="6"/>
      <c r="B964" s="6"/>
      <c r="C964" s="102"/>
      <c r="D964" s="102"/>
      <c r="E964" s="102"/>
      <c r="F964" s="103"/>
      <c r="G964" s="103"/>
      <c r="H964" s="6"/>
      <c r="I964" s="104"/>
      <c r="J964" s="104"/>
      <c r="K964" s="104"/>
      <c r="L964" s="104"/>
    </row>
    <row r="965" spans="1:12" x14ac:dyDescent="0.25">
      <c r="A965" s="6"/>
      <c r="B965" s="6"/>
      <c r="C965" s="102"/>
      <c r="D965" s="102"/>
      <c r="E965" s="102"/>
      <c r="F965" s="103"/>
      <c r="G965" s="103"/>
      <c r="H965" s="6"/>
      <c r="I965" s="104"/>
      <c r="J965" s="104"/>
      <c r="K965" s="104"/>
      <c r="L965" s="104"/>
    </row>
    <row r="966" spans="1:12" x14ac:dyDescent="0.25">
      <c r="A966" s="6"/>
      <c r="B966" s="6"/>
      <c r="C966" s="102"/>
      <c r="D966" s="102"/>
      <c r="E966" s="102"/>
      <c r="F966" s="103"/>
      <c r="G966" s="103"/>
      <c r="H966" s="6"/>
      <c r="I966" s="104"/>
      <c r="J966" s="104"/>
      <c r="K966" s="104"/>
      <c r="L966" s="104"/>
    </row>
    <row r="967" spans="1:12" x14ac:dyDescent="0.25">
      <c r="A967" s="6"/>
      <c r="B967" s="6"/>
      <c r="C967" s="102"/>
      <c r="D967" s="102"/>
      <c r="E967" s="102"/>
      <c r="F967" s="103"/>
      <c r="G967" s="103"/>
      <c r="H967" s="6"/>
      <c r="I967" s="104"/>
      <c r="J967" s="104"/>
      <c r="K967" s="104"/>
      <c r="L967" s="104"/>
    </row>
    <row r="968" spans="1:12" x14ac:dyDescent="0.25">
      <c r="A968" s="6"/>
      <c r="B968" s="6"/>
      <c r="C968" s="102"/>
      <c r="D968" s="102"/>
      <c r="E968" s="102"/>
      <c r="F968" s="103"/>
      <c r="G968" s="103"/>
      <c r="H968" s="6"/>
      <c r="I968" s="104"/>
      <c r="J968" s="104"/>
      <c r="K968" s="104"/>
      <c r="L968" s="104"/>
    </row>
    <row r="969" spans="1:12" x14ac:dyDescent="0.25">
      <c r="A969" s="6"/>
      <c r="B969" s="6"/>
      <c r="C969" s="102"/>
      <c r="D969" s="102"/>
      <c r="E969" s="102"/>
      <c r="F969" s="103"/>
      <c r="G969" s="103"/>
      <c r="H969" s="6"/>
      <c r="I969" s="104"/>
      <c r="J969" s="104"/>
      <c r="K969" s="104"/>
      <c r="L969" s="104"/>
    </row>
    <row r="970" spans="1:12" x14ac:dyDescent="0.25">
      <c r="A970" s="6"/>
      <c r="B970" s="6"/>
      <c r="C970" s="102"/>
      <c r="D970" s="102"/>
      <c r="E970" s="102"/>
      <c r="F970" s="103"/>
      <c r="G970" s="103"/>
      <c r="H970" s="6"/>
      <c r="I970" s="104"/>
      <c r="J970" s="104"/>
      <c r="K970" s="104"/>
      <c r="L970" s="104"/>
    </row>
    <row r="971" spans="1:12" x14ac:dyDescent="0.25">
      <c r="A971" s="6"/>
      <c r="B971" s="6"/>
      <c r="C971" s="102"/>
      <c r="D971" s="102"/>
      <c r="E971" s="102"/>
      <c r="F971" s="103"/>
      <c r="G971" s="103"/>
      <c r="H971" s="6"/>
      <c r="I971" s="104"/>
      <c r="J971" s="104"/>
      <c r="K971" s="104"/>
      <c r="L971" s="104"/>
    </row>
    <row r="972" spans="1:12" x14ac:dyDescent="0.25">
      <c r="A972" s="6"/>
      <c r="B972" s="6"/>
      <c r="C972" s="102"/>
      <c r="D972" s="102"/>
      <c r="E972" s="102"/>
      <c r="F972" s="103"/>
      <c r="G972" s="103"/>
      <c r="H972" s="6"/>
      <c r="I972" s="104"/>
      <c r="J972" s="104"/>
      <c r="K972" s="104"/>
      <c r="L972" s="104"/>
    </row>
    <row r="973" spans="1:12" x14ac:dyDescent="0.25">
      <c r="A973" s="6"/>
      <c r="B973" s="6"/>
      <c r="C973" s="102"/>
      <c r="D973" s="102"/>
      <c r="E973" s="102"/>
      <c r="F973" s="103"/>
      <c r="G973" s="103"/>
      <c r="H973" s="6"/>
      <c r="I973" s="104"/>
      <c r="J973" s="104"/>
      <c r="K973" s="104"/>
      <c r="L973" s="104"/>
    </row>
    <row r="974" spans="1:12" x14ac:dyDescent="0.25">
      <c r="A974" s="6"/>
      <c r="B974" s="6"/>
      <c r="C974" s="102"/>
      <c r="D974" s="102"/>
      <c r="E974" s="102"/>
      <c r="F974" s="103"/>
      <c r="G974" s="103"/>
      <c r="H974" s="6"/>
      <c r="I974" s="104"/>
      <c r="J974" s="104"/>
      <c r="K974" s="104"/>
      <c r="L974" s="104"/>
    </row>
    <row r="975" spans="1:12" x14ac:dyDescent="0.25">
      <c r="A975" s="6"/>
      <c r="B975" s="6"/>
      <c r="C975" s="102"/>
      <c r="D975" s="102"/>
      <c r="E975" s="102"/>
      <c r="F975" s="103"/>
      <c r="G975" s="103"/>
      <c r="H975" s="6"/>
      <c r="I975" s="104"/>
      <c r="J975" s="104"/>
      <c r="K975" s="104"/>
      <c r="L975" s="104"/>
    </row>
    <row r="976" spans="1:12" x14ac:dyDescent="0.25">
      <c r="A976" s="6"/>
      <c r="B976" s="6"/>
      <c r="C976" s="102"/>
      <c r="D976" s="102"/>
      <c r="E976" s="102"/>
      <c r="F976" s="103"/>
      <c r="G976" s="103"/>
      <c r="H976" s="6"/>
      <c r="I976" s="104"/>
      <c r="J976" s="104"/>
      <c r="K976" s="104"/>
      <c r="L976" s="104"/>
    </row>
    <row r="977" spans="1:12" x14ac:dyDescent="0.25">
      <c r="A977" s="6"/>
      <c r="B977" s="6"/>
      <c r="C977" s="102"/>
      <c r="D977" s="102"/>
      <c r="E977" s="102"/>
      <c r="F977" s="103"/>
      <c r="G977" s="103"/>
      <c r="H977" s="6"/>
      <c r="I977" s="104"/>
      <c r="J977" s="104"/>
      <c r="K977" s="104"/>
      <c r="L977" s="104"/>
    </row>
    <row r="978" spans="1:12" x14ac:dyDescent="0.25">
      <c r="A978" s="6"/>
      <c r="B978" s="6"/>
      <c r="C978" s="102"/>
      <c r="D978" s="102"/>
      <c r="E978" s="102"/>
      <c r="F978" s="103"/>
      <c r="G978" s="103"/>
      <c r="H978" s="6"/>
      <c r="I978" s="104"/>
      <c r="J978" s="104"/>
      <c r="K978" s="104"/>
      <c r="L978" s="104"/>
    </row>
    <row r="979" spans="1:12" x14ac:dyDescent="0.25">
      <c r="A979" s="6"/>
      <c r="B979" s="6"/>
      <c r="C979" s="102"/>
      <c r="D979" s="102"/>
      <c r="E979" s="102"/>
      <c r="F979" s="103"/>
      <c r="G979" s="103"/>
      <c r="H979" s="6"/>
      <c r="I979" s="104"/>
      <c r="J979" s="104"/>
      <c r="K979" s="104"/>
      <c r="L979" s="104"/>
    </row>
    <row r="980" spans="1:12" x14ac:dyDescent="0.25">
      <c r="A980" s="6"/>
      <c r="B980" s="6"/>
      <c r="C980" s="102"/>
      <c r="D980" s="102"/>
      <c r="E980" s="102"/>
      <c r="F980" s="103"/>
      <c r="G980" s="103"/>
      <c r="H980" s="6"/>
      <c r="I980" s="104"/>
      <c r="J980" s="104"/>
      <c r="K980" s="104"/>
      <c r="L980" s="104"/>
    </row>
    <row r="981" spans="1:12" x14ac:dyDescent="0.25">
      <c r="A981" s="6"/>
      <c r="B981" s="6"/>
      <c r="C981" s="102"/>
      <c r="D981" s="102"/>
      <c r="E981" s="102"/>
      <c r="F981" s="103"/>
      <c r="G981" s="103"/>
      <c r="H981" s="6"/>
      <c r="I981" s="104"/>
      <c r="J981" s="104"/>
      <c r="K981" s="104"/>
      <c r="L981" s="104"/>
    </row>
    <row r="982" spans="1:12" x14ac:dyDescent="0.25">
      <c r="A982" s="6"/>
      <c r="B982" s="6"/>
      <c r="C982" s="102"/>
      <c r="D982" s="102"/>
      <c r="E982" s="102"/>
      <c r="F982" s="103"/>
      <c r="G982" s="103"/>
      <c r="H982" s="6"/>
      <c r="I982" s="104"/>
      <c r="J982" s="104"/>
      <c r="K982" s="104"/>
      <c r="L982" s="104"/>
    </row>
    <row r="983" spans="1:12" x14ac:dyDescent="0.25">
      <c r="A983" s="6"/>
      <c r="B983" s="6"/>
      <c r="C983" s="102"/>
      <c r="D983" s="102"/>
      <c r="E983" s="102"/>
      <c r="F983" s="103"/>
      <c r="G983" s="103"/>
      <c r="H983" s="6"/>
      <c r="I983" s="104"/>
      <c r="J983" s="104"/>
      <c r="K983" s="104"/>
      <c r="L983" s="104"/>
    </row>
    <row r="984" spans="1:12" x14ac:dyDescent="0.25">
      <c r="A984" s="6"/>
      <c r="B984" s="6"/>
      <c r="C984" s="102"/>
      <c r="D984" s="102"/>
      <c r="E984" s="102"/>
      <c r="F984" s="103"/>
      <c r="G984" s="103"/>
      <c r="H984" s="6"/>
      <c r="I984" s="104"/>
      <c r="J984" s="104"/>
      <c r="K984" s="104"/>
      <c r="L984" s="104"/>
    </row>
    <row r="985" spans="1:12" x14ac:dyDescent="0.25">
      <c r="A985" s="6"/>
      <c r="B985" s="6"/>
      <c r="C985" s="102"/>
      <c r="D985" s="102"/>
      <c r="E985" s="102"/>
      <c r="F985" s="103"/>
      <c r="G985" s="103"/>
      <c r="H985" s="6"/>
      <c r="I985" s="104"/>
      <c r="J985" s="104"/>
      <c r="K985" s="104"/>
      <c r="L985" s="104"/>
    </row>
    <row r="986" spans="1:12" x14ac:dyDescent="0.25">
      <c r="A986" s="6"/>
      <c r="B986" s="6"/>
      <c r="C986" s="102"/>
      <c r="D986" s="102"/>
      <c r="E986" s="102"/>
      <c r="F986" s="103"/>
      <c r="G986" s="103"/>
      <c r="H986" s="6"/>
      <c r="I986" s="104"/>
      <c r="J986" s="104"/>
      <c r="K986" s="104"/>
      <c r="L986" s="104"/>
    </row>
    <row r="987" spans="1:12" x14ac:dyDescent="0.25">
      <c r="A987" s="6"/>
      <c r="B987" s="6"/>
      <c r="C987" s="102"/>
      <c r="D987" s="102"/>
      <c r="E987" s="102"/>
      <c r="F987" s="103"/>
      <c r="G987" s="103"/>
      <c r="H987" s="6"/>
      <c r="I987" s="104"/>
      <c r="J987" s="104"/>
      <c r="K987" s="104"/>
      <c r="L987" s="104"/>
    </row>
    <row r="988" spans="1:12" x14ac:dyDescent="0.25">
      <c r="A988" s="6"/>
      <c r="B988" s="6"/>
      <c r="C988" s="102"/>
      <c r="D988" s="102"/>
      <c r="E988" s="102"/>
      <c r="F988" s="103"/>
      <c r="G988" s="103"/>
      <c r="H988" s="6"/>
      <c r="I988" s="104"/>
      <c r="J988" s="104"/>
      <c r="K988" s="104"/>
      <c r="L988" s="104"/>
    </row>
    <row r="989" spans="1:12" x14ac:dyDescent="0.25">
      <c r="A989" s="6"/>
      <c r="B989" s="6"/>
      <c r="C989" s="102"/>
      <c r="D989" s="102"/>
      <c r="E989" s="102"/>
      <c r="F989" s="103"/>
      <c r="G989" s="103"/>
      <c r="H989" s="6"/>
      <c r="I989" s="104"/>
      <c r="J989" s="104"/>
      <c r="K989" s="104"/>
      <c r="L989" s="104"/>
    </row>
    <row r="990" spans="1:12" x14ac:dyDescent="0.25">
      <c r="A990" s="6"/>
      <c r="B990" s="6"/>
      <c r="C990" s="102"/>
      <c r="D990" s="102"/>
      <c r="E990" s="102"/>
      <c r="F990" s="103"/>
      <c r="G990" s="103"/>
      <c r="H990" s="6"/>
      <c r="I990" s="104"/>
      <c r="J990" s="104"/>
      <c r="K990" s="104"/>
      <c r="L990" s="104"/>
    </row>
    <row r="991" spans="1:12" x14ac:dyDescent="0.25">
      <c r="A991" s="6"/>
      <c r="B991" s="6"/>
      <c r="C991" s="102"/>
      <c r="D991" s="102"/>
      <c r="E991" s="102"/>
      <c r="F991" s="103"/>
      <c r="G991" s="103"/>
      <c r="H991" s="6"/>
      <c r="I991" s="104"/>
      <c r="J991" s="104"/>
      <c r="K991" s="104"/>
      <c r="L991" s="104"/>
    </row>
    <row r="992" spans="1:12" x14ac:dyDescent="0.25">
      <c r="A992" s="6"/>
      <c r="B992" s="6"/>
      <c r="C992" s="102"/>
      <c r="D992" s="102"/>
      <c r="E992" s="102"/>
      <c r="F992" s="103"/>
      <c r="G992" s="103"/>
      <c r="H992" s="6"/>
      <c r="I992" s="104"/>
      <c r="J992" s="104"/>
      <c r="K992" s="104"/>
      <c r="L992" s="104"/>
    </row>
    <row r="993" spans="1:12" x14ac:dyDescent="0.25">
      <c r="A993" s="6"/>
      <c r="B993" s="6"/>
      <c r="C993" s="102"/>
      <c r="D993" s="102"/>
      <c r="E993" s="102"/>
      <c r="F993" s="103"/>
      <c r="G993" s="103"/>
      <c r="H993" s="6"/>
      <c r="I993" s="104"/>
      <c r="J993" s="104"/>
      <c r="K993" s="104"/>
      <c r="L993" s="104"/>
    </row>
    <row r="994" spans="1:12" x14ac:dyDescent="0.25">
      <c r="A994" s="6"/>
      <c r="B994" s="6"/>
      <c r="C994" s="102"/>
      <c r="D994" s="102"/>
      <c r="E994" s="102"/>
      <c r="F994" s="103"/>
      <c r="G994" s="103"/>
      <c r="H994" s="6"/>
      <c r="I994" s="104"/>
      <c r="J994" s="104"/>
      <c r="K994" s="104"/>
      <c r="L994" s="104"/>
    </row>
    <row r="995" spans="1:12" x14ac:dyDescent="0.25">
      <c r="A995" s="6"/>
      <c r="B995" s="6"/>
      <c r="C995" s="102"/>
      <c r="D995" s="102"/>
      <c r="E995" s="102"/>
      <c r="F995" s="103"/>
      <c r="G995" s="103"/>
      <c r="H995" s="6"/>
      <c r="I995" s="104"/>
      <c r="J995" s="104"/>
      <c r="K995" s="104"/>
      <c r="L995" s="104"/>
    </row>
    <row r="996" spans="1:12" x14ac:dyDescent="0.25">
      <c r="A996" s="6"/>
      <c r="B996" s="6"/>
      <c r="C996" s="102"/>
      <c r="D996" s="102"/>
      <c r="E996" s="102"/>
      <c r="F996" s="103"/>
      <c r="G996" s="103"/>
      <c r="H996" s="6"/>
      <c r="I996" s="104"/>
      <c r="J996" s="104"/>
      <c r="K996" s="104"/>
      <c r="L996" s="104"/>
    </row>
    <row r="997" spans="1:12" x14ac:dyDescent="0.25">
      <c r="A997" s="6"/>
      <c r="B997" s="6"/>
      <c r="C997" s="102"/>
      <c r="D997" s="102"/>
      <c r="E997" s="102"/>
      <c r="F997" s="103"/>
      <c r="G997" s="103"/>
      <c r="H997" s="6"/>
      <c r="I997" s="104"/>
      <c r="J997" s="104"/>
      <c r="K997" s="104"/>
      <c r="L997" s="104"/>
    </row>
    <row r="998" spans="1:12" x14ac:dyDescent="0.25">
      <c r="A998" s="6"/>
      <c r="B998" s="6"/>
      <c r="C998" s="102"/>
      <c r="D998" s="102"/>
      <c r="E998" s="102"/>
      <c r="F998" s="103"/>
      <c r="G998" s="103"/>
      <c r="H998" s="6"/>
      <c r="I998" s="104"/>
      <c r="J998" s="104"/>
      <c r="K998" s="104"/>
      <c r="L998" s="104"/>
    </row>
    <row r="999" spans="1:12" x14ac:dyDescent="0.25">
      <c r="A999" s="6"/>
      <c r="B999" s="6"/>
      <c r="C999" s="102"/>
      <c r="D999" s="102"/>
      <c r="E999" s="102"/>
      <c r="F999" s="103"/>
      <c r="G999" s="103"/>
      <c r="H999" s="6"/>
      <c r="I999" s="104"/>
      <c r="J999" s="104"/>
      <c r="K999" s="104"/>
      <c r="L999" s="104"/>
    </row>
    <row r="1000" spans="1:12" x14ac:dyDescent="0.25">
      <c r="A1000" s="6"/>
      <c r="B1000" s="6"/>
      <c r="C1000" s="102"/>
      <c r="D1000" s="102"/>
      <c r="E1000" s="102"/>
      <c r="F1000" s="103"/>
      <c r="G1000" s="103"/>
      <c r="H1000" s="6"/>
      <c r="I1000" s="104"/>
      <c r="J1000" s="104"/>
      <c r="K1000" s="104"/>
      <c r="L1000" s="104"/>
    </row>
    <row r="1001" spans="1:12" x14ac:dyDescent="0.25">
      <c r="A1001" s="6"/>
      <c r="B1001" s="6"/>
      <c r="C1001" s="102"/>
      <c r="D1001" s="102"/>
      <c r="E1001" s="102"/>
      <c r="F1001" s="103"/>
      <c r="G1001" s="103"/>
      <c r="H1001" s="6"/>
      <c r="I1001" s="104"/>
      <c r="J1001" s="104"/>
      <c r="K1001" s="104"/>
      <c r="L1001" s="104"/>
    </row>
    <row r="1002" spans="1:12" x14ac:dyDescent="0.25">
      <c r="A1002" s="6"/>
      <c r="B1002" s="6"/>
      <c r="C1002" s="102"/>
      <c r="D1002" s="102"/>
      <c r="E1002" s="102"/>
      <c r="F1002" s="103"/>
      <c r="G1002" s="103"/>
      <c r="H1002" s="6"/>
      <c r="I1002" s="104"/>
      <c r="J1002" s="104"/>
      <c r="K1002" s="104"/>
      <c r="L1002" s="104"/>
    </row>
    <row r="1003" spans="1:12" x14ac:dyDescent="0.25">
      <c r="A1003" s="6"/>
      <c r="B1003" s="6"/>
      <c r="C1003" s="102"/>
      <c r="D1003" s="102"/>
      <c r="E1003" s="102"/>
      <c r="F1003" s="103"/>
      <c r="G1003" s="103"/>
      <c r="H1003" s="6"/>
      <c r="I1003" s="104"/>
      <c r="J1003" s="104"/>
      <c r="K1003" s="104"/>
      <c r="L1003" s="104"/>
    </row>
    <row r="1004" spans="1:12" x14ac:dyDescent="0.25">
      <c r="A1004" s="6"/>
      <c r="B1004" s="6"/>
      <c r="C1004" s="102"/>
      <c r="D1004" s="102"/>
      <c r="E1004" s="102"/>
      <c r="F1004" s="103"/>
      <c r="G1004" s="103"/>
      <c r="H1004" s="6"/>
      <c r="I1004" s="104"/>
      <c r="J1004" s="104"/>
      <c r="K1004" s="104"/>
      <c r="L1004" s="104"/>
    </row>
    <row r="1005" spans="1:12" x14ac:dyDescent="0.25">
      <c r="A1005" s="6"/>
      <c r="B1005" s="6"/>
      <c r="C1005" s="102"/>
      <c r="D1005" s="102"/>
      <c r="E1005" s="102"/>
      <c r="F1005" s="103"/>
      <c r="G1005" s="103"/>
      <c r="H1005" s="6"/>
      <c r="I1005" s="104"/>
      <c r="J1005" s="104"/>
      <c r="K1005" s="104"/>
      <c r="L1005" s="104"/>
    </row>
    <row r="1006" spans="1:12" x14ac:dyDescent="0.25">
      <c r="A1006" s="6"/>
      <c r="B1006" s="6"/>
      <c r="C1006" s="102"/>
      <c r="D1006" s="102"/>
      <c r="E1006" s="102"/>
      <c r="F1006" s="103"/>
      <c r="G1006" s="103"/>
      <c r="H1006" s="6"/>
      <c r="I1006" s="104"/>
      <c r="J1006" s="104"/>
      <c r="K1006" s="104"/>
      <c r="L1006" s="104"/>
    </row>
    <row r="1007" spans="1:12" x14ac:dyDescent="0.25">
      <c r="A1007" s="6"/>
      <c r="B1007" s="6"/>
      <c r="C1007" s="102"/>
      <c r="D1007" s="102"/>
      <c r="E1007" s="102"/>
      <c r="F1007" s="103"/>
      <c r="G1007" s="103"/>
      <c r="H1007" s="6"/>
      <c r="I1007" s="104"/>
      <c r="J1007" s="104"/>
      <c r="K1007" s="104"/>
      <c r="L1007" s="104"/>
    </row>
    <row r="1008" spans="1:12" x14ac:dyDescent="0.25">
      <c r="A1008" s="6"/>
      <c r="B1008" s="6"/>
      <c r="C1008" s="102"/>
      <c r="D1008" s="102"/>
      <c r="E1008" s="102"/>
      <c r="F1008" s="103"/>
      <c r="G1008" s="103"/>
      <c r="H1008" s="6"/>
      <c r="I1008" s="104"/>
      <c r="J1008" s="104"/>
      <c r="K1008" s="104"/>
      <c r="L1008" s="104"/>
    </row>
    <row r="1009" spans="1:12" x14ac:dyDescent="0.25">
      <c r="A1009" s="6"/>
      <c r="B1009" s="6"/>
      <c r="C1009" s="102"/>
      <c r="D1009" s="102"/>
      <c r="E1009" s="102"/>
      <c r="F1009" s="103"/>
      <c r="G1009" s="103"/>
      <c r="H1009" s="6"/>
      <c r="I1009" s="104"/>
      <c r="J1009" s="104"/>
      <c r="K1009" s="104"/>
      <c r="L1009" s="104"/>
    </row>
    <row r="1010" spans="1:12" x14ac:dyDescent="0.25">
      <c r="A1010" s="6"/>
      <c r="B1010" s="6"/>
      <c r="C1010" s="102"/>
      <c r="D1010" s="102"/>
      <c r="E1010" s="102"/>
      <c r="F1010" s="103"/>
      <c r="G1010" s="103"/>
      <c r="H1010" s="6"/>
      <c r="I1010" s="104"/>
      <c r="J1010" s="104"/>
      <c r="K1010" s="104"/>
      <c r="L1010" s="104"/>
    </row>
    <row r="1011" spans="1:12" x14ac:dyDescent="0.25">
      <c r="A1011" s="6"/>
      <c r="B1011" s="6"/>
      <c r="C1011" s="102"/>
      <c r="D1011" s="102"/>
      <c r="E1011" s="102"/>
      <c r="F1011" s="103"/>
      <c r="G1011" s="103"/>
      <c r="H1011" s="6"/>
      <c r="I1011" s="104"/>
      <c r="J1011" s="104"/>
      <c r="K1011" s="104"/>
      <c r="L1011" s="104"/>
    </row>
    <row r="1012" spans="1:12" x14ac:dyDescent="0.25">
      <c r="A1012" s="6"/>
      <c r="B1012" s="6"/>
      <c r="C1012" s="102"/>
      <c r="D1012" s="102"/>
      <c r="E1012" s="102"/>
      <c r="F1012" s="103"/>
      <c r="G1012" s="103"/>
      <c r="H1012" s="6"/>
      <c r="I1012" s="104"/>
      <c r="J1012" s="104"/>
      <c r="K1012" s="104"/>
      <c r="L1012" s="104"/>
    </row>
    <row r="1013" spans="1:12" x14ac:dyDescent="0.25">
      <c r="A1013" s="6"/>
      <c r="B1013" s="6"/>
      <c r="C1013" s="102"/>
      <c r="D1013" s="102"/>
      <c r="E1013" s="102"/>
      <c r="F1013" s="103"/>
      <c r="G1013" s="103"/>
      <c r="H1013" s="6"/>
      <c r="I1013" s="104"/>
      <c r="J1013" s="104"/>
      <c r="K1013" s="104"/>
      <c r="L1013" s="104"/>
    </row>
    <row r="1014" spans="1:12" x14ac:dyDescent="0.25">
      <c r="A1014" s="6"/>
      <c r="B1014" s="6"/>
      <c r="C1014" s="102"/>
      <c r="D1014" s="102"/>
      <c r="E1014" s="102"/>
      <c r="F1014" s="103"/>
      <c r="G1014" s="103"/>
      <c r="H1014" s="6"/>
      <c r="I1014" s="104"/>
      <c r="J1014" s="104"/>
      <c r="K1014" s="104"/>
      <c r="L1014" s="104"/>
    </row>
    <row r="1015" spans="1:12" x14ac:dyDescent="0.25">
      <c r="A1015" s="6"/>
      <c r="B1015" s="6"/>
      <c r="C1015" s="102"/>
      <c r="D1015" s="102"/>
      <c r="E1015" s="102"/>
      <c r="F1015" s="103"/>
      <c r="G1015" s="103"/>
      <c r="H1015" s="6"/>
      <c r="I1015" s="104"/>
      <c r="J1015" s="104"/>
      <c r="K1015" s="104"/>
      <c r="L1015" s="104"/>
    </row>
    <row r="1016" spans="1:12" x14ac:dyDescent="0.25">
      <c r="A1016" s="6"/>
      <c r="B1016" s="6"/>
      <c r="C1016" s="102"/>
      <c r="D1016" s="102"/>
      <c r="E1016" s="102"/>
      <c r="F1016" s="103"/>
      <c r="G1016" s="103"/>
      <c r="H1016" s="6"/>
      <c r="I1016" s="104"/>
      <c r="J1016" s="104"/>
      <c r="K1016" s="104"/>
      <c r="L1016" s="104"/>
    </row>
    <row r="1017" spans="1:12" x14ac:dyDescent="0.25">
      <c r="A1017" s="6"/>
      <c r="B1017" s="6"/>
      <c r="C1017" s="102"/>
      <c r="D1017" s="102"/>
      <c r="E1017" s="102"/>
      <c r="F1017" s="103"/>
      <c r="G1017" s="103"/>
      <c r="H1017" s="6"/>
      <c r="I1017" s="104"/>
      <c r="J1017" s="104"/>
      <c r="K1017" s="104"/>
      <c r="L1017" s="104"/>
    </row>
    <row r="1018" spans="1:12" x14ac:dyDescent="0.25">
      <c r="A1018" s="6"/>
      <c r="B1018" s="6"/>
      <c r="C1018" s="102"/>
      <c r="D1018" s="102"/>
      <c r="E1018" s="102"/>
      <c r="F1018" s="103"/>
      <c r="G1018" s="103"/>
      <c r="H1018" s="6"/>
      <c r="I1018" s="104"/>
      <c r="J1018" s="104"/>
      <c r="K1018" s="104"/>
      <c r="L1018" s="104"/>
    </row>
    <row r="1019" spans="1:12" x14ac:dyDescent="0.25">
      <c r="A1019" s="6"/>
      <c r="B1019" s="6"/>
      <c r="C1019" s="102"/>
      <c r="D1019" s="102"/>
      <c r="E1019" s="102"/>
      <c r="F1019" s="103"/>
      <c r="G1019" s="103"/>
      <c r="H1019" s="6"/>
      <c r="I1019" s="104"/>
      <c r="J1019" s="104"/>
      <c r="K1019" s="104"/>
      <c r="L1019" s="104"/>
    </row>
    <row r="1020" spans="1:12" x14ac:dyDescent="0.25">
      <c r="A1020" s="6"/>
      <c r="B1020" s="6"/>
      <c r="C1020" s="102"/>
      <c r="D1020" s="102"/>
      <c r="E1020" s="102"/>
      <c r="F1020" s="103"/>
      <c r="G1020" s="103"/>
      <c r="H1020" s="6"/>
      <c r="I1020" s="104"/>
      <c r="J1020" s="104"/>
      <c r="K1020" s="104"/>
      <c r="L1020" s="104"/>
    </row>
    <row r="1021" spans="1:12" x14ac:dyDescent="0.25">
      <c r="A1021" s="6"/>
      <c r="B1021" s="6"/>
      <c r="C1021" s="102"/>
      <c r="D1021" s="102"/>
      <c r="E1021" s="102"/>
      <c r="F1021" s="103"/>
      <c r="G1021" s="103"/>
      <c r="H1021" s="6"/>
      <c r="I1021" s="104"/>
      <c r="J1021" s="104"/>
      <c r="K1021" s="104"/>
      <c r="L1021" s="104"/>
    </row>
    <row r="1022" spans="1:12" x14ac:dyDescent="0.25">
      <c r="A1022" s="6"/>
      <c r="B1022" s="6"/>
      <c r="C1022" s="102"/>
      <c r="D1022" s="102"/>
      <c r="E1022" s="102"/>
      <c r="F1022" s="103"/>
      <c r="G1022" s="103"/>
      <c r="H1022" s="6"/>
      <c r="I1022" s="104"/>
      <c r="J1022" s="104"/>
      <c r="K1022" s="104"/>
      <c r="L1022" s="104"/>
    </row>
    <row r="1023" spans="1:12" x14ac:dyDescent="0.25">
      <c r="A1023" s="6"/>
      <c r="B1023" s="6"/>
      <c r="C1023" s="102"/>
      <c r="D1023" s="102"/>
      <c r="E1023" s="102"/>
      <c r="F1023" s="103"/>
      <c r="G1023" s="103"/>
      <c r="H1023" s="6"/>
      <c r="I1023" s="104"/>
      <c r="J1023" s="104"/>
      <c r="K1023" s="104"/>
      <c r="L1023" s="104"/>
    </row>
    <row r="1024" spans="1:12" x14ac:dyDescent="0.25">
      <c r="A1024" s="6"/>
      <c r="B1024" s="6"/>
      <c r="C1024" s="102"/>
      <c r="D1024" s="102"/>
      <c r="E1024" s="102"/>
      <c r="F1024" s="103"/>
      <c r="G1024" s="103"/>
      <c r="H1024" s="6"/>
      <c r="I1024" s="104"/>
      <c r="J1024" s="104"/>
      <c r="K1024" s="104"/>
      <c r="L1024" s="104"/>
    </row>
    <row r="1025" spans="1:12" x14ac:dyDescent="0.25">
      <c r="A1025" s="6"/>
      <c r="B1025" s="6"/>
      <c r="C1025" s="102"/>
      <c r="D1025" s="102"/>
      <c r="E1025" s="102"/>
      <c r="F1025" s="103"/>
      <c r="G1025" s="103"/>
      <c r="H1025" s="6"/>
      <c r="I1025" s="104"/>
      <c r="J1025" s="104"/>
      <c r="K1025" s="104"/>
      <c r="L1025" s="104"/>
    </row>
    <row r="1026" spans="1:12" x14ac:dyDescent="0.25">
      <c r="A1026" s="6"/>
      <c r="B1026" s="6"/>
      <c r="C1026" s="102"/>
      <c r="D1026" s="102"/>
      <c r="E1026" s="102"/>
      <c r="F1026" s="103"/>
      <c r="G1026" s="103"/>
      <c r="H1026" s="6"/>
      <c r="I1026" s="104"/>
      <c r="J1026" s="104"/>
      <c r="K1026" s="104"/>
      <c r="L1026" s="104"/>
    </row>
    <row r="1027" spans="1:12" x14ac:dyDescent="0.25">
      <c r="A1027" s="6"/>
      <c r="B1027" s="6"/>
      <c r="C1027" s="102"/>
      <c r="D1027" s="102"/>
      <c r="E1027" s="102"/>
      <c r="F1027" s="103"/>
      <c r="G1027" s="103"/>
      <c r="H1027" s="6"/>
      <c r="I1027" s="104"/>
      <c r="J1027" s="104"/>
      <c r="K1027" s="104"/>
      <c r="L1027" s="104"/>
    </row>
    <row r="1028" spans="1:12" x14ac:dyDescent="0.25">
      <c r="A1028" s="6"/>
      <c r="B1028" s="6"/>
      <c r="C1028" s="102"/>
      <c r="D1028" s="102"/>
      <c r="E1028" s="102"/>
      <c r="F1028" s="103"/>
      <c r="G1028" s="103"/>
      <c r="H1028" s="6"/>
      <c r="I1028" s="104"/>
      <c r="J1028" s="104"/>
      <c r="K1028" s="104"/>
      <c r="L1028" s="104"/>
    </row>
    <row r="1029" spans="1:12" x14ac:dyDescent="0.25">
      <c r="A1029" s="6"/>
      <c r="B1029" s="6"/>
      <c r="C1029" s="102"/>
      <c r="D1029" s="102"/>
      <c r="E1029" s="102"/>
      <c r="F1029" s="103"/>
      <c r="G1029" s="103"/>
      <c r="H1029" s="6"/>
      <c r="I1029" s="104"/>
      <c r="J1029" s="104"/>
      <c r="K1029" s="104"/>
      <c r="L1029" s="104"/>
    </row>
    <row r="1030" spans="1:12" x14ac:dyDescent="0.25">
      <c r="A1030" s="6"/>
      <c r="B1030" s="6"/>
      <c r="C1030" s="102"/>
      <c r="D1030" s="102"/>
      <c r="E1030" s="102"/>
      <c r="F1030" s="103"/>
      <c r="G1030" s="103"/>
      <c r="H1030" s="6"/>
      <c r="I1030" s="104"/>
      <c r="J1030" s="104"/>
      <c r="K1030" s="104"/>
      <c r="L1030" s="104"/>
    </row>
    <row r="1031" spans="1:12" x14ac:dyDescent="0.25">
      <c r="A1031" s="6"/>
      <c r="B1031" s="6"/>
      <c r="C1031" s="102"/>
      <c r="D1031" s="102"/>
      <c r="E1031" s="102"/>
      <c r="F1031" s="103"/>
      <c r="G1031" s="103"/>
      <c r="H1031" s="6"/>
      <c r="I1031" s="104"/>
      <c r="J1031" s="104"/>
      <c r="K1031" s="104"/>
      <c r="L1031" s="104"/>
    </row>
    <row r="1032" spans="1:12" x14ac:dyDescent="0.25">
      <c r="A1032" s="6"/>
      <c r="B1032" s="6"/>
      <c r="C1032" s="102"/>
      <c r="D1032" s="102"/>
      <c r="E1032" s="102"/>
      <c r="F1032" s="103"/>
      <c r="G1032" s="103"/>
      <c r="H1032" s="6"/>
      <c r="I1032" s="104"/>
      <c r="J1032" s="104"/>
      <c r="K1032" s="104"/>
      <c r="L1032" s="104"/>
    </row>
    <row r="1033" spans="1:12" x14ac:dyDescent="0.25">
      <c r="A1033" s="6"/>
      <c r="B1033" s="6"/>
      <c r="C1033" s="102"/>
      <c r="D1033" s="102"/>
      <c r="E1033" s="102"/>
      <c r="F1033" s="103"/>
      <c r="G1033" s="103"/>
      <c r="H1033" s="6"/>
      <c r="I1033" s="104"/>
      <c r="J1033" s="104"/>
      <c r="K1033" s="104"/>
      <c r="L1033" s="104"/>
    </row>
    <row r="1034" spans="1:12" x14ac:dyDescent="0.25">
      <c r="A1034" s="6"/>
      <c r="B1034" s="6"/>
      <c r="C1034" s="102"/>
      <c r="D1034" s="102"/>
      <c r="E1034" s="102"/>
      <c r="F1034" s="103"/>
      <c r="G1034" s="103"/>
      <c r="H1034" s="6"/>
      <c r="I1034" s="104"/>
      <c r="J1034" s="104"/>
      <c r="K1034" s="104"/>
      <c r="L1034" s="104"/>
    </row>
    <row r="1035" spans="1:12" x14ac:dyDescent="0.25">
      <c r="A1035" s="6"/>
      <c r="B1035" s="6"/>
      <c r="C1035" s="102"/>
      <c r="D1035" s="102"/>
      <c r="E1035" s="102"/>
      <c r="F1035" s="103"/>
      <c r="G1035" s="103"/>
      <c r="H1035" s="6"/>
      <c r="I1035" s="104"/>
      <c r="J1035" s="104"/>
      <c r="K1035" s="104"/>
      <c r="L1035" s="104"/>
    </row>
    <row r="1036" spans="1:12" x14ac:dyDescent="0.25">
      <c r="A1036" s="6"/>
      <c r="B1036" s="6"/>
      <c r="C1036" s="102"/>
      <c r="D1036" s="102"/>
      <c r="E1036" s="102"/>
      <c r="F1036" s="103"/>
      <c r="G1036" s="103"/>
      <c r="H1036" s="6"/>
      <c r="I1036" s="104"/>
      <c r="J1036" s="104"/>
      <c r="K1036" s="104"/>
      <c r="L1036" s="104"/>
    </row>
    <row r="1037" spans="1:12" x14ac:dyDescent="0.25">
      <c r="A1037" s="6"/>
      <c r="B1037" s="6"/>
      <c r="C1037" s="102"/>
      <c r="D1037" s="102"/>
      <c r="E1037" s="102"/>
      <c r="F1037" s="103"/>
      <c r="G1037" s="103"/>
      <c r="H1037" s="6"/>
      <c r="I1037" s="104"/>
      <c r="J1037" s="104"/>
      <c r="K1037" s="104"/>
      <c r="L1037" s="104"/>
    </row>
    <row r="1038" spans="1:12" x14ac:dyDescent="0.25">
      <c r="A1038" s="6"/>
      <c r="B1038" s="6"/>
      <c r="C1038" s="102"/>
      <c r="D1038" s="102"/>
      <c r="E1038" s="102"/>
      <c r="F1038" s="103"/>
      <c r="G1038" s="103"/>
      <c r="H1038" s="6"/>
      <c r="I1038" s="104"/>
      <c r="J1038" s="104"/>
      <c r="K1038" s="104"/>
      <c r="L1038" s="104"/>
    </row>
    <row r="1039" spans="1:12" x14ac:dyDescent="0.25">
      <c r="A1039" s="6"/>
      <c r="B1039" s="6"/>
      <c r="C1039" s="102"/>
      <c r="D1039" s="102"/>
      <c r="E1039" s="102"/>
      <c r="F1039" s="103"/>
      <c r="G1039" s="103"/>
      <c r="H1039" s="6"/>
      <c r="I1039" s="104"/>
      <c r="J1039" s="104"/>
      <c r="K1039" s="104"/>
      <c r="L1039" s="104"/>
    </row>
    <row r="1040" spans="1:12" x14ac:dyDescent="0.25">
      <c r="A1040" s="6"/>
      <c r="B1040" s="6"/>
      <c r="C1040" s="102"/>
      <c r="D1040" s="102"/>
      <c r="E1040" s="102"/>
      <c r="F1040" s="103"/>
      <c r="G1040" s="103"/>
      <c r="H1040" s="6"/>
      <c r="I1040" s="104"/>
      <c r="J1040" s="104"/>
      <c r="K1040" s="104"/>
      <c r="L1040" s="104"/>
    </row>
    <row r="1041" spans="1:12" x14ac:dyDescent="0.25">
      <c r="A1041" s="6"/>
      <c r="B1041" s="6"/>
      <c r="C1041" s="102"/>
      <c r="D1041" s="102"/>
      <c r="E1041" s="102"/>
      <c r="F1041" s="103"/>
      <c r="G1041" s="103"/>
      <c r="H1041" s="6"/>
      <c r="I1041" s="104"/>
      <c r="J1041" s="104"/>
      <c r="K1041" s="104"/>
      <c r="L1041" s="104"/>
    </row>
    <row r="1042" spans="1:12" x14ac:dyDescent="0.25">
      <c r="A1042" s="6"/>
      <c r="B1042" s="6"/>
      <c r="C1042" s="102"/>
      <c r="D1042" s="102"/>
      <c r="E1042" s="102"/>
      <c r="F1042" s="103"/>
      <c r="G1042" s="103"/>
      <c r="H1042" s="6"/>
      <c r="I1042" s="104"/>
      <c r="J1042" s="104"/>
      <c r="K1042" s="104"/>
      <c r="L1042" s="104"/>
    </row>
    <row r="1043" spans="1:12" x14ac:dyDescent="0.25">
      <c r="A1043" s="6"/>
      <c r="B1043" s="6"/>
      <c r="C1043" s="102"/>
      <c r="D1043" s="102"/>
      <c r="E1043" s="102"/>
      <c r="F1043" s="103"/>
      <c r="G1043" s="103"/>
      <c r="H1043" s="6"/>
      <c r="I1043" s="104"/>
      <c r="J1043" s="104"/>
      <c r="K1043" s="104"/>
      <c r="L1043" s="104"/>
    </row>
    <row r="1044" spans="1:12" x14ac:dyDescent="0.25">
      <c r="A1044" s="6"/>
      <c r="B1044" s="6"/>
      <c r="C1044" s="102"/>
      <c r="D1044" s="102"/>
      <c r="E1044" s="102"/>
      <c r="F1044" s="103"/>
      <c r="G1044" s="103"/>
      <c r="H1044" s="6"/>
      <c r="I1044" s="104"/>
      <c r="J1044" s="104"/>
      <c r="K1044" s="104"/>
      <c r="L1044" s="104"/>
    </row>
    <row r="1045" spans="1:12" x14ac:dyDescent="0.25">
      <c r="A1045" s="6"/>
      <c r="B1045" s="6"/>
      <c r="C1045" s="102"/>
      <c r="D1045" s="102"/>
      <c r="E1045" s="102"/>
      <c r="F1045" s="103"/>
      <c r="G1045" s="103"/>
      <c r="H1045" s="6"/>
      <c r="I1045" s="104"/>
      <c r="J1045" s="104"/>
      <c r="K1045" s="104"/>
      <c r="L1045" s="104"/>
    </row>
    <row r="1046" spans="1:12" x14ac:dyDescent="0.25">
      <c r="A1046" s="6"/>
      <c r="B1046" s="6"/>
      <c r="C1046" s="102"/>
      <c r="D1046" s="102"/>
      <c r="E1046" s="102"/>
      <c r="F1046" s="103"/>
      <c r="G1046" s="103"/>
      <c r="H1046" s="6"/>
      <c r="I1046" s="104"/>
      <c r="J1046" s="104"/>
      <c r="K1046" s="104"/>
      <c r="L1046" s="104"/>
    </row>
    <row r="1047" spans="1:12" x14ac:dyDescent="0.25">
      <c r="A1047" s="6"/>
      <c r="B1047" s="6"/>
      <c r="C1047" s="102"/>
      <c r="D1047" s="102"/>
      <c r="E1047" s="102"/>
      <c r="F1047" s="103"/>
      <c r="G1047" s="103"/>
      <c r="H1047" s="6"/>
      <c r="I1047" s="104"/>
      <c r="J1047" s="104"/>
      <c r="K1047" s="104"/>
      <c r="L1047" s="104"/>
    </row>
    <row r="1048" spans="1:12" x14ac:dyDescent="0.25">
      <c r="A1048" s="6"/>
      <c r="B1048" s="6"/>
      <c r="C1048" s="102"/>
      <c r="D1048" s="102"/>
      <c r="E1048" s="102"/>
      <c r="F1048" s="103"/>
      <c r="G1048" s="103"/>
      <c r="H1048" s="6"/>
      <c r="I1048" s="104"/>
      <c r="J1048" s="104"/>
      <c r="K1048" s="104"/>
      <c r="L1048" s="104"/>
    </row>
    <row r="1049" spans="1:12" x14ac:dyDescent="0.25">
      <c r="A1049" s="6"/>
      <c r="B1049" s="6"/>
      <c r="C1049" s="102"/>
      <c r="D1049" s="102"/>
      <c r="E1049" s="102"/>
      <c r="F1049" s="103"/>
      <c r="G1049" s="103"/>
      <c r="H1049" s="6"/>
      <c r="I1049" s="104"/>
      <c r="J1049" s="104"/>
      <c r="K1049" s="104"/>
      <c r="L1049" s="104"/>
    </row>
    <row r="1050" spans="1:12" x14ac:dyDescent="0.25">
      <c r="A1050" s="6"/>
      <c r="B1050" s="6"/>
      <c r="C1050" s="102"/>
      <c r="D1050" s="102"/>
      <c r="E1050" s="102"/>
      <c r="F1050" s="103"/>
      <c r="G1050" s="103"/>
      <c r="H1050" s="6"/>
      <c r="I1050" s="104"/>
      <c r="J1050" s="104"/>
      <c r="K1050" s="104"/>
      <c r="L1050" s="104"/>
    </row>
    <row r="1051" spans="1:12" x14ac:dyDescent="0.25">
      <c r="A1051" s="6"/>
      <c r="B1051" s="6"/>
      <c r="C1051" s="102"/>
      <c r="D1051" s="102"/>
      <c r="E1051" s="102"/>
      <c r="F1051" s="103"/>
      <c r="G1051" s="103"/>
      <c r="H1051" s="6"/>
      <c r="I1051" s="104"/>
      <c r="J1051" s="104"/>
      <c r="K1051" s="104"/>
      <c r="L1051" s="104"/>
    </row>
    <row r="1052" spans="1:12" x14ac:dyDescent="0.25">
      <c r="A1052" s="6"/>
      <c r="B1052" s="6"/>
      <c r="C1052" s="102"/>
      <c r="D1052" s="102"/>
      <c r="E1052" s="102"/>
      <c r="F1052" s="103"/>
      <c r="G1052" s="103"/>
      <c r="H1052" s="6"/>
      <c r="I1052" s="104"/>
      <c r="J1052" s="104"/>
      <c r="K1052" s="104"/>
      <c r="L1052" s="104"/>
    </row>
    <row r="1053" spans="1:12" x14ac:dyDescent="0.25">
      <c r="A1053" s="6"/>
      <c r="B1053" s="6"/>
      <c r="C1053" s="102"/>
      <c r="D1053" s="102"/>
      <c r="E1053" s="102"/>
      <c r="F1053" s="103"/>
      <c r="G1053" s="103"/>
      <c r="H1053" s="6"/>
      <c r="I1053" s="104"/>
      <c r="J1053" s="104"/>
      <c r="K1053" s="104"/>
      <c r="L1053" s="104"/>
    </row>
    <row r="1054" spans="1:12" x14ac:dyDescent="0.25">
      <c r="A1054" s="6"/>
      <c r="B1054" s="6"/>
      <c r="C1054" s="102"/>
      <c r="D1054" s="102"/>
      <c r="E1054" s="102"/>
      <c r="F1054" s="103"/>
      <c r="G1054" s="103"/>
      <c r="H1054" s="6"/>
      <c r="I1054" s="104"/>
      <c r="J1054" s="104"/>
      <c r="K1054" s="104"/>
      <c r="L1054" s="104"/>
    </row>
    <row r="1055" spans="1:12" x14ac:dyDescent="0.25">
      <c r="A1055" s="6"/>
      <c r="B1055" s="6"/>
      <c r="C1055" s="102"/>
      <c r="D1055" s="102"/>
      <c r="E1055" s="102"/>
      <c r="F1055" s="103"/>
      <c r="G1055" s="103"/>
      <c r="H1055" s="6"/>
      <c r="I1055" s="104"/>
      <c r="J1055" s="104"/>
      <c r="K1055" s="104"/>
      <c r="L1055" s="104"/>
    </row>
    <row r="1056" spans="1:12" x14ac:dyDescent="0.25">
      <c r="A1056" s="6"/>
      <c r="B1056" s="6"/>
      <c r="C1056" s="102"/>
      <c r="D1056" s="102"/>
      <c r="E1056" s="102"/>
      <c r="F1056" s="103"/>
      <c r="G1056" s="103"/>
      <c r="H1056" s="6"/>
      <c r="I1056" s="104"/>
      <c r="J1056" s="104"/>
      <c r="K1056" s="104"/>
      <c r="L1056" s="104"/>
    </row>
    <row r="1057" spans="1:12" x14ac:dyDescent="0.25">
      <c r="A1057" s="6"/>
      <c r="B1057" s="6"/>
      <c r="C1057" s="102"/>
      <c r="D1057" s="102"/>
      <c r="E1057" s="102"/>
      <c r="F1057" s="103"/>
      <c r="G1057" s="103"/>
      <c r="H1057" s="6"/>
      <c r="I1057" s="104"/>
      <c r="J1057" s="104"/>
      <c r="K1057" s="104"/>
      <c r="L1057" s="104"/>
    </row>
    <row r="1058" spans="1:12" x14ac:dyDescent="0.25">
      <c r="A1058" s="6"/>
      <c r="B1058" s="6"/>
      <c r="C1058" s="102"/>
      <c r="D1058" s="102"/>
      <c r="E1058" s="102"/>
      <c r="F1058" s="103"/>
      <c r="G1058" s="103"/>
      <c r="H1058" s="6"/>
      <c r="I1058" s="104"/>
      <c r="J1058" s="104"/>
      <c r="K1058" s="104"/>
      <c r="L1058" s="104"/>
    </row>
    <row r="1059" spans="1:12" x14ac:dyDescent="0.25">
      <c r="A1059" s="6"/>
      <c r="B1059" s="6"/>
      <c r="C1059" s="102"/>
      <c r="D1059" s="102"/>
      <c r="E1059" s="102"/>
      <c r="F1059" s="103"/>
      <c r="G1059" s="103"/>
      <c r="H1059" s="6"/>
      <c r="I1059" s="104"/>
      <c r="J1059" s="104"/>
      <c r="K1059" s="104"/>
      <c r="L1059" s="104"/>
    </row>
    <row r="1060" spans="1:12" x14ac:dyDescent="0.25">
      <c r="A1060" s="6"/>
      <c r="B1060" s="6"/>
      <c r="C1060" s="102"/>
      <c r="D1060" s="102"/>
      <c r="E1060" s="102"/>
      <c r="F1060" s="103"/>
      <c r="G1060" s="103"/>
      <c r="H1060" s="6"/>
      <c r="I1060" s="104"/>
      <c r="J1060" s="104"/>
      <c r="K1060" s="104"/>
      <c r="L1060" s="104"/>
    </row>
    <row r="1061" spans="1:12" x14ac:dyDescent="0.25">
      <c r="A1061" s="6"/>
      <c r="B1061" s="6"/>
      <c r="C1061" s="102"/>
      <c r="D1061" s="102"/>
      <c r="E1061" s="102"/>
      <c r="F1061" s="103"/>
      <c r="G1061" s="103"/>
      <c r="H1061" s="6"/>
      <c r="I1061" s="104"/>
      <c r="J1061" s="104"/>
      <c r="K1061" s="104"/>
      <c r="L1061" s="104"/>
    </row>
    <row r="1062" spans="1:12" x14ac:dyDescent="0.25">
      <c r="A1062" s="6"/>
      <c r="B1062" s="6"/>
      <c r="C1062" s="102"/>
      <c r="D1062" s="102"/>
      <c r="E1062" s="102"/>
      <c r="F1062" s="103"/>
      <c r="G1062" s="103"/>
      <c r="H1062" s="6"/>
      <c r="I1062" s="104"/>
      <c r="J1062" s="104"/>
      <c r="K1062" s="104"/>
      <c r="L1062" s="104"/>
    </row>
    <row r="1063" spans="1:12" x14ac:dyDescent="0.25">
      <c r="A1063" s="6"/>
      <c r="B1063" s="6"/>
      <c r="C1063" s="102"/>
      <c r="D1063" s="102"/>
      <c r="E1063" s="102"/>
      <c r="F1063" s="103"/>
      <c r="G1063" s="103"/>
      <c r="H1063" s="6"/>
      <c r="I1063" s="104"/>
      <c r="J1063" s="104"/>
      <c r="K1063" s="104"/>
      <c r="L1063" s="104"/>
    </row>
    <row r="1064" spans="1:12" x14ac:dyDescent="0.25">
      <c r="A1064" s="6"/>
      <c r="B1064" s="6"/>
      <c r="C1064" s="102"/>
      <c r="D1064" s="102"/>
      <c r="E1064" s="102"/>
      <c r="F1064" s="103"/>
      <c r="G1064" s="103"/>
      <c r="H1064" s="6"/>
      <c r="I1064" s="104"/>
      <c r="J1064" s="104"/>
      <c r="K1064" s="104"/>
      <c r="L1064" s="104"/>
    </row>
    <row r="1065" spans="1:12" x14ac:dyDescent="0.25">
      <c r="A1065" s="6"/>
      <c r="B1065" s="6"/>
      <c r="C1065" s="102"/>
      <c r="D1065" s="102"/>
      <c r="E1065" s="102"/>
      <c r="F1065" s="103"/>
      <c r="G1065" s="103"/>
      <c r="H1065" s="6"/>
      <c r="I1065" s="104"/>
      <c r="J1065" s="104"/>
      <c r="K1065" s="104"/>
      <c r="L1065" s="104"/>
    </row>
    <row r="1066" spans="1:12" x14ac:dyDescent="0.25">
      <c r="A1066" s="6"/>
      <c r="B1066" s="6"/>
      <c r="C1066" s="102"/>
      <c r="D1066" s="102"/>
      <c r="E1066" s="102"/>
      <c r="F1066" s="103"/>
      <c r="G1066" s="103"/>
      <c r="H1066" s="6"/>
      <c r="I1066" s="104"/>
      <c r="J1066" s="104"/>
      <c r="K1066" s="104"/>
      <c r="L1066" s="104"/>
    </row>
    <row r="1067" spans="1:12" x14ac:dyDescent="0.25">
      <c r="A1067" s="6"/>
      <c r="B1067" s="6"/>
      <c r="C1067" s="102"/>
      <c r="D1067" s="102"/>
      <c r="E1067" s="102"/>
      <c r="F1067" s="103"/>
      <c r="G1067" s="103"/>
      <c r="H1067" s="6"/>
      <c r="I1067" s="104"/>
      <c r="J1067" s="104"/>
      <c r="K1067" s="104"/>
      <c r="L1067" s="104"/>
    </row>
    <row r="1068" spans="1:12" x14ac:dyDescent="0.25">
      <c r="A1068" s="6"/>
      <c r="B1068" s="6"/>
      <c r="C1068" s="102"/>
      <c r="D1068" s="102"/>
      <c r="E1068" s="102"/>
      <c r="F1068" s="103"/>
      <c r="G1068" s="103"/>
      <c r="H1068" s="6"/>
      <c r="I1068" s="104"/>
      <c r="J1068" s="104"/>
      <c r="K1068" s="104"/>
      <c r="L1068" s="104"/>
    </row>
    <row r="1069" spans="1:12" x14ac:dyDescent="0.25">
      <c r="A1069" s="6"/>
      <c r="B1069" s="6"/>
      <c r="C1069" s="102"/>
      <c r="D1069" s="102"/>
      <c r="E1069" s="102"/>
      <c r="F1069" s="103"/>
      <c r="G1069" s="103"/>
      <c r="H1069" s="6"/>
      <c r="I1069" s="104"/>
      <c r="J1069" s="104"/>
      <c r="K1069" s="104"/>
      <c r="L1069" s="104"/>
    </row>
    <row r="1070" spans="1:12" x14ac:dyDescent="0.25">
      <c r="A1070" s="6"/>
      <c r="B1070" s="6"/>
      <c r="C1070" s="102"/>
      <c r="D1070" s="102"/>
      <c r="E1070" s="102"/>
      <c r="F1070" s="103"/>
      <c r="G1070" s="103"/>
      <c r="H1070" s="6"/>
      <c r="I1070" s="104"/>
      <c r="J1070" s="104"/>
      <c r="K1070" s="104"/>
      <c r="L1070" s="104"/>
    </row>
    <row r="1071" spans="1:12" x14ac:dyDescent="0.25">
      <c r="A1071" s="6"/>
      <c r="B1071" s="6"/>
      <c r="C1071" s="102"/>
      <c r="D1071" s="102"/>
      <c r="E1071" s="102"/>
      <c r="F1071" s="103"/>
      <c r="G1071" s="103"/>
      <c r="H1071" s="6"/>
      <c r="I1071" s="104"/>
      <c r="J1071" s="104"/>
      <c r="K1071" s="104"/>
      <c r="L1071" s="104"/>
    </row>
    <row r="1072" spans="1:12" x14ac:dyDescent="0.25">
      <c r="A1072" s="6"/>
      <c r="B1072" s="6"/>
      <c r="C1072" s="102"/>
      <c r="D1072" s="102"/>
      <c r="E1072" s="102"/>
      <c r="F1072" s="103"/>
      <c r="G1072" s="103"/>
      <c r="H1072" s="6"/>
      <c r="I1072" s="104"/>
      <c r="J1072" s="104"/>
      <c r="K1072" s="104"/>
      <c r="L1072" s="104"/>
    </row>
    <row r="1073" spans="1:12" x14ac:dyDescent="0.25">
      <c r="A1073" s="6"/>
      <c r="B1073" s="6"/>
      <c r="C1073" s="102"/>
      <c r="D1073" s="102"/>
      <c r="E1073" s="102"/>
      <c r="F1073" s="103"/>
      <c r="G1073" s="103"/>
      <c r="H1073" s="6"/>
      <c r="I1073" s="104"/>
      <c r="J1073" s="104"/>
      <c r="K1073" s="104"/>
      <c r="L1073" s="104"/>
    </row>
    <row r="1074" spans="1:12" x14ac:dyDescent="0.25">
      <c r="A1074" s="6"/>
      <c r="B1074" s="6"/>
      <c r="C1074" s="102"/>
      <c r="D1074" s="102"/>
      <c r="E1074" s="102"/>
      <c r="F1074" s="103"/>
      <c r="G1074" s="103"/>
      <c r="H1074" s="6"/>
      <c r="I1074" s="104"/>
      <c r="J1074" s="104"/>
      <c r="K1074" s="104"/>
      <c r="L1074" s="104"/>
    </row>
    <row r="1075" spans="1:12" x14ac:dyDescent="0.25">
      <c r="A1075" s="6"/>
      <c r="B1075" s="6"/>
      <c r="C1075" s="102"/>
      <c r="D1075" s="102"/>
      <c r="E1075" s="102"/>
      <c r="F1075" s="103"/>
      <c r="G1075" s="103"/>
      <c r="H1075" s="6"/>
      <c r="I1075" s="104"/>
      <c r="J1075" s="104"/>
      <c r="K1075" s="104"/>
      <c r="L1075" s="104"/>
    </row>
    <row r="1076" spans="1:12" x14ac:dyDescent="0.25">
      <c r="A1076" s="6"/>
      <c r="B1076" s="6"/>
      <c r="C1076" s="102"/>
      <c r="D1076" s="102"/>
      <c r="E1076" s="102"/>
      <c r="F1076" s="103"/>
      <c r="G1076" s="103"/>
      <c r="H1076" s="6"/>
      <c r="I1076" s="104"/>
      <c r="J1076" s="104"/>
      <c r="K1076" s="104"/>
      <c r="L1076" s="104"/>
    </row>
    <row r="1077" spans="1:12" x14ac:dyDescent="0.25">
      <c r="A1077" s="6"/>
      <c r="B1077" s="6"/>
      <c r="C1077" s="102"/>
      <c r="D1077" s="102"/>
      <c r="E1077" s="102"/>
      <c r="F1077" s="103"/>
      <c r="G1077" s="103"/>
      <c r="H1077" s="6"/>
      <c r="I1077" s="104"/>
      <c r="J1077" s="104"/>
      <c r="K1077" s="104"/>
      <c r="L1077" s="104"/>
    </row>
    <row r="1078" spans="1:12" x14ac:dyDescent="0.25">
      <c r="A1078" s="6"/>
      <c r="B1078" s="6"/>
      <c r="C1078" s="102"/>
      <c r="D1078" s="102"/>
      <c r="E1078" s="102"/>
      <c r="F1078" s="103"/>
      <c r="G1078" s="103"/>
      <c r="H1078" s="6"/>
      <c r="I1078" s="104"/>
      <c r="J1078" s="104"/>
      <c r="K1078" s="104"/>
      <c r="L1078" s="104"/>
    </row>
    <row r="1079" spans="1:12" x14ac:dyDescent="0.25">
      <c r="A1079" s="6"/>
      <c r="B1079" s="6"/>
      <c r="C1079" s="102"/>
      <c r="D1079" s="102"/>
      <c r="E1079" s="102"/>
      <c r="F1079" s="103"/>
      <c r="G1079" s="103"/>
      <c r="H1079" s="6"/>
      <c r="I1079" s="104"/>
      <c r="J1079" s="104"/>
      <c r="K1079" s="104"/>
      <c r="L1079" s="104"/>
    </row>
    <row r="1080" spans="1:12" x14ac:dyDescent="0.25">
      <c r="A1080" s="6"/>
      <c r="B1080" s="6"/>
      <c r="C1080" s="102"/>
      <c r="D1080" s="102"/>
      <c r="E1080" s="102"/>
      <c r="F1080" s="103"/>
      <c r="G1080" s="103"/>
      <c r="H1080" s="6"/>
      <c r="I1080" s="104"/>
      <c r="J1080" s="104"/>
      <c r="K1080" s="104"/>
      <c r="L1080" s="104"/>
    </row>
    <row r="1081" spans="1:12" x14ac:dyDescent="0.25">
      <c r="A1081" s="6"/>
      <c r="B1081" s="6"/>
      <c r="C1081" s="102"/>
      <c r="D1081" s="102"/>
      <c r="E1081" s="102"/>
      <c r="F1081" s="103"/>
      <c r="G1081" s="103"/>
      <c r="H1081" s="6"/>
      <c r="I1081" s="104"/>
      <c r="J1081" s="104"/>
      <c r="K1081" s="104"/>
      <c r="L1081" s="104"/>
    </row>
    <row r="1082" spans="1:12" x14ac:dyDescent="0.25">
      <c r="A1082" s="6"/>
      <c r="B1082" s="6"/>
      <c r="C1082" s="102"/>
      <c r="D1082" s="102"/>
      <c r="E1082" s="102"/>
      <c r="F1082" s="103"/>
      <c r="G1082" s="103"/>
      <c r="H1082" s="6"/>
      <c r="I1082" s="104"/>
      <c r="J1082" s="104"/>
      <c r="K1082" s="104"/>
      <c r="L1082" s="104"/>
    </row>
    <row r="1083" spans="1:12" x14ac:dyDescent="0.25">
      <c r="A1083" s="6"/>
      <c r="B1083" s="6"/>
      <c r="C1083" s="102"/>
      <c r="D1083" s="102"/>
      <c r="E1083" s="102"/>
      <c r="F1083" s="103"/>
      <c r="G1083" s="103"/>
      <c r="H1083" s="6"/>
      <c r="I1083" s="104"/>
      <c r="J1083" s="104"/>
      <c r="K1083" s="104"/>
      <c r="L1083" s="104"/>
    </row>
    <row r="1084" spans="1:12" x14ac:dyDescent="0.25">
      <c r="A1084" s="6"/>
      <c r="B1084" s="6"/>
      <c r="C1084" s="102"/>
      <c r="D1084" s="102"/>
      <c r="E1084" s="102"/>
      <c r="F1084" s="103"/>
      <c r="G1084" s="103"/>
      <c r="H1084" s="6"/>
      <c r="I1084" s="104"/>
      <c r="J1084" s="104"/>
      <c r="K1084" s="104"/>
      <c r="L1084" s="104"/>
    </row>
    <row r="1085" spans="1:12" x14ac:dyDescent="0.25">
      <c r="A1085" s="6"/>
      <c r="B1085" s="6"/>
      <c r="C1085" s="102"/>
      <c r="D1085" s="102"/>
      <c r="E1085" s="102"/>
      <c r="F1085" s="103"/>
      <c r="G1085" s="103"/>
      <c r="H1085" s="6"/>
      <c r="I1085" s="104"/>
      <c r="J1085" s="104"/>
      <c r="K1085" s="104"/>
      <c r="L1085" s="104"/>
    </row>
    <row r="1086" spans="1:12" x14ac:dyDescent="0.25">
      <c r="A1086" s="6"/>
      <c r="B1086" s="6"/>
      <c r="C1086" s="102"/>
      <c r="D1086" s="102"/>
      <c r="E1086" s="102"/>
      <c r="F1086" s="103"/>
      <c r="G1086" s="103"/>
      <c r="H1086" s="6"/>
      <c r="I1086" s="104"/>
      <c r="J1086" s="104"/>
      <c r="K1086" s="104"/>
      <c r="L1086" s="104"/>
    </row>
    <row r="1087" spans="1:12" x14ac:dyDescent="0.25">
      <c r="A1087" s="6"/>
      <c r="B1087" s="6"/>
      <c r="C1087" s="102"/>
      <c r="D1087" s="102"/>
      <c r="E1087" s="102"/>
      <c r="F1087" s="103"/>
      <c r="G1087" s="103"/>
      <c r="H1087" s="6"/>
      <c r="I1087" s="104"/>
      <c r="J1087" s="104"/>
      <c r="K1087" s="104"/>
      <c r="L1087" s="104"/>
    </row>
    <row r="1088" spans="1:12" x14ac:dyDescent="0.25">
      <c r="A1088" s="6"/>
      <c r="B1088" s="6"/>
      <c r="C1088" s="102"/>
      <c r="D1088" s="102"/>
      <c r="E1088" s="102"/>
      <c r="F1088" s="103"/>
      <c r="G1088" s="103"/>
      <c r="H1088" s="6"/>
      <c r="I1088" s="104"/>
      <c r="J1088" s="104"/>
      <c r="K1088" s="104"/>
      <c r="L1088" s="104"/>
    </row>
    <row r="1089" spans="1:12" x14ac:dyDescent="0.25">
      <c r="A1089" s="6"/>
      <c r="B1089" s="6"/>
      <c r="C1089" s="102"/>
      <c r="D1089" s="102"/>
      <c r="E1089" s="102"/>
      <c r="F1089" s="103"/>
      <c r="G1089" s="103"/>
      <c r="H1089" s="6"/>
      <c r="I1089" s="104"/>
      <c r="J1089" s="104"/>
      <c r="K1089" s="104"/>
      <c r="L1089" s="104"/>
    </row>
    <row r="1090" spans="1:12" x14ac:dyDescent="0.25">
      <c r="A1090" s="6"/>
      <c r="B1090" s="6"/>
      <c r="C1090" s="102"/>
      <c r="D1090" s="102"/>
      <c r="E1090" s="102"/>
      <c r="F1090" s="103"/>
      <c r="G1090" s="103"/>
      <c r="H1090" s="6"/>
      <c r="I1090" s="104"/>
      <c r="J1090" s="104"/>
      <c r="K1090" s="104"/>
      <c r="L1090" s="104"/>
    </row>
    <row r="1091" spans="1:12" x14ac:dyDescent="0.25">
      <c r="A1091" s="6"/>
      <c r="B1091" s="6"/>
      <c r="C1091" s="102"/>
      <c r="D1091" s="102"/>
      <c r="E1091" s="102"/>
      <c r="F1091" s="103"/>
      <c r="G1091" s="103"/>
      <c r="H1091" s="6"/>
      <c r="I1091" s="104"/>
      <c r="J1091" s="104"/>
      <c r="K1091" s="104"/>
      <c r="L1091" s="104"/>
    </row>
    <row r="1092" spans="1:12" x14ac:dyDescent="0.25">
      <c r="A1092" s="6"/>
      <c r="B1092" s="6"/>
      <c r="C1092" s="102"/>
      <c r="D1092" s="102"/>
      <c r="E1092" s="102"/>
      <c r="F1092" s="103"/>
      <c r="G1092" s="103"/>
      <c r="H1092" s="6"/>
      <c r="I1092" s="104"/>
      <c r="J1092" s="104"/>
      <c r="K1092" s="104"/>
      <c r="L1092" s="104"/>
    </row>
    <row r="1093" spans="1:12" x14ac:dyDescent="0.25">
      <c r="A1093" s="6"/>
      <c r="B1093" s="6"/>
      <c r="C1093" s="102"/>
      <c r="D1093" s="102"/>
      <c r="E1093" s="102"/>
      <c r="F1093" s="103"/>
      <c r="G1093" s="103"/>
      <c r="H1093" s="6"/>
      <c r="I1093" s="104"/>
      <c r="J1093" s="104"/>
      <c r="K1093" s="104"/>
      <c r="L1093" s="104"/>
    </row>
    <row r="1094" spans="1:12" x14ac:dyDescent="0.25">
      <c r="A1094" s="6"/>
      <c r="B1094" s="6"/>
      <c r="C1094" s="102"/>
      <c r="D1094" s="102"/>
      <c r="E1094" s="102"/>
      <c r="F1094" s="103"/>
      <c r="G1094" s="103"/>
      <c r="H1094" s="6"/>
      <c r="I1094" s="104"/>
      <c r="J1094" s="104"/>
      <c r="K1094" s="104"/>
      <c r="L1094" s="104"/>
    </row>
    <row r="1095" spans="1:12" x14ac:dyDescent="0.25">
      <c r="A1095" s="6"/>
      <c r="B1095" s="6"/>
      <c r="C1095" s="102"/>
      <c r="D1095" s="102"/>
      <c r="E1095" s="102"/>
      <c r="F1095" s="103"/>
      <c r="G1095" s="103"/>
      <c r="H1095" s="6"/>
      <c r="I1095" s="104"/>
      <c r="J1095" s="104"/>
      <c r="K1095" s="104"/>
      <c r="L1095" s="104"/>
    </row>
    <row r="1096" spans="1:12" x14ac:dyDescent="0.25">
      <c r="A1096" s="6"/>
      <c r="B1096" s="6"/>
      <c r="C1096" s="102"/>
      <c r="D1096" s="102"/>
      <c r="E1096" s="102"/>
      <c r="F1096" s="103"/>
      <c r="G1096" s="103"/>
      <c r="H1096" s="6"/>
      <c r="I1096" s="104"/>
      <c r="J1096" s="104"/>
      <c r="K1096" s="104"/>
      <c r="L1096" s="104"/>
    </row>
    <row r="1097" spans="1:12" x14ac:dyDescent="0.25">
      <c r="A1097" s="6"/>
      <c r="B1097" s="6"/>
      <c r="C1097" s="102"/>
      <c r="D1097" s="102"/>
      <c r="E1097" s="102"/>
      <c r="F1097" s="103"/>
      <c r="G1097" s="103"/>
      <c r="H1097" s="6"/>
      <c r="I1097" s="104"/>
      <c r="J1097" s="104"/>
      <c r="K1097" s="104"/>
      <c r="L1097" s="104"/>
    </row>
    <row r="1098" spans="1:12" x14ac:dyDescent="0.25">
      <c r="A1098" s="6"/>
      <c r="B1098" s="6"/>
      <c r="C1098" s="102"/>
      <c r="D1098" s="102"/>
      <c r="E1098" s="102"/>
      <c r="F1098" s="103"/>
      <c r="G1098" s="103"/>
      <c r="H1098" s="6"/>
      <c r="I1098" s="104"/>
      <c r="J1098" s="104"/>
      <c r="K1098" s="104"/>
      <c r="L1098" s="104"/>
    </row>
    <row r="1099" spans="1:12" x14ac:dyDescent="0.25">
      <c r="A1099" s="6"/>
      <c r="B1099" s="6"/>
      <c r="C1099" s="102"/>
      <c r="D1099" s="102"/>
      <c r="E1099" s="102"/>
      <c r="F1099" s="103"/>
      <c r="G1099" s="103"/>
      <c r="H1099" s="6"/>
      <c r="I1099" s="104"/>
      <c r="J1099" s="104"/>
      <c r="K1099" s="104"/>
      <c r="L1099" s="104"/>
    </row>
    <row r="1100" spans="1:12" x14ac:dyDescent="0.25">
      <c r="A1100" s="6"/>
      <c r="B1100" s="6"/>
      <c r="C1100" s="102"/>
      <c r="D1100" s="102"/>
      <c r="E1100" s="102"/>
      <c r="F1100" s="103"/>
      <c r="G1100" s="103"/>
      <c r="H1100" s="6"/>
      <c r="I1100" s="104"/>
      <c r="J1100" s="104"/>
      <c r="K1100" s="104"/>
      <c r="L1100" s="104"/>
    </row>
    <row r="1101" spans="1:12" x14ac:dyDescent="0.25">
      <c r="A1101" s="6"/>
      <c r="B1101" s="6"/>
      <c r="C1101" s="102"/>
      <c r="D1101" s="102"/>
      <c r="E1101" s="102"/>
      <c r="F1101" s="103"/>
      <c r="G1101" s="103"/>
      <c r="H1101" s="6"/>
      <c r="I1101" s="104"/>
      <c r="J1101" s="104"/>
      <c r="K1101" s="104"/>
      <c r="L1101" s="104"/>
    </row>
    <row r="1102" spans="1:12" x14ac:dyDescent="0.25">
      <c r="A1102" s="6"/>
      <c r="B1102" s="6"/>
      <c r="C1102" s="102"/>
      <c r="D1102" s="102"/>
      <c r="E1102" s="102"/>
      <c r="F1102" s="103"/>
      <c r="G1102" s="103"/>
      <c r="H1102" s="6"/>
      <c r="I1102" s="104"/>
      <c r="J1102" s="104"/>
      <c r="K1102" s="104"/>
      <c r="L1102" s="104"/>
    </row>
    <row r="1103" spans="1:12" x14ac:dyDescent="0.25">
      <c r="A1103" s="6"/>
      <c r="B1103" s="6"/>
      <c r="C1103" s="102"/>
      <c r="D1103" s="102"/>
      <c r="E1103" s="102"/>
      <c r="F1103" s="103"/>
      <c r="G1103" s="103"/>
      <c r="H1103" s="6"/>
      <c r="I1103" s="104"/>
      <c r="J1103" s="104"/>
      <c r="K1103" s="104"/>
      <c r="L1103" s="104"/>
    </row>
    <row r="1104" spans="1:12" x14ac:dyDescent="0.25">
      <c r="A1104" s="6"/>
      <c r="B1104" s="6"/>
      <c r="C1104" s="102"/>
      <c r="D1104" s="102"/>
      <c r="E1104" s="102"/>
      <c r="F1104" s="103"/>
      <c r="G1104" s="103"/>
      <c r="H1104" s="6"/>
      <c r="I1104" s="104"/>
      <c r="J1104" s="104"/>
      <c r="K1104" s="104"/>
      <c r="L1104" s="104"/>
    </row>
    <row r="1105" spans="1:12" x14ac:dyDescent="0.25">
      <c r="A1105" s="6"/>
      <c r="B1105" s="6"/>
      <c r="C1105" s="102"/>
      <c r="D1105" s="102"/>
      <c r="E1105" s="102"/>
      <c r="F1105" s="103"/>
      <c r="G1105" s="103"/>
      <c r="H1105" s="6"/>
      <c r="I1105" s="104"/>
      <c r="J1105" s="104"/>
      <c r="K1105" s="104"/>
      <c r="L1105" s="104"/>
    </row>
    <row r="1106" spans="1:12" x14ac:dyDescent="0.25">
      <c r="A1106" s="6"/>
      <c r="B1106" s="6"/>
      <c r="C1106" s="102"/>
      <c r="D1106" s="102"/>
      <c r="E1106" s="102"/>
      <c r="F1106" s="103"/>
      <c r="G1106" s="103"/>
      <c r="H1106" s="6"/>
      <c r="I1106" s="104"/>
      <c r="J1106" s="104"/>
      <c r="K1106" s="104"/>
      <c r="L1106" s="104"/>
    </row>
    <row r="1107" spans="1:12" x14ac:dyDescent="0.25">
      <c r="A1107" s="6"/>
      <c r="B1107" s="6"/>
      <c r="C1107" s="102"/>
      <c r="D1107" s="102"/>
      <c r="E1107" s="102"/>
      <c r="F1107" s="103"/>
      <c r="G1107" s="103"/>
      <c r="H1107" s="6"/>
      <c r="I1107" s="104"/>
      <c r="J1107" s="104"/>
      <c r="K1107" s="104"/>
      <c r="L1107" s="104"/>
    </row>
    <row r="1108" spans="1:12" x14ac:dyDescent="0.25">
      <c r="A1108" s="6"/>
      <c r="B1108" s="6"/>
      <c r="C1108" s="102"/>
      <c r="D1108" s="102"/>
      <c r="E1108" s="102"/>
      <c r="F1108" s="103"/>
      <c r="G1108" s="103"/>
      <c r="H1108" s="6"/>
      <c r="I1108" s="104"/>
      <c r="J1108" s="104"/>
      <c r="K1108" s="104"/>
      <c r="L1108" s="104"/>
    </row>
    <row r="1109" spans="1:12" x14ac:dyDescent="0.25">
      <c r="A1109" s="6"/>
      <c r="B1109" s="6"/>
      <c r="C1109" s="102"/>
      <c r="D1109" s="102"/>
      <c r="E1109" s="102"/>
      <c r="F1109" s="103"/>
      <c r="G1109" s="103"/>
      <c r="H1109" s="6"/>
      <c r="I1109" s="104"/>
      <c r="J1109" s="104"/>
      <c r="K1109" s="104"/>
      <c r="L1109" s="104"/>
    </row>
    <row r="1110" spans="1:12" x14ac:dyDescent="0.25">
      <c r="A1110" s="6"/>
      <c r="B1110" s="6"/>
      <c r="C1110" s="102"/>
      <c r="D1110" s="102"/>
      <c r="E1110" s="102"/>
      <c r="F1110" s="103"/>
      <c r="G1110" s="103"/>
      <c r="H1110" s="6"/>
      <c r="I1110" s="104"/>
      <c r="J1110" s="104"/>
      <c r="K1110" s="104"/>
      <c r="L1110" s="104"/>
    </row>
    <row r="1111" spans="1:12" x14ac:dyDescent="0.25">
      <c r="A1111" s="6"/>
      <c r="B1111" s="6"/>
      <c r="C1111" s="102"/>
      <c r="D1111" s="102"/>
      <c r="E1111" s="102"/>
      <c r="F1111" s="103"/>
      <c r="G1111" s="103"/>
      <c r="H1111" s="6"/>
      <c r="I1111" s="104"/>
      <c r="J1111" s="104"/>
      <c r="K1111" s="104"/>
      <c r="L1111" s="104"/>
    </row>
    <row r="1112" spans="1:12" x14ac:dyDescent="0.25">
      <c r="A1112" s="6"/>
      <c r="B1112" s="6"/>
      <c r="C1112" s="102"/>
      <c r="D1112" s="102"/>
      <c r="E1112" s="102"/>
      <c r="F1112" s="103"/>
      <c r="G1112" s="103"/>
      <c r="H1112" s="6"/>
      <c r="I1112" s="104"/>
      <c r="J1112" s="104"/>
      <c r="K1112" s="104"/>
      <c r="L1112" s="104"/>
    </row>
    <row r="1113" spans="1:12" x14ac:dyDescent="0.25">
      <c r="A1113" s="6"/>
      <c r="B1113" s="6"/>
      <c r="C1113" s="102"/>
      <c r="D1113" s="102"/>
      <c r="E1113" s="102"/>
      <c r="F1113" s="103"/>
      <c r="G1113" s="103"/>
      <c r="H1113" s="6"/>
      <c r="I1113" s="104"/>
      <c r="J1113" s="104"/>
      <c r="K1113" s="104"/>
      <c r="L1113" s="104"/>
    </row>
    <row r="1114" spans="1:12" x14ac:dyDescent="0.25">
      <c r="A1114" s="6"/>
      <c r="B1114" s="6"/>
      <c r="C1114" s="102"/>
      <c r="D1114" s="102"/>
      <c r="E1114" s="102"/>
      <c r="F1114" s="103"/>
      <c r="G1114" s="103"/>
      <c r="H1114" s="6"/>
      <c r="I1114" s="104"/>
      <c r="J1114" s="104"/>
      <c r="K1114" s="104"/>
      <c r="L1114" s="104"/>
    </row>
    <row r="1115" spans="1:12" x14ac:dyDescent="0.25">
      <c r="A1115" s="6"/>
      <c r="B1115" s="6"/>
      <c r="C1115" s="102"/>
      <c r="D1115" s="102"/>
      <c r="E1115" s="102"/>
      <c r="F1115" s="103"/>
      <c r="G1115" s="103"/>
      <c r="H1115" s="6"/>
      <c r="I1115" s="104"/>
      <c r="J1115" s="104"/>
      <c r="K1115" s="104"/>
      <c r="L1115" s="104"/>
    </row>
    <row r="1116" spans="1:12" x14ac:dyDescent="0.25">
      <c r="A1116" s="6"/>
      <c r="B1116" s="6"/>
      <c r="C1116" s="102"/>
      <c r="D1116" s="102"/>
      <c r="E1116" s="102"/>
      <c r="F1116" s="103"/>
      <c r="G1116" s="103"/>
      <c r="H1116" s="6"/>
      <c r="I1116" s="104"/>
      <c r="J1116" s="104"/>
      <c r="K1116" s="104"/>
      <c r="L1116" s="104"/>
    </row>
    <row r="1117" spans="1:12" x14ac:dyDescent="0.25">
      <c r="A1117" s="6"/>
      <c r="B1117" s="6"/>
      <c r="C1117" s="102"/>
      <c r="D1117" s="102"/>
      <c r="E1117" s="102"/>
      <c r="F1117" s="103"/>
      <c r="G1117" s="103"/>
      <c r="H1117" s="6"/>
      <c r="I1117" s="104"/>
      <c r="J1117" s="104"/>
      <c r="K1117" s="104"/>
      <c r="L1117" s="104"/>
    </row>
    <row r="1118" spans="1:12" x14ac:dyDescent="0.25">
      <c r="A1118" s="6"/>
      <c r="B1118" s="6"/>
      <c r="C1118" s="102"/>
      <c r="D1118" s="102"/>
      <c r="E1118" s="102"/>
      <c r="F1118" s="103"/>
      <c r="G1118" s="103"/>
      <c r="H1118" s="6"/>
      <c r="I1118" s="104"/>
      <c r="J1118" s="104"/>
      <c r="K1118" s="104"/>
      <c r="L1118" s="104"/>
    </row>
    <row r="1119" spans="1:12" x14ac:dyDescent="0.25">
      <c r="A1119" s="6"/>
      <c r="B1119" s="6"/>
      <c r="C1119" s="102"/>
      <c r="D1119" s="102"/>
      <c r="E1119" s="102"/>
      <c r="F1119" s="103"/>
      <c r="G1119" s="103"/>
      <c r="H1119" s="6"/>
      <c r="I1119" s="104"/>
      <c r="J1119" s="104"/>
      <c r="K1119" s="104"/>
      <c r="L1119" s="104"/>
    </row>
    <row r="1120" spans="1:12" x14ac:dyDescent="0.25">
      <c r="A1120" s="6"/>
      <c r="B1120" s="6"/>
      <c r="C1120" s="102"/>
      <c r="D1120" s="102"/>
      <c r="E1120" s="102"/>
      <c r="F1120" s="103"/>
      <c r="G1120" s="103"/>
      <c r="H1120" s="6"/>
      <c r="I1120" s="104"/>
      <c r="J1120" s="104"/>
      <c r="K1120" s="104"/>
      <c r="L1120" s="104"/>
    </row>
    <row r="1121" spans="1:12" x14ac:dyDescent="0.25">
      <c r="A1121" s="6"/>
      <c r="B1121" s="6"/>
      <c r="C1121" s="102"/>
      <c r="D1121" s="102"/>
      <c r="E1121" s="102"/>
      <c r="F1121" s="103"/>
      <c r="G1121" s="103"/>
      <c r="H1121" s="6"/>
      <c r="I1121" s="104"/>
      <c r="J1121" s="104"/>
      <c r="K1121" s="104"/>
      <c r="L1121" s="104"/>
    </row>
    <row r="1122" spans="1:12" x14ac:dyDescent="0.25">
      <c r="A1122" s="6"/>
      <c r="B1122" s="6"/>
      <c r="C1122" s="102"/>
      <c r="D1122" s="102"/>
      <c r="E1122" s="102"/>
      <c r="F1122" s="103"/>
      <c r="G1122" s="103"/>
      <c r="H1122" s="6"/>
      <c r="I1122" s="104"/>
      <c r="J1122" s="104"/>
      <c r="K1122" s="104"/>
      <c r="L1122" s="104"/>
    </row>
    <row r="1123" spans="1:12" x14ac:dyDescent="0.25">
      <c r="A1123" s="6"/>
      <c r="B1123" s="6"/>
      <c r="C1123" s="102"/>
      <c r="D1123" s="102"/>
      <c r="E1123" s="102"/>
      <c r="F1123" s="103"/>
      <c r="G1123" s="103"/>
      <c r="H1123" s="6"/>
      <c r="I1123" s="104"/>
      <c r="J1123" s="104"/>
      <c r="K1123" s="104"/>
      <c r="L1123" s="104"/>
    </row>
    <row r="1124" spans="1:12" x14ac:dyDescent="0.25">
      <c r="A1124" s="6"/>
      <c r="B1124" s="6"/>
      <c r="C1124" s="102"/>
      <c r="D1124" s="102"/>
      <c r="E1124" s="102"/>
      <c r="F1124" s="103"/>
      <c r="G1124" s="103"/>
      <c r="H1124" s="6"/>
      <c r="I1124" s="104"/>
      <c r="J1124" s="104"/>
      <c r="K1124" s="104"/>
      <c r="L1124" s="104"/>
    </row>
    <row r="1125" spans="1:12" x14ac:dyDescent="0.25">
      <c r="A1125" s="6"/>
      <c r="B1125" s="6"/>
      <c r="C1125" s="102"/>
      <c r="D1125" s="102"/>
      <c r="E1125" s="102"/>
      <c r="F1125" s="103"/>
      <c r="G1125" s="103"/>
      <c r="H1125" s="6"/>
      <c r="I1125" s="104"/>
      <c r="J1125" s="104"/>
      <c r="K1125" s="104"/>
      <c r="L1125" s="104"/>
    </row>
    <row r="1126" spans="1:12" x14ac:dyDescent="0.25">
      <c r="A1126" s="6"/>
      <c r="B1126" s="6"/>
      <c r="C1126" s="102"/>
      <c r="D1126" s="102"/>
      <c r="E1126" s="102"/>
      <c r="F1126" s="103"/>
      <c r="G1126" s="103"/>
      <c r="H1126" s="6"/>
      <c r="I1126" s="104"/>
      <c r="J1126" s="104"/>
      <c r="K1126" s="104"/>
      <c r="L1126" s="104"/>
    </row>
    <row r="1127" spans="1:12" x14ac:dyDescent="0.25">
      <c r="A1127" s="6"/>
      <c r="B1127" s="6"/>
      <c r="C1127" s="102"/>
      <c r="D1127" s="102"/>
      <c r="E1127" s="102"/>
      <c r="F1127" s="103"/>
      <c r="G1127" s="103"/>
      <c r="H1127" s="6"/>
      <c r="I1127" s="104"/>
      <c r="J1127" s="104"/>
      <c r="K1127" s="104"/>
      <c r="L1127" s="104"/>
    </row>
    <row r="1128" spans="1:12" x14ac:dyDescent="0.25">
      <c r="A1128" s="6"/>
      <c r="B1128" s="6"/>
      <c r="C1128" s="102"/>
      <c r="D1128" s="102"/>
      <c r="E1128" s="102"/>
      <c r="F1128" s="103"/>
      <c r="G1128" s="103"/>
      <c r="H1128" s="6"/>
      <c r="I1128" s="104"/>
      <c r="J1128" s="104"/>
      <c r="K1128" s="104"/>
      <c r="L1128" s="104"/>
    </row>
    <row r="1129" spans="1:12" x14ac:dyDescent="0.25">
      <c r="A1129" s="6"/>
      <c r="B1129" s="6"/>
      <c r="C1129" s="102"/>
      <c r="D1129" s="102"/>
      <c r="E1129" s="102"/>
      <c r="F1129" s="103"/>
      <c r="G1129" s="103"/>
      <c r="H1129" s="6"/>
      <c r="I1129" s="104"/>
      <c r="J1129" s="104"/>
      <c r="K1129" s="104"/>
      <c r="L1129" s="104"/>
    </row>
    <row r="1130" spans="1:12" x14ac:dyDescent="0.25">
      <c r="A1130" s="6"/>
      <c r="B1130" s="6"/>
      <c r="C1130" s="102"/>
      <c r="D1130" s="102"/>
      <c r="E1130" s="102"/>
      <c r="F1130" s="103"/>
      <c r="G1130" s="103"/>
      <c r="H1130" s="6"/>
      <c r="I1130" s="104"/>
      <c r="J1130" s="104"/>
      <c r="K1130" s="104"/>
      <c r="L1130" s="104"/>
    </row>
    <row r="1131" spans="1:12" x14ac:dyDescent="0.25">
      <c r="A1131" s="6"/>
      <c r="B1131" s="6"/>
      <c r="C1131" s="102"/>
      <c r="D1131" s="102"/>
      <c r="E1131" s="102"/>
      <c r="F1131" s="103"/>
      <c r="G1131" s="103"/>
      <c r="H1131" s="6"/>
      <c r="I1131" s="104"/>
      <c r="J1131" s="104"/>
      <c r="K1131" s="104"/>
      <c r="L1131" s="104"/>
    </row>
    <row r="1132" spans="1:12" x14ac:dyDescent="0.25">
      <c r="A1132" s="6"/>
      <c r="B1132" s="6"/>
      <c r="C1132" s="102"/>
      <c r="D1132" s="102"/>
      <c r="E1132" s="102"/>
      <c r="F1132" s="103"/>
      <c r="G1132" s="103"/>
      <c r="H1132" s="6"/>
      <c r="I1132" s="104"/>
      <c r="J1132" s="104"/>
      <c r="K1132" s="104"/>
      <c r="L1132" s="104"/>
    </row>
    <row r="1133" spans="1:12" x14ac:dyDescent="0.25">
      <c r="A1133" s="6"/>
      <c r="B1133" s="6"/>
      <c r="C1133" s="102"/>
      <c r="D1133" s="102"/>
      <c r="E1133" s="102"/>
      <c r="F1133" s="103"/>
      <c r="G1133" s="103"/>
      <c r="H1133" s="6"/>
      <c r="I1133" s="104"/>
      <c r="J1133" s="104"/>
      <c r="K1133" s="104"/>
      <c r="L1133" s="104"/>
    </row>
    <row r="1134" spans="1:12" x14ac:dyDescent="0.25">
      <c r="A1134" s="6"/>
      <c r="B1134" s="6"/>
      <c r="C1134" s="102"/>
      <c r="D1134" s="102"/>
      <c r="E1134" s="102"/>
      <c r="F1134" s="103"/>
      <c r="G1134" s="103"/>
      <c r="H1134" s="6"/>
      <c r="I1134" s="104"/>
      <c r="J1134" s="104"/>
      <c r="K1134" s="104"/>
      <c r="L1134" s="104"/>
    </row>
    <row r="1135" spans="1:12" x14ac:dyDescent="0.25">
      <c r="A1135" s="6"/>
      <c r="B1135" s="6"/>
      <c r="C1135" s="102"/>
      <c r="D1135" s="102"/>
      <c r="E1135" s="102"/>
      <c r="F1135" s="103"/>
      <c r="G1135" s="103"/>
      <c r="H1135" s="6"/>
      <c r="I1135" s="104"/>
      <c r="J1135" s="104"/>
      <c r="K1135" s="104"/>
      <c r="L1135" s="104"/>
    </row>
    <row r="1136" spans="1:12" x14ac:dyDescent="0.25">
      <c r="A1136" s="6"/>
      <c r="B1136" s="6"/>
      <c r="C1136" s="102"/>
      <c r="D1136" s="102"/>
      <c r="E1136" s="102"/>
      <c r="F1136" s="103"/>
      <c r="G1136" s="103"/>
      <c r="H1136" s="6"/>
      <c r="I1136" s="104"/>
      <c r="J1136" s="104"/>
      <c r="K1136" s="104"/>
      <c r="L1136" s="104"/>
    </row>
    <row r="1137" spans="1:12" x14ac:dyDescent="0.25">
      <c r="A1137" s="6"/>
      <c r="B1137" s="6"/>
      <c r="C1137" s="102"/>
      <c r="D1137" s="102"/>
      <c r="E1137" s="102"/>
      <c r="F1137" s="103"/>
      <c r="G1137" s="103"/>
      <c r="H1137" s="6"/>
      <c r="I1137" s="104"/>
      <c r="J1137" s="104"/>
      <c r="K1137" s="104"/>
      <c r="L1137" s="104"/>
    </row>
    <row r="1138" spans="1:12" x14ac:dyDescent="0.25">
      <c r="A1138" s="6"/>
      <c r="B1138" s="6"/>
      <c r="C1138" s="102"/>
      <c r="D1138" s="102"/>
      <c r="E1138" s="102"/>
      <c r="F1138" s="103"/>
      <c r="G1138" s="103"/>
      <c r="H1138" s="6"/>
      <c r="I1138" s="104"/>
      <c r="J1138" s="104"/>
      <c r="K1138" s="104"/>
      <c r="L1138" s="104"/>
    </row>
    <row r="1139" spans="1:12" x14ac:dyDescent="0.25">
      <c r="A1139" s="6"/>
      <c r="B1139" s="6"/>
      <c r="C1139" s="102"/>
      <c r="D1139" s="102"/>
      <c r="E1139" s="102"/>
      <c r="F1139" s="103"/>
      <c r="G1139" s="103"/>
      <c r="H1139" s="6"/>
      <c r="I1139" s="104"/>
      <c r="J1139" s="104"/>
      <c r="K1139" s="104"/>
      <c r="L1139" s="104"/>
    </row>
    <row r="1140" spans="1:12" x14ac:dyDescent="0.25">
      <c r="A1140" s="6"/>
      <c r="B1140" s="6"/>
      <c r="C1140" s="102"/>
      <c r="D1140" s="102"/>
      <c r="E1140" s="102"/>
      <c r="F1140" s="103"/>
      <c r="G1140" s="103"/>
      <c r="H1140" s="6"/>
      <c r="I1140" s="104"/>
      <c r="J1140" s="104"/>
      <c r="K1140" s="104"/>
      <c r="L1140" s="104"/>
    </row>
    <row r="1141" spans="1:12" x14ac:dyDescent="0.25">
      <c r="A1141" s="6"/>
      <c r="B1141" s="6"/>
      <c r="C1141" s="102"/>
      <c r="D1141" s="102"/>
      <c r="E1141" s="102"/>
      <c r="F1141" s="103"/>
      <c r="G1141" s="103"/>
      <c r="H1141" s="6"/>
      <c r="I1141" s="104"/>
      <c r="J1141" s="104"/>
      <c r="K1141" s="104"/>
      <c r="L1141" s="104"/>
    </row>
    <row r="1142" spans="1:12" x14ac:dyDescent="0.25">
      <c r="A1142" s="6"/>
      <c r="B1142" s="6"/>
      <c r="C1142" s="102"/>
      <c r="D1142" s="102"/>
      <c r="E1142" s="102"/>
      <c r="F1142" s="103"/>
      <c r="G1142" s="103"/>
      <c r="H1142" s="6"/>
      <c r="I1142" s="104"/>
      <c r="J1142" s="104"/>
      <c r="K1142" s="104"/>
      <c r="L1142" s="104"/>
    </row>
    <row r="1143" spans="1:12" x14ac:dyDescent="0.25">
      <c r="A1143" s="6"/>
      <c r="B1143" s="6"/>
      <c r="C1143" s="102"/>
      <c r="D1143" s="102"/>
      <c r="E1143" s="102"/>
      <c r="F1143" s="103"/>
      <c r="G1143" s="103"/>
      <c r="H1143" s="6"/>
      <c r="I1143" s="104"/>
      <c r="J1143" s="104"/>
      <c r="K1143" s="104"/>
      <c r="L1143" s="104"/>
    </row>
    <row r="1144" spans="1:12" x14ac:dyDescent="0.25">
      <c r="A1144" s="6"/>
      <c r="B1144" s="6"/>
      <c r="C1144" s="102"/>
      <c r="D1144" s="102"/>
      <c r="E1144" s="102"/>
      <c r="F1144" s="103"/>
      <c r="G1144" s="103"/>
      <c r="H1144" s="6"/>
      <c r="I1144" s="104"/>
      <c r="J1144" s="104"/>
      <c r="K1144" s="104"/>
      <c r="L1144" s="104"/>
    </row>
    <row r="1145" spans="1:12" x14ac:dyDescent="0.25">
      <c r="A1145" s="6"/>
      <c r="B1145" s="6"/>
      <c r="C1145" s="102"/>
      <c r="D1145" s="102"/>
      <c r="E1145" s="102"/>
      <c r="F1145" s="103"/>
      <c r="G1145" s="103"/>
      <c r="H1145" s="6"/>
      <c r="I1145" s="104"/>
      <c r="J1145" s="104"/>
      <c r="K1145" s="104"/>
      <c r="L1145" s="104"/>
    </row>
    <row r="1146" spans="1:12" x14ac:dyDescent="0.25">
      <c r="A1146" s="6"/>
      <c r="B1146" s="6"/>
      <c r="C1146" s="102"/>
      <c r="D1146" s="102"/>
      <c r="E1146" s="102"/>
      <c r="F1146" s="103"/>
      <c r="G1146" s="103"/>
      <c r="H1146" s="6"/>
      <c r="I1146" s="104"/>
      <c r="J1146" s="104"/>
      <c r="K1146" s="104"/>
      <c r="L1146" s="104"/>
    </row>
    <row r="1147" spans="1:12" x14ac:dyDescent="0.25">
      <c r="A1147" s="6"/>
      <c r="B1147" s="6"/>
      <c r="C1147" s="102"/>
      <c r="D1147" s="102"/>
      <c r="E1147" s="102"/>
      <c r="F1147" s="103"/>
      <c r="G1147" s="103"/>
      <c r="H1147" s="6"/>
      <c r="I1147" s="104"/>
      <c r="J1147" s="104"/>
      <c r="K1147" s="104"/>
      <c r="L1147" s="104"/>
    </row>
    <row r="1148" spans="1:12" x14ac:dyDescent="0.25">
      <c r="A1148" s="6"/>
      <c r="B1148" s="6"/>
      <c r="C1148" s="102"/>
      <c r="D1148" s="102"/>
      <c r="E1148" s="102"/>
      <c r="F1148" s="103"/>
      <c r="G1148" s="103"/>
      <c r="H1148" s="6"/>
      <c r="I1148" s="104"/>
      <c r="J1148" s="104"/>
      <c r="K1148" s="104"/>
      <c r="L1148" s="104"/>
    </row>
    <row r="1149" spans="1:12" x14ac:dyDescent="0.25">
      <c r="A1149" s="6"/>
      <c r="B1149" s="6"/>
      <c r="C1149" s="102"/>
      <c r="D1149" s="102"/>
      <c r="E1149" s="102"/>
      <c r="F1149" s="103"/>
      <c r="G1149" s="103"/>
      <c r="H1149" s="6"/>
      <c r="I1149" s="104"/>
      <c r="J1149" s="104"/>
      <c r="K1149" s="104"/>
      <c r="L1149" s="104"/>
    </row>
    <row r="1150" spans="1:12" x14ac:dyDescent="0.25">
      <c r="A1150" s="6"/>
      <c r="B1150" s="6"/>
      <c r="C1150" s="102"/>
      <c r="D1150" s="102"/>
      <c r="E1150" s="102"/>
      <c r="F1150" s="103"/>
      <c r="G1150" s="103"/>
      <c r="H1150" s="6"/>
      <c r="I1150" s="104"/>
      <c r="J1150" s="104"/>
      <c r="K1150" s="104"/>
      <c r="L1150" s="104"/>
    </row>
    <row r="1151" spans="1:12" x14ac:dyDescent="0.25">
      <c r="A1151" s="6"/>
      <c r="B1151" s="6"/>
      <c r="C1151" s="102"/>
      <c r="D1151" s="102"/>
      <c r="E1151" s="102"/>
      <c r="F1151" s="103"/>
      <c r="G1151" s="103"/>
      <c r="H1151" s="6"/>
      <c r="I1151" s="104"/>
      <c r="J1151" s="104"/>
      <c r="K1151" s="104"/>
      <c r="L1151" s="104"/>
    </row>
    <row r="1152" spans="1:12" x14ac:dyDescent="0.25">
      <c r="A1152" s="6"/>
      <c r="B1152" s="6"/>
      <c r="C1152" s="102"/>
      <c r="D1152" s="102"/>
      <c r="E1152" s="102"/>
      <c r="F1152" s="103"/>
      <c r="G1152" s="103"/>
      <c r="H1152" s="6"/>
      <c r="I1152" s="104"/>
      <c r="J1152" s="104"/>
      <c r="K1152" s="104"/>
      <c r="L1152" s="104"/>
    </row>
    <row r="1153" spans="1:12" x14ac:dyDescent="0.25">
      <c r="A1153" s="6"/>
      <c r="B1153" s="6"/>
      <c r="C1153" s="102"/>
      <c r="D1153" s="102"/>
      <c r="E1153" s="102"/>
      <c r="F1153" s="103"/>
      <c r="G1153" s="103"/>
      <c r="H1153" s="6"/>
      <c r="I1153" s="104"/>
      <c r="J1153" s="104"/>
      <c r="K1153" s="104"/>
      <c r="L1153" s="104"/>
    </row>
    <row r="1154" spans="1:12" x14ac:dyDescent="0.25">
      <c r="A1154" s="6"/>
      <c r="B1154" s="6"/>
      <c r="C1154" s="102"/>
      <c r="D1154" s="102"/>
      <c r="E1154" s="102"/>
      <c r="F1154" s="103"/>
      <c r="G1154" s="103"/>
      <c r="H1154" s="6"/>
      <c r="I1154" s="104"/>
      <c r="J1154" s="104"/>
      <c r="K1154" s="104"/>
      <c r="L1154" s="104"/>
    </row>
    <row r="1155" spans="1:12" x14ac:dyDescent="0.25">
      <c r="A1155" s="6"/>
      <c r="B1155" s="6"/>
      <c r="C1155" s="102"/>
      <c r="D1155" s="102"/>
      <c r="E1155" s="102"/>
      <c r="F1155" s="103"/>
      <c r="G1155" s="103"/>
      <c r="H1155" s="6"/>
      <c r="I1155" s="104"/>
      <c r="J1155" s="104"/>
      <c r="K1155" s="104"/>
      <c r="L1155" s="104"/>
    </row>
    <row r="1156" spans="1:12" x14ac:dyDescent="0.25">
      <c r="A1156" s="6"/>
      <c r="B1156" s="6"/>
      <c r="C1156" s="102"/>
      <c r="D1156" s="102"/>
      <c r="E1156" s="102"/>
      <c r="F1156" s="103"/>
      <c r="G1156" s="103"/>
      <c r="H1156" s="6"/>
      <c r="I1156" s="104"/>
      <c r="J1156" s="104"/>
      <c r="K1156" s="104"/>
      <c r="L1156" s="104"/>
    </row>
    <row r="1157" spans="1:12" x14ac:dyDescent="0.25">
      <c r="A1157" s="6"/>
      <c r="B1157" s="6"/>
      <c r="C1157" s="102"/>
      <c r="D1157" s="102"/>
      <c r="E1157" s="102"/>
      <c r="F1157" s="103"/>
      <c r="G1157" s="103"/>
      <c r="H1157" s="6"/>
      <c r="I1157" s="104"/>
      <c r="J1157" s="104"/>
      <c r="K1157" s="104"/>
      <c r="L1157" s="104"/>
    </row>
    <row r="1158" spans="1:12" x14ac:dyDescent="0.25">
      <c r="A1158" s="6"/>
      <c r="B1158" s="6"/>
      <c r="C1158" s="102"/>
      <c r="D1158" s="102"/>
      <c r="E1158" s="102"/>
      <c r="F1158" s="103"/>
      <c r="G1158" s="103"/>
      <c r="H1158" s="6"/>
      <c r="I1158" s="104"/>
      <c r="J1158" s="104"/>
      <c r="K1158" s="104"/>
      <c r="L1158" s="104"/>
    </row>
    <row r="1159" spans="1:12" x14ac:dyDescent="0.25">
      <c r="A1159" s="6"/>
      <c r="B1159" s="6"/>
      <c r="C1159" s="102"/>
      <c r="D1159" s="102"/>
      <c r="E1159" s="102"/>
      <c r="F1159" s="103"/>
      <c r="G1159" s="103"/>
      <c r="H1159" s="6"/>
      <c r="I1159" s="104"/>
      <c r="J1159" s="104"/>
      <c r="K1159" s="104"/>
      <c r="L1159" s="104"/>
    </row>
    <row r="1160" spans="1:12" x14ac:dyDescent="0.25">
      <c r="A1160" s="6"/>
      <c r="B1160" s="6"/>
      <c r="C1160" s="102"/>
      <c r="D1160" s="102"/>
      <c r="E1160" s="102"/>
      <c r="F1160" s="103"/>
      <c r="G1160" s="103"/>
      <c r="H1160" s="6"/>
      <c r="I1160" s="104"/>
      <c r="J1160" s="104"/>
      <c r="K1160" s="104"/>
      <c r="L1160" s="104"/>
    </row>
    <row r="1161" spans="1:12" x14ac:dyDescent="0.25">
      <c r="A1161" s="6"/>
      <c r="B1161" s="6"/>
      <c r="C1161" s="102"/>
      <c r="D1161" s="102"/>
      <c r="E1161" s="102"/>
      <c r="F1161" s="103"/>
      <c r="G1161" s="103"/>
      <c r="H1161" s="6"/>
      <c r="I1161" s="104"/>
      <c r="J1161" s="104"/>
      <c r="K1161" s="104"/>
      <c r="L1161" s="104"/>
    </row>
    <row r="1162" spans="1:12" x14ac:dyDescent="0.25">
      <c r="A1162" s="6"/>
      <c r="B1162" s="6"/>
      <c r="C1162" s="102"/>
      <c r="D1162" s="102"/>
      <c r="E1162" s="102"/>
      <c r="F1162" s="103"/>
      <c r="G1162" s="103"/>
      <c r="H1162" s="6"/>
      <c r="I1162" s="104"/>
      <c r="J1162" s="104"/>
      <c r="K1162" s="104"/>
      <c r="L1162" s="104"/>
    </row>
    <row r="1163" spans="1:12" x14ac:dyDescent="0.25">
      <c r="A1163" s="6"/>
      <c r="B1163" s="6"/>
      <c r="C1163" s="102"/>
      <c r="D1163" s="102"/>
      <c r="E1163" s="102"/>
      <c r="F1163" s="103"/>
      <c r="G1163" s="103"/>
      <c r="H1163" s="6"/>
      <c r="I1163" s="104"/>
      <c r="J1163" s="104"/>
      <c r="K1163" s="104"/>
      <c r="L1163" s="104"/>
    </row>
    <row r="1164" spans="1:12" x14ac:dyDescent="0.25">
      <c r="A1164" s="6"/>
      <c r="B1164" s="6"/>
      <c r="C1164" s="102"/>
      <c r="D1164" s="102"/>
      <c r="E1164" s="102"/>
      <c r="F1164" s="103"/>
      <c r="G1164" s="103"/>
      <c r="H1164" s="6"/>
      <c r="I1164" s="104"/>
      <c r="J1164" s="104"/>
      <c r="K1164" s="104"/>
      <c r="L1164" s="104"/>
    </row>
    <row r="1165" spans="1:12" x14ac:dyDescent="0.25">
      <c r="A1165" s="6"/>
      <c r="B1165" s="6"/>
      <c r="C1165" s="102"/>
      <c r="D1165" s="102"/>
      <c r="E1165" s="102"/>
      <c r="F1165" s="103"/>
      <c r="G1165" s="103"/>
      <c r="H1165" s="6"/>
      <c r="I1165" s="104"/>
      <c r="J1165" s="104"/>
      <c r="K1165" s="104"/>
      <c r="L1165" s="104"/>
    </row>
    <row r="1166" spans="1:12" x14ac:dyDescent="0.25">
      <c r="A1166" s="6"/>
      <c r="B1166" s="6"/>
      <c r="C1166" s="102"/>
      <c r="D1166" s="102"/>
      <c r="E1166" s="102"/>
      <c r="F1166" s="103"/>
      <c r="G1166" s="103"/>
      <c r="H1166" s="6"/>
      <c r="I1166" s="104"/>
      <c r="J1166" s="104"/>
      <c r="K1166" s="104"/>
      <c r="L1166" s="104"/>
    </row>
    <row r="1167" spans="1:12" x14ac:dyDescent="0.25">
      <c r="A1167" s="6"/>
      <c r="B1167" s="6"/>
      <c r="C1167" s="102"/>
      <c r="D1167" s="102"/>
      <c r="E1167" s="102"/>
      <c r="F1167" s="103"/>
      <c r="G1167" s="103"/>
      <c r="H1167" s="6"/>
      <c r="I1167" s="104"/>
      <c r="J1167" s="104"/>
      <c r="K1167" s="104"/>
      <c r="L1167" s="104"/>
    </row>
    <row r="1168" spans="1:12" x14ac:dyDescent="0.25">
      <c r="A1168" s="6"/>
      <c r="B1168" s="6"/>
      <c r="C1168" s="102"/>
      <c r="D1168" s="102"/>
      <c r="E1168" s="102"/>
      <c r="F1168" s="103"/>
      <c r="G1168" s="103"/>
      <c r="H1168" s="6"/>
      <c r="I1168" s="104"/>
      <c r="J1168" s="104"/>
      <c r="K1168" s="104"/>
      <c r="L1168" s="104"/>
    </row>
    <row r="1169" spans="1:12" x14ac:dyDescent="0.25">
      <c r="A1169" s="6"/>
      <c r="B1169" s="6"/>
      <c r="C1169" s="102"/>
      <c r="D1169" s="102"/>
      <c r="E1169" s="102"/>
      <c r="F1169" s="103"/>
      <c r="G1169" s="103"/>
      <c r="H1169" s="6"/>
      <c r="I1169" s="104"/>
      <c r="J1169" s="104"/>
      <c r="K1169" s="104"/>
      <c r="L1169" s="104"/>
    </row>
    <row r="1170" spans="1:12" x14ac:dyDescent="0.25">
      <c r="A1170" s="6"/>
      <c r="B1170" s="6"/>
      <c r="C1170" s="102"/>
      <c r="D1170" s="102"/>
      <c r="E1170" s="102"/>
      <c r="F1170" s="103"/>
      <c r="G1170" s="103"/>
      <c r="H1170" s="6"/>
      <c r="I1170" s="104"/>
      <c r="J1170" s="104"/>
      <c r="K1170" s="104"/>
      <c r="L1170" s="104"/>
    </row>
    <row r="1171" spans="1:12" x14ac:dyDescent="0.25">
      <c r="A1171" s="6"/>
      <c r="B1171" s="6"/>
      <c r="C1171" s="102"/>
      <c r="D1171" s="102"/>
      <c r="E1171" s="102"/>
      <c r="F1171" s="103"/>
      <c r="G1171" s="103"/>
      <c r="H1171" s="6"/>
      <c r="I1171" s="104"/>
      <c r="J1171" s="104"/>
      <c r="K1171" s="104"/>
      <c r="L1171" s="104"/>
    </row>
    <row r="1172" spans="1:12" x14ac:dyDescent="0.25">
      <c r="A1172" s="6"/>
      <c r="B1172" s="6"/>
      <c r="C1172" s="102"/>
      <c r="D1172" s="102"/>
      <c r="E1172" s="102"/>
      <c r="F1172" s="103"/>
      <c r="G1172" s="103"/>
      <c r="H1172" s="6"/>
      <c r="I1172" s="104"/>
      <c r="J1172" s="104"/>
      <c r="K1172" s="104"/>
      <c r="L1172" s="104"/>
    </row>
    <row r="1173" spans="1:12" x14ac:dyDescent="0.25">
      <c r="A1173" s="6"/>
      <c r="B1173" s="6"/>
      <c r="C1173" s="102"/>
      <c r="D1173" s="102"/>
      <c r="E1173" s="102"/>
      <c r="F1173" s="103"/>
      <c r="G1173" s="103"/>
      <c r="H1173" s="6"/>
      <c r="I1173" s="104"/>
      <c r="J1173" s="104"/>
      <c r="K1173" s="104"/>
      <c r="L1173" s="104"/>
    </row>
    <row r="1174" spans="1:12" x14ac:dyDescent="0.25">
      <c r="A1174" s="6"/>
      <c r="B1174" s="6"/>
      <c r="C1174" s="102"/>
      <c r="D1174" s="102"/>
      <c r="E1174" s="102"/>
      <c r="F1174" s="103"/>
      <c r="G1174" s="103"/>
      <c r="H1174" s="6"/>
      <c r="I1174" s="104"/>
      <c r="J1174" s="104"/>
      <c r="K1174" s="104"/>
      <c r="L1174" s="104"/>
    </row>
    <row r="1175" spans="1:12" x14ac:dyDescent="0.25">
      <c r="A1175" s="6"/>
      <c r="B1175" s="6"/>
      <c r="C1175" s="102"/>
      <c r="D1175" s="102"/>
      <c r="E1175" s="102"/>
      <c r="F1175" s="103"/>
      <c r="G1175" s="103"/>
      <c r="H1175" s="6"/>
      <c r="I1175" s="104"/>
      <c r="J1175" s="104"/>
      <c r="K1175" s="104"/>
      <c r="L1175" s="104"/>
    </row>
    <row r="1176" spans="1:12" x14ac:dyDescent="0.25">
      <c r="A1176" s="6"/>
      <c r="B1176" s="6"/>
      <c r="C1176" s="102"/>
      <c r="D1176" s="102"/>
      <c r="E1176" s="102"/>
      <c r="F1176" s="103"/>
      <c r="G1176" s="103"/>
      <c r="H1176" s="6"/>
      <c r="I1176" s="104"/>
      <c r="J1176" s="104"/>
      <c r="K1176" s="104"/>
      <c r="L1176" s="104"/>
    </row>
    <row r="1177" spans="1:12" x14ac:dyDescent="0.25">
      <c r="A1177" s="6"/>
      <c r="B1177" s="6"/>
      <c r="C1177" s="102"/>
      <c r="D1177" s="102"/>
      <c r="E1177" s="102"/>
      <c r="F1177" s="103"/>
      <c r="G1177" s="103"/>
      <c r="H1177" s="6"/>
      <c r="I1177" s="104"/>
      <c r="J1177" s="104"/>
      <c r="K1177" s="104"/>
      <c r="L1177" s="104"/>
    </row>
    <row r="1178" spans="1:12" x14ac:dyDescent="0.25">
      <c r="A1178" s="6"/>
      <c r="B1178" s="6"/>
      <c r="C1178" s="102"/>
      <c r="D1178" s="102"/>
      <c r="E1178" s="102"/>
      <c r="F1178" s="103"/>
      <c r="G1178" s="103"/>
      <c r="H1178" s="6"/>
      <c r="I1178" s="104"/>
      <c r="J1178" s="104"/>
      <c r="K1178" s="104"/>
      <c r="L1178" s="104"/>
    </row>
    <row r="1179" spans="1:12" x14ac:dyDescent="0.25">
      <c r="A1179" s="6"/>
      <c r="B1179" s="6"/>
      <c r="C1179" s="102"/>
      <c r="D1179" s="102"/>
      <c r="E1179" s="102"/>
      <c r="F1179" s="103"/>
      <c r="G1179" s="103"/>
      <c r="H1179" s="6"/>
      <c r="I1179" s="104"/>
      <c r="J1179" s="104"/>
      <c r="K1179" s="104"/>
      <c r="L1179" s="104"/>
    </row>
    <row r="1180" spans="1:12" x14ac:dyDescent="0.25">
      <c r="A1180" s="6"/>
      <c r="B1180" s="6"/>
      <c r="C1180" s="102"/>
      <c r="D1180" s="102"/>
      <c r="E1180" s="102"/>
      <c r="F1180" s="103"/>
      <c r="G1180" s="103"/>
      <c r="H1180" s="6"/>
      <c r="I1180" s="104"/>
      <c r="J1180" s="104"/>
      <c r="K1180" s="104"/>
      <c r="L1180" s="104"/>
    </row>
    <row r="1181" spans="1:12" x14ac:dyDescent="0.25">
      <c r="A1181" s="6"/>
      <c r="B1181" s="6"/>
      <c r="C1181" s="102"/>
      <c r="D1181" s="102"/>
      <c r="E1181" s="102"/>
      <c r="F1181" s="103"/>
      <c r="G1181" s="103"/>
      <c r="H1181" s="6"/>
      <c r="I1181" s="104"/>
      <c r="J1181" s="104"/>
      <c r="K1181" s="104"/>
      <c r="L1181" s="104"/>
    </row>
    <row r="1182" spans="1:12" x14ac:dyDescent="0.25">
      <c r="A1182" s="6"/>
      <c r="B1182" s="6"/>
      <c r="C1182" s="102"/>
      <c r="D1182" s="102"/>
      <c r="E1182" s="102"/>
      <c r="F1182" s="103"/>
      <c r="G1182" s="103"/>
      <c r="H1182" s="6"/>
      <c r="I1182" s="104"/>
      <c r="J1182" s="104"/>
      <c r="K1182" s="104"/>
      <c r="L1182" s="104"/>
    </row>
    <row r="1183" spans="1:12" x14ac:dyDescent="0.25">
      <c r="A1183" s="6"/>
      <c r="B1183" s="6"/>
      <c r="C1183" s="102"/>
      <c r="D1183" s="102"/>
      <c r="E1183" s="102"/>
      <c r="F1183" s="103"/>
      <c r="G1183" s="103"/>
      <c r="H1183" s="6"/>
      <c r="I1183" s="104"/>
      <c r="J1183" s="104"/>
      <c r="K1183" s="104"/>
      <c r="L1183" s="104"/>
    </row>
    <row r="1184" spans="1:12" x14ac:dyDescent="0.25">
      <c r="A1184" s="6"/>
      <c r="B1184" s="6"/>
      <c r="C1184" s="102"/>
      <c r="D1184" s="102"/>
      <c r="E1184" s="102"/>
      <c r="F1184" s="103"/>
      <c r="G1184" s="103"/>
      <c r="H1184" s="6"/>
      <c r="I1184" s="104"/>
      <c r="J1184" s="104"/>
      <c r="K1184" s="104"/>
      <c r="L1184" s="104"/>
    </row>
    <row r="1185" spans="1:12" x14ac:dyDescent="0.25">
      <c r="A1185" s="6"/>
      <c r="B1185" s="6"/>
      <c r="C1185" s="102"/>
      <c r="D1185" s="102"/>
      <c r="E1185" s="102"/>
      <c r="F1185" s="103"/>
      <c r="G1185" s="103"/>
      <c r="H1185" s="6"/>
      <c r="I1185" s="104"/>
      <c r="J1185" s="104"/>
      <c r="K1185" s="104"/>
      <c r="L1185" s="104"/>
    </row>
    <row r="1186" spans="1:12" x14ac:dyDescent="0.25">
      <c r="A1186" s="6"/>
      <c r="B1186" s="6"/>
      <c r="C1186" s="102"/>
      <c r="D1186" s="102"/>
      <c r="E1186" s="102"/>
      <c r="F1186" s="103"/>
      <c r="G1186" s="103"/>
      <c r="H1186" s="6"/>
      <c r="I1186" s="104"/>
      <c r="J1186" s="104"/>
      <c r="K1186" s="104"/>
      <c r="L1186" s="104"/>
    </row>
    <row r="1187" spans="1:12" x14ac:dyDescent="0.25">
      <c r="A1187" s="6"/>
      <c r="B1187" s="6"/>
      <c r="C1187" s="102"/>
      <c r="D1187" s="102"/>
      <c r="E1187" s="102"/>
      <c r="F1187" s="103"/>
      <c r="G1187" s="103"/>
      <c r="H1187" s="6"/>
      <c r="I1187" s="104"/>
      <c r="J1187" s="104"/>
      <c r="K1187" s="104"/>
      <c r="L1187" s="104"/>
    </row>
    <row r="1188" spans="1:12" x14ac:dyDescent="0.25">
      <c r="A1188" s="6"/>
      <c r="B1188" s="6"/>
      <c r="C1188" s="102"/>
      <c r="D1188" s="102"/>
      <c r="E1188" s="102"/>
      <c r="F1188" s="103"/>
      <c r="G1188" s="103"/>
      <c r="H1188" s="6"/>
      <c r="I1188" s="104"/>
      <c r="J1188" s="104"/>
      <c r="K1188" s="104"/>
      <c r="L1188" s="104"/>
    </row>
    <row r="1189" spans="1:12" x14ac:dyDescent="0.25">
      <c r="A1189" s="6"/>
      <c r="B1189" s="6"/>
      <c r="C1189" s="102"/>
      <c r="D1189" s="102"/>
      <c r="E1189" s="102"/>
      <c r="F1189" s="103"/>
      <c r="G1189" s="103"/>
      <c r="H1189" s="6"/>
      <c r="I1189" s="104"/>
      <c r="J1189" s="104"/>
      <c r="K1189" s="104"/>
      <c r="L1189" s="104"/>
    </row>
    <row r="1190" spans="1:12" x14ac:dyDescent="0.25">
      <c r="A1190" s="6"/>
      <c r="B1190" s="6"/>
      <c r="C1190" s="102"/>
      <c r="D1190" s="102"/>
      <c r="E1190" s="102"/>
      <c r="F1190" s="103"/>
      <c r="G1190" s="103"/>
      <c r="H1190" s="6"/>
      <c r="I1190" s="104"/>
      <c r="J1190" s="104"/>
      <c r="K1190" s="104"/>
      <c r="L1190" s="104"/>
    </row>
    <row r="1191" spans="1:12" x14ac:dyDescent="0.25">
      <c r="A1191" s="6"/>
      <c r="B1191" s="6"/>
      <c r="C1191" s="102"/>
      <c r="D1191" s="102"/>
      <c r="E1191" s="102"/>
      <c r="F1191" s="103"/>
      <c r="G1191" s="103"/>
      <c r="H1191" s="6"/>
      <c r="I1191" s="104"/>
      <c r="J1191" s="104"/>
      <c r="K1191" s="104"/>
      <c r="L1191" s="104"/>
    </row>
    <row r="1192" spans="1:12" x14ac:dyDescent="0.25">
      <c r="A1192" s="6"/>
      <c r="B1192" s="6"/>
      <c r="C1192" s="102"/>
      <c r="D1192" s="102"/>
      <c r="E1192" s="102"/>
      <c r="F1192" s="103"/>
      <c r="G1192" s="103"/>
      <c r="H1192" s="6"/>
      <c r="I1192" s="104"/>
      <c r="J1192" s="104"/>
      <c r="K1192" s="104"/>
      <c r="L1192" s="104"/>
    </row>
    <row r="1193" spans="1:12" x14ac:dyDescent="0.25">
      <c r="A1193" s="6"/>
      <c r="B1193" s="6"/>
      <c r="C1193" s="102"/>
      <c r="D1193" s="102"/>
      <c r="E1193" s="102"/>
      <c r="F1193" s="103"/>
      <c r="G1193" s="103"/>
      <c r="H1193" s="6"/>
      <c r="I1193" s="104"/>
      <c r="J1193" s="104"/>
      <c r="K1193" s="104"/>
      <c r="L1193" s="104"/>
    </row>
    <row r="1194" spans="1:12" x14ac:dyDescent="0.25">
      <c r="A1194" s="6"/>
      <c r="B1194" s="6"/>
      <c r="C1194" s="102"/>
      <c r="D1194" s="102"/>
      <c r="E1194" s="102"/>
      <c r="F1194" s="103"/>
      <c r="G1194" s="103"/>
      <c r="H1194" s="6"/>
      <c r="I1194" s="104"/>
      <c r="J1194" s="104"/>
      <c r="K1194" s="104"/>
      <c r="L1194" s="104"/>
    </row>
    <row r="1195" spans="1:12" x14ac:dyDescent="0.25">
      <c r="A1195" s="6"/>
      <c r="B1195" s="6"/>
      <c r="C1195" s="102"/>
      <c r="D1195" s="102"/>
      <c r="E1195" s="102"/>
      <c r="F1195" s="103"/>
      <c r="G1195" s="103"/>
      <c r="H1195" s="6"/>
      <c r="I1195" s="104"/>
      <c r="J1195" s="104"/>
      <c r="K1195" s="104"/>
      <c r="L1195" s="104"/>
    </row>
    <row r="1196" spans="1:12" x14ac:dyDescent="0.25">
      <c r="A1196" s="6"/>
      <c r="B1196" s="6"/>
      <c r="C1196" s="102"/>
      <c r="D1196" s="102"/>
      <c r="E1196" s="102"/>
      <c r="F1196" s="103"/>
      <c r="G1196" s="103"/>
      <c r="H1196" s="6"/>
      <c r="I1196" s="104"/>
      <c r="J1196" s="104"/>
      <c r="K1196" s="104"/>
      <c r="L1196" s="104"/>
    </row>
    <row r="1197" spans="1:12" x14ac:dyDescent="0.25">
      <c r="A1197" s="6"/>
      <c r="B1197" s="6"/>
      <c r="C1197" s="102"/>
      <c r="D1197" s="102"/>
      <c r="E1197" s="102"/>
      <c r="F1197" s="103"/>
      <c r="G1197" s="103"/>
      <c r="H1197" s="6"/>
      <c r="I1197" s="104"/>
      <c r="J1197" s="104"/>
      <c r="K1197" s="104"/>
      <c r="L1197" s="104"/>
    </row>
    <row r="1198" spans="1:12" x14ac:dyDescent="0.25">
      <c r="A1198" s="6"/>
      <c r="B1198" s="6"/>
      <c r="C1198" s="102"/>
      <c r="D1198" s="102"/>
      <c r="E1198" s="102"/>
      <c r="F1198" s="103"/>
      <c r="G1198" s="103"/>
      <c r="H1198" s="6"/>
      <c r="I1198" s="104"/>
      <c r="J1198" s="104"/>
      <c r="K1198" s="104"/>
      <c r="L1198" s="104"/>
    </row>
    <row r="1199" spans="1:12" x14ac:dyDescent="0.25">
      <c r="A1199" s="6"/>
      <c r="B1199" s="6"/>
      <c r="C1199" s="102"/>
      <c r="D1199" s="102"/>
      <c r="E1199" s="102"/>
      <c r="F1199" s="103"/>
      <c r="G1199" s="103"/>
      <c r="H1199" s="6"/>
      <c r="I1199" s="104"/>
      <c r="J1199" s="104"/>
      <c r="K1199" s="104"/>
      <c r="L1199" s="104"/>
    </row>
    <row r="1200" spans="1:12" x14ac:dyDescent="0.25">
      <c r="A1200" s="6"/>
      <c r="B1200" s="6"/>
      <c r="C1200" s="102"/>
      <c r="D1200" s="102"/>
      <c r="E1200" s="102"/>
      <c r="F1200" s="103"/>
      <c r="G1200" s="103"/>
      <c r="H1200" s="6"/>
      <c r="I1200" s="104"/>
      <c r="J1200" s="104"/>
      <c r="K1200" s="104"/>
      <c r="L1200" s="104"/>
    </row>
    <row r="1201" spans="1:12" x14ac:dyDescent="0.25">
      <c r="A1201" s="6"/>
      <c r="B1201" s="6"/>
      <c r="C1201" s="102"/>
      <c r="D1201" s="102"/>
      <c r="E1201" s="102"/>
      <c r="F1201" s="103"/>
      <c r="G1201" s="103"/>
      <c r="H1201" s="6"/>
      <c r="I1201" s="104"/>
      <c r="J1201" s="104"/>
      <c r="K1201" s="104"/>
      <c r="L1201" s="104"/>
    </row>
    <row r="1202" spans="1:12" x14ac:dyDescent="0.25">
      <c r="A1202" s="6"/>
      <c r="B1202" s="6"/>
      <c r="C1202" s="102"/>
      <c r="D1202" s="102"/>
      <c r="E1202" s="102"/>
      <c r="F1202" s="103"/>
      <c r="G1202" s="103"/>
      <c r="H1202" s="6"/>
      <c r="I1202" s="104"/>
      <c r="J1202" s="104"/>
      <c r="K1202" s="104"/>
      <c r="L1202" s="104"/>
    </row>
    <row r="1203" spans="1:12" x14ac:dyDescent="0.25">
      <c r="A1203" s="6"/>
      <c r="B1203" s="6"/>
      <c r="C1203" s="102"/>
      <c r="D1203" s="102"/>
      <c r="E1203" s="102"/>
      <c r="F1203" s="103"/>
      <c r="G1203" s="103"/>
      <c r="H1203" s="6"/>
      <c r="I1203" s="104"/>
      <c r="J1203" s="104"/>
      <c r="K1203" s="104"/>
      <c r="L1203" s="104"/>
    </row>
    <row r="1204" spans="1:12" x14ac:dyDescent="0.25">
      <c r="A1204" s="6"/>
      <c r="B1204" s="6"/>
      <c r="C1204" s="102"/>
      <c r="D1204" s="102"/>
      <c r="E1204" s="102"/>
      <c r="F1204" s="103"/>
      <c r="G1204" s="103"/>
      <c r="H1204" s="6"/>
      <c r="I1204" s="104"/>
      <c r="J1204" s="104"/>
      <c r="K1204" s="104"/>
      <c r="L1204" s="104"/>
    </row>
    <row r="1205" spans="1:12" x14ac:dyDescent="0.25">
      <c r="A1205" s="6"/>
      <c r="B1205" s="6"/>
      <c r="C1205" s="102"/>
      <c r="D1205" s="102"/>
      <c r="E1205" s="102"/>
      <c r="F1205" s="103"/>
      <c r="G1205" s="103"/>
      <c r="H1205" s="6"/>
      <c r="I1205" s="104"/>
      <c r="J1205" s="104"/>
      <c r="K1205" s="104"/>
      <c r="L1205" s="104"/>
    </row>
    <row r="1206" spans="1:12" x14ac:dyDescent="0.25">
      <c r="A1206" s="6"/>
      <c r="B1206" s="6"/>
      <c r="C1206" s="102"/>
      <c r="D1206" s="102"/>
      <c r="E1206" s="102"/>
      <c r="F1206" s="103"/>
      <c r="G1206" s="103"/>
      <c r="H1206" s="6"/>
      <c r="I1206" s="104"/>
      <c r="J1206" s="104"/>
      <c r="K1206" s="104"/>
      <c r="L1206" s="104"/>
    </row>
    <row r="1207" spans="1:12" x14ac:dyDescent="0.25">
      <c r="A1207" s="6"/>
      <c r="B1207" s="6"/>
      <c r="C1207" s="102"/>
      <c r="D1207" s="102"/>
      <c r="E1207" s="102"/>
      <c r="F1207" s="103"/>
      <c r="G1207" s="103"/>
      <c r="H1207" s="6"/>
      <c r="I1207" s="104"/>
      <c r="J1207" s="104"/>
      <c r="K1207" s="104"/>
      <c r="L1207" s="104"/>
    </row>
    <row r="1208" spans="1:12" x14ac:dyDescent="0.25">
      <c r="A1208" s="6"/>
      <c r="B1208" s="6"/>
      <c r="C1208" s="102"/>
      <c r="D1208" s="102"/>
      <c r="E1208" s="102"/>
      <c r="F1208" s="103"/>
      <c r="G1208" s="103"/>
      <c r="H1208" s="6"/>
      <c r="I1208" s="104"/>
      <c r="J1208" s="104"/>
      <c r="K1208" s="104"/>
      <c r="L1208" s="104"/>
    </row>
    <row r="1209" spans="1:12" x14ac:dyDescent="0.25">
      <c r="A1209" s="6"/>
      <c r="B1209" s="6"/>
      <c r="C1209" s="102"/>
      <c r="D1209" s="102"/>
      <c r="E1209" s="102"/>
      <c r="F1209" s="103"/>
      <c r="G1209" s="103"/>
      <c r="H1209" s="6"/>
      <c r="I1209" s="104"/>
      <c r="J1209" s="104"/>
      <c r="K1209" s="104"/>
      <c r="L1209" s="104"/>
    </row>
    <row r="1210" spans="1:12" x14ac:dyDescent="0.25">
      <c r="A1210" s="6"/>
      <c r="B1210" s="6"/>
      <c r="C1210" s="102"/>
      <c r="D1210" s="102"/>
      <c r="E1210" s="102"/>
      <c r="F1210" s="103"/>
      <c r="G1210" s="103"/>
      <c r="H1210" s="6"/>
      <c r="I1210" s="104"/>
      <c r="J1210" s="104"/>
      <c r="K1210" s="104"/>
      <c r="L1210" s="104"/>
    </row>
    <row r="1211" spans="1:12" x14ac:dyDescent="0.25">
      <c r="A1211" s="6"/>
      <c r="B1211" s="6"/>
      <c r="C1211" s="102"/>
      <c r="D1211" s="102"/>
      <c r="E1211" s="102"/>
      <c r="F1211" s="103"/>
      <c r="G1211" s="103"/>
      <c r="H1211" s="6"/>
      <c r="I1211" s="104"/>
      <c r="J1211" s="104"/>
      <c r="K1211" s="104"/>
      <c r="L1211" s="104"/>
    </row>
    <row r="1212" spans="1:12" x14ac:dyDescent="0.25">
      <c r="A1212" s="6"/>
      <c r="B1212" s="6"/>
      <c r="C1212" s="102"/>
      <c r="D1212" s="102"/>
      <c r="E1212" s="102"/>
      <c r="F1212" s="103"/>
      <c r="G1212" s="103"/>
      <c r="H1212" s="6"/>
      <c r="I1212" s="104"/>
      <c r="J1212" s="104"/>
      <c r="K1212" s="104"/>
      <c r="L1212" s="104"/>
    </row>
    <row r="1213" spans="1:12" x14ac:dyDescent="0.25">
      <c r="A1213" s="6"/>
      <c r="B1213" s="6"/>
      <c r="C1213" s="102"/>
      <c r="D1213" s="102"/>
      <c r="E1213" s="102"/>
      <c r="F1213" s="103"/>
      <c r="G1213" s="103"/>
      <c r="H1213" s="6"/>
      <c r="I1213" s="104"/>
      <c r="J1213" s="104"/>
      <c r="K1213" s="104"/>
      <c r="L1213" s="104"/>
    </row>
    <row r="1214" spans="1:12" x14ac:dyDescent="0.25">
      <c r="A1214" s="6"/>
      <c r="B1214" s="6"/>
      <c r="C1214" s="102"/>
      <c r="D1214" s="102"/>
      <c r="E1214" s="102"/>
      <c r="F1214" s="103"/>
      <c r="G1214" s="103"/>
      <c r="H1214" s="6"/>
      <c r="I1214" s="104"/>
      <c r="J1214" s="104"/>
      <c r="K1214" s="104"/>
      <c r="L1214" s="104"/>
    </row>
    <row r="1215" spans="1:12" x14ac:dyDescent="0.25">
      <c r="A1215" s="6"/>
      <c r="B1215" s="6"/>
      <c r="C1215" s="102"/>
      <c r="D1215" s="102"/>
      <c r="E1215" s="102"/>
      <c r="F1215" s="103"/>
      <c r="G1215" s="103"/>
      <c r="H1215" s="6"/>
      <c r="I1215" s="104"/>
      <c r="J1215" s="104"/>
      <c r="K1215" s="104"/>
      <c r="L1215" s="104"/>
    </row>
    <row r="1216" spans="1:12" x14ac:dyDescent="0.25">
      <c r="A1216" s="6"/>
      <c r="B1216" s="6"/>
      <c r="C1216" s="102"/>
      <c r="D1216" s="102"/>
      <c r="E1216" s="102"/>
      <c r="F1216" s="103"/>
      <c r="G1216" s="103"/>
      <c r="H1216" s="6"/>
      <c r="I1216" s="104"/>
      <c r="J1216" s="104"/>
      <c r="K1216" s="104"/>
      <c r="L1216" s="104"/>
    </row>
    <row r="1217" spans="1:12" x14ac:dyDescent="0.25">
      <c r="A1217" s="6"/>
      <c r="B1217" s="6"/>
      <c r="C1217" s="102"/>
      <c r="D1217" s="102"/>
      <c r="E1217" s="102"/>
      <c r="F1217" s="103"/>
      <c r="G1217" s="103"/>
      <c r="H1217" s="6"/>
      <c r="I1217" s="104"/>
      <c r="J1217" s="104"/>
      <c r="K1217" s="104"/>
      <c r="L1217" s="104"/>
    </row>
    <row r="1218" spans="1:12" x14ac:dyDescent="0.25">
      <c r="A1218" s="6"/>
      <c r="B1218" s="6"/>
      <c r="C1218" s="102"/>
      <c r="D1218" s="102"/>
      <c r="E1218" s="102"/>
      <c r="F1218" s="103"/>
      <c r="G1218" s="103"/>
      <c r="H1218" s="6"/>
      <c r="I1218" s="104"/>
      <c r="J1218" s="104"/>
      <c r="K1218" s="104"/>
      <c r="L1218" s="104"/>
    </row>
    <row r="1219" spans="1:12" x14ac:dyDescent="0.25">
      <c r="A1219" s="6"/>
      <c r="B1219" s="6"/>
      <c r="C1219" s="102"/>
      <c r="D1219" s="102"/>
      <c r="E1219" s="102"/>
      <c r="F1219" s="103"/>
      <c r="G1219" s="103"/>
      <c r="H1219" s="6"/>
      <c r="I1219" s="104"/>
      <c r="J1219" s="104"/>
      <c r="K1219" s="104"/>
      <c r="L1219" s="104"/>
    </row>
    <row r="1220" spans="1:12" x14ac:dyDescent="0.25">
      <c r="A1220" s="6"/>
      <c r="B1220" s="6"/>
      <c r="C1220" s="102"/>
      <c r="D1220" s="102"/>
      <c r="E1220" s="102"/>
      <c r="F1220" s="103"/>
      <c r="G1220" s="103"/>
      <c r="H1220" s="6"/>
      <c r="I1220" s="104"/>
      <c r="J1220" s="104"/>
      <c r="K1220" s="104"/>
      <c r="L1220" s="104"/>
    </row>
    <row r="1221" spans="1:12" x14ac:dyDescent="0.25">
      <c r="A1221" s="6"/>
      <c r="B1221" s="6"/>
      <c r="C1221" s="102"/>
      <c r="D1221" s="102"/>
      <c r="E1221" s="102"/>
      <c r="F1221" s="103"/>
      <c r="G1221" s="103"/>
      <c r="H1221" s="6"/>
      <c r="I1221" s="104"/>
      <c r="J1221" s="104"/>
      <c r="K1221" s="104"/>
      <c r="L1221" s="104"/>
    </row>
    <row r="1222" spans="1:12" x14ac:dyDescent="0.25">
      <c r="A1222" s="6"/>
      <c r="B1222" s="6"/>
      <c r="C1222" s="102"/>
      <c r="D1222" s="102"/>
      <c r="E1222" s="102"/>
      <c r="F1222" s="103"/>
      <c r="G1222" s="103"/>
      <c r="H1222" s="6"/>
      <c r="I1222" s="104"/>
      <c r="J1222" s="104"/>
      <c r="K1222" s="104"/>
      <c r="L1222" s="104"/>
    </row>
    <row r="1223" spans="1:12" x14ac:dyDescent="0.25">
      <c r="A1223" s="6"/>
      <c r="B1223" s="6"/>
      <c r="C1223" s="102"/>
      <c r="D1223" s="102"/>
      <c r="E1223" s="102"/>
      <c r="F1223" s="103"/>
      <c r="G1223" s="103"/>
      <c r="H1223" s="6"/>
      <c r="I1223" s="104"/>
      <c r="J1223" s="104"/>
      <c r="K1223" s="104"/>
      <c r="L1223" s="104"/>
    </row>
    <row r="1224" spans="1:12" x14ac:dyDescent="0.25">
      <c r="A1224" s="6"/>
      <c r="B1224" s="6"/>
      <c r="C1224" s="102"/>
      <c r="D1224" s="102"/>
      <c r="E1224" s="102"/>
      <c r="F1224" s="103"/>
      <c r="G1224" s="103"/>
      <c r="H1224" s="6"/>
      <c r="I1224" s="104"/>
      <c r="J1224" s="104"/>
      <c r="K1224" s="104"/>
      <c r="L1224" s="104"/>
    </row>
    <row r="1225" spans="1:12" x14ac:dyDescent="0.25">
      <c r="A1225" s="6"/>
      <c r="B1225" s="6"/>
      <c r="C1225" s="102"/>
      <c r="D1225" s="102"/>
      <c r="E1225" s="102"/>
      <c r="F1225" s="103"/>
      <c r="G1225" s="103"/>
      <c r="H1225" s="6"/>
      <c r="I1225" s="104"/>
      <c r="J1225" s="104"/>
      <c r="K1225" s="104"/>
      <c r="L1225" s="104"/>
    </row>
    <row r="1226" spans="1:12" x14ac:dyDescent="0.25">
      <c r="A1226" s="6"/>
      <c r="B1226" s="6"/>
      <c r="C1226" s="102"/>
      <c r="D1226" s="102"/>
      <c r="E1226" s="102"/>
      <c r="F1226" s="103"/>
      <c r="G1226" s="103"/>
      <c r="H1226" s="6"/>
      <c r="I1226" s="104"/>
      <c r="J1226" s="104"/>
      <c r="K1226" s="104"/>
      <c r="L1226" s="104"/>
    </row>
    <row r="1227" spans="1:12" x14ac:dyDescent="0.25">
      <c r="A1227" s="6"/>
      <c r="B1227" s="6"/>
      <c r="C1227" s="102"/>
      <c r="D1227" s="102"/>
      <c r="E1227" s="102"/>
      <c r="F1227" s="103"/>
      <c r="G1227" s="103"/>
      <c r="H1227" s="6"/>
      <c r="I1227" s="104"/>
      <c r="J1227" s="104"/>
      <c r="K1227" s="104"/>
      <c r="L1227" s="104"/>
    </row>
    <row r="1228" spans="1:12" x14ac:dyDescent="0.25">
      <c r="A1228" s="6"/>
      <c r="B1228" s="6"/>
      <c r="C1228" s="102"/>
      <c r="D1228" s="102"/>
      <c r="E1228" s="102"/>
      <c r="F1228" s="103"/>
      <c r="G1228" s="103"/>
      <c r="H1228" s="6"/>
      <c r="I1228" s="104"/>
      <c r="J1228" s="104"/>
      <c r="K1228" s="104"/>
      <c r="L1228" s="104"/>
    </row>
    <row r="1229" spans="1:12" x14ac:dyDescent="0.25">
      <c r="A1229" s="6"/>
      <c r="B1229" s="6"/>
      <c r="C1229" s="102"/>
      <c r="D1229" s="102"/>
      <c r="E1229" s="102"/>
      <c r="F1229" s="103"/>
      <c r="G1229" s="103"/>
      <c r="H1229" s="6"/>
      <c r="I1229" s="104"/>
      <c r="J1229" s="104"/>
      <c r="K1229" s="104"/>
      <c r="L1229" s="104"/>
    </row>
    <row r="1230" spans="1:12" x14ac:dyDescent="0.25">
      <c r="A1230" s="6"/>
      <c r="B1230" s="6"/>
      <c r="C1230" s="102"/>
      <c r="D1230" s="102"/>
      <c r="E1230" s="102"/>
      <c r="F1230" s="103"/>
      <c r="G1230" s="103"/>
      <c r="H1230" s="6"/>
      <c r="I1230" s="104"/>
      <c r="J1230" s="104"/>
      <c r="K1230" s="104"/>
      <c r="L1230" s="104"/>
    </row>
    <row r="1231" spans="1:12" x14ac:dyDescent="0.25">
      <c r="A1231" s="6"/>
      <c r="B1231" s="6"/>
      <c r="C1231" s="102"/>
      <c r="D1231" s="102"/>
      <c r="E1231" s="102"/>
      <c r="F1231" s="103"/>
      <c r="G1231" s="103"/>
      <c r="H1231" s="6"/>
      <c r="I1231" s="104"/>
      <c r="J1231" s="104"/>
      <c r="K1231" s="104"/>
      <c r="L1231" s="104"/>
    </row>
    <row r="1232" spans="1:12" x14ac:dyDescent="0.25">
      <c r="A1232" s="6"/>
      <c r="B1232" s="6"/>
      <c r="C1232" s="102"/>
      <c r="D1232" s="102"/>
      <c r="E1232" s="102"/>
      <c r="F1232" s="103"/>
      <c r="G1232" s="103"/>
      <c r="H1232" s="6"/>
      <c r="I1232" s="104"/>
      <c r="J1232" s="104"/>
      <c r="K1232" s="104"/>
      <c r="L1232" s="104"/>
    </row>
    <row r="1233" spans="1:12" x14ac:dyDescent="0.25">
      <c r="A1233" s="6"/>
      <c r="B1233" s="6"/>
      <c r="C1233" s="102"/>
      <c r="D1233" s="102"/>
      <c r="E1233" s="102"/>
      <c r="F1233" s="103"/>
      <c r="G1233" s="103"/>
      <c r="H1233" s="6"/>
      <c r="I1233" s="104"/>
      <c r="J1233" s="104"/>
      <c r="K1233" s="104"/>
      <c r="L1233" s="104"/>
    </row>
    <row r="1234" spans="1:12" x14ac:dyDescent="0.25">
      <c r="A1234" s="6"/>
      <c r="B1234" s="6"/>
      <c r="C1234" s="102"/>
      <c r="D1234" s="102"/>
      <c r="E1234" s="102"/>
      <c r="F1234" s="103"/>
      <c r="G1234" s="103"/>
      <c r="H1234" s="6"/>
      <c r="I1234" s="104"/>
      <c r="J1234" s="104"/>
      <c r="K1234" s="104"/>
      <c r="L1234" s="104"/>
    </row>
    <row r="1235" spans="1:12" x14ac:dyDescent="0.25">
      <c r="A1235" s="6"/>
      <c r="B1235" s="6"/>
      <c r="C1235" s="102"/>
      <c r="D1235" s="102"/>
      <c r="E1235" s="102"/>
      <c r="F1235" s="103"/>
      <c r="G1235" s="103"/>
      <c r="H1235" s="6"/>
      <c r="I1235" s="104"/>
      <c r="J1235" s="104"/>
      <c r="K1235" s="104"/>
      <c r="L1235" s="104"/>
    </row>
    <row r="1236" spans="1:12" x14ac:dyDescent="0.25">
      <c r="A1236" s="6"/>
      <c r="B1236" s="6"/>
      <c r="C1236" s="102"/>
      <c r="D1236" s="102"/>
      <c r="E1236" s="102"/>
      <c r="F1236" s="103"/>
      <c r="G1236" s="103"/>
      <c r="H1236" s="6"/>
      <c r="I1236" s="104"/>
      <c r="J1236" s="104"/>
      <c r="K1236" s="104"/>
      <c r="L1236" s="104"/>
    </row>
    <row r="1237" spans="1:12" x14ac:dyDescent="0.25">
      <c r="A1237" s="6"/>
      <c r="B1237" s="6"/>
      <c r="C1237" s="102"/>
      <c r="D1237" s="102"/>
      <c r="E1237" s="102"/>
      <c r="F1237" s="103"/>
      <c r="G1237" s="103"/>
      <c r="H1237" s="6"/>
      <c r="I1237" s="104"/>
      <c r="J1237" s="104"/>
      <c r="K1237" s="104"/>
      <c r="L1237" s="104"/>
    </row>
    <row r="1238" spans="1:12" x14ac:dyDescent="0.25">
      <c r="A1238" s="6"/>
      <c r="B1238" s="6"/>
      <c r="C1238" s="102"/>
      <c r="D1238" s="102"/>
      <c r="E1238" s="102"/>
      <c r="F1238" s="103"/>
      <c r="G1238" s="103"/>
      <c r="H1238" s="6"/>
      <c r="I1238" s="104"/>
      <c r="J1238" s="104"/>
      <c r="K1238" s="104"/>
      <c r="L1238" s="104"/>
    </row>
    <row r="1239" spans="1:12" x14ac:dyDescent="0.25">
      <c r="A1239" s="6"/>
      <c r="B1239" s="6"/>
      <c r="C1239" s="102"/>
      <c r="D1239" s="102"/>
      <c r="E1239" s="102"/>
      <c r="F1239" s="103"/>
      <c r="G1239" s="103"/>
      <c r="H1239" s="6"/>
      <c r="I1239" s="104"/>
      <c r="J1239" s="104"/>
      <c r="K1239" s="104"/>
      <c r="L1239" s="104"/>
    </row>
    <row r="1240" spans="1:12" x14ac:dyDescent="0.25">
      <c r="A1240" s="6"/>
      <c r="B1240" s="6"/>
      <c r="C1240" s="102"/>
      <c r="D1240" s="102"/>
      <c r="E1240" s="102"/>
      <c r="F1240" s="103"/>
      <c r="G1240" s="103"/>
      <c r="H1240" s="6"/>
      <c r="I1240" s="104"/>
      <c r="J1240" s="104"/>
      <c r="K1240" s="104"/>
      <c r="L1240" s="104"/>
    </row>
    <row r="1241" spans="1:12" x14ac:dyDescent="0.25">
      <c r="A1241" s="6"/>
      <c r="B1241" s="6"/>
      <c r="C1241" s="102"/>
      <c r="D1241" s="102"/>
      <c r="E1241" s="102"/>
      <c r="F1241" s="103"/>
      <c r="G1241" s="103"/>
      <c r="H1241" s="6"/>
      <c r="I1241" s="104"/>
      <c r="J1241" s="104"/>
      <c r="K1241" s="104"/>
      <c r="L1241" s="104"/>
    </row>
    <row r="1242" spans="1:12" x14ac:dyDescent="0.25">
      <c r="A1242" s="6"/>
      <c r="B1242" s="6"/>
      <c r="C1242" s="102"/>
      <c r="D1242" s="102"/>
      <c r="E1242" s="102"/>
      <c r="F1242" s="103"/>
      <c r="G1242" s="103"/>
      <c r="H1242" s="6"/>
      <c r="I1242" s="104"/>
      <c r="J1242" s="104"/>
      <c r="K1242" s="104"/>
      <c r="L1242" s="104"/>
    </row>
    <row r="1243" spans="1:12" x14ac:dyDescent="0.25">
      <c r="A1243" s="6"/>
      <c r="B1243" s="6"/>
      <c r="C1243" s="102"/>
      <c r="D1243" s="102"/>
      <c r="E1243" s="102"/>
      <c r="F1243" s="103"/>
      <c r="G1243" s="103"/>
      <c r="H1243" s="6"/>
      <c r="I1243" s="104"/>
      <c r="J1243" s="104"/>
      <c r="K1243" s="104"/>
      <c r="L1243" s="104"/>
    </row>
    <row r="1244" spans="1:12" x14ac:dyDescent="0.25">
      <c r="A1244" s="6"/>
      <c r="B1244" s="6"/>
      <c r="C1244" s="102"/>
      <c r="D1244" s="102"/>
      <c r="E1244" s="102"/>
      <c r="F1244" s="103"/>
      <c r="G1244" s="103"/>
      <c r="H1244" s="6"/>
      <c r="I1244" s="104"/>
      <c r="J1244" s="104"/>
      <c r="K1244" s="104"/>
      <c r="L1244" s="104"/>
    </row>
    <row r="1245" spans="1:12" x14ac:dyDescent="0.25">
      <c r="A1245" s="6"/>
      <c r="B1245" s="6"/>
      <c r="C1245" s="102"/>
      <c r="D1245" s="102"/>
      <c r="E1245" s="102"/>
      <c r="F1245" s="103"/>
      <c r="G1245" s="103"/>
      <c r="H1245" s="6"/>
      <c r="I1245" s="104"/>
      <c r="J1245" s="104"/>
      <c r="K1245" s="104"/>
      <c r="L1245" s="104"/>
    </row>
    <row r="1246" spans="1:12" x14ac:dyDescent="0.25">
      <c r="A1246" s="6"/>
      <c r="B1246" s="6"/>
      <c r="C1246" s="102"/>
      <c r="D1246" s="102"/>
      <c r="E1246" s="102"/>
      <c r="F1246" s="103"/>
      <c r="G1246" s="103"/>
      <c r="H1246" s="6"/>
      <c r="I1246" s="104"/>
      <c r="J1246" s="104"/>
      <c r="K1246" s="104"/>
      <c r="L1246" s="104"/>
    </row>
    <row r="1247" spans="1:12" x14ac:dyDescent="0.25">
      <c r="A1247" s="6"/>
      <c r="B1247" s="6"/>
      <c r="C1247" s="102"/>
      <c r="D1247" s="102"/>
      <c r="E1247" s="102"/>
      <c r="F1247" s="103"/>
      <c r="G1247" s="103"/>
      <c r="H1247" s="6"/>
      <c r="I1247" s="104"/>
      <c r="J1247" s="104"/>
      <c r="K1247" s="104"/>
      <c r="L1247" s="104"/>
    </row>
    <row r="1248" spans="1:12" x14ac:dyDescent="0.25">
      <c r="A1248" s="6"/>
      <c r="B1248" s="6"/>
      <c r="C1248" s="102"/>
      <c r="D1248" s="102"/>
      <c r="E1248" s="102"/>
      <c r="F1248" s="103"/>
      <c r="G1248" s="103"/>
      <c r="H1248" s="6"/>
      <c r="I1248" s="104"/>
      <c r="J1248" s="104"/>
      <c r="K1248" s="104"/>
      <c r="L1248" s="104"/>
    </row>
    <row r="1249" spans="1:12" x14ac:dyDescent="0.25">
      <c r="A1249" s="6"/>
      <c r="B1249" s="6"/>
      <c r="C1249" s="102"/>
      <c r="D1249" s="102"/>
      <c r="E1249" s="102"/>
      <c r="F1249" s="103"/>
      <c r="G1249" s="103"/>
      <c r="H1249" s="6"/>
      <c r="I1249" s="104"/>
      <c r="J1249" s="104"/>
      <c r="K1249" s="104"/>
      <c r="L1249" s="104"/>
    </row>
    <row r="1250" spans="1:12" x14ac:dyDescent="0.25">
      <c r="A1250" s="6"/>
      <c r="B1250" s="6"/>
      <c r="C1250" s="102"/>
      <c r="D1250" s="102"/>
      <c r="E1250" s="102"/>
      <c r="F1250" s="103"/>
      <c r="G1250" s="103"/>
      <c r="H1250" s="6"/>
      <c r="I1250" s="104"/>
      <c r="J1250" s="104"/>
      <c r="K1250" s="104"/>
      <c r="L1250" s="104"/>
    </row>
    <row r="1251" spans="1:12" x14ac:dyDescent="0.25">
      <c r="A1251" s="6"/>
      <c r="B1251" s="6"/>
      <c r="C1251" s="102"/>
      <c r="D1251" s="102"/>
      <c r="E1251" s="102"/>
      <c r="F1251" s="103"/>
      <c r="G1251" s="103"/>
      <c r="H1251" s="6"/>
      <c r="I1251" s="104"/>
      <c r="J1251" s="104"/>
      <c r="K1251" s="104"/>
      <c r="L1251" s="104"/>
    </row>
    <row r="1252" spans="1:12" x14ac:dyDescent="0.25">
      <c r="A1252" s="6"/>
      <c r="B1252" s="6"/>
      <c r="C1252" s="102"/>
      <c r="D1252" s="102"/>
      <c r="E1252" s="102"/>
      <c r="F1252" s="103"/>
      <c r="G1252" s="103"/>
      <c r="H1252" s="6"/>
      <c r="I1252" s="104"/>
      <c r="J1252" s="104"/>
      <c r="K1252" s="104"/>
      <c r="L1252" s="104"/>
    </row>
    <row r="1253" spans="1:12" x14ac:dyDescent="0.25">
      <c r="A1253" s="6"/>
      <c r="B1253" s="6"/>
      <c r="C1253" s="102"/>
      <c r="D1253" s="102"/>
      <c r="E1253" s="102"/>
      <c r="F1253" s="103"/>
      <c r="G1253" s="103"/>
      <c r="H1253" s="6"/>
      <c r="I1253" s="104"/>
      <c r="J1253" s="104"/>
      <c r="K1253" s="104"/>
      <c r="L1253" s="104"/>
    </row>
    <row r="1254" spans="1:12" x14ac:dyDescent="0.25">
      <c r="A1254" s="6"/>
      <c r="B1254" s="6"/>
      <c r="C1254" s="102"/>
      <c r="D1254" s="102"/>
      <c r="E1254" s="102"/>
      <c r="F1254" s="103"/>
      <c r="G1254" s="103"/>
      <c r="H1254" s="6"/>
      <c r="I1254" s="104"/>
      <c r="J1254" s="104"/>
      <c r="K1254" s="104"/>
      <c r="L1254" s="104"/>
    </row>
    <row r="1255" spans="1:12" x14ac:dyDescent="0.25">
      <c r="A1255" s="6"/>
      <c r="B1255" s="6"/>
      <c r="C1255" s="102"/>
      <c r="D1255" s="102"/>
      <c r="E1255" s="102"/>
      <c r="F1255" s="103"/>
      <c r="G1255" s="103"/>
      <c r="H1255" s="6"/>
      <c r="I1255" s="104"/>
      <c r="J1255" s="104"/>
      <c r="K1255" s="104"/>
      <c r="L1255" s="104"/>
    </row>
    <row r="1256" spans="1:12" x14ac:dyDescent="0.25">
      <c r="A1256" s="6"/>
      <c r="B1256" s="6"/>
      <c r="C1256" s="102"/>
      <c r="D1256" s="102"/>
      <c r="E1256" s="102"/>
      <c r="F1256" s="103"/>
      <c r="G1256" s="103"/>
      <c r="H1256" s="6"/>
      <c r="I1256" s="104"/>
      <c r="J1256" s="104"/>
      <c r="K1256" s="104"/>
      <c r="L1256" s="104"/>
    </row>
    <row r="1257" spans="1:12" x14ac:dyDescent="0.25">
      <c r="A1257" s="6"/>
      <c r="B1257" s="6"/>
      <c r="C1257" s="102"/>
      <c r="D1257" s="102"/>
      <c r="E1257" s="102"/>
      <c r="F1257" s="103"/>
      <c r="G1257" s="103"/>
      <c r="H1257" s="6"/>
      <c r="I1257" s="104"/>
      <c r="J1257" s="104"/>
      <c r="K1257" s="104"/>
      <c r="L1257" s="104"/>
    </row>
    <row r="1258" spans="1:12" x14ac:dyDescent="0.25">
      <c r="A1258" s="6"/>
      <c r="B1258" s="6"/>
      <c r="C1258" s="102"/>
      <c r="D1258" s="102"/>
      <c r="E1258" s="102"/>
      <c r="F1258" s="103"/>
      <c r="G1258" s="103"/>
      <c r="H1258" s="6"/>
      <c r="I1258" s="104"/>
      <c r="J1258" s="104"/>
      <c r="K1258" s="104"/>
      <c r="L1258" s="104"/>
    </row>
    <row r="1259" spans="1:12" x14ac:dyDescent="0.25">
      <c r="A1259" s="6"/>
      <c r="B1259" s="6"/>
      <c r="C1259" s="102"/>
      <c r="D1259" s="102"/>
      <c r="E1259" s="102"/>
      <c r="F1259" s="103"/>
      <c r="G1259" s="103"/>
      <c r="H1259" s="6"/>
      <c r="I1259" s="104"/>
      <c r="J1259" s="104"/>
      <c r="K1259" s="104"/>
      <c r="L1259" s="104"/>
    </row>
    <row r="1260" spans="1:12" x14ac:dyDescent="0.25">
      <c r="A1260" s="6"/>
      <c r="B1260" s="6"/>
      <c r="C1260" s="102"/>
      <c r="D1260" s="102"/>
      <c r="E1260" s="102"/>
      <c r="F1260" s="103"/>
      <c r="G1260" s="103"/>
      <c r="H1260" s="6"/>
      <c r="I1260" s="104"/>
      <c r="J1260" s="104"/>
      <c r="K1260" s="104"/>
      <c r="L1260" s="104"/>
    </row>
    <row r="1261" spans="1:12" x14ac:dyDescent="0.25">
      <c r="A1261" s="6"/>
      <c r="B1261" s="6"/>
      <c r="C1261" s="102"/>
      <c r="D1261" s="102"/>
      <c r="E1261" s="102"/>
      <c r="F1261" s="103"/>
      <c r="G1261" s="103"/>
      <c r="H1261" s="6"/>
      <c r="I1261" s="104"/>
      <c r="J1261" s="104"/>
      <c r="K1261" s="104"/>
      <c r="L1261" s="104"/>
    </row>
    <row r="1262" spans="1:12" x14ac:dyDescent="0.25">
      <c r="A1262" s="6"/>
      <c r="B1262" s="6"/>
      <c r="C1262" s="102"/>
      <c r="D1262" s="102"/>
      <c r="E1262" s="102"/>
      <c r="F1262" s="103"/>
      <c r="G1262" s="103"/>
      <c r="H1262" s="6"/>
      <c r="I1262" s="104"/>
      <c r="J1262" s="104"/>
      <c r="K1262" s="104"/>
      <c r="L1262" s="104"/>
    </row>
    <row r="1263" spans="1:12" x14ac:dyDescent="0.25">
      <c r="A1263" s="6"/>
      <c r="B1263" s="6"/>
      <c r="C1263" s="102"/>
      <c r="D1263" s="102"/>
      <c r="E1263" s="102"/>
      <c r="F1263" s="103"/>
      <c r="G1263" s="103"/>
      <c r="H1263" s="6"/>
      <c r="I1263" s="104"/>
      <c r="J1263" s="104"/>
      <c r="K1263" s="104"/>
      <c r="L1263" s="104"/>
    </row>
    <row r="1264" spans="1:12" x14ac:dyDescent="0.25">
      <c r="A1264" s="6"/>
      <c r="B1264" s="6"/>
      <c r="C1264" s="102"/>
      <c r="D1264" s="102"/>
      <c r="E1264" s="102"/>
      <c r="F1264" s="103"/>
      <c r="G1264" s="103"/>
      <c r="H1264" s="6"/>
      <c r="I1264" s="104"/>
      <c r="J1264" s="104"/>
      <c r="K1264" s="104"/>
      <c r="L1264" s="104"/>
    </row>
    <row r="1265" spans="1:12" x14ac:dyDescent="0.25">
      <c r="A1265" s="6"/>
      <c r="B1265" s="6"/>
      <c r="C1265" s="102"/>
      <c r="D1265" s="102"/>
      <c r="E1265" s="102"/>
      <c r="F1265" s="103"/>
      <c r="G1265" s="103"/>
      <c r="H1265" s="6"/>
      <c r="I1265" s="104"/>
      <c r="J1265" s="104"/>
      <c r="K1265" s="104"/>
      <c r="L1265" s="104"/>
    </row>
    <row r="1266" spans="1:12" x14ac:dyDescent="0.25">
      <c r="A1266" s="6"/>
      <c r="B1266" s="6"/>
      <c r="C1266" s="102"/>
      <c r="D1266" s="102"/>
      <c r="E1266" s="102"/>
      <c r="F1266" s="103"/>
      <c r="G1266" s="103"/>
      <c r="H1266" s="6"/>
      <c r="I1266" s="104"/>
      <c r="J1266" s="104"/>
      <c r="K1266" s="104"/>
      <c r="L1266" s="104"/>
    </row>
    <row r="1267" spans="1:12" x14ac:dyDescent="0.25">
      <c r="A1267" s="6"/>
      <c r="B1267" s="6"/>
      <c r="C1267" s="102"/>
      <c r="D1267" s="102"/>
      <c r="E1267" s="102"/>
      <c r="F1267" s="103"/>
      <c r="G1267" s="103"/>
      <c r="H1267" s="6"/>
      <c r="I1267" s="104"/>
      <c r="J1267" s="104"/>
      <c r="K1267" s="104"/>
      <c r="L1267" s="104"/>
    </row>
    <row r="1268" spans="1:12" x14ac:dyDescent="0.25">
      <c r="A1268" s="6"/>
      <c r="B1268" s="6"/>
      <c r="C1268" s="102"/>
      <c r="D1268" s="102"/>
      <c r="E1268" s="102"/>
      <c r="F1268" s="103"/>
      <c r="G1268" s="103"/>
      <c r="H1268" s="6"/>
      <c r="I1268" s="104"/>
      <c r="J1268" s="104"/>
      <c r="K1268" s="104"/>
      <c r="L1268" s="104"/>
    </row>
    <row r="1269" spans="1:12" x14ac:dyDescent="0.25">
      <c r="A1269" s="6"/>
      <c r="B1269" s="6"/>
      <c r="C1269" s="102"/>
      <c r="D1269" s="102"/>
      <c r="E1269" s="102"/>
      <c r="F1269" s="103"/>
      <c r="G1269" s="103"/>
      <c r="H1269" s="6"/>
      <c r="I1269" s="104"/>
      <c r="J1269" s="104"/>
      <c r="K1269" s="104"/>
      <c r="L1269" s="104"/>
    </row>
    <row r="1270" spans="1:12" x14ac:dyDescent="0.25">
      <c r="A1270" s="6"/>
      <c r="B1270" s="6"/>
      <c r="C1270" s="102"/>
      <c r="D1270" s="102"/>
      <c r="E1270" s="102"/>
      <c r="F1270" s="103"/>
      <c r="G1270" s="103"/>
      <c r="H1270" s="6"/>
      <c r="I1270" s="104"/>
      <c r="J1270" s="104"/>
      <c r="K1270" s="104"/>
      <c r="L1270" s="104"/>
    </row>
    <row r="1271" spans="1:12" x14ac:dyDescent="0.25">
      <c r="A1271" s="6"/>
      <c r="B1271" s="6"/>
      <c r="C1271" s="102"/>
      <c r="D1271" s="102"/>
      <c r="E1271" s="102"/>
      <c r="F1271" s="103"/>
      <c r="G1271" s="103"/>
      <c r="H1271" s="6"/>
      <c r="I1271" s="104"/>
      <c r="J1271" s="104"/>
      <c r="K1271" s="104"/>
      <c r="L1271" s="104"/>
    </row>
    <row r="1272" spans="1:12" x14ac:dyDescent="0.25">
      <c r="A1272" s="6"/>
      <c r="B1272" s="6"/>
      <c r="C1272" s="102"/>
      <c r="D1272" s="102"/>
      <c r="E1272" s="102"/>
      <c r="F1272" s="103"/>
      <c r="G1272" s="103"/>
      <c r="H1272" s="6"/>
      <c r="I1272" s="104"/>
      <c r="J1272" s="104"/>
      <c r="K1272" s="104"/>
      <c r="L1272" s="104"/>
    </row>
    <row r="1273" spans="1:12" x14ac:dyDescent="0.25">
      <c r="A1273" s="6"/>
      <c r="B1273" s="6"/>
      <c r="C1273" s="102"/>
      <c r="D1273" s="102"/>
      <c r="E1273" s="102"/>
      <c r="F1273" s="103"/>
      <c r="G1273" s="103"/>
      <c r="H1273" s="6"/>
      <c r="I1273" s="104"/>
      <c r="J1273" s="104"/>
      <c r="K1273" s="104"/>
      <c r="L1273" s="104"/>
    </row>
    <row r="1274" spans="1:12" x14ac:dyDescent="0.25">
      <c r="A1274" s="6"/>
      <c r="B1274" s="6"/>
      <c r="C1274" s="102"/>
      <c r="D1274" s="102"/>
      <c r="E1274" s="102"/>
      <c r="F1274" s="103"/>
      <c r="G1274" s="103"/>
      <c r="H1274" s="6"/>
      <c r="I1274" s="104"/>
      <c r="J1274" s="104"/>
      <c r="K1274" s="104"/>
      <c r="L1274" s="104"/>
    </row>
    <row r="1275" spans="1:12" x14ac:dyDescent="0.25">
      <c r="A1275" s="6"/>
      <c r="B1275" s="6"/>
      <c r="C1275" s="102"/>
      <c r="D1275" s="102"/>
      <c r="E1275" s="102"/>
      <c r="F1275" s="103"/>
      <c r="G1275" s="103"/>
      <c r="H1275" s="6"/>
      <c r="I1275" s="104"/>
      <c r="J1275" s="104"/>
      <c r="K1275" s="104"/>
      <c r="L1275" s="104"/>
    </row>
    <row r="1276" spans="1:12" x14ac:dyDescent="0.25">
      <c r="A1276" s="6"/>
      <c r="B1276" s="6"/>
      <c r="C1276" s="102"/>
      <c r="D1276" s="102"/>
      <c r="E1276" s="102"/>
      <c r="F1276" s="103"/>
      <c r="G1276" s="103"/>
      <c r="H1276" s="6"/>
      <c r="I1276" s="104"/>
      <c r="J1276" s="104"/>
      <c r="K1276" s="104"/>
      <c r="L1276" s="104"/>
    </row>
    <row r="1277" spans="1:12" x14ac:dyDescent="0.25">
      <c r="A1277" s="6"/>
      <c r="B1277" s="6"/>
      <c r="C1277" s="102"/>
      <c r="D1277" s="102"/>
      <c r="E1277" s="102"/>
      <c r="F1277" s="103"/>
      <c r="G1277" s="103"/>
      <c r="H1277" s="6"/>
      <c r="I1277" s="104"/>
      <c r="J1277" s="104"/>
      <c r="K1277" s="104"/>
      <c r="L1277" s="104"/>
    </row>
    <row r="1278" spans="1:12" x14ac:dyDescent="0.25">
      <c r="A1278" s="6"/>
      <c r="B1278" s="6"/>
      <c r="C1278" s="102"/>
      <c r="D1278" s="102"/>
      <c r="E1278" s="102"/>
      <c r="F1278" s="103"/>
      <c r="G1278" s="103"/>
      <c r="H1278" s="6"/>
      <c r="I1278" s="104"/>
      <c r="J1278" s="104"/>
      <c r="K1278" s="104"/>
      <c r="L1278" s="104"/>
    </row>
    <row r="1279" spans="1:12" x14ac:dyDescent="0.25">
      <c r="A1279" s="6"/>
      <c r="B1279" s="6"/>
      <c r="C1279" s="102"/>
      <c r="D1279" s="102"/>
      <c r="E1279" s="102"/>
      <c r="F1279" s="103"/>
      <c r="G1279" s="103"/>
      <c r="H1279" s="6"/>
      <c r="I1279" s="104"/>
      <c r="J1279" s="104"/>
      <c r="K1279" s="104"/>
      <c r="L1279" s="104"/>
    </row>
    <row r="1280" spans="1:12" x14ac:dyDescent="0.25">
      <c r="A1280" s="6"/>
      <c r="B1280" s="6"/>
      <c r="C1280" s="102"/>
      <c r="D1280" s="102"/>
      <c r="E1280" s="102"/>
      <c r="F1280" s="103"/>
      <c r="G1280" s="103"/>
      <c r="H1280" s="6"/>
      <c r="I1280" s="104"/>
      <c r="J1280" s="104"/>
      <c r="K1280" s="104"/>
      <c r="L1280" s="104"/>
    </row>
    <row r="1281" spans="1:12" x14ac:dyDescent="0.25">
      <c r="A1281" s="6"/>
      <c r="B1281" s="6"/>
      <c r="C1281" s="102"/>
      <c r="D1281" s="102"/>
      <c r="E1281" s="102"/>
      <c r="F1281" s="103"/>
      <c r="G1281" s="103"/>
      <c r="H1281" s="6"/>
      <c r="I1281" s="104"/>
      <c r="J1281" s="104"/>
      <c r="K1281" s="104"/>
      <c r="L1281" s="104"/>
    </row>
    <row r="1282" spans="1:12" x14ac:dyDescent="0.25">
      <c r="A1282" s="6"/>
      <c r="B1282" s="6"/>
      <c r="C1282" s="102"/>
      <c r="D1282" s="102"/>
      <c r="E1282" s="102"/>
      <c r="F1282" s="103"/>
      <c r="G1282" s="103"/>
      <c r="H1282" s="6"/>
      <c r="I1282" s="104"/>
      <c r="J1282" s="104"/>
      <c r="K1282" s="104"/>
      <c r="L1282" s="104"/>
    </row>
    <row r="1283" spans="1:12" x14ac:dyDescent="0.25">
      <c r="A1283" s="6"/>
      <c r="B1283" s="6"/>
      <c r="C1283" s="102"/>
      <c r="D1283" s="102"/>
      <c r="E1283" s="102"/>
      <c r="F1283" s="103"/>
      <c r="G1283" s="103"/>
      <c r="H1283" s="6"/>
      <c r="I1283" s="104"/>
      <c r="J1283" s="104"/>
      <c r="K1283" s="104"/>
      <c r="L1283" s="104"/>
    </row>
    <row r="1284" spans="1:12" x14ac:dyDescent="0.25">
      <c r="A1284" s="6"/>
      <c r="B1284" s="6"/>
      <c r="C1284" s="102"/>
      <c r="D1284" s="102"/>
      <c r="E1284" s="102"/>
      <c r="F1284" s="103"/>
      <c r="G1284" s="103"/>
      <c r="H1284" s="6"/>
      <c r="I1284" s="104"/>
      <c r="J1284" s="104"/>
      <c r="K1284" s="104"/>
      <c r="L1284" s="104"/>
    </row>
    <row r="1285" spans="1:12" x14ac:dyDescent="0.25">
      <c r="A1285" s="6"/>
      <c r="B1285" s="6"/>
      <c r="C1285" s="102"/>
      <c r="D1285" s="102"/>
      <c r="E1285" s="102"/>
      <c r="F1285" s="103"/>
      <c r="G1285" s="103"/>
      <c r="H1285" s="6"/>
      <c r="I1285" s="104"/>
      <c r="J1285" s="104"/>
      <c r="K1285" s="104"/>
      <c r="L1285" s="104"/>
    </row>
    <row r="1286" spans="1:12" x14ac:dyDescent="0.25">
      <c r="A1286" s="6"/>
      <c r="B1286" s="6"/>
      <c r="C1286" s="102"/>
      <c r="D1286" s="102"/>
      <c r="E1286" s="102"/>
      <c r="F1286" s="103"/>
      <c r="G1286" s="103"/>
      <c r="H1286" s="6"/>
      <c r="I1286" s="104"/>
      <c r="J1286" s="104"/>
      <c r="K1286" s="104"/>
      <c r="L1286" s="104"/>
    </row>
    <row r="1287" spans="1:12" x14ac:dyDescent="0.25">
      <c r="A1287" s="6"/>
      <c r="B1287" s="6"/>
      <c r="C1287" s="102"/>
      <c r="D1287" s="102"/>
      <c r="E1287" s="102"/>
      <c r="F1287" s="103"/>
      <c r="G1287" s="103"/>
      <c r="H1287" s="6"/>
      <c r="I1287" s="104"/>
      <c r="J1287" s="104"/>
      <c r="K1287" s="104"/>
      <c r="L1287" s="104"/>
    </row>
    <row r="1288" spans="1:12" x14ac:dyDescent="0.25">
      <c r="A1288" s="6"/>
      <c r="B1288" s="6"/>
      <c r="C1288" s="102"/>
      <c r="D1288" s="102"/>
      <c r="E1288" s="102"/>
      <c r="F1288" s="103"/>
      <c r="G1288" s="103"/>
      <c r="H1288" s="6"/>
      <c r="I1288" s="104"/>
      <c r="J1288" s="104"/>
      <c r="K1288" s="104"/>
      <c r="L1288" s="104"/>
    </row>
    <row r="1289" spans="1:12" x14ac:dyDescent="0.25">
      <c r="A1289" s="6"/>
      <c r="B1289" s="6"/>
      <c r="C1289" s="102"/>
      <c r="D1289" s="102"/>
      <c r="E1289" s="102"/>
      <c r="F1289" s="103"/>
      <c r="G1289" s="103"/>
      <c r="H1289" s="6"/>
      <c r="I1289" s="104"/>
      <c r="J1289" s="104"/>
      <c r="K1289" s="104"/>
      <c r="L1289" s="104"/>
    </row>
    <row r="1290" spans="1:12" x14ac:dyDescent="0.25">
      <c r="A1290" s="6"/>
      <c r="B1290" s="6"/>
      <c r="C1290" s="102"/>
      <c r="D1290" s="102"/>
      <c r="E1290" s="102"/>
      <c r="F1290" s="103"/>
      <c r="G1290" s="103"/>
      <c r="H1290" s="6"/>
      <c r="I1290" s="104"/>
      <c r="J1290" s="104"/>
      <c r="K1290" s="104"/>
      <c r="L1290" s="104"/>
    </row>
    <row r="1291" spans="1:12" x14ac:dyDescent="0.25">
      <c r="A1291" s="6"/>
      <c r="B1291" s="6"/>
      <c r="C1291" s="102"/>
      <c r="D1291" s="102"/>
      <c r="E1291" s="102"/>
      <c r="F1291" s="103"/>
      <c r="G1291" s="103"/>
      <c r="H1291" s="6"/>
      <c r="I1291" s="104"/>
      <c r="J1291" s="104"/>
      <c r="K1291" s="104"/>
      <c r="L1291" s="104"/>
    </row>
    <row r="1292" spans="1:12" x14ac:dyDescent="0.25">
      <c r="A1292" s="6"/>
      <c r="B1292" s="6"/>
      <c r="C1292" s="102"/>
      <c r="D1292" s="102"/>
      <c r="E1292" s="102"/>
      <c r="F1292" s="103"/>
      <c r="G1292" s="103"/>
      <c r="H1292" s="6"/>
      <c r="I1292" s="104"/>
      <c r="J1292" s="104"/>
      <c r="K1292" s="104"/>
      <c r="L1292" s="104"/>
    </row>
    <row r="1293" spans="1:12" x14ac:dyDescent="0.25">
      <c r="A1293" s="6"/>
      <c r="B1293" s="6"/>
      <c r="C1293" s="102"/>
      <c r="D1293" s="102"/>
      <c r="E1293" s="102"/>
      <c r="F1293" s="103"/>
      <c r="G1293" s="103"/>
      <c r="H1293" s="6"/>
      <c r="I1293" s="104"/>
      <c r="J1293" s="104"/>
      <c r="K1293" s="104"/>
      <c r="L1293" s="104"/>
    </row>
    <row r="1294" spans="1:12" x14ac:dyDescent="0.25">
      <c r="A1294" s="6"/>
      <c r="B1294" s="6"/>
      <c r="C1294" s="102"/>
      <c r="D1294" s="102"/>
      <c r="E1294" s="102"/>
      <c r="F1294" s="103"/>
      <c r="G1294" s="103"/>
      <c r="H1294" s="6"/>
      <c r="I1294" s="104"/>
      <c r="J1294" s="104"/>
      <c r="K1294" s="104"/>
      <c r="L1294" s="104"/>
    </row>
    <row r="1295" spans="1:12" x14ac:dyDescent="0.25">
      <c r="A1295" s="6"/>
      <c r="B1295" s="6"/>
      <c r="C1295" s="102"/>
      <c r="D1295" s="102"/>
      <c r="E1295" s="102"/>
      <c r="F1295" s="103"/>
      <c r="G1295" s="103"/>
      <c r="H1295" s="6"/>
      <c r="I1295" s="104"/>
      <c r="J1295" s="104"/>
      <c r="K1295" s="104"/>
      <c r="L1295" s="104"/>
    </row>
    <row r="1296" spans="1:12" x14ac:dyDescent="0.25">
      <c r="A1296" s="6"/>
      <c r="B1296" s="6"/>
      <c r="C1296" s="102"/>
      <c r="D1296" s="102"/>
      <c r="E1296" s="102"/>
      <c r="F1296" s="103"/>
      <c r="G1296" s="103"/>
      <c r="H1296" s="6"/>
      <c r="I1296" s="104"/>
      <c r="J1296" s="104"/>
      <c r="K1296" s="104"/>
      <c r="L1296" s="104"/>
    </row>
    <row r="1297" spans="1:12" x14ac:dyDescent="0.25">
      <c r="A1297" s="6"/>
      <c r="B1297" s="6"/>
      <c r="C1297" s="102"/>
      <c r="D1297" s="102"/>
      <c r="E1297" s="102"/>
      <c r="F1297" s="103"/>
      <c r="G1297" s="103"/>
      <c r="H1297" s="6"/>
      <c r="I1297" s="104"/>
      <c r="J1297" s="104"/>
      <c r="K1297" s="104"/>
      <c r="L1297" s="104"/>
    </row>
    <row r="1298" spans="1:12" x14ac:dyDescent="0.25">
      <c r="A1298" s="6"/>
      <c r="B1298" s="6"/>
      <c r="C1298" s="102"/>
      <c r="D1298" s="102"/>
      <c r="E1298" s="102"/>
      <c r="F1298" s="103"/>
      <c r="G1298" s="103"/>
      <c r="H1298" s="6"/>
      <c r="I1298" s="104"/>
      <c r="J1298" s="104"/>
      <c r="K1298" s="104"/>
      <c r="L1298" s="104"/>
    </row>
    <row r="1299" spans="1:12" x14ac:dyDescent="0.25">
      <c r="A1299" s="6"/>
      <c r="B1299" s="6"/>
      <c r="C1299" s="102"/>
      <c r="D1299" s="102"/>
      <c r="E1299" s="102"/>
      <c r="F1299" s="103"/>
      <c r="G1299" s="103"/>
      <c r="H1299" s="6"/>
      <c r="I1299" s="104"/>
      <c r="J1299" s="104"/>
      <c r="K1299" s="104"/>
      <c r="L1299" s="104"/>
    </row>
    <row r="1300" spans="1:12" x14ac:dyDescent="0.25">
      <c r="A1300" s="6"/>
      <c r="B1300" s="6"/>
      <c r="C1300" s="102"/>
      <c r="D1300" s="102"/>
      <c r="E1300" s="102"/>
      <c r="F1300" s="103"/>
      <c r="G1300" s="103"/>
      <c r="H1300" s="6"/>
      <c r="I1300" s="104"/>
      <c r="J1300" s="104"/>
      <c r="K1300" s="104"/>
      <c r="L1300" s="104"/>
    </row>
    <row r="1301" spans="1:12" x14ac:dyDescent="0.25">
      <c r="A1301" s="6"/>
      <c r="B1301" s="6"/>
      <c r="C1301" s="102"/>
      <c r="D1301" s="102"/>
      <c r="E1301" s="102"/>
      <c r="F1301" s="103"/>
      <c r="G1301" s="103"/>
      <c r="H1301" s="6"/>
      <c r="I1301" s="104"/>
      <c r="J1301" s="104"/>
      <c r="K1301" s="104"/>
      <c r="L1301" s="104"/>
    </row>
    <row r="1302" spans="1:12" x14ac:dyDescent="0.25">
      <c r="A1302" s="6"/>
      <c r="B1302" s="6"/>
      <c r="C1302" s="102"/>
      <c r="D1302" s="102"/>
      <c r="E1302" s="102"/>
      <c r="F1302" s="103"/>
      <c r="G1302" s="103"/>
      <c r="H1302" s="6"/>
      <c r="I1302" s="104"/>
      <c r="J1302" s="104"/>
      <c r="K1302" s="104"/>
      <c r="L1302" s="104"/>
    </row>
    <row r="1303" spans="1:12" x14ac:dyDescent="0.25">
      <c r="A1303" s="6"/>
      <c r="B1303" s="6"/>
      <c r="C1303" s="102"/>
      <c r="D1303" s="102"/>
      <c r="E1303" s="102"/>
      <c r="F1303" s="103"/>
      <c r="G1303" s="103"/>
      <c r="H1303" s="6"/>
      <c r="I1303" s="104"/>
      <c r="J1303" s="104"/>
      <c r="K1303" s="104"/>
      <c r="L1303" s="104"/>
    </row>
    <row r="1304" spans="1:12" x14ac:dyDescent="0.25">
      <c r="A1304" s="6"/>
      <c r="B1304" s="6"/>
      <c r="C1304" s="102"/>
      <c r="D1304" s="102"/>
      <c r="E1304" s="102"/>
      <c r="F1304" s="103"/>
      <c r="G1304" s="103"/>
      <c r="H1304" s="6"/>
      <c r="I1304" s="104"/>
      <c r="J1304" s="104"/>
      <c r="K1304" s="104"/>
      <c r="L1304" s="104"/>
    </row>
    <row r="1305" spans="1:12" x14ac:dyDescent="0.25">
      <c r="A1305" s="6"/>
      <c r="B1305" s="6"/>
      <c r="C1305" s="102"/>
      <c r="D1305" s="102"/>
      <c r="E1305" s="102"/>
      <c r="F1305" s="103"/>
      <c r="G1305" s="103"/>
      <c r="H1305" s="6"/>
      <c r="I1305" s="104"/>
      <c r="J1305" s="104"/>
      <c r="K1305" s="104"/>
      <c r="L1305" s="104"/>
    </row>
    <row r="1306" spans="1:12" x14ac:dyDescent="0.25">
      <c r="A1306" s="6"/>
      <c r="B1306" s="6"/>
      <c r="C1306" s="102"/>
      <c r="D1306" s="102"/>
      <c r="E1306" s="102"/>
      <c r="F1306" s="103"/>
      <c r="G1306" s="103"/>
      <c r="H1306" s="6"/>
      <c r="I1306" s="104"/>
      <c r="J1306" s="104"/>
      <c r="K1306" s="104"/>
      <c r="L1306" s="104"/>
    </row>
    <row r="1307" spans="1:12" x14ac:dyDescent="0.25">
      <c r="A1307" s="6"/>
      <c r="B1307" s="6"/>
      <c r="C1307" s="102"/>
      <c r="D1307" s="102"/>
      <c r="E1307" s="102"/>
      <c r="F1307" s="103"/>
      <c r="G1307" s="103"/>
      <c r="H1307" s="6"/>
      <c r="I1307" s="104"/>
      <c r="J1307" s="104"/>
      <c r="K1307" s="104"/>
      <c r="L1307" s="104"/>
    </row>
    <row r="1308" spans="1:12" x14ac:dyDescent="0.25">
      <c r="A1308" s="6"/>
      <c r="B1308" s="6"/>
      <c r="C1308" s="102"/>
      <c r="D1308" s="102"/>
      <c r="E1308" s="102"/>
      <c r="F1308" s="103"/>
      <c r="G1308" s="103"/>
      <c r="H1308" s="6"/>
      <c r="I1308" s="104"/>
      <c r="J1308" s="104"/>
      <c r="K1308" s="104"/>
      <c r="L1308" s="104"/>
    </row>
    <row r="1309" spans="1:12" x14ac:dyDescent="0.25">
      <c r="A1309" s="6"/>
      <c r="B1309" s="6"/>
      <c r="C1309" s="102"/>
      <c r="D1309" s="102"/>
      <c r="E1309" s="102"/>
      <c r="F1309" s="103"/>
      <c r="G1309" s="103"/>
      <c r="H1309" s="6"/>
      <c r="I1309" s="104"/>
      <c r="J1309" s="104"/>
      <c r="K1309" s="104"/>
      <c r="L1309" s="104"/>
    </row>
    <row r="1310" spans="1:12" x14ac:dyDescent="0.25">
      <c r="A1310" s="6"/>
      <c r="B1310" s="6"/>
      <c r="C1310" s="102"/>
      <c r="D1310" s="102"/>
      <c r="E1310" s="102"/>
      <c r="F1310" s="103"/>
      <c r="G1310" s="103"/>
      <c r="H1310" s="6"/>
      <c r="I1310" s="104"/>
      <c r="J1310" s="104"/>
      <c r="K1310" s="104"/>
      <c r="L1310" s="104"/>
    </row>
    <row r="1311" spans="1:12" x14ac:dyDescent="0.25">
      <c r="A1311" s="6"/>
      <c r="B1311" s="6"/>
      <c r="C1311" s="102"/>
      <c r="D1311" s="102"/>
      <c r="E1311" s="102"/>
      <c r="F1311" s="103"/>
      <c r="G1311" s="103"/>
      <c r="H1311" s="6"/>
      <c r="I1311" s="104"/>
      <c r="J1311" s="104"/>
      <c r="K1311" s="104"/>
      <c r="L1311" s="104"/>
    </row>
    <row r="1312" spans="1:12" x14ac:dyDescent="0.25">
      <c r="A1312" s="6"/>
      <c r="B1312" s="6"/>
      <c r="C1312" s="102"/>
      <c r="D1312" s="102"/>
      <c r="E1312" s="102"/>
      <c r="F1312" s="103"/>
      <c r="G1312" s="103"/>
      <c r="H1312" s="6"/>
      <c r="I1312" s="104"/>
      <c r="J1312" s="104"/>
      <c r="K1312" s="104"/>
      <c r="L1312" s="104"/>
    </row>
    <row r="1313" spans="1:12" x14ac:dyDescent="0.25">
      <c r="A1313" s="6"/>
      <c r="B1313" s="6"/>
      <c r="C1313" s="102"/>
      <c r="D1313" s="102"/>
      <c r="E1313" s="102"/>
      <c r="F1313" s="103"/>
      <c r="G1313" s="103"/>
      <c r="H1313" s="6"/>
      <c r="I1313" s="104"/>
      <c r="J1313" s="104"/>
      <c r="K1313" s="104"/>
      <c r="L1313" s="104"/>
    </row>
    <row r="1314" spans="1:12" x14ac:dyDescent="0.25">
      <c r="A1314" s="6"/>
      <c r="B1314" s="6"/>
      <c r="C1314" s="102"/>
      <c r="D1314" s="102"/>
      <c r="E1314" s="102"/>
      <c r="F1314" s="103"/>
      <c r="G1314" s="103"/>
      <c r="H1314" s="6"/>
      <c r="I1314" s="104"/>
      <c r="J1314" s="104"/>
      <c r="K1314" s="104"/>
      <c r="L1314" s="104"/>
    </row>
    <row r="1315" spans="1:12" x14ac:dyDescent="0.25">
      <c r="A1315" s="6"/>
      <c r="B1315" s="6"/>
      <c r="C1315" s="102"/>
      <c r="D1315" s="102"/>
      <c r="E1315" s="102"/>
      <c r="F1315" s="103"/>
      <c r="G1315" s="103"/>
      <c r="H1315" s="6"/>
      <c r="I1315" s="104"/>
      <c r="J1315" s="104"/>
      <c r="K1315" s="104"/>
      <c r="L1315" s="104"/>
    </row>
    <row r="1316" spans="1:12" x14ac:dyDescent="0.25">
      <c r="A1316" s="6"/>
      <c r="B1316" s="6"/>
      <c r="C1316" s="102"/>
      <c r="D1316" s="102"/>
      <c r="E1316" s="102"/>
      <c r="F1316" s="103"/>
      <c r="G1316" s="103"/>
      <c r="H1316" s="6"/>
      <c r="I1316" s="104"/>
      <c r="J1316" s="104"/>
      <c r="K1316" s="104"/>
      <c r="L1316" s="104"/>
    </row>
    <row r="1317" spans="1:12" x14ac:dyDescent="0.25">
      <c r="A1317" s="6"/>
      <c r="B1317" s="6"/>
      <c r="C1317" s="102"/>
      <c r="D1317" s="102"/>
      <c r="E1317" s="102"/>
      <c r="F1317" s="103"/>
      <c r="G1317" s="103"/>
      <c r="H1317" s="6"/>
      <c r="I1317" s="104"/>
      <c r="J1317" s="104"/>
      <c r="K1317" s="104"/>
      <c r="L1317" s="104"/>
    </row>
    <row r="1318" spans="1:12" x14ac:dyDescent="0.25">
      <c r="A1318" s="6"/>
      <c r="B1318" s="6"/>
      <c r="C1318" s="102"/>
      <c r="D1318" s="102"/>
      <c r="E1318" s="102"/>
      <c r="F1318" s="103"/>
      <c r="G1318" s="103"/>
      <c r="H1318" s="6"/>
      <c r="I1318" s="104"/>
      <c r="J1318" s="104"/>
      <c r="K1318" s="104"/>
      <c r="L1318" s="104"/>
    </row>
    <row r="1319" spans="1:12" x14ac:dyDescent="0.25">
      <c r="A1319" s="6"/>
      <c r="B1319" s="6"/>
      <c r="C1319" s="102"/>
      <c r="D1319" s="102"/>
      <c r="E1319" s="102"/>
      <c r="F1319" s="103"/>
      <c r="G1319" s="103"/>
      <c r="H1319" s="6"/>
      <c r="I1319" s="104"/>
      <c r="J1319" s="104"/>
      <c r="K1319" s="104"/>
      <c r="L1319" s="104"/>
    </row>
    <row r="1320" spans="1:12" x14ac:dyDescent="0.25">
      <c r="A1320" s="6"/>
      <c r="B1320" s="6"/>
      <c r="C1320" s="102"/>
      <c r="D1320" s="102"/>
      <c r="E1320" s="102"/>
      <c r="F1320" s="103"/>
      <c r="G1320" s="103"/>
      <c r="H1320" s="6"/>
      <c r="I1320" s="104"/>
      <c r="J1320" s="104"/>
      <c r="K1320" s="104"/>
      <c r="L1320" s="104"/>
    </row>
    <row r="1321" spans="1:12" x14ac:dyDescent="0.25">
      <c r="A1321" s="6"/>
      <c r="B1321" s="6"/>
      <c r="C1321" s="102"/>
      <c r="D1321" s="102"/>
      <c r="E1321" s="102"/>
      <c r="F1321" s="103"/>
      <c r="G1321" s="103"/>
      <c r="H1321" s="6"/>
      <c r="I1321" s="104"/>
      <c r="J1321" s="104"/>
      <c r="K1321" s="104"/>
      <c r="L1321" s="104"/>
    </row>
    <row r="1322" spans="1:12" x14ac:dyDescent="0.25">
      <c r="A1322" s="6"/>
      <c r="B1322" s="6"/>
      <c r="C1322" s="102"/>
      <c r="D1322" s="102"/>
      <c r="E1322" s="102"/>
      <c r="F1322" s="103"/>
      <c r="G1322" s="103"/>
      <c r="H1322" s="6"/>
      <c r="I1322" s="104"/>
      <c r="J1322" s="104"/>
      <c r="K1322" s="104"/>
      <c r="L1322" s="104"/>
    </row>
    <row r="1323" spans="1:12" x14ac:dyDescent="0.25">
      <c r="A1323" s="6"/>
      <c r="B1323" s="6"/>
      <c r="C1323" s="102"/>
      <c r="D1323" s="102"/>
      <c r="E1323" s="102"/>
      <c r="F1323" s="103"/>
      <c r="G1323" s="103"/>
      <c r="H1323" s="6"/>
      <c r="I1323" s="104"/>
      <c r="J1323" s="104"/>
      <c r="K1323" s="104"/>
      <c r="L1323" s="104"/>
    </row>
    <row r="1324" spans="1:12" x14ac:dyDescent="0.25">
      <c r="A1324" s="6"/>
      <c r="B1324" s="6"/>
      <c r="C1324" s="102"/>
      <c r="D1324" s="102"/>
      <c r="E1324" s="102"/>
      <c r="F1324" s="103"/>
      <c r="G1324" s="103"/>
      <c r="H1324" s="6"/>
      <c r="I1324" s="104"/>
      <c r="J1324" s="104"/>
      <c r="K1324" s="104"/>
      <c r="L1324" s="104"/>
    </row>
    <row r="1325" spans="1:12" x14ac:dyDescent="0.25">
      <c r="A1325" s="6"/>
      <c r="B1325" s="6"/>
      <c r="C1325" s="102"/>
      <c r="D1325" s="102"/>
      <c r="E1325" s="102"/>
      <c r="F1325" s="103"/>
      <c r="G1325" s="103"/>
      <c r="H1325" s="6"/>
      <c r="I1325" s="104"/>
      <c r="J1325" s="104"/>
      <c r="K1325" s="104"/>
      <c r="L1325" s="104"/>
    </row>
    <row r="1326" spans="1:12" x14ac:dyDescent="0.25">
      <c r="A1326" s="6"/>
      <c r="B1326" s="6"/>
      <c r="C1326" s="102"/>
      <c r="D1326" s="102"/>
      <c r="E1326" s="102"/>
      <c r="F1326" s="103"/>
      <c r="G1326" s="103"/>
      <c r="H1326" s="6"/>
      <c r="I1326" s="104"/>
      <c r="J1326" s="104"/>
      <c r="K1326" s="104"/>
      <c r="L1326" s="104"/>
    </row>
    <row r="1327" spans="1:12" x14ac:dyDescent="0.25">
      <c r="A1327" s="6"/>
      <c r="B1327" s="6"/>
      <c r="C1327" s="102"/>
      <c r="D1327" s="102"/>
      <c r="E1327" s="102"/>
      <c r="F1327" s="103"/>
      <c r="G1327" s="103"/>
      <c r="H1327" s="6"/>
      <c r="I1327" s="104"/>
      <c r="J1327" s="104"/>
      <c r="K1327" s="104"/>
      <c r="L1327" s="104"/>
    </row>
    <row r="1328" spans="1:12" x14ac:dyDescent="0.25">
      <c r="A1328" s="6"/>
      <c r="B1328" s="6"/>
      <c r="C1328" s="102"/>
      <c r="D1328" s="102"/>
      <c r="E1328" s="102"/>
      <c r="F1328" s="103"/>
      <c r="G1328" s="103"/>
      <c r="H1328" s="6"/>
      <c r="I1328" s="104"/>
      <c r="J1328" s="104"/>
      <c r="K1328" s="104"/>
      <c r="L1328" s="104"/>
    </row>
    <row r="1329" spans="1:12" x14ac:dyDescent="0.25">
      <c r="A1329" s="6"/>
      <c r="B1329" s="6"/>
      <c r="C1329" s="102"/>
      <c r="D1329" s="102"/>
      <c r="E1329" s="102"/>
      <c r="F1329" s="103"/>
      <c r="G1329" s="103"/>
      <c r="H1329" s="6"/>
      <c r="I1329" s="104"/>
      <c r="J1329" s="104"/>
      <c r="K1329" s="104"/>
      <c r="L1329" s="104"/>
    </row>
    <row r="1330" spans="1:12" x14ac:dyDescent="0.25">
      <c r="A1330" s="6"/>
      <c r="B1330" s="6"/>
      <c r="C1330" s="102"/>
      <c r="D1330" s="102"/>
      <c r="E1330" s="102"/>
      <c r="F1330" s="103"/>
      <c r="G1330" s="103"/>
      <c r="H1330" s="6"/>
      <c r="I1330" s="104"/>
      <c r="J1330" s="104"/>
      <c r="K1330" s="104"/>
      <c r="L1330" s="104"/>
    </row>
    <row r="1331" spans="1:12" x14ac:dyDescent="0.25">
      <c r="A1331" s="6"/>
      <c r="B1331" s="6"/>
      <c r="C1331" s="102"/>
      <c r="D1331" s="102"/>
      <c r="E1331" s="102"/>
      <c r="F1331" s="103"/>
      <c r="G1331" s="103"/>
      <c r="H1331" s="6"/>
      <c r="I1331" s="104"/>
      <c r="J1331" s="104"/>
      <c r="K1331" s="104"/>
      <c r="L1331" s="104"/>
    </row>
    <row r="1332" spans="1:12" x14ac:dyDescent="0.25">
      <c r="A1332" s="6"/>
      <c r="B1332" s="6"/>
      <c r="C1332" s="102"/>
      <c r="D1332" s="102"/>
      <c r="E1332" s="102"/>
      <c r="F1332" s="103"/>
      <c r="G1332" s="103"/>
      <c r="H1332" s="6"/>
      <c r="I1332" s="104"/>
      <c r="J1332" s="104"/>
      <c r="K1332" s="104"/>
      <c r="L1332" s="104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53A2E-109A-49FF-83AC-1B98F5DC7B81}">
  <sheetPr codeName="Sheet6">
    <tabColor theme="5"/>
  </sheetPr>
  <dimension ref="A1:X17"/>
  <sheetViews>
    <sheetView workbookViewId="0">
      <selection activeCell="C28" sqref="C28"/>
    </sheetView>
  </sheetViews>
  <sheetFormatPr defaultRowHeight="15" outlineLevelCol="1" x14ac:dyDescent="0.25"/>
  <cols>
    <col min="3" max="3" width="10.7109375" style="1" customWidth="1"/>
    <col min="4" max="4" width="10.140625" style="1" customWidth="1"/>
    <col min="5" max="5" width="11.5703125" style="21" bestFit="1" customWidth="1"/>
    <col min="6" max="6" width="13.28515625" style="21" bestFit="1" customWidth="1"/>
    <col min="7" max="7" width="9.140625" style="8"/>
    <col min="8" max="8" width="24" bestFit="1" customWidth="1"/>
    <col min="9" max="9" width="9.42578125" bestFit="1" customWidth="1"/>
    <col min="10" max="10" width="12.5703125" bestFit="1" customWidth="1"/>
    <col min="11" max="11" width="8.7109375" bestFit="1" customWidth="1"/>
    <col min="12" max="12" width="15.28515625" hidden="1" customWidth="1" outlineLevel="1"/>
    <col min="13" max="13" width="10.5703125" bestFit="1" customWidth="1" collapsed="1"/>
    <col min="14" max="14" width="14.7109375" hidden="1" customWidth="1" outlineLevel="1"/>
    <col min="15" max="15" width="14.28515625" style="21" bestFit="1" customWidth="1" collapsed="1"/>
    <col min="16" max="16" width="23.5703125" hidden="1" customWidth="1" outlineLevel="1"/>
    <col min="17" max="17" width="11.5703125" bestFit="1" customWidth="1" collapsed="1"/>
    <col min="19" max="19" width="9.140625" customWidth="1"/>
    <col min="20" max="20" width="13.28515625" bestFit="1" customWidth="1"/>
    <col min="22" max="22" width="9.140625" customWidth="1"/>
    <col min="23" max="23" width="11.5703125" bestFit="1" customWidth="1"/>
  </cols>
  <sheetData>
    <row r="1" spans="1:24" s="94" customFormat="1" ht="15.75" thickBot="1" x14ac:dyDescent="0.3">
      <c r="A1" s="94" t="s">
        <v>180</v>
      </c>
      <c r="B1" s="94" t="s">
        <v>157</v>
      </c>
      <c r="C1" s="95" t="s">
        <v>145</v>
      </c>
      <c r="D1" s="95" t="s">
        <v>146</v>
      </c>
      <c r="E1" s="98" t="s">
        <v>158</v>
      </c>
      <c r="F1" s="98" t="s">
        <v>160</v>
      </c>
      <c r="G1" s="94" t="s">
        <v>162</v>
      </c>
      <c r="H1" s="94" t="s">
        <v>167</v>
      </c>
      <c r="I1" s="94" t="s">
        <v>189</v>
      </c>
      <c r="J1" s="94" t="s">
        <v>169</v>
      </c>
      <c r="K1" s="94" t="s">
        <v>170</v>
      </c>
      <c r="L1" s="94" t="s">
        <v>163</v>
      </c>
      <c r="M1" s="94" t="s">
        <v>150</v>
      </c>
      <c r="N1" s="94" t="s">
        <v>164</v>
      </c>
      <c r="O1" s="98" t="s">
        <v>161</v>
      </c>
      <c r="P1" s="94" t="s">
        <v>172</v>
      </c>
      <c r="Q1" s="94" t="s">
        <v>173</v>
      </c>
    </row>
    <row r="2" spans="1:24" x14ac:dyDescent="0.25">
      <c r="A2" s="6" t="s">
        <v>199</v>
      </c>
      <c r="B2" s="6" t="s">
        <v>129</v>
      </c>
      <c r="C2" s="107"/>
      <c r="D2" s="107"/>
      <c r="E2" s="103">
        <f ca="1">M2</f>
        <v>882.37265608710391</v>
      </c>
      <c r="F2" s="103"/>
      <c r="G2" s="34" t="s">
        <v>1</v>
      </c>
      <c r="H2" s="104" t="str">
        <f>IF(G2="USD","USD.LIBOR.3M",G2&amp;".DISC.[USD.LIBOR.3M]")</f>
        <v>ZAR.DISC.[USD.LIBOR.3M]</v>
      </c>
      <c r="I2" s="105" t="str">
        <f>VLOOKUP(B2,AssetStatic,3,FALSE)</f>
        <v>ICE</v>
      </c>
      <c r="J2" s="105" t="s">
        <v>171</v>
      </c>
      <c r="K2" s="105" t="str">
        <f>VLOOKUP(B2,AssetStatic,2,FALSE)</f>
        <v>0b</v>
      </c>
      <c r="L2" t="str" cm="1">
        <f t="array" aca="1" ref="L2" ca="1">_xll.QIns_CreateCustomAsianSwap("cuztom_asiFwd"&amp;ROW(),C3:D17,B2,G2,0,F3:F17,I2,G2,J2,K2,,H2)</f>
        <v>cuztom_asiFwd2¬0</v>
      </c>
      <c r="M2" s="14" cm="1">
        <f t="array" aca="1" ref="M2" ca="1">_xll.QIns_ProductParRate(L2,AModel)</f>
        <v>882.37265608710391</v>
      </c>
      <c r="N2" t="str" cm="1">
        <f t="array" aca="1" ref="N2" ca="1">_xll.QIns_CreateCustomAsianSwap("cuztom_asi_"&amp;ROW(),C3:D17,B2,G2,E2,F3:F17,I2,G2,J2,K2,,H2)</f>
        <v>cuztom_asi_2¬0</v>
      </c>
      <c r="O2" s="21" cm="1">
        <f t="array" aca="1" ref="O2" ca="1">_xll.QIns_ProductPV(N2,AModel,G2)</f>
        <v>-4.2518877307884395E-11</v>
      </c>
      <c r="P2" t="str" cm="1">
        <f t="array" aca="1" ref="P2" ca="1">IF(VLOOKUP(B2,AssetStatic,4,FALSE),_xll.QRisk_PortfolioFxDeltaSpecific("asiOpt_DeltaA"&amp;ROW(),N2,AModel,B2,"ZAR",FALSE),_xll.QRisk_PortfolioDelta("asiOpt_DeltaA"&amp;ROW(),N2,AModel,FALSE))</f>
        <v>asiOpt_DeltaA2¬5</v>
      </c>
      <c r="Q2" s="21" cm="1">
        <f t="array" aca="1" ref="Q2" ca="1">_xll.QCube_SumAllRows(P2)</f>
        <v>1487.5214233601682</v>
      </c>
      <c r="R2" s="11"/>
      <c r="T2" s="21"/>
      <c r="U2" s="100"/>
      <c r="W2" s="21"/>
      <c r="X2" s="100"/>
    </row>
    <row r="3" spans="1:24" x14ac:dyDescent="0.25">
      <c r="A3" s="106"/>
      <c r="B3" s="106" t="str">
        <f>B2</f>
        <v>CO</v>
      </c>
      <c r="C3" s="102">
        <f ca="1">TODAY()</f>
        <v>44238</v>
      </c>
      <c r="D3" s="102" cm="1">
        <f t="array" aca="1" ref="D3" ca="1">_xll.QDates_LastDay(C3)</f>
        <v>44255</v>
      </c>
      <c r="E3" s="108">
        <f ca="1">E2</f>
        <v>882.37265608710391</v>
      </c>
      <c r="F3" s="103">
        <v>100</v>
      </c>
      <c r="G3" s="109" t="str">
        <f>G2</f>
        <v>ZAR</v>
      </c>
      <c r="H3" s="108" t="str">
        <f>H2</f>
        <v>ZAR.DISC.[USD.LIBOR.3M]</v>
      </c>
      <c r="I3" s="109" t="str">
        <f>I2</f>
        <v>ICE</v>
      </c>
      <c r="J3" s="109" t="str">
        <f>J2</f>
        <v>2b</v>
      </c>
      <c r="K3" s="109" t="str">
        <f>K2</f>
        <v>0b</v>
      </c>
      <c r="L3" t="str" cm="1">
        <f t="array" aca="1" ref="L3" ca="1">_xll.QIns_CreateAsianSwap("CustomAsiSwap_Fwd_"&amp;ROW(),C3:D3,B3,G3,0,F3,I3,G3,J3,K3,,H3,IF(G3="USD","None","ATC"))</f>
        <v>CustomAsiSwap_Fwd_3¬0</v>
      </c>
      <c r="M3" s="14" cm="1">
        <f t="array" aca="1" ref="M3" ca="1">_xll.QIns_ProductParRate(L3,AModel)</f>
        <v>899.09263940933397</v>
      </c>
      <c r="N3" t="str" cm="1">
        <f t="array" aca="1" ref="N3" ca="1">_xll.QIns_CreateAsianSwap("CustomAsiSwap_"&amp;ROW(),C3:D3,B3,G3,E3,F3,I3,G3,J3,K3,,H3,IF(G3="USD","None","ATC"))</f>
        <v>CustomAsiSwap_3¬0</v>
      </c>
      <c r="O3" s="21" cm="1">
        <f t="array" aca="1" ref="O3" ca="1">_xll.QIns_ProductPV(N3,AModel,G3)</f>
        <v>1668.0541969673304</v>
      </c>
      <c r="P3" t="str" cm="1">
        <f t="array" aca="1" ref="P3" ca="1">IF(VLOOKUP(B3,AssetStatic,4,FALSE),_xll.QRisk_PortfolioFxDeltaSpecific("asiOpt_DeltaA"&amp;ROW(),N3,AModel,B3,"ZAR",FALSE),_xll.QRisk_PortfolioDelta("asiOpt_DeltaA"&amp;ROW(),N3,AModel,FALSE))</f>
        <v>asiOpt_DeltaA3¬2</v>
      </c>
      <c r="Q3" s="21" cm="1">
        <f t="array" aca="1" ref="Q3" ca="1">_xll.QCube_SumAllRows(P3)</f>
        <v>91.56385694007696</v>
      </c>
      <c r="R3" s="11"/>
      <c r="T3" s="21"/>
      <c r="U3" s="100"/>
      <c r="W3" s="21"/>
      <c r="X3" s="100"/>
    </row>
    <row r="4" spans="1:24" x14ac:dyDescent="0.25">
      <c r="A4" s="106"/>
      <c r="B4" s="106" t="str">
        <f t="shared" ref="B4:B17" si="0">B3</f>
        <v>CO</v>
      </c>
      <c r="C4" s="102">
        <f ca="1">D3+1</f>
        <v>44256</v>
      </c>
      <c r="D4" s="102" cm="1">
        <f t="array" aca="1" ref="D4" ca="1">_xll.QDates_LastDay(C4)</f>
        <v>44286</v>
      </c>
      <c r="E4" s="108">
        <f t="shared" ref="E4:E17" ca="1" si="1">E3</f>
        <v>882.37265608710391</v>
      </c>
      <c r="F4" s="103">
        <v>100</v>
      </c>
      <c r="G4" s="109" t="str">
        <f t="shared" ref="G4:G17" si="2">G3</f>
        <v>ZAR</v>
      </c>
      <c r="H4" s="108" t="str">
        <f t="shared" ref="H4:K8" si="3">H3</f>
        <v>ZAR.DISC.[USD.LIBOR.3M]</v>
      </c>
      <c r="I4" s="109" t="str">
        <f t="shared" si="3"/>
        <v>ICE</v>
      </c>
      <c r="J4" s="109" t="str">
        <f t="shared" si="3"/>
        <v>2b</v>
      </c>
      <c r="K4" s="109" t="str">
        <f t="shared" si="3"/>
        <v>0b</v>
      </c>
      <c r="L4" t="str" cm="1">
        <f t="array" aca="1" ref="L4" ca="1">_xll.QIns_CreateAsianSwap("CustomAsiSwap_Fwd_"&amp;ROW(),C4:D4,B4,G4,0,F4,I4,G4,J4,K4,,H4,IF(G4="USD","None","ATC"))</f>
        <v>CustomAsiSwap_Fwd_4¬0</v>
      </c>
      <c r="M4" s="14" cm="1">
        <f t="array" aca="1" ref="M4" ca="1">_xll.QIns_ProductParRate(L4,AModel)</f>
        <v>896.52005992971397</v>
      </c>
      <c r="N4" t="str" cm="1">
        <f t="array" aca="1" ref="N4" ca="1">_xll.QIns_CreateAsianSwap("CustomAsiSwap_"&amp;ROW(),C4:D4,B4,G4,E4,F4,I4,G4,J4,K4,,H4,IF(G4="USD","None","ATC"))</f>
        <v>CustomAsiSwap_4¬0</v>
      </c>
      <c r="O4" s="21" cm="1">
        <f t="array" aca="1" ref="O4" ca="1">_xll.QIns_ProductPV(N4,AModel,G4)</f>
        <v>1404.5094525872853</v>
      </c>
      <c r="P4" t="str" cm="1">
        <f t="array" aca="1" ref="P4" ca="1">IF(VLOOKUP(B4,AssetStatic,4,FALSE),_xll.QRisk_PortfolioFxDeltaSpecific("asiOpt_DeltaA"&amp;ROW(),N4,AModel,B4,"ZAR",FALSE),_xll.QRisk_PortfolioDelta("asiOpt_DeltaA"&amp;ROW(),N4,AModel,FALSE))</f>
        <v>asiOpt_DeltaA4¬3</v>
      </c>
      <c r="Q4" s="21" cm="1">
        <f t="array" aca="1" ref="Q4" ca="1">_xll.QCube_SumAllRows(P4)</f>
        <v>99.729871069109777</v>
      </c>
      <c r="R4" s="11"/>
      <c r="T4" s="21"/>
      <c r="U4" s="100"/>
      <c r="W4" s="21"/>
      <c r="X4" s="100"/>
    </row>
    <row r="5" spans="1:24" x14ac:dyDescent="0.25">
      <c r="A5" s="106"/>
      <c r="B5" s="106" t="str">
        <f t="shared" si="0"/>
        <v>CO</v>
      </c>
      <c r="C5" s="102">
        <f t="shared" ref="C5:C17" ca="1" si="4">D4+1</f>
        <v>44287</v>
      </c>
      <c r="D5" s="102" cm="1">
        <f t="array" aca="1" ref="D5" ca="1">_xll.QDates_LastDay(C5)</f>
        <v>44316</v>
      </c>
      <c r="E5" s="108">
        <f t="shared" ca="1" si="1"/>
        <v>882.37265608710391</v>
      </c>
      <c r="F5" s="103">
        <v>100</v>
      </c>
      <c r="G5" s="109" t="str">
        <f t="shared" si="2"/>
        <v>ZAR</v>
      </c>
      <c r="H5" s="108" t="str">
        <f t="shared" si="3"/>
        <v>ZAR.DISC.[USD.LIBOR.3M]</v>
      </c>
      <c r="I5" s="109" t="str">
        <f t="shared" si="3"/>
        <v>ICE</v>
      </c>
      <c r="J5" s="109" t="str">
        <f t="shared" si="3"/>
        <v>2b</v>
      </c>
      <c r="K5" s="109" t="str">
        <f t="shared" si="3"/>
        <v>0b</v>
      </c>
      <c r="L5" t="str" cm="1">
        <f t="array" aca="1" ref="L5" ca="1">_xll.QIns_CreateAsianSwap("CustomAsiSwap_Fwd_"&amp;ROW(),C5:D5,B5,G5,0,F5,I5,G5,J5,K5,,H5,IF(G5="USD","None","ATC"))</f>
        <v>CustomAsiSwap_Fwd_5¬0</v>
      </c>
      <c r="M5" s="14" cm="1">
        <f t="array" aca="1" ref="M5" ca="1">_xll.QIns_ProductParRate(L5,AModel)</f>
        <v>893.88007629765741</v>
      </c>
      <c r="N5" t="str" cm="1">
        <f t="array" aca="1" ref="N5" ca="1">_xll.QIns_CreateAsianSwap("CustomAsiSwap_"&amp;ROW(),C5:D5,B5,G5,E5,F5,I5,G5,J5,K5,,H5,IF(G5="USD","None","ATC"))</f>
        <v>CustomAsiSwap_5¬0</v>
      </c>
      <c r="O5" s="21" cm="1">
        <f t="array" aca="1" ref="O5" ca="1">_xll.QIns_ProductPV(N5,AModel,G5)</f>
        <v>1137.8824541951963</v>
      </c>
      <c r="P5" t="str" cm="1">
        <f t="array" aca="1" ref="P5" ca="1">IF(VLOOKUP(B5,AssetStatic,4,FALSE),_xll.QRisk_PortfolioFxDeltaSpecific("asiOpt_DeltaA"&amp;ROW(),N5,AModel,B5,"ZAR",FALSE),_xll.QRisk_PortfolioDelta("asiOpt_DeltaA"&amp;ROW(),N5,AModel,FALSE))</f>
        <v>asiOpt_DeltaA5¬6</v>
      </c>
      <c r="Q5" s="21" cm="1">
        <f t="array" aca="1" ref="Q5" ca="1">_xll.QCube_SumAllRows(P5)</f>
        <v>99.768929365068004</v>
      </c>
      <c r="R5" s="11"/>
      <c r="T5" s="21"/>
      <c r="U5" s="100"/>
      <c r="W5" s="21"/>
      <c r="X5" s="100"/>
    </row>
    <row r="6" spans="1:24" x14ac:dyDescent="0.25">
      <c r="A6" s="106"/>
      <c r="B6" s="106" t="str">
        <f t="shared" si="0"/>
        <v>CO</v>
      </c>
      <c r="C6" s="102">
        <f t="shared" ca="1" si="4"/>
        <v>44317</v>
      </c>
      <c r="D6" s="102" cm="1">
        <f t="array" aca="1" ref="D6" ca="1">_xll.QDates_LastDay(C6)</f>
        <v>44347</v>
      </c>
      <c r="E6" s="108">
        <f t="shared" ca="1" si="1"/>
        <v>882.37265608710391</v>
      </c>
      <c r="F6" s="103">
        <v>100</v>
      </c>
      <c r="G6" s="109" t="str">
        <f t="shared" si="2"/>
        <v>ZAR</v>
      </c>
      <c r="H6" s="108" t="str">
        <f t="shared" si="3"/>
        <v>ZAR.DISC.[USD.LIBOR.3M]</v>
      </c>
      <c r="I6" s="109" t="str">
        <f t="shared" si="3"/>
        <v>ICE</v>
      </c>
      <c r="J6" s="109" t="str">
        <f t="shared" si="3"/>
        <v>2b</v>
      </c>
      <c r="K6" s="109" t="str">
        <f t="shared" si="3"/>
        <v>0b</v>
      </c>
      <c r="L6" t="str" cm="1">
        <f t="array" aca="1" ref="L6" ca="1">_xll.QIns_CreateAsianSwap("CustomAsiSwap_Fwd_"&amp;ROW(),C6:D6,B6,G6,0,F6,I6,G6,J6,K6,,H6,IF(G6="USD","None","ATC"))</f>
        <v>CustomAsiSwap_Fwd_6¬0</v>
      </c>
      <c r="M6" s="14" cm="1">
        <f t="array" aca="1" ref="M6" ca="1">_xll.QIns_ProductParRate(L6,AModel)</f>
        <v>889.81152943673283</v>
      </c>
      <c r="N6" t="str" cm="1">
        <f t="array" aca="1" ref="N6" ca="1">_xll.QIns_CreateAsianSwap("CustomAsiSwap_"&amp;ROW(),C6:D6,B6,G6,E6,F6,I6,G6,J6,K6,,H6,IF(G6="USD","None","ATC"))</f>
        <v>CustomAsiSwap_6¬0</v>
      </c>
      <c r="O6" s="21" cm="1">
        <f t="array" aca="1" ref="O6" ca="1">_xll.QIns_ProductPV(N6,AModel,G6)</f>
        <v>732.70539889676945</v>
      </c>
      <c r="P6" t="str" cm="1">
        <f t="array" aca="1" ref="P6" ca="1">IF(VLOOKUP(B6,AssetStatic,4,FALSE),_xll.QRisk_PortfolioFxDeltaSpecific("asiOpt_DeltaA"&amp;ROW(),N6,AModel,B6,"ZAR",FALSE),_xll.QRisk_PortfolioDelta("asiOpt_DeltaA"&amp;ROW(),N6,AModel,FALSE))</f>
        <v>asiOpt_DeltaA6¬7</v>
      </c>
      <c r="Q6" s="21" cm="1">
        <f t="array" aca="1" ref="Q6" ca="1">_xll.QCube_SumAllRows(P6)</f>
        <v>99.766719284576766</v>
      </c>
      <c r="R6" s="11"/>
      <c r="T6" s="21"/>
      <c r="U6" s="100"/>
      <c r="W6" s="21"/>
      <c r="X6" s="100"/>
    </row>
    <row r="7" spans="1:24" x14ac:dyDescent="0.25">
      <c r="A7" s="106"/>
      <c r="B7" s="106" t="str">
        <f t="shared" si="0"/>
        <v>CO</v>
      </c>
      <c r="C7" s="102">
        <f t="shared" ca="1" si="4"/>
        <v>44348</v>
      </c>
      <c r="D7" s="102" cm="1">
        <f t="array" aca="1" ref="D7" ca="1">_xll.QDates_LastDay(C7)</f>
        <v>44377</v>
      </c>
      <c r="E7" s="108">
        <f t="shared" ca="1" si="1"/>
        <v>882.37265608710391</v>
      </c>
      <c r="F7" s="103">
        <v>100</v>
      </c>
      <c r="G7" s="109" t="str">
        <f t="shared" si="2"/>
        <v>ZAR</v>
      </c>
      <c r="H7" s="108" t="str">
        <f t="shared" si="3"/>
        <v>ZAR.DISC.[USD.LIBOR.3M]</v>
      </c>
      <c r="I7" s="109" t="str">
        <f t="shared" si="3"/>
        <v>ICE</v>
      </c>
      <c r="J7" s="109" t="str">
        <f t="shared" si="3"/>
        <v>2b</v>
      </c>
      <c r="K7" s="109" t="str">
        <f t="shared" si="3"/>
        <v>0b</v>
      </c>
      <c r="L7" t="str" cm="1">
        <f t="array" aca="1" ref="L7" ca="1">_xll.QIns_CreateAsianSwap("CustomAsiSwap_Fwd_"&amp;ROW(),C7:D7,B7,G7,0,F7,I7,G7,J7,K7,,H7,IF(G7="USD","None","ATC"))</f>
        <v>CustomAsiSwap_Fwd_7¬0</v>
      </c>
      <c r="M7" s="14" cm="1">
        <f t="array" aca="1" ref="M7" ca="1">_xll.QIns_ProductParRate(L7,AModel)</f>
        <v>886.98884676492207</v>
      </c>
      <c r="N7" t="str" cm="1">
        <f t="array" aca="1" ref="N7" ca="1">_xll.QIns_CreateAsianSwap("CustomAsiSwap_"&amp;ROW(),C7:D7,B7,G7,E7,F7,I7,G7,J7,K7,,H7,IF(G7="USD","None","ATC"))</f>
        <v>CustomAsiSwap_7¬0</v>
      </c>
      <c r="O7" s="21" cm="1">
        <f t="array" aca="1" ref="O7" ca="1">_xll.QIns_ProductPV(N7,AModel,G7)</f>
        <v>452.97316045923515</v>
      </c>
      <c r="P7" t="str" cm="1">
        <f t="array" aca="1" ref="P7" ca="1">IF(VLOOKUP(B7,AssetStatic,4,FALSE),_xll.QRisk_PortfolioFxDeltaSpecific("asiOpt_DeltaA"&amp;ROW(),N7,AModel,B7,"ZAR",FALSE),_xll.QRisk_PortfolioDelta("asiOpt_DeltaA"&amp;ROW(),N7,AModel,FALSE))</f>
        <v>asiOpt_DeltaA7¬7</v>
      </c>
      <c r="Q7" s="21" cm="1">
        <f t="array" aca="1" ref="Q7" ca="1">_xll.QCube_SumAllRows(P7)</f>
        <v>99.772724319832307</v>
      </c>
      <c r="R7" s="11"/>
      <c r="T7" s="21"/>
      <c r="U7" s="100"/>
      <c r="W7" s="21"/>
      <c r="X7" s="100"/>
    </row>
    <row r="8" spans="1:24" x14ac:dyDescent="0.25">
      <c r="A8" s="106"/>
      <c r="B8" s="106" t="str">
        <f t="shared" si="0"/>
        <v>CO</v>
      </c>
      <c r="C8" s="102">
        <f t="shared" ca="1" si="4"/>
        <v>44378</v>
      </c>
      <c r="D8" s="102" cm="1">
        <f t="array" aca="1" ref="D8" ca="1">_xll.QDates_LastDay(C8)</f>
        <v>44408</v>
      </c>
      <c r="E8" s="108">
        <f t="shared" ca="1" si="1"/>
        <v>882.37265608710391</v>
      </c>
      <c r="F8" s="103">
        <v>100</v>
      </c>
      <c r="G8" s="109" t="str">
        <f t="shared" si="2"/>
        <v>ZAR</v>
      </c>
      <c r="H8" s="108" t="str">
        <f t="shared" si="3"/>
        <v>ZAR.DISC.[USD.LIBOR.3M]</v>
      </c>
      <c r="I8" s="109" t="str">
        <f t="shared" si="3"/>
        <v>ICE</v>
      </c>
      <c r="J8" s="109" t="str">
        <f t="shared" si="3"/>
        <v>2b</v>
      </c>
      <c r="K8" s="109" t="str">
        <f t="shared" si="3"/>
        <v>0b</v>
      </c>
      <c r="L8" t="str" cm="1">
        <f t="array" aca="1" ref="L8" ca="1">_xll.QIns_CreateAsianSwap("CustomAsiSwap_Fwd_"&amp;ROW(),C8:D8,B8,G8,0,F8,I8,G8,J8,K8,,H8,IF(G8="USD","None","ATC"))</f>
        <v>CustomAsiSwap_Fwd_8¬0</v>
      </c>
      <c r="M8" s="14" cm="1">
        <f t="array" aca="1" ref="M8" ca="1">_xll.QIns_ProductParRate(L8,AModel)</f>
        <v>883.68206046643525</v>
      </c>
      <c r="N8" t="str" cm="1">
        <f t="array" aca="1" ref="N8" ca="1">_xll.QIns_CreateAsianSwap("CustomAsiSwap_"&amp;ROW(),C8:D8,B8,G8,E8,F8,I8,G8,J8,K8,,H8,IF(G8="USD","None","ATC"))</f>
        <v>CustomAsiSwap_8¬0</v>
      </c>
      <c r="O8" s="21" cm="1">
        <f t="array" aca="1" ref="O8" ca="1">_xll.QIns_ProductPV(N8,AModel,G8)</f>
        <v>127.99346456869195</v>
      </c>
      <c r="P8" t="str" cm="1">
        <f t="array" aca="1" ref="P8" ca="1">IF(VLOOKUP(B8,AssetStatic,4,FALSE),_xll.QRisk_PortfolioFxDeltaSpecific("asiOpt_DeltaA"&amp;ROW(),N8,AModel,B8,"ZAR",FALSE),_xll.QRisk_PortfolioDelta("asiOpt_DeltaA"&amp;ROW(),N8,AModel,FALSE))</f>
        <v>asiOpt_DeltaA8¬7</v>
      </c>
      <c r="Q8" s="21" cm="1">
        <f t="array" aca="1" ref="Q8" ca="1">_xll.QCube_SumAllRows(P8)</f>
        <v>99.754739235193483</v>
      </c>
    </row>
    <row r="9" spans="1:24" x14ac:dyDescent="0.25">
      <c r="A9" s="106"/>
      <c r="B9" s="106" t="str">
        <f t="shared" si="0"/>
        <v>CO</v>
      </c>
      <c r="C9" s="102">
        <f t="shared" ca="1" si="4"/>
        <v>44409</v>
      </c>
      <c r="D9" s="102" cm="1">
        <f t="array" aca="1" ref="D9" ca="1">_xll.QDates_LastDay(C9)</f>
        <v>44439</v>
      </c>
      <c r="E9" s="108">
        <f t="shared" ca="1" si="1"/>
        <v>882.37265608710391</v>
      </c>
      <c r="F9" s="103">
        <v>100</v>
      </c>
      <c r="G9" s="109" t="str">
        <f t="shared" si="2"/>
        <v>ZAR</v>
      </c>
      <c r="H9" s="108" t="str">
        <f t="shared" ref="H9:H17" si="5">H8</f>
        <v>ZAR.DISC.[USD.LIBOR.3M]</v>
      </c>
      <c r="I9" s="109" t="str">
        <f t="shared" ref="I9:I17" si="6">I8</f>
        <v>ICE</v>
      </c>
      <c r="J9" s="109" t="str">
        <f t="shared" ref="J9:J17" si="7">J8</f>
        <v>2b</v>
      </c>
      <c r="K9" s="109" t="str">
        <f t="shared" ref="K9:K17" si="8">K8</f>
        <v>0b</v>
      </c>
      <c r="L9" t="str" cm="1">
        <f t="array" aca="1" ref="L9" ca="1">_xll.QIns_CreateAsianSwap("CustomAsiSwap_Fwd_"&amp;ROW(),C9:D9,B9,G9,0,F9,I9,G9,J9,K9,,H9,IF(G9="USD","None","ATC"))</f>
        <v>CustomAsiSwap_Fwd_9¬0</v>
      </c>
      <c r="M9" s="14" cm="1">
        <f t="array" aca="1" ref="M9" ca="1">_xll.QIns_ProductParRate(L9,AModel)</f>
        <v>880.35484436888373</v>
      </c>
      <c r="N9" t="str" cm="1">
        <f t="array" aca="1" ref="N9" ca="1">_xll.QIns_CreateAsianSwap("CustomAsiSwap_"&amp;ROW(),C9:D9,B9,G9,E9,F9,I9,G9,J9,K9,,H9,IF(G9="USD","None","ATC"))</f>
        <v>CustomAsiSwap_9¬0</v>
      </c>
      <c r="O9" s="21" cm="1">
        <f t="array" aca="1" ref="O9" ca="1">_xll.QIns_ProductPV(N9,AModel,G9)</f>
        <v>-196.54177954431688</v>
      </c>
      <c r="P9" t="str" cm="1">
        <f t="array" aca="1" ref="P9" ca="1">IF(VLOOKUP(B9,AssetStatic,4,FALSE),_xll.QRisk_PortfolioFxDeltaSpecific("asiOpt_DeltaA"&amp;ROW(),N9,AModel,B9,"ZAR",FALSE),_xll.QRisk_PortfolioDelta("asiOpt_DeltaA"&amp;ROW(),N9,AModel,FALSE))</f>
        <v>asiOpt_DeltaA9¬7</v>
      </c>
      <c r="Q9" s="21" cm="1">
        <f t="array" aca="1" ref="Q9" ca="1">_xll.QCube_SumAllRows(P9)</f>
        <v>99.751011258388019</v>
      </c>
    </row>
    <row r="10" spans="1:24" x14ac:dyDescent="0.25">
      <c r="A10" s="106"/>
      <c r="B10" s="106" t="str">
        <f t="shared" si="0"/>
        <v>CO</v>
      </c>
      <c r="C10" s="102">
        <f t="shared" ca="1" si="4"/>
        <v>44440</v>
      </c>
      <c r="D10" s="102" cm="1">
        <f t="array" aca="1" ref="D10" ca="1">_xll.QDates_LastDay(C10)</f>
        <v>44469</v>
      </c>
      <c r="E10" s="108">
        <f t="shared" ca="1" si="1"/>
        <v>882.37265608710391</v>
      </c>
      <c r="F10" s="103">
        <v>100</v>
      </c>
      <c r="G10" s="109" t="str">
        <f t="shared" si="2"/>
        <v>ZAR</v>
      </c>
      <c r="H10" s="108" t="str">
        <f t="shared" si="5"/>
        <v>ZAR.DISC.[USD.LIBOR.3M]</v>
      </c>
      <c r="I10" s="109" t="str">
        <f t="shared" si="6"/>
        <v>ICE</v>
      </c>
      <c r="J10" s="109" t="str">
        <f t="shared" si="7"/>
        <v>2b</v>
      </c>
      <c r="K10" s="109" t="str">
        <f t="shared" si="8"/>
        <v>0b</v>
      </c>
      <c r="L10" t="str" cm="1">
        <f t="array" aca="1" ref="L10" ca="1">_xll.QIns_CreateAsianSwap("CustomAsiSwap_Fwd_"&amp;ROW(),C10:D10,B10,G10,0,F10,I10,G10,J10,K10,,H10,IF(G10="USD","None","ATC"))</f>
        <v>CustomAsiSwap_Fwd_10¬0</v>
      </c>
      <c r="M10" s="14" cm="1">
        <f t="array" aca="1" ref="M10" ca="1">_xll.QIns_ProductParRate(L10,AModel)</f>
        <v>877.43592528031525</v>
      </c>
      <c r="N10" t="str" cm="1">
        <f t="array" aca="1" ref="N10" ca="1">_xll.QIns_CreateAsianSwap("CustomAsiSwap_"&amp;ROW(),C10:D10,B10,G10,E10,F10,I10,G10,J10,K10,,H10,IF(G10="USD","None","ATC"))</f>
        <v>CustomAsiSwap_10¬0</v>
      </c>
      <c r="O10" s="21" cm="1">
        <f t="array" aca="1" ref="O10" ca="1">_xll.QIns_ProductPV(N10,AModel,G10)</f>
        <v>-479.06765343041985</v>
      </c>
      <c r="P10" t="str" cm="1">
        <f t="array" aca="1" ref="P10" ca="1">IF(VLOOKUP(B10,AssetStatic,4,FALSE),_xll.QRisk_PortfolioFxDeltaSpecific("asiOpt_DeltaA"&amp;ROW(),N10,AModel,B10,"ZAR",FALSE),_xll.QRisk_PortfolioDelta("asiOpt_DeltaA"&amp;ROW(),N10,AModel,FALSE))</f>
        <v>asiOpt_DeltaA10¬5</v>
      </c>
      <c r="Q10" s="21" cm="1">
        <f t="array" aca="1" ref="Q10" ca="1">_xll.QCube_SumAllRows(P10)</f>
        <v>99.729313161203592</v>
      </c>
    </row>
    <row r="11" spans="1:24" x14ac:dyDescent="0.25">
      <c r="A11" s="106"/>
      <c r="B11" s="106" t="str">
        <f t="shared" si="0"/>
        <v>CO</v>
      </c>
      <c r="C11" s="102">
        <f t="shared" ca="1" si="4"/>
        <v>44470</v>
      </c>
      <c r="D11" s="102" cm="1">
        <f t="array" aca="1" ref="D11" ca="1">_xll.QDates_LastDay(C11)</f>
        <v>44500</v>
      </c>
      <c r="E11" s="108">
        <f t="shared" ca="1" si="1"/>
        <v>882.37265608710391</v>
      </c>
      <c r="F11" s="103">
        <v>100</v>
      </c>
      <c r="G11" s="109" t="str">
        <f t="shared" si="2"/>
        <v>ZAR</v>
      </c>
      <c r="H11" s="108" t="str">
        <f t="shared" si="5"/>
        <v>ZAR.DISC.[USD.LIBOR.3M]</v>
      </c>
      <c r="I11" s="109" t="str">
        <f t="shared" si="6"/>
        <v>ICE</v>
      </c>
      <c r="J11" s="109" t="str">
        <f t="shared" si="7"/>
        <v>2b</v>
      </c>
      <c r="K11" s="109" t="str">
        <f t="shared" si="8"/>
        <v>0b</v>
      </c>
      <c r="L11" t="str" cm="1">
        <f t="array" aca="1" ref="L11" ca="1">_xll.QIns_CreateAsianSwap("CustomAsiSwap_Fwd_"&amp;ROW(),C11:D11,B11,G11,0,F11,I11,G11,J11,K11,,H11,IF(G11="USD","None","ATC"))</f>
        <v>CustomAsiSwap_Fwd_11¬0</v>
      </c>
      <c r="M11" s="14" cm="1">
        <f t="array" aca="1" ref="M11" ca="1">_xll.QIns_ProductParRate(L11,AModel)</f>
        <v>874.9270693055505</v>
      </c>
      <c r="N11" t="str" cm="1">
        <f t="array" aca="1" ref="N11" ca="1">_xll.QIns_CreateAsianSwap("CustomAsiSwap_"&amp;ROW(),C11:D11,B11,G11,E11,F11,I11,G11,J11,K11,,H11,IF(G11="USD","None","ATC"))</f>
        <v>CustomAsiSwap_11¬0</v>
      </c>
      <c r="O11" s="21" cm="1">
        <f t="array" aca="1" ref="O11" ca="1">_xll.QIns_ProductPV(N11,AModel,G11)</f>
        <v>-720.16898565369524</v>
      </c>
      <c r="P11" t="str" cm="1">
        <f t="array" aca="1" ref="P11" ca="1">IF(VLOOKUP(B11,AssetStatic,4,FALSE),_xll.QRisk_PortfolioFxDeltaSpecific("asiOpt_DeltaA"&amp;ROW(),N11,AModel,B11,"ZAR",FALSE),_xll.QRisk_PortfolioDelta("asiOpt_DeltaA"&amp;ROW(),N11,AModel,FALSE))</f>
        <v>asiOpt_DeltaA11¬7</v>
      </c>
      <c r="Q11" s="21" cm="1">
        <f t="array" aca="1" ref="Q11" ca="1">_xll.QCube_SumAllRows(P11)</f>
        <v>99.731031367780076</v>
      </c>
    </row>
    <row r="12" spans="1:24" x14ac:dyDescent="0.25">
      <c r="A12" s="106"/>
      <c r="B12" s="106" t="str">
        <f t="shared" si="0"/>
        <v>CO</v>
      </c>
      <c r="C12" s="102">
        <f t="shared" ca="1" si="4"/>
        <v>44501</v>
      </c>
      <c r="D12" s="102" cm="1">
        <f t="array" aca="1" ref="D12" ca="1">_xll.QDates_LastDay(C12)</f>
        <v>44530</v>
      </c>
      <c r="E12" s="108">
        <f t="shared" ca="1" si="1"/>
        <v>882.37265608710391</v>
      </c>
      <c r="F12" s="103">
        <v>100</v>
      </c>
      <c r="G12" s="109" t="str">
        <f t="shared" si="2"/>
        <v>ZAR</v>
      </c>
      <c r="H12" s="108" t="str">
        <f t="shared" si="5"/>
        <v>ZAR.DISC.[USD.LIBOR.3M]</v>
      </c>
      <c r="I12" s="109" t="str">
        <f t="shared" si="6"/>
        <v>ICE</v>
      </c>
      <c r="J12" s="109" t="str">
        <f t="shared" si="7"/>
        <v>2b</v>
      </c>
      <c r="K12" s="109" t="str">
        <f t="shared" si="8"/>
        <v>0b</v>
      </c>
      <c r="L12" t="str" cm="1">
        <f t="array" aca="1" ref="L12" ca="1">_xll.QIns_CreateAsianSwap("CustomAsiSwap_Fwd_"&amp;ROW(),C12:D12,B12,G12,0,F12,I12,G12,J12,K12,,H12,IF(G12="USD","None","ATC"))</f>
        <v>CustomAsiSwap_Fwd_12¬0</v>
      </c>
      <c r="M12" s="14" cm="1">
        <f t="array" aca="1" ref="M12" ca="1">_xll.QIns_ProductParRate(L12,AModel)</f>
        <v>879.16543635365269</v>
      </c>
      <c r="N12" t="str" cm="1">
        <f t="array" aca="1" ref="N12" ca="1">_xll.QIns_CreateAsianSwap("CustomAsiSwap_"&amp;ROW(),C12:D12,B12,G12,E12,F12,I12,G12,J12,K12,,H12,IF(G12="USD","None","ATC"))</f>
        <v>CustomAsiSwap_12¬0</v>
      </c>
      <c r="O12" s="21" cm="1">
        <f t="array" aca="1" ref="O12" ca="1">_xll.QIns_ProductPV(N12,AModel,G12)</f>
        <v>-309.14892321251602</v>
      </c>
      <c r="P12" t="str" cm="1">
        <f t="array" aca="1" ref="P12" ca="1">IF(VLOOKUP(B12,AssetStatic,4,FALSE),_xll.QRisk_PortfolioFxDeltaSpecific("asiOpt_DeltaA"&amp;ROW(),N12,AModel,B12,"ZAR",FALSE),_xll.QRisk_PortfolioDelta("asiOpt_DeltaA"&amp;ROW(),N12,AModel,FALSE))</f>
        <v>asiOpt_DeltaA12¬8</v>
      </c>
      <c r="Q12" s="21" cm="1">
        <f t="array" aca="1" ref="Q12" ca="1">_xll.QCube_SumAllRows(P12)</f>
        <v>99.71408218389648</v>
      </c>
    </row>
    <row r="13" spans="1:24" x14ac:dyDescent="0.25">
      <c r="A13" s="106"/>
      <c r="B13" s="106" t="str">
        <f t="shared" si="0"/>
        <v>CO</v>
      </c>
      <c r="C13" s="102">
        <f t="shared" ca="1" si="4"/>
        <v>44531</v>
      </c>
      <c r="D13" s="102" cm="1">
        <f t="array" aca="1" ref="D13" ca="1">_xll.QDates_LastDay(C13)</f>
        <v>44561</v>
      </c>
      <c r="E13" s="108">
        <f t="shared" ca="1" si="1"/>
        <v>882.37265608710391</v>
      </c>
      <c r="F13" s="103">
        <v>100</v>
      </c>
      <c r="G13" s="109" t="str">
        <f t="shared" si="2"/>
        <v>ZAR</v>
      </c>
      <c r="H13" s="108" t="str">
        <f t="shared" si="5"/>
        <v>ZAR.DISC.[USD.LIBOR.3M]</v>
      </c>
      <c r="I13" s="109" t="str">
        <f t="shared" si="6"/>
        <v>ICE</v>
      </c>
      <c r="J13" s="109" t="str">
        <f t="shared" si="7"/>
        <v>2b</v>
      </c>
      <c r="K13" s="109" t="str">
        <f t="shared" si="8"/>
        <v>0b</v>
      </c>
      <c r="L13" t="str" cm="1">
        <f t="array" aca="1" ref="L13" ca="1">_xll.QIns_CreateAsianSwap("CustomAsiSwap_Fwd_"&amp;ROW(),C13:D13,B13,G13,0,F13,I13,G13,J13,K13,,H13,IF(G13="USD","None","ATC"))</f>
        <v>CustomAsiSwap_Fwd_13¬0</v>
      </c>
      <c r="M13" s="14" cm="1">
        <f t="array" aca="1" ref="M13" ca="1">_xll.QIns_ProductParRate(L13,AModel)</f>
        <v>877.46202552990349</v>
      </c>
      <c r="N13" t="str" cm="1">
        <f t="array" aca="1" ref="N13" ca="1">_xll.QIns_CreateAsianSwap("CustomAsiSwap_"&amp;ROW(),C13:D13,B13,G13,E13,F13,I13,G13,J13,K13,,H13,IF(G13="USD","None","ATC"))</f>
        <v>CustomAsiSwap_13¬0</v>
      </c>
      <c r="O13" s="21" cm="1">
        <f t="array" aca="1" ref="O13" ca="1">_xll.QIns_ProductPV(N13,AModel,G13)</f>
        <v>-471.51025229751195</v>
      </c>
      <c r="P13" t="str" cm="1">
        <f t="array" aca="1" ref="P13" ca="1">IF(VLOOKUP(B13,AssetStatic,4,FALSE),_xll.QRisk_PortfolioFxDeltaSpecific("asiOpt_DeltaA"&amp;ROW(),N13,AModel,B13,"ZAR",FALSE),_xll.QRisk_PortfolioDelta("asiOpt_DeltaA"&amp;ROW(),N13,AModel,FALSE))</f>
        <v>asiOpt_DeltaA13¬8</v>
      </c>
      <c r="Q13" s="21" cm="1">
        <f t="array" aca="1" ref="Q13" ca="1">_xll.QCube_SumAllRows(P13)</f>
        <v>99.660369682876748</v>
      </c>
    </row>
    <row r="14" spans="1:24" x14ac:dyDescent="0.25">
      <c r="A14" s="106"/>
      <c r="B14" s="106" t="str">
        <f t="shared" si="0"/>
        <v>CO</v>
      </c>
      <c r="C14" s="102">
        <f t="shared" ca="1" si="4"/>
        <v>44562</v>
      </c>
      <c r="D14" s="102" cm="1">
        <f t="array" aca="1" ref="D14" ca="1">_xll.QDates_LastDay(C14)</f>
        <v>44592</v>
      </c>
      <c r="E14" s="108">
        <f t="shared" ca="1" si="1"/>
        <v>882.37265608710391</v>
      </c>
      <c r="F14" s="103">
        <v>100</v>
      </c>
      <c r="G14" s="109" t="str">
        <f t="shared" si="2"/>
        <v>ZAR</v>
      </c>
      <c r="H14" s="108" t="str">
        <f t="shared" si="5"/>
        <v>ZAR.DISC.[USD.LIBOR.3M]</v>
      </c>
      <c r="I14" s="109" t="str">
        <f t="shared" si="6"/>
        <v>ICE</v>
      </c>
      <c r="J14" s="109" t="str">
        <f t="shared" si="7"/>
        <v>2b</v>
      </c>
      <c r="K14" s="109" t="str">
        <f t="shared" si="8"/>
        <v>0b</v>
      </c>
      <c r="L14" t="str" cm="1">
        <f t="array" aca="1" ref="L14" ca="1">_xll.QIns_CreateAsianSwap("CustomAsiSwap_Fwd_"&amp;ROW(),C14:D14,B14,G14,0,F14,I14,G14,J14,K14,,H14,IF(G14="USD","None","ATC"))</f>
        <v>CustomAsiSwap_Fwd_14¬0</v>
      </c>
      <c r="M14" s="14" cm="1">
        <f t="array" aca="1" ref="M14" ca="1">_xll.QIns_ProductParRate(L14,AModel)</f>
        <v>876.62100763836099</v>
      </c>
      <c r="N14" t="str" cm="1">
        <f t="array" aca="1" ref="N14" ca="1">_xll.QIns_CreateAsianSwap("CustomAsiSwap_"&amp;ROW(),C14:D14,B14,G14,E14,F14,I14,G14,J14,K14,,H14,IF(G14="USD","None","ATC"))</f>
        <v>CustomAsiSwap_14¬0</v>
      </c>
      <c r="O14" s="21" cm="1">
        <f t="array" aca="1" ref="O14" ca="1">_xll.QIns_ProductPV(N14,AModel,G14)</f>
        <v>-550.40586685208996</v>
      </c>
      <c r="P14" t="str" cm="1">
        <f t="array" aca="1" ref="P14" ca="1">IF(VLOOKUP(B14,AssetStatic,4,FALSE),_xll.QRisk_PortfolioFxDeltaSpecific("asiOpt_DeltaA"&amp;ROW(),N14,AModel,B14,"ZAR",FALSE),_xll.QRisk_PortfolioDelta("asiOpt_DeltaA"&amp;ROW(),N14,AModel,FALSE))</f>
        <v>asiOpt_DeltaA14¬7</v>
      </c>
      <c r="Q14" s="21" cm="1">
        <f t="array" aca="1" ref="Q14" ca="1">_xll.QCube_SumAllRows(P14)</f>
        <v>99.683346305754128</v>
      </c>
    </row>
    <row r="15" spans="1:24" x14ac:dyDescent="0.25">
      <c r="A15" s="106"/>
      <c r="B15" s="106" t="str">
        <f t="shared" si="0"/>
        <v>CO</v>
      </c>
      <c r="C15" s="102">
        <f t="shared" ca="1" si="4"/>
        <v>44593</v>
      </c>
      <c r="D15" s="102" cm="1">
        <f t="array" aca="1" ref="D15" ca="1">_xll.QDates_LastDay(C15)</f>
        <v>44620</v>
      </c>
      <c r="E15" s="108">
        <f t="shared" ca="1" si="1"/>
        <v>882.37265608710391</v>
      </c>
      <c r="F15" s="103">
        <v>100</v>
      </c>
      <c r="G15" s="109" t="str">
        <f t="shared" si="2"/>
        <v>ZAR</v>
      </c>
      <c r="H15" s="108" t="str">
        <f t="shared" si="5"/>
        <v>ZAR.DISC.[USD.LIBOR.3M]</v>
      </c>
      <c r="I15" s="109" t="str">
        <f t="shared" si="6"/>
        <v>ICE</v>
      </c>
      <c r="J15" s="109" t="str">
        <f t="shared" si="7"/>
        <v>2b</v>
      </c>
      <c r="K15" s="109" t="str">
        <f t="shared" si="8"/>
        <v>0b</v>
      </c>
      <c r="L15" t="str" cm="1">
        <f t="array" aca="1" ref="L15" ca="1">_xll.QIns_CreateAsianSwap("CustomAsiSwap_Fwd_"&amp;ROW(),C15:D15,B15,G15,0,F15,I15,G15,J15,K15,,H15,IF(G15="USD","None","ATC"))</f>
        <v>CustomAsiSwap_Fwd_15¬0</v>
      </c>
      <c r="M15" s="14" cm="1">
        <f t="array" aca="1" ref="M15" ca="1">_xll.QIns_ProductParRate(L15,AModel)</f>
        <v>875.45782174738599</v>
      </c>
      <c r="N15" t="str" cm="1">
        <f t="array" aca="1" ref="N15" ca="1">_xll.QIns_CreateAsianSwap("CustomAsiSwap_"&amp;ROW(),C15:D15,B15,G15,E15,F15,I15,G15,J15,K15,,H15,IF(G15="USD","None","ATC"))</f>
        <v>CustomAsiSwap_15¬0</v>
      </c>
      <c r="O15" s="21" cm="1">
        <f t="array" aca="1" ref="O15" ca="1">_xll.QIns_ProductPV(N15,AModel,G15)</f>
        <v>-659.52150098342167</v>
      </c>
      <c r="P15" t="str" cm="1">
        <f t="array" aca="1" ref="P15" ca="1">IF(VLOOKUP(B15,AssetStatic,4,FALSE),_xll.QRisk_PortfolioFxDeltaSpecific("asiOpt_DeltaA"&amp;ROW(),N15,AModel,B15,"ZAR",FALSE),_xll.QRisk_PortfolioDelta("asiOpt_DeltaA"&amp;ROW(),N15,AModel,FALSE))</f>
        <v>asiOpt_DeltaA15¬3</v>
      </c>
      <c r="Q15" s="21" cm="1">
        <f t="array" aca="1" ref="Q15" ca="1">_xll.QCube_SumAllRows(P15)</f>
        <v>99.668709689380819</v>
      </c>
    </row>
    <row r="16" spans="1:24" x14ac:dyDescent="0.25">
      <c r="A16" s="106"/>
      <c r="B16" s="106" t="str">
        <f t="shared" si="0"/>
        <v>CO</v>
      </c>
      <c r="C16" s="102">
        <f t="shared" ca="1" si="4"/>
        <v>44621</v>
      </c>
      <c r="D16" s="102" cm="1">
        <f t="array" aca="1" ref="D16" ca="1">_xll.QDates_LastDay(C16)</f>
        <v>44651</v>
      </c>
      <c r="E16" s="108">
        <f t="shared" ca="1" si="1"/>
        <v>882.37265608710391</v>
      </c>
      <c r="F16" s="103">
        <v>100</v>
      </c>
      <c r="G16" s="109" t="str">
        <f t="shared" si="2"/>
        <v>ZAR</v>
      </c>
      <c r="H16" s="108" t="str">
        <f t="shared" si="5"/>
        <v>ZAR.DISC.[USD.LIBOR.3M]</v>
      </c>
      <c r="I16" s="109" t="str">
        <f t="shared" si="6"/>
        <v>ICE</v>
      </c>
      <c r="J16" s="109" t="str">
        <f t="shared" si="7"/>
        <v>2b</v>
      </c>
      <c r="K16" s="109" t="str">
        <f t="shared" si="8"/>
        <v>0b</v>
      </c>
      <c r="L16" t="str" cm="1">
        <f t="array" aca="1" ref="L16" ca="1">_xll.QIns_CreateAsianSwap("CustomAsiSwap_Fwd_"&amp;ROW(),C16:D16,B16,G16,0,F16,I16,G16,J16,K16,,H16,IF(G16="USD","None","ATC"))</f>
        <v>CustomAsiSwap_Fwd_16¬0</v>
      </c>
      <c r="M16" s="14" cm="1">
        <f t="array" aca="1" ref="M16" ca="1">_xll.QIns_ProductParRate(L16,AModel)</f>
        <v>874.93967684437882</v>
      </c>
      <c r="N16" t="str" cm="1">
        <f t="array" aca="1" ref="N16" ca="1">_xll.QIns_CreateAsianSwap("CustomAsiSwap_"&amp;ROW(),C16:D16,B16,G16,E16,F16,I16,G16,J16,K16,,H16,IF(G16="USD","None","ATC"))</f>
        <v>CustomAsiSwap_16¬0</v>
      </c>
      <c r="O16" s="21" cm="1">
        <f t="array" aca="1" ref="O16" ca="1">_xll.QIns_ProductPV(N16,AModel,G16)</f>
        <v>-706.09038606408126</v>
      </c>
      <c r="P16" t="str" cm="1">
        <f t="array" aca="1" ref="P16" ca="1">IF(VLOOKUP(B16,AssetStatic,4,FALSE),_xll.QRisk_PortfolioFxDeltaSpecific("asiOpt_DeltaA"&amp;ROW(),N16,AModel,B16,"ZAR",FALSE),_xll.QRisk_PortfolioDelta("asiOpt_DeltaA"&amp;ROW(),N16,AModel,FALSE))</f>
        <v>asiOpt_DeltaA16¬3</v>
      </c>
      <c r="Q16" s="21" cm="1">
        <f t="array" aca="1" ref="Q16" ca="1">_xll.QCube_SumAllRows(P16)</f>
        <v>99.613625919857895</v>
      </c>
    </row>
    <row r="17" spans="1:17" x14ac:dyDescent="0.25">
      <c r="A17" s="106"/>
      <c r="B17" s="106" t="str">
        <f t="shared" si="0"/>
        <v>CO</v>
      </c>
      <c r="C17" s="102">
        <f t="shared" ca="1" si="4"/>
        <v>44652</v>
      </c>
      <c r="D17" s="102" cm="1">
        <f t="array" aca="1" ref="D17" ca="1">_xll.QDates_LastDay(C17)</f>
        <v>44681</v>
      </c>
      <c r="E17" s="108">
        <f t="shared" ca="1" si="1"/>
        <v>882.37265608710391</v>
      </c>
      <c r="F17" s="103">
        <v>100</v>
      </c>
      <c r="G17" s="109" t="str">
        <f t="shared" si="2"/>
        <v>ZAR</v>
      </c>
      <c r="H17" s="108" t="str">
        <f t="shared" si="5"/>
        <v>ZAR.DISC.[USD.LIBOR.3M]</v>
      </c>
      <c r="I17" s="109" t="str">
        <f t="shared" si="6"/>
        <v>ICE</v>
      </c>
      <c r="J17" s="109" t="str">
        <f t="shared" si="7"/>
        <v>2b</v>
      </c>
      <c r="K17" s="109" t="str">
        <f t="shared" si="8"/>
        <v>0b</v>
      </c>
      <c r="L17" t="str" cm="1">
        <f t="array" aca="1" ref="L17" ca="1">_xll.QIns_CreateAsianSwap("CustomAsiSwap_Fwd_"&amp;ROW(),C17:D17,B17,G17,0,F17,I17,G17,J17,K17,,H17,IF(G17="USD","None","ATC"))</f>
        <v>CustomAsiSwap_Fwd_17¬0</v>
      </c>
      <c r="M17" s="14" cm="1">
        <f t="array" aca="1" ref="M17" ca="1">_xll.QIns_ProductParRate(L17,AModel)</f>
        <v>867.24638696447641</v>
      </c>
      <c r="N17" t="str" cm="1">
        <f t="array" aca="1" ref="N17" ca="1">_xll.QIns_CreateAsianSwap("CustomAsiSwap_"&amp;ROW(),C17:D17,B17,G17,E17,F17,I17,G17,J17,K17,,H17,IF(G17="USD","None","ATC"))</f>
        <v>CustomAsiSwap_17¬0</v>
      </c>
      <c r="O17" s="21" cm="1">
        <f t="array" aca="1" ref="O17" ca="1">_xll.QIns_ProductPV(N17,AModel,G17)</f>
        <v>-1431.6627796364969</v>
      </c>
      <c r="P17" t="str" cm="1">
        <f t="array" aca="1" ref="P17" ca="1">IF(VLOOKUP(B17,AssetStatic,4,FALSE),_xll.QRisk_PortfolioFxDeltaSpecific("asiOpt_DeltaA"&amp;ROW(),N17,AModel,B17,"ZAR",FALSE),_xll.QRisk_PortfolioDelta("asiOpt_DeltaA"&amp;ROW(),N17,AModel,FALSE))</f>
        <v>asiOpt_DeltaA17¬3</v>
      </c>
      <c r="Q17" s="21" cm="1">
        <f t="array" aca="1" ref="Q17" ca="1">_xll.QCube_SumAllRows(P17)</f>
        <v>99.613093577157485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6FA07-5C5D-4899-A64C-946AC00A56FA}">
  <sheetPr codeName="Sheet7">
    <tabColor theme="5"/>
  </sheetPr>
  <dimension ref="A1:AM1309"/>
  <sheetViews>
    <sheetView topLeftCell="A74" workbookViewId="0">
      <selection activeCell="A74" sqref="A1:A1048576"/>
    </sheetView>
  </sheetViews>
  <sheetFormatPr defaultRowHeight="15" outlineLevelCol="1" x14ac:dyDescent="0.25"/>
  <cols>
    <col min="3" max="3" width="10.7109375" style="1" bestFit="1" customWidth="1"/>
    <col min="4" max="4" width="10.140625" style="1" customWidth="1" outlineLevel="1"/>
    <col min="5" max="5" width="11.5703125" style="21" bestFit="1" customWidth="1"/>
    <col min="7" max="7" width="13.28515625" style="21" bestFit="1" customWidth="1"/>
    <col min="9" max="9" width="24" bestFit="1" customWidth="1"/>
    <col min="10" max="10" width="12.5703125" bestFit="1" customWidth="1"/>
    <col min="11" max="11" width="8.7109375" bestFit="1" customWidth="1"/>
    <col min="12" max="12" width="15.28515625" customWidth="1" outlineLevel="1"/>
    <col min="13" max="13" width="10.5703125" bestFit="1" customWidth="1"/>
    <col min="14" max="14" width="10.140625" bestFit="1" customWidth="1"/>
    <col min="15" max="15" width="14.7109375" customWidth="1" outlineLevel="1"/>
    <col min="16" max="16" width="14.28515625" style="21" bestFit="1" customWidth="1"/>
    <col min="17" max="17" width="23.5703125" hidden="1" customWidth="1" outlineLevel="1"/>
    <col min="18" max="18" width="11.5703125" bestFit="1" customWidth="1" collapsed="1"/>
    <col min="20" max="20" width="9.140625" hidden="1" customWidth="1" outlineLevel="1"/>
    <col min="21" max="21" width="13.28515625" bestFit="1" customWidth="1" collapsed="1"/>
    <col min="22" max="22" width="10.140625" bestFit="1" customWidth="1"/>
    <col min="23" max="23" width="9.140625" hidden="1" customWidth="1" outlineLevel="1"/>
    <col min="24" max="24" width="11.5703125" bestFit="1" customWidth="1" collapsed="1"/>
    <col min="25" max="25" width="10.140625" bestFit="1" customWidth="1"/>
    <col min="26" max="26" width="11.5703125" bestFit="1" customWidth="1"/>
    <col min="28" max="28" width="11.42578125" bestFit="1" customWidth="1"/>
    <col min="29" max="29" width="10.42578125" bestFit="1" customWidth="1"/>
    <col min="30" max="30" width="8" bestFit="1" customWidth="1"/>
    <col min="31" max="31" width="7.28515625" bestFit="1" customWidth="1"/>
    <col min="32" max="32" width="13.28515625" customWidth="1"/>
    <col min="34" max="34" width="15.28515625" bestFit="1" customWidth="1"/>
    <col min="35" max="35" width="14.28515625" bestFit="1" customWidth="1"/>
    <col min="36" max="38" width="13.28515625" bestFit="1" customWidth="1"/>
  </cols>
  <sheetData>
    <row r="1" spans="1:39" s="94" customFormat="1" ht="15.75" thickBot="1" x14ac:dyDescent="0.3">
      <c r="B1" s="94" t="s">
        <v>157</v>
      </c>
      <c r="C1" s="95" t="s">
        <v>130</v>
      </c>
      <c r="D1" s="95" t="s">
        <v>165</v>
      </c>
      <c r="E1" s="98" t="s">
        <v>158</v>
      </c>
      <c r="F1" s="94" t="s">
        <v>159</v>
      </c>
      <c r="G1" s="98" t="s">
        <v>160</v>
      </c>
      <c r="H1" s="94" t="s">
        <v>162</v>
      </c>
      <c r="I1" s="94" t="s">
        <v>167</v>
      </c>
      <c r="J1" s="94" t="s">
        <v>169</v>
      </c>
      <c r="K1" s="94" t="s">
        <v>170</v>
      </c>
      <c r="L1" s="94" t="s">
        <v>163</v>
      </c>
      <c r="M1" s="94" t="s">
        <v>150</v>
      </c>
      <c r="N1" s="94" t="s">
        <v>168</v>
      </c>
      <c r="O1" s="94" t="s">
        <v>164</v>
      </c>
      <c r="P1" s="98" t="s">
        <v>161</v>
      </c>
      <c r="Q1" s="94" t="s">
        <v>172</v>
      </c>
      <c r="R1" s="94" t="s">
        <v>173</v>
      </c>
      <c r="S1" s="94" t="s">
        <v>174</v>
      </c>
      <c r="T1" s="94" t="s">
        <v>178</v>
      </c>
      <c r="U1" s="94" t="s">
        <v>179</v>
      </c>
      <c r="V1" s="94" t="s">
        <v>175</v>
      </c>
      <c r="W1" s="94" t="s">
        <v>176</v>
      </c>
      <c r="X1" s="94" t="s">
        <v>177</v>
      </c>
      <c r="Y1" s="94" t="s">
        <v>175</v>
      </c>
    </row>
    <row r="2" spans="1:39" x14ac:dyDescent="0.25">
      <c r="A2" s="6"/>
      <c r="B2" s="6" t="s">
        <v>129</v>
      </c>
      <c r="C2" s="102" t="s">
        <v>71</v>
      </c>
      <c r="D2" s="102" cm="1">
        <f t="array" aca="1" ref="D2" ca="1">IF(_xll.QUtils_IsTenor(C2),_xll.QDates_AddPeriod(valDate,C2,"F","NYC"),C2)</f>
        <v>44603</v>
      </c>
      <c r="E2" s="103" t="e">
        <f t="shared" ref="E2:E7" ca="1" si="0">M2*0.9</f>
        <v>#VALUE!</v>
      </c>
      <c r="F2" s="6" t="s">
        <v>166</v>
      </c>
      <c r="G2" s="103">
        <v>1000000</v>
      </c>
      <c r="H2" s="6" t="s">
        <v>1</v>
      </c>
      <c r="I2" s="104" t="str">
        <f>VLOOKUP(H2,'FX-IR'!$B$20:$C$27,2,FALSE)</f>
        <v>ZAR.DISC.[USD.LIBOR.3M]</v>
      </c>
      <c r="J2" s="104" t="s">
        <v>171</v>
      </c>
      <c r="K2" s="104" t="str">
        <f t="shared" ref="K2:K7" si="1">VLOOKUP(B2,AssetStatic,2,FALSE)</f>
        <v>0b</v>
      </c>
      <c r="L2" t="str" cm="1">
        <f t="array" aca="1" ref="L2" ca="1">_xll.QIns_CreateForward("EuOpt_Fwd_"&amp;ROW(),D2,B2,H2,0,G2,H2,J2,K2,I2)</f>
        <v>EuOpt_Fwd_2¬0</v>
      </c>
      <c r="M2" s="14" t="str" cm="1">
        <f t="array" aca="1" ref="M2" ca="1">_xll.QIns_ProductParRate(L2,AModel)</f>
        <v>Curve with name CO not found</v>
      </c>
      <c r="N2" s="11" t="e" cm="1">
        <f t="array" aca="1" ref="N2" ca="1">_xll.QModels_GetCompoVol(AModel,B2,H2,E2,D2)</f>
        <v>#VALUE!</v>
      </c>
      <c r="O2" t="e" cm="1">
        <f t="array" aca="1" ref="O2" ca="1">_xll.QIns_CreateEuropeanOption("euOpt_"&amp;ROW(),D2,B2,H2,E2,F2,G2,H2,J2,K2,I2)</f>
        <v>#VALUE!</v>
      </c>
      <c r="P2" s="21" t="e" cm="1">
        <f t="array" aca="1" ref="P2" ca="1">_xll.QIns_ProductPV(O2,AModel,H2)</f>
        <v>#VALUE!</v>
      </c>
      <c r="Q2" t="e" cm="1">
        <f t="array" aca="1" ref="Q2" ca="1">IF(VLOOKUP(B2,AssetStatic,4,FALSE),_xll.QRisk_PortfolioFxDeltaSpecific("euOpt_DeltaA"&amp;ROW(),O2,AModel,B2,"ZAR",FALSE),_xll.QRisk_PortfolioDelta("euOpt_DeltaA"&amp;ROW(),O2,AModel,FALSE))</f>
        <v>#VALUE!</v>
      </c>
      <c r="R2" s="21" t="e" cm="1">
        <f t="array" aca="1" ref="R2" ca="1">_xll.QCube_SumAllRows(Q2)</f>
        <v>#VALUE!</v>
      </c>
      <c r="S2" s="11" t="e">
        <f t="shared" ref="S2:S7" ca="1" si="2">R2/G2</f>
        <v>#VALUE!</v>
      </c>
      <c r="T2" t="e" cm="1">
        <f t="array" aca="1" ref="T2" ca="1">_xll.QRisk_PortfolioVega("euopt_commVegaA"&amp;ROW(),O2,AModel,H2)</f>
        <v>#VALUE!</v>
      </c>
      <c r="U2" s="21" t="e" cm="1">
        <f t="array" aca="1" ref="U2" ca="1">_xll.QCube_SumAllRows(T2)</f>
        <v>#VALUE!</v>
      </c>
      <c r="V2" s="100" t="e">
        <f t="shared" ref="V2:V7" ca="1" si="3">U2/D2</f>
        <v>#VALUE!</v>
      </c>
      <c r="W2" t="e" cm="1">
        <f t="array" aca="1" ref="W2" ca="1">_xll.QRisk_PortfolioFxVega("euOpt_fxVegaA"&amp;ROW(),O2,AModel,H2)</f>
        <v>#VALUE!</v>
      </c>
      <c r="X2" s="21" t="e" cm="1">
        <f t="array" aca="1" ref="X2" ca="1">_xll.QCube_SumAllRows(W2)</f>
        <v>#VALUE!</v>
      </c>
      <c r="Y2" s="100" t="e">
        <f t="shared" ref="Y2:Y7" ca="1" si="4">X2/G2</f>
        <v>#VALUE!</v>
      </c>
    </row>
    <row r="3" spans="1:39" x14ac:dyDescent="0.25">
      <c r="A3" s="6"/>
      <c r="B3" s="6" t="s">
        <v>104</v>
      </c>
      <c r="C3" s="102">
        <v>44326</v>
      </c>
      <c r="D3" s="102" cm="1">
        <f t="array" aca="1" ref="D3" ca="1">IF(_xll.QUtils_IsTenor(C3),_xll.QDates_AddPeriod(valDate,C3,"F","NYC"),C3)</f>
        <v>44326</v>
      </c>
      <c r="E3" s="103" t="e">
        <f t="shared" ca="1" si="0"/>
        <v>#VALUE!</v>
      </c>
      <c r="F3" s="6" t="s">
        <v>166</v>
      </c>
      <c r="G3" s="103">
        <v>100</v>
      </c>
      <c r="H3" s="6" t="s">
        <v>21</v>
      </c>
      <c r="I3" s="104" t="str">
        <f>VLOOKUP(H3,'FX-IR'!$B$20:$C$27,2,FALSE)</f>
        <v>USD.LIBOR.3M</v>
      </c>
      <c r="J3" s="104" t="s">
        <v>171</v>
      </c>
      <c r="K3" s="104" t="str">
        <f t="shared" si="1"/>
        <v>2b</v>
      </c>
      <c r="L3" t="str" cm="1">
        <f t="array" aca="1" ref="L3" ca="1">_xll.QIns_CreateForward("EuOpt_Fwd_"&amp;ROW(),D3,B3,H3,0,G3,H3,J3,K3,I3)</f>
        <v>EuOpt_Fwd_3¬0</v>
      </c>
      <c r="M3" s="14" t="str" cm="1">
        <f t="array" aca="1" ref="M3" ca="1">_xll.QIns_ProductParRate(L3,AModel)</f>
        <v>Curve with name AH not found</v>
      </c>
      <c r="N3" s="11" t="e" cm="1">
        <f t="array" aca="1" ref="N3" ca="1">_xll.QModels_GetCompoVol(AModel,B3,H3,E3,D3)</f>
        <v>#VALUE!</v>
      </c>
      <c r="O3" t="e" cm="1">
        <f t="array" aca="1" ref="O3" ca="1">_xll.QIns_CreateEuropeanOption("euOpt_"&amp;ROW(),D3,B3,H3,E3,F3,G3,H3,J3,K3,I3)</f>
        <v>#VALUE!</v>
      </c>
      <c r="P3" s="21" t="e" cm="1">
        <f t="array" aca="1" ref="P3" ca="1">_xll.QIns_ProductPV(O3,AModel,H3)</f>
        <v>#VALUE!</v>
      </c>
      <c r="Q3" t="e" cm="1">
        <f t="array" aca="1" ref="Q3" ca="1">IF(VLOOKUP(B3,AssetStatic,4,FALSE),_xll.QRisk_PortfolioFxDeltaSpecific("euOpt_DeltaA"&amp;ROW(),O3,AModel,B3,"ZAR",FALSE),_xll.QRisk_PortfolioDelta("euOpt_DeltaA"&amp;ROW(),O3,AModel,FALSE))</f>
        <v>#VALUE!</v>
      </c>
      <c r="R3" s="21" t="e" cm="1">
        <f t="array" aca="1" ref="R3" ca="1">_xll.QCube_SumAllRows(Q3)</f>
        <v>#VALUE!</v>
      </c>
      <c r="S3" s="11" t="e">
        <f t="shared" ca="1" si="2"/>
        <v>#VALUE!</v>
      </c>
      <c r="T3" t="e" cm="1">
        <f t="array" aca="1" ref="T3" ca="1">_xll.QRisk_PortfolioVega("euopt_commVegaA"&amp;ROW(),O3,AModel,H3)</f>
        <v>#VALUE!</v>
      </c>
      <c r="U3" s="21" t="e" cm="1">
        <f t="array" aca="1" ref="U3" ca="1">_xll.QCube_SumAllRows(T3)</f>
        <v>#VALUE!</v>
      </c>
      <c r="V3" s="100" t="e">
        <f t="shared" ca="1" si="3"/>
        <v>#VALUE!</v>
      </c>
      <c r="W3" t="e" cm="1">
        <f t="array" aca="1" ref="W3" ca="1">_xll.QRisk_PortfolioFxVega("euOpt_fxVegaA"&amp;ROW(),O3,AModel,H3)</f>
        <v>#VALUE!</v>
      </c>
      <c r="X3" s="21" t="e" cm="1">
        <f t="array" aca="1" ref="X3" ca="1">_xll.QCube_SumAllRows(W3)</f>
        <v>#VALUE!</v>
      </c>
      <c r="Y3" s="100" t="e">
        <f t="shared" ca="1" si="4"/>
        <v>#VALUE!</v>
      </c>
    </row>
    <row r="4" spans="1:39" x14ac:dyDescent="0.25">
      <c r="A4" s="6"/>
      <c r="B4" s="6" t="s">
        <v>134</v>
      </c>
      <c r="C4" s="102">
        <v>44326</v>
      </c>
      <c r="D4" s="102" cm="1">
        <f t="array" aca="1" ref="D4" ca="1">IF(_xll.QUtils_IsTenor(C4),_xll.QDates_AddPeriod(valDate,C4,"F","NYC"),C4)</f>
        <v>44326</v>
      </c>
      <c r="E4" s="103" t="e">
        <f t="shared" ca="1" si="0"/>
        <v>#VALUE!</v>
      </c>
      <c r="F4" s="6" t="s">
        <v>166</v>
      </c>
      <c r="G4" s="103">
        <v>100</v>
      </c>
      <c r="H4" s="6" t="s">
        <v>1</v>
      </c>
      <c r="I4" s="104" t="str">
        <f>VLOOKUP(H4,'FX-IR'!$B$20:$C$27,2,FALSE)</f>
        <v>ZAR.DISC.[USD.LIBOR.3M]</v>
      </c>
      <c r="J4" s="104" t="s">
        <v>171</v>
      </c>
      <c r="K4" s="104" t="str">
        <f t="shared" si="1"/>
        <v>0b</v>
      </c>
      <c r="L4" t="str" cm="1">
        <f t="array" aca="1" ref="L4" ca="1">_xll.QIns_CreateForward("EuOpt_Fwd_"&amp;ROW(),D4,B4,H4,0,G4,H4,J4,K4,I4)</f>
        <v>EuOpt_Fwd_4¬0</v>
      </c>
      <c r="M4" s="14" t="str" cm="1">
        <f t="array" aca="1" ref="M4" ca="1">_xll.QIns_ProductParRate(L4,AModel)</f>
        <v>Curve with name QS not found</v>
      </c>
      <c r="N4" s="11" t="e" cm="1">
        <f t="array" aca="1" ref="N4" ca="1">_xll.QModels_GetCompoVol(AModel,B4,H4,E4,D4)</f>
        <v>#VALUE!</v>
      </c>
      <c r="O4" t="e" cm="1">
        <f t="array" aca="1" ref="O4" ca="1">_xll.QIns_CreateEuropeanOption("euOpt_"&amp;ROW(),D4,B4,H4,E4,F4,G4,H4,J4,K4,I4)</f>
        <v>#VALUE!</v>
      </c>
      <c r="P4" s="21" t="e" cm="1">
        <f t="array" aca="1" ref="P4" ca="1">_xll.QIns_ProductPV(O4,AModel,H4)</f>
        <v>#VALUE!</v>
      </c>
      <c r="Q4" t="e" cm="1">
        <f t="array" aca="1" ref="Q4" ca="1">IF(VLOOKUP(B4,AssetStatic,4,FALSE),_xll.QRisk_PortfolioFxDeltaSpecific("euOpt_DeltaA"&amp;ROW(),O4,AModel,B4,"ZAR",FALSE),_xll.QRisk_PortfolioDelta("euOpt_DeltaA"&amp;ROW(),O4,AModel,FALSE))</f>
        <v>#VALUE!</v>
      </c>
      <c r="R4" s="21" t="e" cm="1">
        <f t="array" aca="1" ref="R4" ca="1">_xll.QCube_SumAllRows(Q4)</f>
        <v>#VALUE!</v>
      </c>
      <c r="S4" s="11" t="e">
        <f t="shared" ca="1" si="2"/>
        <v>#VALUE!</v>
      </c>
      <c r="T4" t="e" cm="1">
        <f t="array" aca="1" ref="T4" ca="1">_xll.QRisk_PortfolioVega("euopt_commVegaA"&amp;ROW(),O4,AModel,H4)</f>
        <v>#VALUE!</v>
      </c>
      <c r="U4" s="21" t="e" cm="1">
        <f t="array" aca="1" ref="U4" ca="1">_xll.QCube_SumAllRows(T4)</f>
        <v>#VALUE!</v>
      </c>
      <c r="V4" s="100" t="e">
        <f t="shared" ca="1" si="3"/>
        <v>#VALUE!</v>
      </c>
      <c r="W4" t="e" cm="1">
        <f t="array" aca="1" ref="W4" ca="1">_xll.QRisk_PortfolioFxVega("euOpt_fxVegaA"&amp;ROW(),O4,AModel,H4)</f>
        <v>#VALUE!</v>
      </c>
      <c r="X4" s="21" t="e" cm="1">
        <f t="array" aca="1" ref="X4" ca="1">_xll.QCube_SumAllRows(W4)</f>
        <v>#VALUE!</v>
      </c>
      <c r="Y4" s="100" t="e">
        <f t="shared" ca="1" si="4"/>
        <v>#VALUE!</v>
      </c>
    </row>
    <row r="5" spans="1:39" x14ac:dyDescent="0.25">
      <c r="A5" s="6"/>
      <c r="B5" s="6" t="s">
        <v>10</v>
      </c>
      <c r="C5" s="102">
        <v>44326</v>
      </c>
      <c r="D5" s="102" cm="1">
        <f t="array" aca="1" ref="D5" ca="1">IF(_xll.QUtils_IsTenor(C5),_xll.QDates_AddPeriod(valDate,C5,"F","NYC"),C5)</f>
        <v>44326</v>
      </c>
      <c r="E5" s="103">
        <f t="shared" ca="1" si="0"/>
        <v>1659.9275186815057</v>
      </c>
      <c r="F5" s="6" t="s">
        <v>166</v>
      </c>
      <c r="G5" s="103">
        <v>100</v>
      </c>
      <c r="H5" s="6" t="s">
        <v>21</v>
      </c>
      <c r="I5" s="104" t="str">
        <f>VLOOKUP(H5,'FX-IR'!$B$20:$C$27,2,FALSE)</f>
        <v>USD.LIBOR.3M</v>
      </c>
      <c r="J5" s="104" t="s">
        <v>171</v>
      </c>
      <c r="K5" s="104" t="str">
        <f t="shared" si="1"/>
        <v>2b</v>
      </c>
      <c r="L5" t="str" cm="1">
        <f t="array" aca="1" ref="L5" ca="1">_xll.QIns_CreateForward("EuOpt_Fwd_"&amp;ROW(),D5,B5,H5,0,G5,H5,J5,K5,I5)</f>
        <v>EuOpt_Fwd_5¬0</v>
      </c>
      <c r="M5" s="14" cm="1">
        <f t="array" aca="1" ref="M5" ca="1">_xll.QIns_ProductParRate(L5,AModel)</f>
        <v>1844.3639096461175</v>
      </c>
      <c r="N5" s="11" cm="1">
        <f t="array" aca="1" ref="N5" ca="1">_xll.QModels_GetCompoVol(AModel,B5,H5,E5,D5)</f>
        <v>0.16821914541341809</v>
      </c>
      <c r="O5" t="str" cm="1">
        <f t="array" aca="1" ref="O5" ca="1">_xll.QIns_CreateEuropeanOption("euOpt_"&amp;ROW(),D5,B5,H5,E5,F5,G5,H5,J5,K5,I5)</f>
        <v>euOpt_5¬0</v>
      </c>
      <c r="P5" s="21" cm="1">
        <f t="array" aca="1" ref="P5" ca="1">_xll.QIns_ProductPV(O5,AModel,H5)</f>
        <v>703.04665207513449</v>
      </c>
      <c r="Q5" t="str" cm="1">
        <f t="array" aca="1" ref="Q5" ca="1">IF(VLOOKUP(B5,AssetStatic,4,FALSE),_xll.QRisk_PortfolioFxDeltaSpecific("euOpt_DeltaA"&amp;ROW(),O5,AModel,B5,"ZAR",FALSE),_xll.QRisk_PortfolioDelta("euOpt_DeltaA"&amp;ROW(),O5,AModel,FALSE))</f>
        <v>euOpt_DeltaA5¬0</v>
      </c>
      <c r="R5" s="21" cm="1">
        <f t="array" aca="1" ref="R5" ca="1">_xll.QCube_SumAllRows(Q5)</f>
        <v>-9.4882157532855409</v>
      </c>
      <c r="S5" s="11">
        <f t="shared" ca="1" si="2"/>
        <v>-9.4882157532855407E-2</v>
      </c>
      <c r="T5" t="str" cm="1">
        <f t="array" aca="1" ref="T5" ca="1">_xll.QRisk_PortfolioVega("euopt_commVegaA"&amp;ROW(),O5,AModel,H5)</f>
        <v>euopt_commVegaA5¬17</v>
      </c>
      <c r="U5" s="21" cm="1">
        <f t="array" aca="1" ref="U5" ca="1">_xll.QCube_SumAllRows(T5)</f>
        <v>0</v>
      </c>
      <c r="V5" s="100">
        <f t="shared" ca="1" si="3"/>
        <v>0</v>
      </c>
      <c r="W5" t="str" cm="1">
        <f t="array" aca="1" ref="W5" ca="1">_xll.QRisk_PortfolioFxVega("euOpt_fxVegaA"&amp;ROW(),O5,AModel,H5)</f>
        <v>euOpt_fxVegaA5¬17</v>
      </c>
      <c r="X5" s="21" cm="1">
        <f t="array" aca="1" ref="X5" ca="1">_xll.QCube_SumAllRows(W5)</f>
        <v>0</v>
      </c>
      <c r="Y5" s="100">
        <f t="shared" ca="1" si="4"/>
        <v>0</v>
      </c>
    </row>
    <row r="6" spans="1:39" x14ac:dyDescent="0.25">
      <c r="A6" s="6"/>
      <c r="B6" s="6" t="s">
        <v>10</v>
      </c>
      <c r="C6" s="102">
        <v>44327</v>
      </c>
      <c r="D6" s="102" cm="1">
        <f t="array" aca="1" ref="D6" ca="1">IF(_xll.QUtils_IsTenor(C6),_xll.QDates_AddPeriod(valDate,C6,"F","NYC"),C6)</f>
        <v>44327</v>
      </c>
      <c r="E6" s="103">
        <f t="shared" ca="1" si="0"/>
        <v>24619.041561433391</v>
      </c>
      <c r="F6" s="6" t="s">
        <v>166</v>
      </c>
      <c r="G6" s="103">
        <v>101</v>
      </c>
      <c r="H6" s="6" t="s">
        <v>1</v>
      </c>
      <c r="I6" s="104" t="str">
        <f>VLOOKUP(H6,'FX-IR'!$B$20:$C$27,2,FALSE)</f>
        <v>ZAR.DISC.[USD.LIBOR.3M]</v>
      </c>
      <c r="J6" s="104" t="s">
        <v>171</v>
      </c>
      <c r="K6" s="104" t="str">
        <f t="shared" si="1"/>
        <v>2b</v>
      </c>
      <c r="L6" t="str" cm="1">
        <f t="array" aca="1" ref="L6" ca="1">_xll.QIns_CreateForward("EuOpt_Fwd_"&amp;ROW(),D6,B6,H6,0,G6,H6,J6,K6,I6)</f>
        <v>EuOpt_Fwd_6¬0</v>
      </c>
      <c r="M6" s="14" cm="1">
        <f t="array" aca="1" ref="M6" ca="1">_xll.QIns_ProductParRate(L6,AModel)</f>
        <v>27354.490623814876</v>
      </c>
      <c r="N6" s="11" cm="1">
        <f t="array" aca="1" ref="N6" ca="1">_xll.QModels_GetCompoVol(AModel,B6,H6,E6,D6)</f>
        <v>0.19166165855336675</v>
      </c>
      <c r="O6" t="str" cm="1">
        <f t="array" aca="1" ref="O6" ca="1">_xll.QIns_CreateEuropeanOption("euOpt_"&amp;ROW(),D6,B6,H6,E6,F6,G6,H6,J6,K6,I6)</f>
        <v>euOpt_6¬0</v>
      </c>
      <c r="P6" s="21" cm="1">
        <f t="array" aca="1" ref="P6" ca="1">_xll.QIns_ProductPV(O6,AModel,H6)</f>
        <v>16673.565305538323</v>
      </c>
      <c r="Q6" t="str" cm="1">
        <f t="array" aca="1" ref="Q6" ca="1">IF(VLOOKUP(B6,AssetStatic,4,FALSE),_xll.QRisk_PortfolioFxDeltaSpecific("euOpt_DeltaA"&amp;ROW(),O6,AModel,B6,"ZAR",FALSE),_xll.QRisk_PortfolioDelta("euOpt_DeltaA"&amp;ROW(),O6,AModel,FALSE))</f>
        <v>euOpt_DeltaA6¬0</v>
      </c>
      <c r="R6" s="21" cm="1">
        <f t="array" aca="1" ref="R6" ca="1">_xll.QCube_SumAllRows(Q6)</f>
        <v>-12.565860236725415</v>
      </c>
      <c r="S6" s="11">
        <f t="shared" ca="1" si="2"/>
        <v>-0.12441445778936054</v>
      </c>
      <c r="T6" t="str" cm="1">
        <f t="array" aca="1" ref="T6" ca="1">_xll.QRisk_PortfolioVega("euopt_commVegaA"&amp;ROW(),O6,AModel,H6)</f>
        <v>euopt_commVegaA6¬18</v>
      </c>
      <c r="U6" s="21" cm="1">
        <f t="array" aca="1" ref="U6" ca="1">_xll.QCube_SumAllRows(T6)</f>
        <v>0</v>
      </c>
      <c r="V6" s="100">
        <f t="shared" ca="1" si="3"/>
        <v>0</v>
      </c>
      <c r="W6" t="str" cm="1">
        <f t="array" aca="1" ref="W6" ca="1">_xll.QRisk_PortfolioFxVega("euOpt_fxVegaA"&amp;ROW(),O6,AModel,H6)</f>
        <v>euOpt_fxVegaA6¬18</v>
      </c>
      <c r="X6" s="21" cm="1">
        <f t="array" aca="1" ref="X6" ca="1">_xll.QCube_SumAllRows(W6)</f>
        <v>3293.2778633291673</v>
      </c>
      <c r="Y6" s="100">
        <f t="shared" ca="1" si="4"/>
        <v>32.606711518110565</v>
      </c>
    </row>
    <row r="7" spans="1:39" x14ac:dyDescent="0.25">
      <c r="A7" s="6"/>
      <c r="B7" s="6" t="s">
        <v>9</v>
      </c>
      <c r="C7" s="102">
        <v>44328</v>
      </c>
      <c r="D7" s="102" cm="1">
        <f t="array" aca="1" ref="D7" ca="1">IF(_xll.QUtils_IsTenor(C7),_xll.QDates_AddPeriod(valDate,C7,"F","NYC"),C7)</f>
        <v>44328</v>
      </c>
      <c r="E7" s="103">
        <f t="shared" ca="1" si="0"/>
        <v>0.69733228082368293</v>
      </c>
      <c r="F7" s="6" t="s">
        <v>166</v>
      </c>
      <c r="G7" s="103">
        <v>100000</v>
      </c>
      <c r="H7" s="6" t="s">
        <v>21</v>
      </c>
      <c r="I7" s="104" t="str">
        <f>VLOOKUP(H7,'FX-IR'!$B$20:$C$27,2,FALSE)</f>
        <v>USD.LIBOR.3M</v>
      </c>
      <c r="J7" s="104" t="s">
        <v>171</v>
      </c>
      <c r="K7" s="104" t="str">
        <f t="shared" si="1"/>
        <v>2b</v>
      </c>
      <c r="L7" t="str" cm="1">
        <f t="array" aca="1" ref="L7" ca="1">_xll.QIns_CreateForward("EuOpt_Fwd_"&amp;ROW(),D7,B7,H7,0,G7,H7,J7,K7,I7)</f>
        <v>EuOpt_Fwd_7¬0</v>
      </c>
      <c r="M7" s="14" cm="1">
        <f t="array" aca="1" ref="M7" ca="1">_xll.QIns_ProductParRate(L7,AModel)</f>
        <v>0.7748136453596477</v>
      </c>
      <c r="N7" s="11" cm="1">
        <f t="array" aca="1" ref="N7" ca="1">_xll.QModels_GetCompoVol(AModel,B7,H7,E7,D7)</f>
        <v>0.12930943292717151</v>
      </c>
      <c r="O7" t="str" cm="1">
        <f t="array" aca="1" ref="O7" ca="1">_xll.QIns_CreateEuropeanOption("euOpt_"&amp;ROW(),D7,B7,H7,E7,F7,G7,H7,J7,K7,I7)</f>
        <v>euOpt_7¬0</v>
      </c>
      <c r="P7" s="21" cm="1">
        <f t="array" aca="1" ref="P7" ca="1">_xll.QIns_ProductPV(O7,AModel,H7)</f>
        <v>101.51436820202588</v>
      </c>
      <c r="Q7" t="str" cm="1">
        <f t="array" aca="1" ref="Q7" ca="1">IF(VLOOKUP(B7,AssetStatic,4,FALSE),_xll.QRisk_PortfolioFxDeltaSpecific("euOpt_DeltaA"&amp;ROW(),O7,AModel,B7,"ZAR",FALSE),_xll.QRisk_PortfolioDelta("euOpt_DeltaA"&amp;ROW(),O7,AModel,FALSE))</f>
        <v>euOpt_DeltaA7¬0</v>
      </c>
      <c r="R7" s="21" cm="1">
        <f t="array" aca="1" ref="R7" ca="1">_xll.QCube_SumAllRows(Q7)</f>
        <v>-4236.2436068056722</v>
      </c>
      <c r="S7" s="11">
        <f t="shared" ca="1" si="2"/>
        <v>-4.2362436068056723E-2</v>
      </c>
      <c r="T7" t="str" cm="1">
        <f t="array" aca="1" ref="T7" ca="1">_xll.QRisk_PortfolioVega("euopt_commVegaA"&amp;ROW(),O7,AModel,H7)</f>
        <v>euopt_commVegaA7¬18</v>
      </c>
      <c r="U7" s="21" cm="1">
        <f t="array" aca="1" ref="U7" ca="1">_xll.QCube_SumAllRows(T7)</f>
        <v>0</v>
      </c>
      <c r="V7" s="100">
        <f t="shared" ca="1" si="3"/>
        <v>0</v>
      </c>
      <c r="W7" t="str" cm="1">
        <f t="array" aca="1" ref="W7" ca="1">_xll.QRisk_PortfolioFxVega("euOpt_fxVegaA"&amp;ROW(),O7,AModel,H7)</f>
        <v>euOpt_fxVegaA7¬18</v>
      </c>
      <c r="X7" s="21" cm="1">
        <f t="array" aca="1" ref="X7" ca="1">_xll.QCube_SumAllRows(W7)</f>
        <v>35.347808272689605</v>
      </c>
      <c r="Y7" s="100">
        <f t="shared" ca="1" si="4"/>
        <v>3.5347808272689603E-4</v>
      </c>
    </row>
    <row r="8" spans="1:39" x14ac:dyDescent="0.25">
      <c r="A8" s="6"/>
      <c r="B8" s="6"/>
      <c r="C8" s="102"/>
      <c r="D8" s="102"/>
      <c r="E8" s="103"/>
      <c r="F8" s="6"/>
      <c r="G8" s="103"/>
      <c r="H8" s="6"/>
      <c r="I8" s="104"/>
      <c r="J8" s="104"/>
      <c r="K8" s="104"/>
      <c r="M8" s="14"/>
      <c r="N8" s="11"/>
      <c r="R8" s="21"/>
      <c r="S8" s="11"/>
      <c r="U8" s="21"/>
      <c r="V8" s="100"/>
      <c r="X8" s="21"/>
      <c r="Y8" s="100"/>
    </row>
    <row r="9" spans="1:39" x14ac:dyDescent="0.25">
      <c r="A9" s="6"/>
      <c r="B9" s="6" t="s">
        <v>10</v>
      </c>
      <c r="C9" s="102">
        <v>44600</v>
      </c>
      <c r="D9" s="102" cm="1">
        <f t="array" aca="1" ref="D9" ca="1">IF(_xll.QUtils_IsTenor(C9),_xll.QDates_AddPeriod(valDate,C9,"F","NYC"),C9)</f>
        <v>44600</v>
      </c>
      <c r="E9" s="103">
        <f>'FX-IR'!F16*'FX-IR'!F12</f>
        <v>433.95376000000005</v>
      </c>
      <c r="F9" s="6" t="s">
        <v>287</v>
      </c>
      <c r="G9" s="103">
        <v>-1</v>
      </c>
      <c r="H9" s="6" t="s">
        <v>21</v>
      </c>
      <c r="I9" s="104" t="str">
        <f>VLOOKUP(H9,'FX-IR'!$B$20:$C$27,2,FALSE)</f>
        <v>USD.LIBOR.3M</v>
      </c>
      <c r="J9" s="104" t="s">
        <v>171</v>
      </c>
      <c r="K9" s="104" t="str">
        <f t="shared" ref="K9:K12" si="5">VLOOKUP(B9,AssetStatic,2,FALSE)</f>
        <v>2b</v>
      </c>
      <c r="L9" t="str" cm="1">
        <f t="array" aca="1" ref="L9" ca="1">_xll.QIns_CreateForward("EuOpt_Fwd_"&amp;ROW(),D9,B9,H9,0,G9,H9,J9,K9,I9)</f>
        <v>EuOpt_Fwd_9¬0</v>
      </c>
      <c r="M9" s="14" cm="1">
        <f t="array" aca="1" ref="M9" ca="1">_xll.QIns_ProductParRate(L9,AModel)</f>
        <v>1848.6699045182731</v>
      </c>
      <c r="N9" s="11" cm="1">
        <f t="array" aca="1" ref="N9" ca="1">_xll.QModels_GetCompoVol(AModel,B9,H9,E9,D9)</f>
        <v>0.18687648138049803</v>
      </c>
      <c r="O9" t="str" cm="1">
        <f t="array" aca="1" ref="O9" ca="1">_xll.QIns_CreateEuropeanOption("euOpt_"&amp;ROW(),D9,B9,H9,E9,F9,G9,H9,J9,K9,I9)</f>
        <v>euOpt_9¬0</v>
      </c>
      <c r="P9" s="21" cm="1">
        <f t="array" aca="1" ref="P9" ca="1">_xll.QIns_ProductPV(O9,AModel,H9)</f>
        <v>-1412.3309781355031</v>
      </c>
      <c r="Q9" t="str" cm="1">
        <f t="array" aca="1" ref="Q9" ca="1">IF(VLOOKUP(B9,AssetStatic,4,FALSE),_xll.QRisk_PortfolioFxDeltaSpecific("euOpt_DeltaA"&amp;ROW(),O9,AModel,B9,"ZAR",FALSE),_xll.QRisk_PortfolioDelta("euOpt_DeltaA"&amp;ROW(),O9,AModel,FALSE))</f>
        <v>euOpt_DeltaA9¬0</v>
      </c>
      <c r="R9" s="21" cm="1">
        <f t="array" aca="1" ref="R9" ca="1">_xll.QCube_SumAllRows(Q9)</f>
        <v>-1.000724964326285</v>
      </c>
      <c r="S9" s="11">
        <f t="shared" ref="S9:S12" ca="1" si="6">R9/G9</f>
        <v>1.000724964326285</v>
      </c>
      <c r="T9" t="str" cm="1">
        <f t="array" aca="1" ref="T9" ca="1">_xll.QRisk_PortfolioVega("euopt_commVegaA"&amp;ROW(),O9,AModel,H9)</f>
        <v>euopt_commVegaA9¬17</v>
      </c>
      <c r="U9" s="21" cm="1">
        <f t="array" aca="1" ref="U9" ca="1">_xll.QCube_SumAllRows(T9)</f>
        <v>0</v>
      </c>
      <c r="V9" s="100">
        <f t="shared" ref="V9:V12" ca="1" si="7">U9/D9</f>
        <v>0</v>
      </c>
      <c r="W9" t="str" cm="1">
        <f t="array" aca="1" ref="W9" ca="1">_xll.QRisk_PortfolioFxVega("euOpt_fxVegaA"&amp;ROW(),O9,AModel,H9)</f>
        <v>euOpt_fxVegaA9¬0</v>
      </c>
      <c r="X9" s="21" cm="1">
        <f t="array" aca="1" ref="X9" ca="1">_xll.QCube_SumAllRows(W9)</f>
        <v>0</v>
      </c>
      <c r="Y9" s="100">
        <f t="shared" ref="Y9:Y12" ca="1" si="8">X9/G9</f>
        <v>0</v>
      </c>
    </row>
    <row r="10" spans="1:39" x14ac:dyDescent="0.25">
      <c r="A10" s="6"/>
      <c r="B10" s="6" t="s">
        <v>10</v>
      </c>
      <c r="C10" s="102">
        <v>44642</v>
      </c>
      <c r="D10" s="102" cm="1">
        <f t="array" aca="1" ref="D10" ca="1">IF(_xll.QUtils_IsTenor(C10),_xll.QDates_AddPeriod(valDate,C10,"F","NYC"),C10)</f>
        <v>44642</v>
      </c>
      <c r="E10" s="103">
        <f>E9</f>
        <v>433.95376000000005</v>
      </c>
      <c r="F10" s="6" t="s">
        <v>287</v>
      </c>
      <c r="G10" s="103">
        <v>-1</v>
      </c>
      <c r="H10" s="6" t="s">
        <v>21</v>
      </c>
      <c r="I10" s="104" t="str">
        <f>VLOOKUP(H10,'FX-IR'!$B$20:$C$27,2,FALSE)</f>
        <v>USD.LIBOR.3M</v>
      </c>
      <c r="J10" s="104" t="s">
        <v>171</v>
      </c>
      <c r="K10" s="104" t="str">
        <f t="shared" si="5"/>
        <v>2b</v>
      </c>
      <c r="L10" t="str" cm="1">
        <f t="array" aca="1" ref="L10" ca="1">_xll.QIns_CreateForward("EuOpt_Fwd_"&amp;ROW(),D10,B10,H10,0,G10,H10,J10,K10,I10)</f>
        <v>EuOpt_Fwd_10¬0</v>
      </c>
      <c r="M10" s="14" cm="1">
        <f t="array" aca="1" ref="M10" ca="1">_xll.QIns_ProductParRate(L10,AModel)</f>
        <v>1849.1994277605377</v>
      </c>
      <c r="N10" s="11" cm="1">
        <f t="array" aca="1" ref="N10" ca="1">_xll.QModels_GetCompoVol(AModel,B10,H10,E10,D10)</f>
        <v>0.18875149885052095</v>
      </c>
      <c r="O10" t="str" cm="1">
        <f t="array" aca="1" ref="O10" ca="1">_xll.QIns_CreateEuropeanOption("euOpt_"&amp;ROW(),D10,B10,H10,E10,F10,G10,H10,J10,K10,I10)</f>
        <v>euOpt_10¬0</v>
      </c>
      <c r="P10" s="21" cm="1">
        <f t="array" aca="1" ref="P10" ca="1">_xll.QIns_ProductPV(O10,AModel,H10)</f>
        <v>-1412.5153769158583</v>
      </c>
      <c r="Q10" t="str" cm="1">
        <f t="array" aca="1" ref="Q10" ca="1">IF(VLOOKUP(B10,AssetStatic,4,FALSE),_xll.QRisk_PortfolioFxDeltaSpecific("euOpt_DeltaA"&amp;ROW(),O10,AModel,B10,"ZAR",FALSE),_xll.QRisk_PortfolioDelta("euOpt_DeltaA"&amp;ROW(),O10,AModel,FALSE))</f>
        <v>euOpt_DeltaA10¬0</v>
      </c>
      <c r="R10" s="21" cm="1">
        <f t="array" aca="1" ref="R10" ca="1">_xll.QCube_SumAllRows(Q10)</f>
        <v>-1.0007677183986616</v>
      </c>
      <c r="S10" s="11">
        <f t="shared" ca="1" si="6"/>
        <v>1.0007677183986616</v>
      </c>
      <c r="T10" t="str" cm="1">
        <f t="array" aca="1" ref="T10" ca="1">_xll.QRisk_PortfolioVega("euopt_commVegaA"&amp;ROW(),O10,AModel,H10)</f>
        <v>euopt_commVegaA10¬17</v>
      </c>
      <c r="U10" s="21" cm="1">
        <f t="array" aca="1" ref="U10" ca="1">_xll.QCube_SumAllRows(T10)</f>
        <v>0</v>
      </c>
      <c r="V10" s="100">
        <f t="shared" ca="1" si="7"/>
        <v>0</v>
      </c>
      <c r="W10" t="str" cm="1">
        <f t="array" aca="1" ref="W10" ca="1">_xll.QRisk_PortfolioFxVega("euOpt_fxVegaA"&amp;ROW(),O10,AModel,H10)</f>
        <v>euOpt_fxVegaA10¬0</v>
      </c>
      <c r="X10" s="21" cm="1">
        <f t="array" aca="1" ref="X10" ca="1">_xll.QCube_SumAllRows(W10)</f>
        <v>-9.0949470177292824E-12</v>
      </c>
      <c r="Y10" s="100">
        <f t="shared" ca="1" si="8"/>
        <v>9.0949470177292824E-12</v>
      </c>
    </row>
    <row r="11" spans="1:39" x14ac:dyDescent="0.25">
      <c r="A11" s="6"/>
      <c r="B11" s="6" t="s">
        <v>10</v>
      </c>
      <c r="C11" s="102">
        <v>44670</v>
      </c>
      <c r="D11" s="102" cm="1">
        <f t="array" aca="1" ref="D11" ca="1">IF(_xll.QUtils_IsTenor(C11),_xll.QDates_AddPeriod(valDate,C11,"F","NYC"),C11)</f>
        <v>44670</v>
      </c>
      <c r="E11" s="103">
        <f>E10</f>
        <v>433.95376000000005</v>
      </c>
      <c r="F11" s="6" t="s">
        <v>287</v>
      </c>
      <c r="G11" s="103">
        <v>-1</v>
      </c>
      <c r="H11" s="6" t="s">
        <v>21</v>
      </c>
      <c r="I11" s="104" t="str">
        <f>VLOOKUP(H11,'FX-IR'!$B$20:$C$27,2,FALSE)</f>
        <v>USD.LIBOR.3M</v>
      </c>
      <c r="J11" s="104" t="s">
        <v>171</v>
      </c>
      <c r="K11" s="104" t="str">
        <f t="shared" si="5"/>
        <v>2b</v>
      </c>
      <c r="L11" t="str" cm="1">
        <f t="array" aca="1" ref="L11" ca="1">_xll.QIns_CreateForward("EuOpt_Fwd_"&amp;ROW(),D11,B11,H11,0,G11,H11,J11,K11,I11)</f>
        <v>EuOpt_Fwd_11¬0</v>
      </c>
      <c r="M11" s="14" cm="1">
        <f t="array" aca="1" ref="M11" ca="1">_xll.QIns_ProductParRate(L11,AModel)</f>
        <v>1849.4236903145641</v>
      </c>
      <c r="N11" s="11" cm="1">
        <f t="array" aca="1" ref="N11" ca="1">_xll.QModels_GetCompoVol(AModel,B11,H11,E11,D11)</f>
        <v>0.18987043165071446</v>
      </c>
      <c r="O11" t="str" cm="1">
        <f t="array" aca="1" ref="O11" ca="1">_xll.QIns_CreateEuropeanOption("euOpt_"&amp;ROW(),D11,B11,H11,E11,F11,G11,H11,J11,K11,I11)</f>
        <v>euOpt_11¬0</v>
      </c>
      <c r="P11" s="21" cm="1">
        <f t="array" aca="1" ref="P11" ca="1">_xll.QIns_ProductPV(O11,AModel,H11)</f>
        <v>-1412.5424379366309</v>
      </c>
      <c r="Q11" t="str" cm="1">
        <f t="array" aca="1" ref="Q11" ca="1">IF(VLOOKUP(B11,AssetStatic,4,FALSE),_xll.QRisk_PortfolioFxDeltaSpecific("euOpt_DeltaA"&amp;ROW(),O11,AModel,B11,"ZAR",FALSE),_xll.QRisk_PortfolioDelta("euOpt_DeltaA"&amp;ROW(),O11,AModel,FALSE))</f>
        <v>euOpt_DeltaA11¬0</v>
      </c>
      <c r="R11" s="21" cm="1">
        <f t="array" aca="1" ref="R11" ca="1">_xll.QCube_SumAllRows(Q11)</f>
        <v>-1.0007496813337964</v>
      </c>
      <c r="S11" s="11">
        <f t="shared" ca="1" si="6"/>
        <v>1.0007496813337964</v>
      </c>
      <c r="T11" t="str" cm="1">
        <f t="array" aca="1" ref="T11" ca="1">_xll.QRisk_PortfolioVega("euopt_commVegaA"&amp;ROW(),O11,AModel,H11)</f>
        <v>euopt_commVegaA11¬17</v>
      </c>
      <c r="U11" s="21" cm="1">
        <f t="array" aca="1" ref="U11" ca="1">_xll.QCube_SumAllRows(T11)</f>
        <v>0</v>
      </c>
      <c r="V11" s="100">
        <f t="shared" ca="1" si="7"/>
        <v>0</v>
      </c>
      <c r="W11" t="str" cm="1">
        <f t="array" aca="1" ref="W11" ca="1">_xll.QRisk_PortfolioFxVega("euOpt_fxVegaA"&amp;ROW(),O11,AModel,H11)</f>
        <v>euOpt_fxVegaA11¬0</v>
      </c>
      <c r="X11" s="21" cm="1">
        <f t="array" aca="1" ref="X11" ca="1">_xll.QCube_SumAllRows(W11)</f>
        <v>-8.4128259913995862E-11</v>
      </c>
      <c r="Y11" s="100">
        <f t="shared" ca="1" si="8"/>
        <v>8.4128259913995862E-11</v>
      </c>
    </row>
    <row r="12" spans="1:39" x14ac:dyDescent="0.25">
      <c r="A12" s="6"/>
      <c r="B12" s="6" t="s">
        <v>10</v>
      </c>
      <c r="C12" s="102">
        <v>44705</v>
      </c>
      <c r="D12" s="102" cm="1">
        <f t="array" aca="1" ref="D12" ca="1">IF(_xll.QUtils_IsTenor(C12),_xll.QDates_AddPeriod(valDate,C12,"F","NYC"),C12)</f>
        <v>44705</v>
      </c>
      <c r="E12" s="103">
        <f>E9*1.15</f>
        <v>499.04682400000002</v>
      </c>
      <c r="F12" s="6" t="s">
        <v>287</v>
      </c>
      <c r="G12" s="103">
        <v>1</v>
      </c>
      <c r="H12" s="6" t="s">
        <v>21</v>
      </c>
      <c r="I12" s="104" t="str">
        <f>VLOOKUP(H12,'FX-IR'!$B$20:$C$27,2,FALSE)</f>
        <v>USD.LIBOR.3M</v>
      </c>
      <c r="J12" s="104" t="s">
        <v>171</v>
      </c>
      <c r="K12" s="104" t="str">
        <f t="shared" si="5"/>
        <v>2b</v>
      </c>
      <c r="L12" t="str" cm="1">
        <f t="array" aca="1" ref="L12" ca="1">_xll.QIns_CreateForward("EuOpt_Fwd_"&amp;ROW(),D12,B12,H12,0,G12,H12,J12,K12,I12)</f>
        <v>EuOpt_Fwd_12¬0</v>
      </c>
      <c r="M12" s="14" cm="1">
        <f t="array" aca="1" ref="M12" ca="1">_xll.QIns_ProductParRate(L12,AModel)</f>
        <v>1849.6713080218453</v>
      </c>
      <c r="N12" s="11" cm="1">
        <f t="array" aca="1" ref="N12" ca="1">_xll.QModels_GetCompoVol(AModel,B12,H12,E12,D12)</f>
        <v>0.19107303866930103</v>
      </c>
      <c r="O12" t="str" cm="1">
        <f t="array" aca="1" ref="O12" ca="1">_xll.QIns_CreateEuropeanOption("euOpt_"&amp;ROW(),D12,B12,H12,E12,F12,G12,H12,J12,K12,I12)</f>
        <v>euOpt_12¬0</v>
      </c>
      <c r="P12" s="21" cm="1">
        <f t="array" aca="1" ref="P12" ca="1">_xll.QIns_ProductPV(O12,AModel,H12)</f>
        <v>1347.5949542344283</v>
      </c>
      <c r="Q12" t="str" cm="1">
        <f t="array" aca="1" ref="Q12" ca="1">IF(VLOOKUP(B12,AssetStatic,4,FALSE),_xll.QRisk_PortfolioFxDeltaSpecific("euOpt_DeltaA"&amp;ROW(),O12,AModel,B12,"ZAR",FALSE),_xll.QRisk_PortfolioDelta("euOpt_DeltaA"&amp;ROW(),O12,AModel,FALSE))</f>
        <v>euOpt_DeltaA12¬0</v>
      </c>
      <c r="R12" s="21" cm="1">
        <f t="array" aca="1" ref="R12" ca="1">_xll.QCube_SumAllRows(Q12)</f>
        <v>1.0007083070616574</v>
      </c>
      <c r="S12" s="11">
        <f t="shared" ca="1" si="6"/>
        <v>1.0007083070616574</v>
      </c>
      <c r="T12" t="str" cm="1">
        <f t="array" aca="1" ref="T12" ca="1">_xll.QRisk_PortfolioVega("euopt_commVegaA"&amp;ROW(),O12,AModel,H12)</f>
        <v>euopt_commVegaA12¬17</v>
      </c>
      <c r="U12" s="21" cm="1">
        <f t="array" aca="1" ref="U12" ca="1">_xll.QCube_SumAllRows(T12)</f>
        <v>0</v>
      </c>
      <c r="V12" s="100">
        <f t="shared" ca="1" si="7"/>
        <v>0</v>
      </c>
      <c r="W12" t="str" cm="1">
        <f t="array" aca="1" ref="W12" ca="1">_xll.QRisk_PortfolioFxVega("euOpt_fxVegaA"&amp;ROW(),O12,AModel,H12)</f>
        <v>euOpt_fxVegaA12¬0</v>
      </c>
      <c r="X12" s="21" cm="1">
        <f t="array" aca="1" ref="X12" ca="1">_xll.QCube_SumAllRows(W12)</f>
        <v>4.9174104788107798E-8</v>
      </c>
      <c r="Y12" s="100">
        <f t="shared" ca="1" si="8"/>
        <v>4.9174104788107798E-8</v>
      </c>
      <c r="AK12">
        <v>6230</v>
      </c>
    </row>
    <row r="13" spans="1:39" x14ac:dyDescent="0.25">
      <c r="A13" s="6"/>
      <c r="B13" s="6"/>
      <c r="C13" s="102"/>
      <c r="D13" s="102"/>
      <c r="E13" s="103"/>
      <c r="F13" s="6"/>
      <c r="G13" s="103"/>
      <c r="H13" s="6"/>
      <c r="I13" s="104"/>
      <c r="J13" s="104"/>
      <c r="K13" s="104"/>
      <c r="M13" s="14"/>
      <c r="N13" s="11"/>
      <c r="R13" s="21"/>
      <c r="S13" s="11"/>
      <c r="U13" s="21"/>
      <c r="V13" s="100"/>
      <c r="X13" s="21"/>
      <c r="Y13" s="100"/>
    </row>
    <row r="14" spans="1:39" x14ac:dyDescent="0.25">
      <c r="A14" s="6"/>
      <c r="B14" s="6"/>
      <c r="C14" s="102"/>
      <c r="D14" s="102"/>
      <c r="E14" s="103">
        <f>AK12</f>
        <v>6230</v>
      </c>
      <c r="F14" s="6"/>
      <c r="G14" s="103"/>
      <c r="H14" s="6"/>
      <c r="I14" s="104"/>
      <c r="J14" s="104"/>
      <c r="K14" s="104"/>
      <c r="M14" s="14"/>
      <c r="N14" s="11"/>
      <c r="R14" s="21"/>
      <c r="S14" s="11"/>
      <c r="U14" s="21"/>
      <c r="V14" s="100"/>
      <c r="X14" s="21"/>
      <c r="Y14" s="100"/>
      <c r="AB14" s="174" t="s">
        <v>354</v>
      </c>
      <c r="AC14" s="174" t="s">
        <v>353</v>
      </c>
      <c r="AD14" s="174" t="s">
        <v>355</v>
      </c>
      <c r="AE14" s="174" t="s">
        <v>356</v>
      </c>
      <c r="AF14" s="175" t="s">
        <v>348</v>
      </c>
      <c r="AI14" t="s">
        <v>349</v>
      </c>
      <c r="AJ14" t="s">
        <v>350</v>
      </c>
      <c r="AK14" t="s">
        <v>351</v>
      </c>
      <c r="AL14" t="s">
        <v>161</v>
      </c>
      <c r="AM14" t="s">
        <v>352</v>
      </c>
    </row>
    <row r="15" spans="1:39" ht="114.75" x14ac:dyDescent="0.25">
      <c r="A15" s="6"/>
      <c r="B15" s="6" t="s">
        <v>108</v>
      </c>
      <c r="C15" s="102">
        <f ca="1">_xll.QDates_SubtractPeriod(AB15,"2b","P","LON")</f>
        <v>44060</v>
      </c>
      <c r="D15" s="102" cm="1">
        <f t="array" aca="1" ref="D15" ca="1">IF(_xll.QUtils_IsTenor(C15),_xll.QDates_AddPeriod(valDate,C15,"F","NYC"),C15)</f>
        <v>44060</v>
      </c>
      <c r="E15" s="103">
        <f>$E$14</f>
        <v>6230</v>
      </c>
      <c r="F15" s="6" t="s">
        <v>287</v>
      </c>
      <c r="G15" s="103">
        <f>AF15/2</f>
        <v>625</v>
      </c>
      <c r="H15" s="6" t="s">
        <v>21</v>
      </c>
      <c r="I15" s="104" t="str">
        <f>VLOOKUP(H15,'FX-IR'!$B$20:$C$27,2,FALSE)</f>
        <v>USD.LIBOR.3M</v>
      </c>
      <c r="J15" s="104" t="s">
        <v>171</v>
      </c>
      <c r="K15" s="104" t="str">
        <f t="shared" ref="K15:K25" si="9">VLOOKUP(B15,AssetStatic,2,FALSE)</f>
        <v>2b</v>
      </c>
      <c r="L15" t="str" cm="1">
        <f t="array" aca="1" ref="L15" ca="1">_xll.QIns_CreateForward("EuOpt_Fwd_"&amp;ROW(),D15,B15,H15,0,G15,H15,J15,K15,I15)</f>
        <v>EuOpt_Fwd_15¬0</v>
      </c>
      <c r="M15" s="14" cm="1">
        <f t="array" aca="1" ref="M15" ca="1">_xll.QIns_ProductParRate(L15,AModel)</f>
        <v>1000000</v>
      </c>
      <c r="N15" s="11" t="str" cm="1">
        <f t="array" aca="1" ref="N15" ca="1">_xll.QModels_GetCompoVol(AModel,B15,H15,E15,D15)</f>
        <v>Curve with name CA not found</v>
      </c>
      <c r="O15" t="str" cm="1">
        <f t="array" aca="1" ref="O15" ca="1">_xll.QIns_CreateEuropeanOption("euOpt_"&amp;ROW(),D15,B15,H15,E15,F15,G15,H15,J15,K15,I15)</f>
        <v>euOpt_15¬0</v>
      </c>
      <c r="P15" s="21" cm="1">
        <f t="array" aca="1" ref="P15" ca="1">_xll.QIns_ProductPV(O15,AModel,H15)</f>
        <v>0</v>
      </c>
      <c r="Q15" t="str" cm="1">
        <f t="array" aca="1" ref="Q15" ca="1">IF(VLOOKUP(B15,AssetStatic,4,FALSE),_xll.QRisk_PortfolioFxDeltaSpecific("euOpt_DeltaA"&amp;ROW(),O15,AModel,B15,"ZAR",FALSE),_xll.QRisk_PortfolioDelta("euOpt_DeltaA"&amp;ROW(),O15,AModel,FALSE))</f>
        <v>euOpt_DeltaA15¬0</v>
      </c>
      <c r="R15" s="21" cm="1">
        <f t="array" aca="1" ref="R15" ca="1">_xll.QCube_SumAllRows(Q15)</f>
        <v>0</v>
      </c>
      <c r="S15" s="11">
        <f t="shared" ref="S15:S25" ca="1" si="10">R15/G15</f>
        <v>0</v>
      </c>
      <c r="T15" t="str" cm="1">
        <f t="array" aca="1" ref="T15" ca="1">_xll.QRisk_PortfolioVega("euopt_commVegaA"&amp;ROW(),O15,AModel,H15)</f>
        <v>euopt_commVegaA15¬17</v>
      </c>
      <c r="U15" s="21" cm="1">
        <f t="array" aca="1" ref="U15" ca="1">_xll.QCube_SumAllRows(T15)</f>
        <v>0</v>
      </c>
      <c r="V15" s="100">
        <f t="shared" ref="V15:V25" ca="1" si="11">U15/D15</f>
        <v>0</v>
      </c>
      <c r="W15" t="str" cm="1">
        <f t="array" aca="1" ref="W15" ca="1">_xll.QRisk_PortfolioFxVega("euOpt_fxVegaA"&amp;ROW(),O15,AModel,H15)</f>
        <v>euOpt_fxVegaA15¬0</v>
      </c>
      <c r="X15" s="21" cm="1">
        <f t="array" aca="1" ref="X15" ca="1">_xll.QCube_SumAllRows(W15)</f>
        <v>0</v>
      </c>
      <c r="Y15" s="100">
        <f t="shared" ref="Y15:Y25" ca="1" si="12">X15/G15</f>
        <v>0</v>
      </c>
      <c r="Z15" s="23">
        <f t="shared" ref="Z15:Z25" ca="1" si="13">P15+U15*5</f>
        <v>0</v>
      </c>
      <c r="AB15" s="176">
        <v>44062</v>
      </c>
      <c r="AC15" s="176">
        <f ca="1">C15</f>
        <v>44060</v>
      </c>
      <c r="AD15" s="179">
        <f ca="1">M15</f>
        <v>1000000</v>
      </c>
      <c r="AE15" s="178" t="str">
        <f ca="1">N15</f>
        <v>Curve with name CA not found</v>
      </c>
      <c r="AF15" s="177">
        <v>1250</v>
      </c>
      <c r="AH15" t="s">
        <v>30</v>
      </c>
      <c r="AI15" s="23">
        <f ca="1">SUM($P$15:P17)</f>
        <v>0</v>
      </c>
      <c r="AJ15" s="23">
        <f ca="1">SUM($P$28:Q30)</f>
        <v>0</v>
      </c>
      <c r="AK15" s="23">
        <f>SUM($AF$15:AF17)</f>
        <v>5250</v>
      </c>
      <c r="AL15" s="23">
        <f ca="1">SUM(AI15:AJ15)</f>
        <v>0</v>
      </c>
      <c r="AM15" s="14">
        <f ca="1">AL15/AK15</f>
        <v>0</v>
      </c>
    </row>
    <row r="16" spans="1:39" ht="114.75" x14ac:dyDescent="0.25">
      <c r="A16" s="6"/>
      <c r="B16" s="6" t="s">
        <v>108</v>
      </c>
      <c r="C16" s="102">
        <f ca="1">_xll.QDates_SubtractPeriod(AB16,"2b","P","LON")</f>
        <v>44088</v>
      </c>
      <c r="D16" s="102" cm="1">
        <f t="array" aca="1" ref="D16" ca="1">IF(_xll.QUtils_IsTenor(C16),_xll.QDates_AddPeriod(valDate,C16,"F","NYC"),C16)</f>
        <v>44088</v>
      </c>
      <c r="E16" s="103">
        <f t="shared" ref="E16:E26" si="14">$E$14</f>
        <v>6230</v>
      </c>
      <c r="F16" s="6" t="s">
        <v>287</v>
      </c>
      <c r="G16" s="103">
        <f t="shared" ref="G16:G26" si="15">AF16/2</f>
        <v>1000</v>
      </c>
      <c r="H16" s="6" t="s">
        <v>21</v>
      </c>
      <c r="I16" s="104" t="str">
        <f>VLOOKUP(H16,'FX-IR'!$B$20:$C$27,2,FALSE)</f>
        <v>USD.LIBOR.3M</v>
      </c>
      <c r="J16" s="104" t="s">
        <v>171</v>
      </c>
      <c r="K16" s="104" t="str">
        <f t="shared" si="9"/>
        <v>2b</v>
      </c>
      <c r="L16" t="str" cm="1">
        <f t="array" aca="1" ref="L16" ca="1">_xll.QIns_CreateForward("EuOpt_Fwd_"&amp;ROW(),D16,B16,H16,0,G16,H16,J16,K16,I16)</f>
        <v>EuOpt_Fwd_16¬0</v>
      </c>
      <c r="M16" s="14" cm="1">
        <f t="array" aca="1" ref="M16" ca="1">_xll.QIns_ProductParRate(L16,AModel)</f>
        <v>1000000</v>
      </c>
      <c r="N16" s="11" t="str" cm="1">
        <f t="array" aca="1" ref="N16" ca="1">_xll.QModels_GetCompoVol(AModel,B16,H16,E16,D16)</f>
        <v>Curve with name CA not found</v>
      </c>
      <c r="O16" t="str" cm="1">
        <f t="array" aca="1" ref="O16" ca="1">_xll.QIns_CreateEuropeanOption("euOpt_"&amp;ROW(),D16,B16,H16,E16,F16,G16,H16,J16,K16,I16)</f>
        <v>euOpt_16¬0</v>
      </c>
      <c r="P16" s="21" cm="1">
        <f t="array" aca="1" ref="P16" ca="1">_xll.QIns_ProductPV(O16,AModel,H16)</f>
        <v>0</v>
      </c>
      <c r="Q16" t="str" cm="1">
        <f t="array" aca="1" ref="Q16" ca="1">IF(VLOOKUP(B16,AssetStatic,4,FALSE),_xll.QRisk_PortfolioFxDeltaSpecific("euOpt_DeltaA"&amp;ROW(),O16,AModel,B16,"ZAR",FALSE),_xll.QRisk_PortfolioDelta("euOpt_DeltaA"&amp;ROW(),O16,AModel,FALSE))</f>
        <v>euOpt_DeltaA16¬0</v>
      </c>
      <c r="R16" s="21" cm="1">
        <f t="array" aca="1" ref="R16" ca="1">_xll.QCube_SumAllRows(Q16)</f>
        <v>0</v>
      </c>
      <c r="S16" s="11">
        <f t="shared" ca="1" si="10"/>
        <v>0</v>
      </c>
      <c r="T16" t="str" cm="1">
        <f t="array" aca="1" ref="T16" ca="1">_xll.QRisk_PortfolioVega("euopt_commVegaA"&amp;ROW(),O16,AModel,H16)</f>
        <v>euopt_commVegaA16¬17</v>
      </c>
      <c r="U16" s="21" cm="1">
        <f t="array" aca="1" ref="U16" ca="1">_xll.QCube_SumAllRows(T16)</f>
        <v>0</v>
      </c>
      <c r="V16" s="100">
        <f t="shared" ca="1" si="11"/>
        <v>0</v>
      </c>
      <c r="W16" t="str" cm="1">
        <f t="array" aca="1" ref="W16" ca="1">_xll.QRisk_PortfolioFxVega("euOpt_fxVegaA"&amp;ROW(),O16,AModel,H16)</f>
        <v>euOpt_fxVegaA16¬0</v>
      </c>
      <c r="X16" s="21" cm="1">
        <f t="array" aca="1" ref="X16" ca="1">_xll.QCube_SumAllRows(W16)</f>
        <v>0</v>
      </c>
      <c r="Y16" s="100">
        <f t="shared" ca="1" si="12"/>
        <v>0</v>
      </c>
      <c r="Z16" s="23">
        <f t="shared" ca="1" si="13"/>
        <v>0</v>
      </c>
      <c r="AB16" s="176">
        <v>44090</v>
      </c>
      <c r="AC16" s="176">
        <f t="shared" ref="AC16:AC26" ca="1" si="16">C16</f>
        <v>44088</v>
      </c>
      <c r="AD16" s="179">
        <f t="shared" ref="AD16:AD26" ca="1" si="17">M16</f>
        <v>1000000</v>
      </c>
      <c r="AE16" s="178" t="str">
        <f t="shared" ref="AE16:AE26" ca="1" si="18">N16</f>
        <v>Curve with name CA not found</v>
      </c>
      <c r="AF16" s="177">
        <v>2000</v>
      </c>
      <c r="AH16" t="s">
        <v>31</v>
      </c>
      <c r="AI16" s="23">
        <f ca="1">SUM($P$15:P20)</f>
        <v>0</v>
      </c>
      <c r="AJ16" s="23">
        <f ca="1">SUM($P$28:Q33)</f>
        <v>0</v>
      </c>
      <c r="AK16" s="23">
        <f>SUM($AF$15:AF20)</f>
        <v>11250</v>
      </c>
      <c r="AL16" s="23">
        <f t="shared" ref="AL16:AL17" ca="1" si="19">SUM(AI16:AJ16)</f>
        <v>0</v>
      </c>
      <c r="AM16" s="14">
        <f t="shared" ref="AM16:AM17" ca="1" si="20">AL16/AK16</f>
        <v>0</v>
      </c>
    </row>
    <row r="17" spans="1:39" ht="114.75" x14ac:dyDescent="0.25">
      <c r="A17" s="6"/>
      <c r="B17" s="6" t="s">
        <v>108</v>
      </c>
      <c r="C17" s="102">
        <f ca="1">_xll.QDates_SubtractPeriod(AB17,"2b","P","LON")</f>
        <v>44123</v>
      </c>
      <c r="D17" s="102" cm="1">
        <f t="array" aca="1" ref="D17" ca="1">IF(_xll.QUtils_IsTenor(C17),_xll.QDates_AddPeriod(valDate,C17,"F","NYC"),C17)</f>
        <v>44123</v>
      </c>
      <c r="E17" s="103">
        <f t="shared" si="14"/>
        <v>6230</v>
      </c>
      <c r="F17" s="6" t="s">
        <v>287</v>
      </c>
      <c r="G17" s="103">
        <f t="shared" si="15"/>
        <v>1000</v>
      </c>
      <c r="H17" s="6" t="s">
        <v>21</v>
      </c>
      <c r="I17" s="104" t="str">
        <f>VLOOKUP(H17,'FX-IR'!$B$20:$C$27,2,FALSE)</f>
        <v>USD.LIBOR.3M</v>
      </c>
      <c r="J17" s="104" t="s">
        <v>171</v>
      </c>
      <c r="K17" s="104" t="str">
        <f t="shared" si="9"/>
        <v>2b</v>
      </c>
      <c r="L17" t="str" cm="1">
        <f t="array" aca="1" ref="L17" ca="1">_xll.QIns_CreateForward("EuOpt_Fwd_"&amp;ROW(),D17,B17,H17,0,G17,H17,J17,K17,I17)</f>
        <v>EuOpt_Fwd_17¬0</v>
      </c>
      <c r="M17" s="14" cm="1">
        <f t="array" aca="1" ref="M17" ca="1">_xll.QIns_ProductParRate(L17,AModel)</f>
        <v>1000000</v>
      </c>
      <c r="N17" s="11" t="str" cm="1">
        <f t="array" aca="1" ref="N17" ca="1">_xll.QModels_GetCompoVol(AModel,B17,H17,E17,D17)</f>
        <v>Curve with name CA not found</v>
      </c>
      <c r="O17" t="str" cm="1">
        <f t="array" aca="1" ref="O17" ca="1">_xll.QIns_CreateEuropeanOption("euOpt_"&amp;ROW(),D17,B17,H17,E17,F17,G17,H17,J17,K17,I17)</f>
        <v>euOpt_17¬0</v>
      </c>
      <c r="P17" s="21" cm="1">
        <f t="array" aca="1" ref="P17" ca="1">_xll.QIns_ProductPV(O17,AModel,H17)</f>
        <v>0</v>
      </c>
      <c r="Q17" t="str" cm="1">
        <f t="array" aca="1" ref="Q17" ca="1">IF(VLOOKUP(B17,AssetStatic,4,FALSE),_xll.QRisk_PortfolioFxDeltaSpecific("euOpt_DeltaA"&amp;ROW(),O17,AModel,B17,"ZAR",FALSE),_xll.QRisk_PortfolioDelta("euOpt_DeltaA"&amp;ROW(),O17,AModel,FALSE))</f>
        <v>euOpt_DeltaA17¬0</v>
      </c>
      <c r="R17" s="21" cm="1">
        <f t="array" aca="1" ref="R17" ca="1">_xll.QCube_SumAllRows(Q17)</f>
        <v>0</v>
      </c>
      <c r="S17" s="11">
        <f t="shared" ca="1" si="10"/>
        <v>0</v>
      </c>
      <c r="T17" t="str" cm="1">
        <f t="array" aca="1" ref="T17" ca="1">_xll.QRisk_PortfolioVega("euopt_commVegaA"&amp;ROW(),O17,AModel,H17)</f>
        <v>euopt_commVegaA17¬17</v>
      </c>
      <c r="U17" s="21" cm="1">
        <f t="array" aca="1" ref="U17" ca="1">_xll.QCube_SumAllRows(T17)</f>
        <v>0</v>
      </c>
      <c r="V17" s="100">
        <f t="shared" ca="1" si="11"/>
        <v>0</v>
      </c>
      <c r="W17" t="str" cm="1">
        <f t="array" aca="1" ref="W17" ca="1">_xll.QRisk_PortfolioFxVega("euOpt_fxVegaA"&amp;ROW(),O17,AModel,H17)</f>
        <v>euOpt_fxVegaA17¬0</v>
      </c>
      <c r="X17" s="21" cm="1">
        <f t="array" aca="1" ref="X17" ca="1">_xll.QCube_SumAllRows(W17)</f>
        <v>0</v>
      </c>
      <c r="Y17" s="100">
        <f t="shared" ca="1" si="12"/>
        <v>0</v>
      </c>
      <c r="Z17" s="23">
        <f t="shared" ca="1" si="13"/>
        <v>0</v>
      </c>
      <c r="AB17" s="176">
        <v>44125</v>
      </c>
      <c r="AC17" s="176">
        <f t="shared" ca="1" si="16"/>
        <v>44123</v>
      </c>
      <c r="AD17" s="179">
        <f t="shared" ca="1" si="17"/>
        <v>1000000</v>
      </c>
      <c r="AE17" s="178" t="str">
        <f t="shared" ca="1" si="18"/>
        <v>Curve with name CA not found</v>
      </c>
      <c r="AF17" s="177">
        <v>2000</v>
      </c>
      <c r="AH17" t="s">
        <v>33</v>
      </c>
      <c r="AI17" s="23">
        <f ca="1">SUM($P$15:P26)</f>
        <v>0</v>
      </c>
      <c r="AJ17" s="23">
        <f ca="1">SUM($P$28:Q39)</f>
        <v>0</v>
      </c>
      <c r="AK17" s="23">
        <f>SUM($AF$15:AF26)</f>
        <v>23250</v>
      </c>
      <c r="AL17" s="23">
        <f t="shared" ca="1" si="19"/>
        <v>0</v>
      </c>
      <c r="AM17" s="14">
        <f t="shared" ca="1" si="20"/>
        <v>0</v>
      </c>
    </row>
    <row r="18" spans="1:39" ht="114.75" x14ac:dyDescent="0.25">
      <c r="A18" s="6"/>
      <c r="B18" s="6" t="s">
        <v>108</v>
      </c>
      <c r="C18" s="102">
        <f ca="1">_xll.QDates_SubtractPeriod(AB18,"2b","P","LON")</f>
        <v>44151</v>
      </c>
      <c r="D18" s="102" cm="1">
        <f t="array" aca="1" ref="D18" ca="1">IF(_xll.QUtils_IsTenor(C18),_xll.QDates_AddPeriod(valDate,C18,"F","NYC"),C18)</f>
        <v>44151</v>
      </c>
      <c r="E18" s="103">
        <f t="shared" si="14"/>
        <v>6230</v>
      </c>
      <c r="F18" s="6" t="s">
        <v>287</v>
      </c>
      <c r="G18" s="103">
        <f t="shared" si="15"/>
        <v>1000</v>
      </c>
      <c r="H18" s="6" t="s">
        <v>21</v>
      </c>
      <c r="I18" s="104" t="str">
        <f>VLOOKUP(H18,'FX-IR'!$B$20:$C$27,2,FALSE)</f>
        <v>USD.LIBOR.3M</v>
      </c>
      <c r="J18" s="104" t="s">
        <v>171</v>
      </c>
      <c r="K18" s="104" t="str">
        <f t="shared" si="9"/>
        <v>2b</v>
      </c>
      <c r="L18" t="str" cm="1">
        <f t="array" aca="1" ref="L18" ca="1">_xll.QIns_CreateForward("EuOpt_Fwd_"&amp;ROW(),D18,B18,H18,0,G18,H18,J18,K18,I18)</f>
        <v>EuOpt_Fwd_18¬0</v>
      </c>
      <c r="M18" s="14" cm="1">
        <f t="array" aca="1" ref="M18" ca="1">_xll.QIns_ProductParRate(L18,AModel)</f>
        <v>1000000</v>
      </c>
      <c r="N18" s="11" t="str" cm="1">
        <f t="array" aca="1" ref="N18" ca="1">_xll.QModels_GetCompoVol(AModel,B18,H18,E18,D18)</f>
        <v>Curve with name CA not found</v>
      </c>
      <c r="O18" t="str" cm="1">
        <f t="array" aca="1" ref="O18" ca="1">_xll.QIns_CreateEuropeanOption("euOpt_"&amp;ROW(),D18,B18,H18,E18,F18,G18,H18,J18,K18,I18)</f>
        <v>euOpt_18¬0</v>
      </c>
      <c r="P18" s="21" cm="1">
        <f t="array" aca="1" ref="P18" ca="1">_xll.QIns_ProductPV(O18,AModel,H18)</f>
        <v>0</v>
      </c>
      <c r="Q18" t="str" cm="1">
        <f t="array" aca="1" ref="Q18" ca="1">IF(VLOOKUP(B18,AssetStatic,4,FALSE),_xll.QRisk_PortfolioFxDeltaSpecific("euOpt_DeltaA"&amp;ROW(),O18,AModel,B18,"ZAR",FALSE),_xll.QRisk_PortfolioDelta("euOpt_DeltaA"&amp;ROW(),O18,AModel,FALSE))</f>
        <v>euOpt_DeltaA18¬0</v>
      </c>
      <c r="R18" s="21" cm="1">
        <f t="array" aca="1" ref="R18" ca="1">_xll.QCube_SumAllRows(Q18)</f>
        <v>0</v>
      </c>
      <c r="S18" s="11">
        <f t="shared" ca="1" si="10"/>
        <v>0</v>
      </c>
      <c r="T18" t="str" cm="1">
        <f t="array" aca="1" ref="T18" ca="1">_xll.QRisk_PortfolioVega("euopt_commVegaA"&amp;ROW(),O18,AModel,H18)</f>
        <v>euopt_commVegaA18¬17</v>
      </c>
      <c r="U18" s="21" cm="1">
        <f t="array" aca="1" ref="U18" ca="1">_xll.QCube_SumAllRows(T18)</f>
        <v>0</v>
      </c>
      <c r="V18" s="100">
        <f t="shared" ca="1" si="11"/>
        <v>0</v>
      </c>
      <c r="W18" t="str" cm="1">
        <f t="array" aca="1" ref="W18" ca="1">_xll.QRisk_PortfolioFxVega("euOpt_fxVegaA"&amp;ROW(),O18,AModel,H18)</f>
        <v>euOpt_fxVegaA18¬0</v>
      </c>
      <c r="X18" s="21" cm="1">
        <f t="array" aca="1" ref="X18" ca="1">_xll.QCube_SumAllRows(W18)</f>
        <v>0</v>
      </c>
      <c r="Y18" s="100">
        <f t="shared" ca="1" si="12"/>
        <v>0</v>
      </c>
      <c r="Z18" s="23">
        <f t="shared" ca="1" si="13"/>
        <v>0</v>
      </c>
      <c r="AB18" s="176">
        <v>44153</v>
      </c>
      <c r="AC18" s="176">
        <f t="shared" ca="1" si="16"/>
        <v>44151</v>
      </c>
      <c r="AD18" s="179">
        <f t="shared" ca="1" si="17"/>
        <v>1000000</v>
      </c>
      <c r="AE18" s="178" t="str">
        <f t="shared" ca="1" si="18"/>
        <v>Curve with name CA not found</v>
      </c>
      <c r="AF18" s="177">
        <v>2000</v>
      </c>
    </row>
    <row r="19" spans="1:39" ht="114.75" x14ac:dyDescent="0.25">
      <c r="A19" s="6"/>
      <c r="B19" s="6" t="s">
        <v>108</v>
      </c>
      <c r="C19" s="102">
        <f ca="1">_xll.QDates_SubtractPeriod(AB19,"2b","P","LON")</f>
        <v>44179</v>
      </c>
      <c r="D19" s="102" cm="1">
        <f t="array" aca="1" ref="D19" ca="1">IF(_xll.QUtils_IsTenor(C19),_xll.QDates_AddPeriod(valDate,C19,"F","NYC"),C19)</f>
        <v>44179</v>
      </c>
      <c r="E19" s="103">
        <f t="shared" si="14"/>
        <v>6230</v>
      </c>
      <c r="F19" s="6" t="s">
        <v>287</v>
      </c>
      <c r="G19" s="103">
        <f t="shared" si="15"/>
        <v>1000</v>
      </c>
      <c r="H19" s="6" t="s">
        <v>21</v>
      </c>
      <c r="I19" s="104" t="str">
        <f>VLOOKUP(H19,'FX-IR'!$B$20:$C$27,2,FALSE)</f>
        <v>USD.LIBOR.3M</v>
      </c>
      <c r="J19" s="104" t="s">
        <v>171</v>
      </c>
      <c r="K19" s="104" t="str">
        <f t="shared" si="9"/>
        <v>2b</v>
      </c>
      <c r="L19" t="str" cm="1">
        <f t="array" aca="1" ref="L19" ca="1">_xll.QIns_CreateForward("EuOpt_Fwd_"&amp;ROW(),D19,B19,H19,0,G19,H19,J19,K19,I19)</f>
        <v>EuOpt_Fwd_19¬0</v>
      </c>
      <c r="M19" s="14" cm="1">
        <f t="array" aca="1" ref="M19" ca="1">_xll.QIns_ProductParRate(L19,AModel)</f>
        <v>1000000</v>
      </c>
      <c r="N19" s="11" t="str" cm="1">
        <f t="array" aca="1" ref="N19" ca="1">_xll.QModels_GetCompoVol(AModel,B19,H19,E19,D19)</f>
        <v>Curve with name CA not found</v>
      </c>
      <c r="O19" t="str" cm="1">
        <f t="array" aca="1" ref="O19" ca="1">_xll.QIns_CreateEuropeanOption("euOpt_"&amp;ROW(),D19,B19,H19,E19,F19,G19,H19,J19,K19,I19)</f>
        <v>euOpt_19¬0</v>
      </c>
      <c r="P19" s="21" cm="1">
        <f t="array" aca="1" ref="P19" ca="1">_xll.QIns_ProductPV(O19,AModel,H19)</f>
        <v>0</v>
      </c>
      <c r="Q19" t="str" cm="1">
        <f t="array" aca="1" ref="Q19" ca="1">IF(VLOOKUP(B19,AssetStatic,4,FALSE),_xll.QRisk_PortfolioFxDeltaSpecific("euOpt_DeltaA"&amp;ROW(),O19,AModel,B19,"ZAR",FALSE),_xll.QRisk_PortfolioDelta("euOpt_DeltaA"&amp;ROW(),O19,AModel,FALSE))</f>
        <v>euOpt_DeltaA19¬0</v>
      </c>
      <c r="R19" s="21" cm="1">
        <f t="array" aca="1" ref="R19" ca="1">_xll.QCube_SumAllRows(Q19)</f>
        <v>0</v>
      </c>
      <c r="S19" s="11">
        <f t="shared" ca="1" si="10"/>
        <v>0</v>
      </c>
      <c r="T19" t="str" cm="1">
        <f t="array" aca="1" ref="T19" ca="1">_xll.QRisk_PortfolioVega("euopt_commVegaA"&amp;ROW(),O19,AModel,H19)</f>
        <v>euopt_commVegaA19¬17</v>
      </c>
      <c r="U19" s="21" cm="1">
        <f t="array" aca="1" ref="U19" ca="1">_xll.QCube_SumAllRows(T19)</f>
        <v>0</v>
      </c>
      <c r="V19" s="100">
        <f t="shared" ca="1" si="11"/>
        <v>0</v>
      </c>
      <c r="W19" t="str" cm="1">
        <f t="array" aca="1" ref="W19" ca="1">_xll.QRisk_PortfolioFxVega("euOpt_fxVegaA"&amp;ROW(),O19,AModel,H19)</f>
        <v>euOpt_fxVegaA19¬0</v>
      </c>
      <c r="X19" s="21" cm="1">
        <f t="array" aca="1" ref="X19" ca="1">_xll.QCube_SumAllRows(W19)</f>
        <v>0</v>
      </c>
      <c r="Y19" s="100">
        <f t="shared" ca="1" si="12"/>
        <v>0</v>
      </c>
      <c r="Z19" s="23">
        <f t="shared" ca="1" si="13"/>
        <v>0</v>
      </c>
      <c r="AB19" s="176">
        <v>44181</v>
      </c>
      <c r="AC19" s="176">
        <f t="shared" ca="1" si="16"/>
        <v>44179</v>
      </c>
      <c r="AD19" s="179">
        <f t="shared" ca="1" si="17"/>
        <v>1000000</v>
      </c>
      <c r="AE19" s="178" t="str">
        <f t="shared" ca="1" si="18"/>
        <v>Curve with name CA not found</v>
      </c>
      <c r="AF19" s="177">
        <v>2000</v>
      </c>
    </row>
    <row r="20" spans="1:39" ht="114.75" x14ac:dyDescent="0.25">
      <c r="A20" s="6"/>
      <c r="B20" s="6" t="s">
        <v>108</v>
      </c>
      <c r="C20" s="102">
        <f ca="1">_xll.QDates_SubtractPeriod(AB20,"2b","P","LON")</f>
        <v>44214</v>
      </c>
      <c r="D20" s="102" cm="1">
        <f t="array" aca="1" ref="D20" ca="1">IF(_xll.QUtils_IsTenor(C20),_xll.QDates_AddPeriod(valDate,C20,"F","NYC"),C20)</f>
        <v>44214</v>
      </c>
      <c r="E20" s="103">
        <f t="shared" si="14"/>
        <v>6230</v>
      </c>
      <c r="F20" s="6" t="s">
        <v>287</v>
      </c>
      <c r="G20" s="103">
        <f t="shared" si="15"/>
        <v>1000</v>
      </c>
      <c r="H20" s="6" t="s">
        <v>21</v>
      </c>
      <c r="I20" s="104" t="str">
        <f>VLOOKUP(H20,'FX-IR'!$B$20:$C$27,2,FALSE)</f>
        <v>USD.LIBOR.3M</v>
      </c>
      <c r="J20" s="104" t="s">
        <v>171</v>
      </c>
      <c r="K20" s="104" t="str">
        <f t="shared" si="9"/>
        <v>2b</v>
      </c>
      <c r="L20" t="str" cm="1">
        <f t="array" aca="1" ref="L20" ca="1">_xll.QIns_CreateForward("EuOpt_Fwd_"&amp;ROW(),D20,B20,H20,0,G20,H20,J20,K20,I20)</f>
        <v>EuOpt_Fwd_20¬0</v>
      </c>
      <c r="M20" s="14" cm="1">
        <f t="array" aca="1" ref="M20" ca="1">_xll.QIns_ProductParRate(L20,AModel)</f>
        <v>1000000</v>
      </c>
      <c r="N20" s="11" t="str" cm="1">
        <f t="array" aca="1" ref="N20" ca="1">_xll.QModels_GetCompoVol(AModel,B20,H20,E20,D20)</f>
        <v>Curve with name CA not found</v>
      </c>
      <c r="O20" t="str" cm="1">
        <f t="array" aca="1" ref="O20" ca="1">_xll.QIns_CreateEuropeanOption("euOpt_"&amp;ROW(),D20,B20,H20,E20,F20,G20,H20,J20,K20,I20)</f>
        <v>euOpt_20¬0</v>
      </c>
      <c r="P20" s="21" cm="1">
        <f t="array" aca="1" ref="P20" ca="1">_xll.QIns_ProductPV(O20,AModel,H20)</f>
        <v>0</v>
      </c>
      <c r="Q20" t="str" cm="1">
        <f t="array" aca="1" ref="Q20" ca="1">IF(VLOOKUP(B20,AssetStatic,4,FALSE),_xll.QRisk_PortfolioFxDeltaSpecific("euOpt_DeltaA"&amp;ROW(),O20,AModel,B20,"ZAR",FALSE),_xll.QRisk_PortfolioDelta("euOpt_DeltaA"&amp;ROW(),O20,AModel,FALSE))</f>
        <v>euOpt_DeltaA20¬0</v>
      </c>
      <c r="R20" s="21" cm="1">
        <f t="array" aca="1" ref="R20" ca="1">_xll.QCube_SumAllRows(Q20)</f>
        <v>0</v>
      </c>
      <c r="S20" s="11">
        <f t="shared" ca="1" si="10"/>
        <v>0</v>
      </c>
      <c r="T20" t="str" cm="1">
        <f t="array" aca="1" ref="T20" ca="1">_xll.QRisk_PortfolioVega("euopt_commVegaA"&amp;ROW(),O20,AModel,H20)</f>
        <v>euopt_commVegaA20¬0</v>
      </c>
      <c r="U20" s="21" cm="1">
        <f t="array" aca="1" ref="U20" ca="1">_xll.QCube_SumAllRows(T20)</f>
        <v>0</v>
      </c>
      <c r="V20" s="100">
        <f t="shared" ca="1" si="11"/>
        <v>0</v>
      </c>
      <c r="W20" t="str" cm="1">
        <f t="array" aca="1" ref="W20" ca="1">_xll.QRisk_PortfolioFxVega("euOpt_fxVegaA"&amp;ROW(),O20,AModel,H20)</f>
        <v>euOpt_fxVegaA20¬0</v>
      </c>
      <c r="X20" s="21" cm="1">
        <f t="array" aca="1" ref="X20" ca="1">_xll.QCube_SumAllRows(W20)</f>
        <v>0</v>
      </c>
      <c r="Y20" s="100">
        <f t="shared" ca="1" si="12"/>
        <v>0</v>
      </c>
      <c r="Z20" s="23">
        <f t="shared" ca="1" si="13"/>
        <v>0</v>
      </c>
      <c r="AB20" s="176">
        <v>44216</v>
      </c>
      <c r="AC20" s="176">
        <f t="shared" ca="1" si="16"/>
        <v>44214</v>
      </c>
      <c r="AD20" s="179">
        <f t="shared" ca="1" si="17"/>
        <v>1000000</v>
      </c>
      <c r="AE20" s="178" t="str">
        <f t="shared" ca="1" si="18"/>
        <v>Curve with name CA not found</v>
      </c>
      <c r="AF20" s="177">
        <v>2000</v>
      </c>
      <c r="AK20" s="23">
        <f ca="1">SUM(R15:R39)</f>
        <v>0</v>
      </c>
    </row>
    <row r="21" spans="1:39" ht="114.75" x14ac:dyDescent="0.25">
      <c r="A21" s="6"/>
      <c r="B21" s="6" t="s">
        <v>108</v>
      </c>
      <c r="C21" s="102">
        <f ca="1">_xll.QDates_SubtractPeriod(AB21,"2b","P","LON")</f>
        <v>44242</v>
      </c>
      <c r="D21" s="102" cm="1">
        <f t="array" aca="1" ref="D21" ca="1">IF(_xll.QUtils_IsTenor(C21),_xll.QDates_AddPeriod(valDate,C21,"F","NYC"),C21)</f>
        <v>44242</v>
      </c>
      <c r="E21" s="103">
        <f t="shared" si="14"/>
        <v>6230</v>
      </c>
      <c r="F21" s="6" t="s">
        <v>287</v>
      </c>
      <c r="G21" s="103">
        <f t="shared" si="15"/>
        <v>1000</v>
      </c>
      <c r="H21" s="6" t="s">
        <v>21</v>
      </c>
      <c r="I21" s="104" t="str">
        <f>VLOOKUP(H21,'FX-IR'!$B$20:$C$27,2,FALSE)</f>
        <v>USD.LIBOR.3M</v>
      </c>
      <c r="J21" s="104" t="s">
        <v>171</v>
      </c>
      <c r="K21" s="104" t="str">
        <f t="shared" si="9"/>
        <v>2b</v>
      </c>
      <c r="L21" t="str" cm="1">
        <f t="array" aca="1" ref="L21" ca="1">_xll.QIns_CreateForward("EuOpt_Fwd_"&amp;ROW(),D21,B21,H21,0,G21,H21,J21,K21,I21)</f>
        <v>EuOpt_Fwd_21¬0</v>
      </c>
      <c r="M21" s="14" t="str" cm="1">
        <f t="array" aca="1" ref="M21" ca="1">_xll.QIns_ProductParRate(L21,AModel)</f>
        <v>Curve with name CA not found</v>
      </c>
      <c r="N21" s="11" t="str" cm="1">
        <f t="array" aca="1" ref="N21" ca="1">_xll.QModels_GetCompoVol(AModel,B21,H21,E21,D21)</f>
        <v>Curve with name CA not found</v>
      </c>
      <c r="O21" t="str" cm="1">
        <f t="array" aca="1" ref="O21" ca="1">_xll.QIns_CreateEuropeanOption("euOpt_"&amp;ROW(),D21,B21,H21,E21,F21,G21,H21,J21,K21,I21)</f>
        <v>euOpt_21¬0</v>
      </c>
      <c r="P21" s="21" t="str" cm="1">
        <f t="array" aca="1" ref="P21" ca="1">_xll.QIns_ProductPV(O21,AModel,H21)</f>
        <v>Curve with name CA not found</v>
      </c>
      <c r="Q21" t="str" cm="1">
        <f t="array" aca="1" ref="Q21" ca="1">IF(VLOOKUP(B21,AssetStatic,4,FALSE),_xll.QRisk_PortfolioFxDeltaSpecific("euOpt_DeltaA"&amp;ROW(),O21,AModel,B21,"ZAR",FALSE),_xll.QRisk_PortfolioDelta("euOpt_DeltaA"&amp;ROW(),O21,AModel,FALSE))</f>
        <v>euOpt_DeltaA21¬0</v>
      </c>
      <c r="R21" s="21" cm="1">
        <f t="array" aca="1" ref="R21" ca="1">_xll.QCube_SumAllRows(Q21)</f>
        <v>0</v>
      </c>
      <c r="S21" s="11">
        <f t="shared" ca="1" si="10"/>
        <v>0</v>
      </c>
      <c r="T21" t="str" cm="1">
        <f t="array" aca="1" ref="T21" ca="1">_xll.QRisk_PortfolioVega("euopt_commVegaA"&amp;ROW(),O21,AModel,H21)</f>
        <v>euopt_commVegaA21¬17</v>
      </c>
      <c r="U21" s="21" cm="1">
        <f t="array" aca="1" ref="U21" ca="1">_xll.QCube_SumAllRows(T21)</f>
        <v>0</v>
      </c>
      <c r="V21" s="100">
        <f t="shared" ca="1" si="11"/>
        <v>0</v>
      </c>
      <c r="W21" t="str" cm="1">
        <f t="array" aca="1" ref="W21" ca="1">_xll.QRisk_PortfolioFxVega("euOpt_fxVegaA"&amp;ROW(),O21,AModel,H21)</f>
        <v>Curve with name CA not found</v>
      </c>
      <c r="X21" s="21" t="str" cm="1">
        <f t="array" aca="1" ref="X21" ca="1">_xll.QCube_SumAllRows(W21)</f>
        <v>Could not find cube Curve with name CA not found</v>
      </c>
      <c r="Y21" s="100" t="e">
        <f t="shared" ca="1" si="12"/>
        <v>#VALUE!</v>
      </c>
      <c r="Z21" s="23" t="e">
        <f t="shared" ca="1" si="13"/>
        <v>#VALUE!</v>
      </c>
      <c r="AB21" s="176">
        <v>44244</v>
      </c>
      <c r="AC21" s="176">
        <f t="shared" ca="1" si="16"/>
        <v>44242</v>
      </c>
      <c r="AD21" s="179" t="str">
        <f t="shared" ca="1" si="17"/>
        <v>Curve with name CA not found</v>
      </c>
      <c r="AE21" s="178" t="str">
        <f t="shared" ca="1" si="18"/>
        <v>Curve with name CA not found</v>
      </c>
      <c r="AF21" s="177">
        <v>2000</v>
      </c>
      <c r="AK21" s="11">
        <f ca="1">AK20/AK17</f>
        <v>0</v>
      </c>
    </row>
    <row r="22" spans="1:39" ht="114.75" x14ac:dyDescent="0.25">
      <c r="A22" s="6"/>
      <c r="B22" s="6" t="s">
        <v>108</v>
      </c>
      <c r="C22" s="102">
        <f ca="1">_xll.QDates_SubtractPeriod(AB22,"2b","P","LON")</f>
        <v>44270</v>
      </c>
      <c r="D22" s="102" cm="1">
        <f t="array" aca="1" ref="D22" ca="1">IF(_xll.QUtils_IsTenor(C22),_xll.QDates_AddPeriod(valDate,C22,"F","NYC"),C22)</f>
        <v>44270</v>
      </c>
      <c r="E22" s="103">
        <f t="shared" si="14"/>
        <v>6230</v>
      </c>
      <c r="F22" s="6" t="s">
        <v>287</v>
      </c>
      <c r="G22" s="103">
        <f t="shared" si="15"/>
        <v>1000</v>
      </c>
      <c r="H22" s="6" t="s">
        <v>21</v>
      </c>
      <c r="I22" s="104" t="str">
        <f>VLOOKUP(H22,'FX-IR'!$B$20:$C$27,2,FALSE)</f>
        <v>USD.LIBOR.3M</v>
      </c>
      <c r="J22" s="104" t="s">
        <v>171</v>
      </c>
      <c r="K22" s="104" t="str">
        <f t="shared" si="9"/>
        <v>2b</v>
      </c>
      <c r="L22" t="str" cm="1">
        <f t="array" aca="1" ref="L22" ca="1">_xll.QIns_CreateForward("EuOpt_Fwd_"&amp;ROW(),D22,B22,H22,0,G22,H22,J22,K22,I22)</f>
        <v>EuOpt_Fwd_22¬0</v>
      </c>
      <c r="M22" s="14" t="str" cm="1">
        <f t="array" aca="1" ref="M22" ca="1">_xll.QIns_ProductParRate(L22,AModel)</f>
        <v>Curve with name CA not found</v>
      </c>
      <c r="N22" s="11" t="str" cm="1">
        <f t="array" aca="1" ref="N22" ca="1">_xll.QModels_GetCompoVol(AModel,B22,H22,E22,D22)</f>
        <v>Curve with name CA not found</v>
      </c>
      <c r="O22" t="str" cm="1">
        <f t="array" aca="1" ref="O22" ca="1">_xll.QIns_CreateEuropeanOption("euOpt_"&amp;ROW(),D22,B22,H22,E22,F22,G22,H22,J22,K22,I22)</f>
        <v>euOpt_22¬0</v>
      </c>
      <c r="P22" s="21" t="str" cm="1">
        <f t="array" aca="1" ref="P22" ca="1">_xll.QIns_ProductPV(O22,AModel,H22)</f>
        <v>Curve with name CA not found</v>
      </c>
      <c r="Q22" t="str" cm="1">
        <f t="array" aca="1" ref="Q22" ca="1">IF(VLOOKUP(B22,AssetStatic,4,FALSE),_xll.QRisk_PortfolioFxDeltaSpecific("euOpt_DeltaA"&amp;ROW(),O22,AModel,B22,"ZAR",FALSE),_xll.QRisk_PortfolioDelta("euOpt_DeltaA"&amp;ROW(),O22,AModel,FALSE))</f>
        <v>euOpt_DeltaA22¬0</v>
      </c>
      <c r="R22" s="21" cm="1">
        <f t="array" aca="1" ref="R22" ca="1">_xll.QCube_SumAllRows(Q22)</f>
        <v>0</v>
      </c>
      <c r="S22" s="11">
        <f t="shared" ca="1" si="10"/>
        <v>0</v>
      </c>
      <c r="T22" t="str" cm="1">
        <f t="array" aca="1" ref="T22" ca="1">_xll.QRisk_PortfolioVega("euopt_commVegaA"&amp;ROW(),O22,AModel,H22)</f>
        <v>euopt_commVegaA22¬17</v>
      </c>
      <c r="U22" s="21" cm="1">
        <f t="array" aca="1" ref="U22" ca="1">_xll.QCube_SumAllRows(T22)</f>
        <v>0</v>
      </c>
      <c r="V22" s="100">
        <f t="shared" ca="1" si="11"/>
        <v>0</v>
      </c>
      <c r="W22" t="str" cm="1">
        <f t="array" aca="1" ref="W22" ca="1">_xll.QRisk_PortfolioFxVega("euOpt_fxVegaA"&amp;ROW(),O22,AModel,H22)</f>
        <v>Curve with name CA not found</v>
      </c>
      <c r="X22" s="21" t="str" cm="1">
        <f t="array" aca="1" ref="X22" ca="1">_xll.QCube_SumAllRows(W22)</f>
        <v>Could not find cube Curve with name CA not found</v>
      </c>
      <c r="Y22" s="100" t="e">
        <f t="shared" ca="1" si="12"/>
        <v>#VALUE!</v>
      </c>
      <c r="Z22" s="23" t="e">
        <f t="shared" ca="1" si="13"/>
        <v>#VALUE!</v>
      </c>
      <c r="AB22" s="176">
        <v>44272</v>
      </c>
      <c r="AC22" s="176">
        <f t="shared" ca="1" si="16"/>
        <v>44270</v>
      </c>
      <c r="AD22" s="179" t="str">
        <f t="shared" ca="1" si="17"/>
        <v>Curve with name CA not found</v>
      </c>
      <c r="AE22" s="178" t="str">
        <f t="shared" ca="1" si="18"/>
        <v>Curve with name CA not found</v>
      </c>
      <c r="AF22" s="177">
        <v>2000</v>
      </c>
    </row>
    <row r="23" spans="1:39" ht="114.75" x14ac:dyDescent="0.25">
      <c r="A23" s="6"/>
      <c r="B23" s="6" t="s">
        <v>108</v>
      </c>
      <c r="C23" s="102">
        <f ca="1">_xll.QDates_SubtractPeriod(AB23,"2b","P","LON")</f>
        <v>44305</v>
      </c>
      <c r="D23" s="102" cm="1">
        <f t="array" aca="1" ref="D23" ca="1">IF(_xll.QUtils_IsTenor(C23),_xll.QDates_AddPeriod(valDate,C23,"F","NYC"),C23)</f>
        <v>44305</v>
      </c>
      <c r="E23" s="103">
        <f t="shared" si="14"/>
        <v>6230</v>
      </c>
      <c r="F23" s="6" t="s">
        <v>287</v>
      </c>
      <c r="G23" s="103">
        <f t="shared" si="15"/>
        <v>1000</v>
      </c>
      <c r="H23" s="6" t="s">
        <v>21</v>
      </c>
      <c r="I23" s="104" t="str">
        <f>VLOOKUP(H23,'FX-IR'!$B$20:$C$27,2,FALSE)</f>
        <v>USD.LIBOR.3M</v>
      </c>
      <c r="J23" s="104" t="s">
        <v>171</v>
      </c>
      <c r="K23" s="104" t="str">
        <f t="shared" si="9"/>
        <v>2b</v>
      </c>
      <c r="L23" t="str" cm="1">
        <f t="array" aca="1" ref="L23" ca="1">_xll.QIns_CreateForward("EuOpt_Fwd_"&amp;ROW(),D23,B23,H23,0,G23,H23,J23,K23,I23)</f>
        <v>EuOpt_Fwd_23¬0</v>
      </c>
      <c r="M23" s="14" t="str" cm="1">
        <f t="array" aca="1" ref="M23" ca="1">_xll.QIns_ProductParRate(L23,AModel)</f>
        <v>Curve with name CA not found</v>
      </c>
      <c r="N23" s="11" t="str" cm="1">
        <f t="array" aca="1" ref="N23" ca="1">_xll.QModels_GetCompoVol(AModel,B23,H23,E23,D23)</f>
        <v>Curve with name CA not found</v>
      </c>
      <c r="O23" t="str" cm="1">
        <f t="array" aca="1" ref="O23" ca="1">_xll.QIns_CreateEuropeanOption("euOpt_"&amp;ROW(),D23,B23,H23,E23,F23,G23,H23,J23,K23,I23)</f>
        <v>euOpt_23¬0</v>
      </c>
      <c r="P23" s="21" t="str" cm="1">
        <f t="array" aca="1" ref="P23" ca="1">_xll.QIns_ProductPV(O23,AModel,H23)</f>
        <v>Curve with name CA not found</v>
      </c>
      <c r="Q23" t="str" cm="1">
        <f t="array" aca="1" ref="Q23" ca="1">IF(VLOOKUP(B23,AssetStatic,4,FALSE),_xll.QRisk_PortfolioFxDeltaSpecific("euOpt_DeltaA"&amp;ROW(),O23,AModel,B23,"ZAR",FALSE),_xll.QRisk_PortfolioDelta("euOpt_DeltaA"&amp;ROW(),O23,AModel,FALSE))</f>
        <v>euOpt_DeltaA23¬0</v>
      </c>
      <c r="R23" s="21" cm="1">
        <f t="array" aca="1" ref="R23" ca="1">_xll.QCube_SumAllRows(Q23)</f>
        <v>0</v>
      </c>
      <c r="S23" s="11">
        <f t="shared" ca="1" si="10"/>
        <v>0</v>
      </c>
      <c r="T23" t="str" cm="1">
        <f t="array" aca="1" ref="T23" ca="1">_xll.QRisk_PortfolioVega("euopt_commVegaA"&amp;ROW(),O23,AModel,H23)</f>
        <v>euopt_commVegaA23¬17</v>
      </c>
      <c r="U23" s="21" cm="1">
        <f t="array" aca="1" ref="U23" ca="1">_xll.QCube_SumAllRows(T23)</f>
        <v>0</v>
      </c>
      <c r="V23" s="100">
        <f t="shared" ca="1" si="11"/>
        <v>0</v>
      </c>
      <c r="W23" t="str" cm="1">
        <f t="array" aca="1" ref="W23" ca="1">_xll.QRisk_PortfolioFxVega("euOpt_fxVegaA"&amp;ROW(),O23,AModel,H23)</f>
        <v>Curve with name CA not found</v>
      </c>
      <c r="X23" s="21" t="str" cm="1">
        <f t="array" aca="1" ref="X23" ca="1">_xll.QCube_SumAllRows(W23)</f>
        <v>Could not find cube Curve with name CA not found</v>
      </c>
      <c r="Y23" s="100" t="e">
        <f t="shared" ca="1" si="12"/>
        <v>#VALUE!</v>
      </c>
      <c r="Z23" s="23" t="e">
        <f t="shared" ca="1" si="13"/>
        <v>#VALUE!</v>
      </c>
      <c r="AB23" s="176">
        <v>44307</v>
      </c>
      <c r="AC23" s="176">
        <f t="shared" ca="1" si="16"/>
        <v>44305</v>
      </c>
      <c r="AD23" s="179" t="str">
        <f t="shared" ca="1" si="17"/>
        <v>Curve with name CA not found</v>
      </c>
      <c r="AE23" s="178" t="str">
        <f t="shared" ca="1" si="18"/>
        <v>Curve with name CA not found</v>
      </c>
      <c r="AF23" s="177">
        <v>2000</v>
      </c>
    </row>
    <row r="24" spans="1:39" ht="114.75" x14ac:dyDescent="0.25">
      <c r="A24" s="6"/>
      <c r="B24" s="6" t="s">
        <v>108</v>
      </c>
      <c r="C24" s="102">
        <f ca="1">_xll.QDates_SubtractPeriod(AB24,"2b","P","LON")</f>
        <v>44333</v>
      </c>
      <c r="D24" s="102" cm="1">
        <f t="array" aca="1" ref="D24" ca="1">IF(_xll.QUtils_IsTenor(C24),_xll.QDates_AddPeriod(valDate,C24,"F","NYC"),C24)</f>
        <v>44333</v>
      </c>
      <c r="E24" s="103">
        <f t="shared" si="14"/>
        <v>6230</v>
      </c>
      <c r="F24" s="6" t="s">
        <v>287</v>
      </c>
      <c r="G24" s="103">
        <f t="shared" si="15"/>
        <v>1000</v>
      </c>
      <c r="H24" s="6" t="s">
        <v>21</v>
      </c>
      <c r="I24" s="104" t="str">
        <f>VLOOKUP(H24,'FX-IR'!$B$20:$C$27,2,FALSE)</f>
        <v>USD.LIBOR.3M</v>
      </c>
      <c r="J24" s="104" t="s">
        <v>171</v>
      </c>
      <c r="K24" s="104" t="str">
        <f t="shared" si="9"/>
        <v>2b</v>
      </c>
      <c r="L24" t="str" cm="1">
        <f t="array" aca="1" ref="L24" ca="1">_xll.QIns_CreateForward("EuOpt_Fwd_"&amp;ROW(),D24,B24,H24,0,G24,H24,J24,K24,I24)</f>
        <v>EuOpt_Fwd_24¬0</v>
      </c>
      <c r="M24" s="14" t="str" cm="1">
        <f t="array" aca="1" ref="M24" ca="1">_xll.QIns_ProductParRate(L24,AModel)</f>
        <v>Curve with name CA not found</v>
      </c>
      <c r="N24" s="11" t="str" cm="1">
        <f t="array" aca="1" ref="N24" ca="1">_xll.QModels_GetCompoVol(AModel,B24,H24,E24,D24)</f>
        <v>Curve with name CA not found</v>
      </c>
      <c r="O24" t="str" cm="1">
        <f t="array" aca="1" ref="O24" ca="1">_xll.QIns_CreateEuropeanOption("euOpt_"&amp;ROW(),D24,B24,H24,E24,F24,G24,H24,J24,K24,I24)</f>
        <v>euOpt_24¬0</v>
      </c>
      <c r="P24" s="21" t="str" cm="1">
        <f t="array" aca="1" ref="P24" ca="1">_xll.QIns_ProductPV(O24,AModel,H24)</f>
        <v>Curve with name CA not found</v>
      </c>
      <c r="Q24" t="str" cm="1">
        <f t="array" aca="1" ref="Q24" ca="1">IF(VLOOKUP(B24,AssetStatic,4,FALSE),_xll.QRisk_PortfolioFxDeltaSpecific("euOpt_DeltaA"&amp;ROW(),O24,AModel,B24,"ZAR",FALSE),_xll.QRisk_PortfolioDelta("euOpt_DeltaA"&amp;ROW(),O24,AModel,FALSE))</f>
        <v>euOpt_DeltaA24¬0</v>
      </c>
      <c r="R24" s="21" cm="1">
        <f t="array" aca="1" ref="R24" ca="1">_xll.QCube_SumAllRows(Q24)</f>
        <v>0</v>
      </c>
      <c r="S24" s="11">
        <f t="shared" ca="1" si="10"/>
        <v>0</v>
      </c>
      <c r="T24" t="str" cm="1">
        <f t="array" aca="1" ref="T24" ca="1">_xll.QRisk_PortfolioVega("euopt_commVegaA"&amp;ROW(),O24,AModel,H24)</f>
        <v>euopt_commVegaA24¬17</v>
      </c>
      <c r="U24" s="21" cm="1">
        <f t="array" aca="1" ref="U24" ca="1">_xll.QCube_SumAllRows(T24)</f>
        <v>0</v>
      </c>
      <c r="V24" s="100">
        <f t="shared" ca="1" si="11"/>
        <v>0</v>
      </c>
      <c r="W24" t="str" cm="1">
        <f t="array" aca="1" ref="W24" ca="1">_xll.QRisk_PortfolioFxVega("euOpt_fxVegaA"&amp;ROW(),O24,AModel,H24)</f>
        <v>Curve with name CA not found</v>
      </c>
      <c r="X24" s="21" t="str" cm="1">
        <f t="array" aca="1" ref="X24" ca="1">_xll.QCube_SumAllRows(W24)</f>
        <v>Could not find cube Curve with name CA not found</v>
      </c>
      <c r="Y24" s="100" t="e">
        <f t="shared" ca="1" si="12"/>
        <v>#VALUE!</v>
      </c>
      <c r="Z24" s="23" t="e">
        <f t="shared" ca="1" si="13"/>
        <v>#VALUE!</v>
      </c>
      <c r="AB24" s="176">
        <v>44335</v>
      </c>
      <c r="AC24" s="176">
        <f t="shared" ca="1" si="16"/>
        <v>44333</v>
      </c>
      <c r="AD24" s="179" t="str">
        <f t="shared" ca="1" si="17"/>
        <v>Curve with name CA not found</v>
      </c>
      <c r="AE24" s="178" t="str">
        <f t="shared" ca="1" si="18"/>
        <v>Curve with name CA not found</v>
      </c>
      <c r="AF24" s="177">
        <v>2000</v>
      </c>
    </row>
    <row r="25" spans="1:39" ht="114.75" x14ac:dyDescent="0.25">
      <c r="A25" s="6"/>
      <c r="B25" s="6" t="s">
        <v>108</v>
      </c>
      <c r="C25" s="102">
        <f ca="1">_xll.QDates_SubtractPeriod(AB25,"2b","P","LON")</f>
        <v>44361</v>
      </c>
      <c r="D25" s="102" cm="1">
        <f t="array" aca="1" ref="D25" ca="1">IF(_xll.QUtils_IsTenor(C25),_xll.QDates_AddPeriod(valDate,C25,"F","NYC"),C25)</f>
        <v>44361</v>
      </c>
      <c r="E25" s="103">
        <f t="shared" si="14"/>
        <v>6230</v>
      </c>
      <c r="F25" s="6" t="s">
        <v>287</v>
      </c>
      <c r="G25" s="103">
        <f t="shared" si="15"/>
        <v>1000</v>
      </c>
      <c r="H25" s="6" t="s">
        <v>21</v>
      </c>
      <c r="I25" s="104" t="str">
        <f>VLOOKUP(H25,'FX-IR'!$B$20:$C$27,2,FALSE)</f>
        <v>USD.LIBOR.3M</v>
      </c>
      <c r="J25" s="104" t="s">
        <v>171</v>
      </c>
      <c r="K25" s="104" t="str">
        <f t="shared" si="9"/>
        <v>2b</v>
      </c>
      <c r="L25" t="str" cm="1">
        <f t="array" aca="1" ref="L25" ca="1">_xll.QIns_CreateForward("EuOpt_Fwd_"&amp;ROW(),D25,B25,H25,0,G25,H25,J25,K25,I25)</f>
        <v>EuOpt_Fwd_25¬0</v>
      </c>
      <c r="M25" s="14" t="str" cm="1">
        <f t="array" aca="1" ref="M25" ca="1">_xll.QIns_ProductParRate(L25,AModel)</f>
        <v>Curve with name CA not found</v>
      </c>
      <c r="N25" s="11" t="str" cm="1">
        <f t="array" aca="1" ref="N25" ca="1">_xll.QModels_GetCompoVol(AModel,B25,H25,E25,D25)</f>
        <v>Curve with name CA not found</v>
      </c>
      <c r="O25" t="str" cm="1">
        <f t="array" aca="1" ref="O25" ca="1">_xll.QIns_CreateEuropeanOption("euOpt_"&amp;ROW(),D25,B25,H25,E25,F25,G25,H25,J25,K25,I25)</f>
        <v>euOpt_25¬0</v>
      </c>
      <c r="P25" s="21" t="str" cm="1">
        <f t="array" aca="1" ref="P25" ca="1">_xll.QIns_ProductPV(O25,AModel,H25)</f>
        <v>Curve with name CA not found</v>
      </c>
      <c r="Q25" t="str" cm="1">
        <f t="array" aca="1" ref="Q25" ca="1">IF(VLOOKUP(B25,AssetStatic,4,FALSE),_xll.QRisk_PortfolioFxDeltaSpecific("euOpt_DeltaA"&amp;ROW(),O25,AModel,B25,"ZAR",FALSE),_xll.QRisk_PortfolioDelta("euOpt_DeltaA"&amp;ROW(),O25,AModel,FALSE))</f>
        <v>euOpt_DeltaA25¬0</v>
      </c>
      <c r="R25" s="21" cm="1">
        <f t="array" aca="1" ref="R25" ca="1">_xll.QCube_SumAllRows(Q25)</f>
        <v>0</v>
      </c>
      <c r="S25" s="11">
        <f t="shared" ca="1" si="10"/>
        <v>0</v>
      </c>
      <c r="T25" t="str" cm="1">
        <f t="array" aca="1" ref="T25" ca="1">_xll.QRisk_PortfolioVega("euopt_commVegaA"&amp;ROW(),O25,AModel,H25)</f>
        <v>euopt_commVegaA25¬17</v>
      </c>
      <c r="U25" s="21" cm="1">
        <f t="array" aca="1" ref="U25" ca="1">_xll.QCube_SumAllRows(T25)</f>
        <v>0</v>
      </c>
      <c r="V25" s="100">
        <f t="shared" ca="1" si="11"/>
        <v>0</v>
      </c>
      <c r="W25" t="str" cm="1">
        <f t="array" aca="1" ref="W25" ca="1">_xll.QRisk_PortfolioFxVega("euOpt_fxVegaA"&amp;ROW(),O25,AModel,H25)</f>
        <v>Curve with name CA not found</v>
      </c>
      <c r="X25" s="21" t="str" cm="1">
        <f t="array" aca="1" ref="X25" ca="1">_xll.QCube_SumAllRows(W25)</f>
        <v>Could not find cube Curve with name CA not found</v>
      </c>
      <c r="Y25" s="100" t="e">
        <f t="shared" ca="1" si="12"/>
        <v>#VALUE!</v>
      </c>
      <c r="Z25" s="23" t="e">
        <f t="shared" ca="1" si="13"/>
        <v>#VALUE!</v>
      </c>
      <c r="AB25" s="176">
        <v>44363</v>
      </c>
      <c r="AC25" s="176">
        <f t="shared" ca="1" si="16"/>
        <v>44361</v>
      </c>
      <c r="AD25" s="179" t="str">
        <f t="shared" ca="1" si="17"/>
        <v>Curve with name CA not found</v>
      </c>
      <c r="AE25" s="178" t="str">
        <f t="shared" ca="1" si="18"/>
        <v>Curve with name CA not found</v>
      </c>
      <c r="AF25" s="177">
        <v>2000</v>
      </c>
    </row>
    <row r="26" spans="1:39" ht="114.75" x14ac:dyDescent="0.25">
      <c r="A26" s="6"/>
      <c r="B26" s="6" t="s">
        <v>108</v>
      </c>
      <c r="C26" s="102">
        <f ca="1">_xll.QDates_SubtractPeriod(AB26,"2b","P","LON")</f>
        <v>44396</v>
      </c>
      <c r="D26" s="102" cm="1">
        <f t="array" aca="1" ref="D26" ca="1">IF(_xll.QUtils_IsTenor(C26),_xll.QDates_AddPeriod(valDate,C26,"F","NYC"),C26)</f>
        <v>44396</v>
      </c>
      <c r="E26" s="103">
        <f t="shared" si="14"/>
        <v>6230</v>
      </c>
      <c r="F26" s="6" t="s">
        <v>287</v>
      </c>
      <c r="G26" s="103">
        <f t="shared" si="15"/>
        <v>1000</v>
      </c>
      <c r="H26" s="6" t="s">
        <v>21</v>
      </c>
      <c r="I26" s="104" t="str">
        <f>VLOOKUP(H26,'FX-IR'!$B$20:$C$27,2,FALSE)</f>
        <v>USD.LIBOR.3M</v>
      </c>
      <c r="J26" s="104" t="s">
        <v>171</v>
      </c>
      <c r="K26" s="104" t="str">
        <f t="shared" ref="K26" si="21">VLOOKUP(B26,AssetStatic,2,FALSE)</f>
        <v>2b</v>
      </c>
      <c r="L26" t="str" cm="1">
        <f t="array" aca="1" ref="L26" ca="1">_xll.QIns_CreateForward("EuOpt_Fwd_"&amp;ROW(),D26,B26,H26,0,G26,H26,J26,K26,I26)</f>
        <v>EuOpt_Fwd_26¬0</v>
      </c>
      <c r="M26" s="14" t="str" cm="1">
        <f t="array" aca="1" ref="M26" ca="1">_xll.QIns_ProductParRate(L26,AModel)</f>
        <v>Curve with name CA not found</v>
      </c>
      <c r="N26" s="11" t="str" cm="1">
        <f t="array" aca="1" ref="N26" ca="1">_xll.QModels_GetCompoVol(AModel,B26,H26,E26,D26)</f>
        <v>Curve with name CA not found</v>
      </c>
      <c r="O26" t="str" cm="1">
        <f t="array" aca="1" ref="O26" ca="1">_xll.QIns_CreateEuropeanOption("euOpt_"&amp;ROW(),D26,B26,H26,E26,F26,G26,H26,J26,K26,I26)</f>
        <v>euOpt_26¬0</v>
      </c>
      <c r="P26" s="21" t="str" cm="1">
        <f t="array" aca="1" ref="P26" ca="1">_xll.QIns_ProductPV(O26,AModel,H26)</f>
        <v>Curve with name CA not found</v>
      </c>
      <c r="Q26" t="str" cm="1">
        <f t="array" aca="1" ref="Q26" ca="1">IF(VLOOKUP(B26,AssetStatic,4,FALSE),_xll.QRisk_PortfolioFxDeltaSpecific("euOpt_DeltaA"&amp;ROW(),O26,AModel,B26,"ZAR",FALSE),_xll.QRisk_PortfolioDelta("euOpt_DeltaA"&amp;ROW(),O26,AModel,FALSE))</f>
        <v>euOpt_DeltaA26¬0</v>
      </c>
      <c r="R26" s="21" cm="1">
        <f t="array" aca="1" ref="R26" ca="1">_xll.QCube_SumAllRows(Q26)</f>
        <v>0</v>
      </c>
      <c r="S26" s="11">
        <f t="shared" ref="S26" ca="1" si="22">R26/G26</f>
        <v>0</v>
      </c>
      <c r="T26" t="str" cm="1">
        <f t="array" aca="1" ref="T26" ca="1">_xll.QRisk_PortfolioVega("euopt_commVegaA"&amp;ROW(),O26,AModel,H26)</f>
        <v>euopt_commVegaA26¬0</v>
      </c>
      <c r="U26" s="21" cm="1">
        <f t="array" aca="1" ref="U26" ca="1">_xll.QCube_SumAllRows(T26)</f>
        <v>0</v>
      </c>
      <c r="V26" s="100">
        <f t="shared" ref="V26" ca="1" si="23">U26/D26</f>
        <v>0</v>
      </c>
      <c r="W26" t="str" cm="1">
        <f t="array" aca="1" ref="W26" ca="1">_xll.QRisk_PortfolioFxVega("euOpt_fxVegaA"&amp;ROW(),O26,AModel,H26)</f>
        <v>Curve with name CA not found</v>
      </c>
      <c r="X26" s="21" t="str" cm="1">
        <f t="array" aca="1" ref="X26" ca="1">_xll.QCube_SumAllRows(W26)</f>
        <v>Could not find cube Curve with name CA not found</v>
      </c>
      <c r="Y26" s="100" t="e">
        <f t="shared" ref="Y26" ca="1" si="24">X26/G26</f>
        <v>#VALUE!</v>
      </c>
      <c r="Z26" s="23" t="e">
        <f ca="1">P26+U26*5</f>
        <v>#VALUE!</v>
      </c>
      <c r="AB26" s="176">
        <v>44398</v>
      </c>
      <c r="AC26" s="176">
        <f t="shared" ca="1" si="16"/>
        <v>44396</v>
      </c>
      <c r="AD26" s="179" t="str">
        <f t="shared" ca="1" si="17"/>
        <v>Curve with name CA not found</v>
      </c>
      <c r="AE26" s="178" t="str">
        <f t="shared" ca="1" si="18"/>
        <v>Curve with name CA not found</v>
      </c>
      <c r="AF26" s="177">
        <v>2000</v>
      </c>
    </row>
    <row r="27" spans="1:39" x14ac:dyDescent="0.25">
      <c r="A27" s="6"/>
      <c r="B27" s="6"/>
      <c r="C27" s="102"/>
      <c r="D27" s="102"/>
      <c r="E27" s="103"/>
      <c r="F27" s="6"/>
      <c r="G27" s="103"/>
      <c r="H27" s="6"/>
      <c r="I27" s="104"/>
      <c r="J27" s="104"/>
      <c r="K27" s="104"/>
      <c r="M27" s="14"/>
      <c r="N27" s="11"/>
      <c r="R27" s="21"/>
      <c r="S27" s="11"/>
      <c r="U27" s="21"/>
      <c r="V27" s="100"/>
      <c r="X27" s="21"/>
      <c r="Y27" s="100"/>
      <c r="Z27" s="23"/>
    </row>
    <row r="28" spans="1:39" x14ac:dyDescent="0.25">
      <c r="A28" s="6"/>
      <c r="B28" s="6" t="s">
        <v>108</v>
      </c>
      <c r="C28" s="102">
        <f ca="1">C15</f>
        <v>44060</v>
      </c>
      <c r="D28" s="102" cm="1">
        <f t="array" aca="1" ref="D28" ca="1">IF(_xll.QUtils_IsTenor(C28),_xll.QDates_AddPeriod(valDate,C28,"F","NYC"),C28)</f>
        <v>44060</v>
      </c>
      <c r="E28" s="103">
        <f>$E$14</f>
        <v>6230</v>
      </c>
      <c r="F28" s="6" t="s">
        <v>166</v>
      </c>
      <c r="G28" s="103">
        <f>-AF28</f>
        <v>-1250</v>
      </c>
      <c r="H28" s="6" t="s">
        <v>21</v>
      </c>
      <c r="I28" s="104" t="str">
        <f>VLOOKUP(H28,'FX-IR'!$B$20:$C$27,2,FALSE)</f>
        <v>USD.LIBOR.3M</v>
      </c>
      <c r="J28" s="104" t="s">
        <v>171</v>
      </c>
      <c r="K28" s="104" t="str">
        <f t="shared" ref="K28:K39" si="25">VLOOKUP(B28,AssetStatic,2,FALSE)</f>
        <v>2b</v>
      </c>
      <c r="L28" t="str" cm="1">
        <f t="array" aca="1" ref="L28" ca="1">_xll.QIns_CreateForward("EuOpt_Fwd_"&amp;ROW(),D28,B28,H28,0,G28,H28,J28,K28,I28)</f>
        <v>EuOpt_Fwd_28¬0</v>
      </c>
      <c r="M28" s="14" cm="1">
        <f t="array" aca="1" ref="M28" ca="1">_xll.QIns_ProductParRate(L28,AModel)</f>
        <v>1000000</v>
      </c>
      <c r="N28" s="11" t="str" cm="1">
        <f t="array" aca="1" ref="N28" ca="1">_xll.QModels_GetCompoVol(AModel,B28,H28,E28,D28)</f>
        <v>Curve with name CA not found</v>
      </c>
      <c r="O28" t="str" cm="1">
        <f t="array" aca="1" ref="O28" ca="1">_xll.QIns_CreateEuropeanOption("euOpt_"&amp;ROW(),D28,B28,H28,E28,F28,G28,H28,J28,K28,I28)</f>
        <v>euOpt_28¬0</v>
      </c>
      <c r="P28" s="21" cm="1">
        <f t="array" aca="1" ref="P28" ca="1">_xll.QIns_ProductPV(O28,AModel,H28)</f>
        <v>0</v>
      </c>
      <c r="Q28" t="str" cm="1">
        <f t="array" aca="1" ref="Q28" ca="1">IF(VLOOKUP(B28,AssetStatic,4,FALSE),_xll.QRisk_PortfolioFxDeltaSpecific("euOpt_DeltaA"&amp;ROW(),O28,AModel,B28,"ZAR",FALSE),_xll.QRisk_PortfolioDelta("euOpt_DeltaA"&amp;ROW(),O28,AModel,FALSE))</f>
        <v>euOpt_DeltaA28¬0</v>
      </c>
      <c r="R28" s="21" cm="1">
        <f t="array" aca="1" ref="R28" ca="1">_xll.QCube_SumAllRows(Q28)</f>
        <v>0</v>
      </c>
      <c r="S28" s="11">
        <f t="shared" ref="S28:S39" ca="1" si="26">R28/G28</f>
        <v>0</v>
      </c>
      <c r="T28" t="str" cm="1">
        <f t="array" aca="1" ref="T28" ca="1">_xll.QRisk_PortfolioVega("euopt_commVegaA"&amp;ROW(),O28,AModel,H28)</f>
        <v>euopt_commVegaA28¬0</v>
      </c>
      <c r="U28" s="21" cm="1">
        <f t="array" aca="1" ref="U28" ca="1">_xll.QCube_SumAllRows(T28)</f>
        <v>0</v>
      </c>
      <c r="V28" s="100">
        <f t="shared" ref="V28:V39" ca="1" si="27">U28/D28</f>
        <v>0</v>
      </c>
      <c r="W28" t="str" cm="1">
        <f t="array" aca="1" ref="W28" ca="1">_xll.QRisk_PortfolioFxVega("euOpt_fxVegaA"&amp;ROW(),O28,AModel,H28)</f>
        <v>euOpt_fxVegaA28¬0</v>
      </c>
      <c r="X28" s="21" cm="1">
        <f t="array" aca="1" ref="X28" ca="1">_xll.QCube_SumAllRows(W28)</f>
        <v>0</v>
      </c>
      <c r="Y28" s="100">
        <f t="shared" ref="Y28:Y39" ca="1" si="28">X28/G28</f>
        <v>0</v>
      </c>
      <c r="Z28" s="23">
        <f t="shared" ref="Z28:Z38" ca="1" si="29">P28+U28*5</f>
        <v>0</v>
      </c>
      <c r="AB28" s="176">
        <v>44062</v>
      </c>
      <c r="AC28" s="176"/>
      <c r="AD28" s="176"/>
      <c r="AE28" s="176"/>
      <c r="AF28" s="177">
        <v>1250</v>
      </c>
    </row>
    <row r="29" spans="1:39" x14ac:dyDescent="0.25">
      <c r="A29" s="6"/>
      <c r="B29" s="6" t="s">
        <v>108</v>
      </c>
      <c r="C29" s="102">
        <f t="shared" ref="C29:C39" ca="1" si="30">C16</f>
        <v>44088</v>
      </c>
      <c r="D29" s="102" cm="1">
        <f t="array" aca="1" ref="D29" ca="1">IF(_xll.QUtils_IsTenor(C29),_xll.QDates_AddPeriod(valDate,C29,"F","NYC"),C29)</f>
        <v>44088</v>
      </c>
      <c r="E29" s="103">
        <f t="shared" ref="E29:E39" si="31">$E$14</f>
        <v>6230</v>
      </c>
      <c r="F29" s="6" t="s">
        <v>166</v>
      </c>
      <c r="G29" s="103">
        <f t="shared" ref="G29:G39" si="32">-AF29</f>
        <v>-2000</v>
      </c>
      <c r="H29" s="6" t="s">
        <v>21</v>
      </c>
      <c r="I29" s="104" t="str">
        <f>VLOOKUP(H29,'FX-IR'!$B$20:$C$27,2,FALSE)</f>
        <v>USD.LIBOR.3M</v>
      </c>
      <c r="J29" s="104" t="s">
        <v>171</v>
      </c>
      <c r="K29" s="104" t="str">
        <f t="shared" si="25"/>
        <v>2b</v>
      </c>
      <c r="L29" t="str" cm="1">
        <f t="array" aca="1" ref="L29" ca="1">_xll.QIns_CreateForward("EuOpt_Fwd_"&amp;ROW(),D29,B29,H29,0,G29,H29,J29,K29,I29)</f>
        <v>EuOpt_Fwd_29¬0</v>
      </c>
      <c r="M29" s="14" cm="1">
        <f t="array" aca="1" ref="M29" ca="1">_xll.QIns_ProductParRate(L29,AModel)</f>
        <v>1000000</v>
      </c>
      <c r="N29" s="11" t="str" cm="1">
        <f t="array" aca="1" ref="N29" ca="1">_xll.QModels_GetCompoVol(AModel,B29,H29,E29,D29)</f>
        <v>Curve with name CA not found</v>
      </c>
      <c r="O29" t="str" cm="1">
        <f t="array" aca="1" ref="O29" ca="1">_xll.QIns_CreateEuropeanOption("euOpt_"&amp;ROW(),D29,B29,H29,E29,F29,G29,H29,J29,K29,I29)</f>
        <v>euOpt_29¬0</v>
      </c>
      <c r="P29" s="21" cm="1">
        <f t="array" aca="1" ref="P29" ca="1">_xll.QIns_ProductPV(O29,AModel,H29)</f>
        <v>0</v>
      </c>
      <c r="Q29" t="str" cm="1">
        <f t="array" aca="1" ref="Q29" ca="1">IF(VLOOKUP(B29,AssetStatic,4,FALSE),_xll.QRisk_PortfolioFxDeltaSpecific("euOpt_DeltaA"&amp;ROW(),O29,AModel,B29,"ZAR",FALSE),_xll.QRisk_PortfolioDelta("euOpt_DeltaA"&amp;ROW(),O29,AModel,FALSE))</f>
        <v>euOpt_DeltaA29¬0</v>
      </c>
      <c r="R29" s="21" cm="1">
        <f t="array" aca="1" ref="R29" ca="1">_xll.QCube_SumAllRows(Q29)</f>
        <v>0</v>
      </c>
      <c r="S29" s="11">
        <f t="shared" ca="1" si="26"/>
        <v>0</v>
      </c>
      <c r="T29" t="str" cm="1">
        <f t="array" aca="1" ref="T29" ca="1">_xll.QRisk_PortfolioVega("euopt_commVegaA"&amp;ROW(),O29,AModel,H29)</f>
        <v>euopt_commVegaA29¬0</v>
      </c>
      <c r="U29" s="21" cm="1">
        <f t="array" aca="1" ref="U29" ca="1">_xll.QCube_SumAllRows(T29)</f>
        <v>0</v>
      </c>
      <c r="V29" s="100">
        <f t="shared" ca="1" si="27"/>
        <v>0</v>
      </c>
      <c r="W29" t="str" cm="1">
        <f t="array" aca="1" ref="W29" ca="1">_xll.QRisk_PortfolioFxVega("euOpt_fxVegaA"&amp;ROW(),O29,AModel,H29)</f>
        <v>euOpt_fxVegaA29¬0</v>
      </c>
      <c r="X29" s="21" cm="1">
        <f t="array" aca="1" ref="X29" ca="1">_xll.QCube_SumAllRows(W29)</f>
        <v>0</v>
      </c>
      <c r="Y29" s="100">
        <f t="shared" ca="1" si="28"/>
        <v>0</v>
      </c>
      <c r="Z29" s="23">
        <f t="shared" ca="1" si="29"/>
        <v>0</v>
      </c>
      <c r="AB29" s="176">
        <v>44090</v>
      </c>
      <c r="AC29" s="176"/>
      <c r="AD29" s="176"/>
      <c r="AE29" s="176"/>
      <c r="AF29" s="177">
        <v>2000</v>
      </c>
    </row>
    <row r="30" spans="1:39" x14ac:dyDescent="0.25">
      <c r="A30" s="6"/>
      <c r="B30" s="6" t="s">
        <v>108</v>
      </c>
      <c r="C30" s="102">
        <f t="shared" ca="1" si="30"/>
        <v>44123</v>
      </c>
      <c r="D30" s="102" cm="1">
        <f t="array" aca="1" ref="D30" ca="1">IF(_xll.QUtils_IsTenor(C30),_xll.QDates_AddPeriod(valDate,C30,"F","NYC"),C30)</f>
        <v>44123</v>
      </c>
      <c r="E30" s="103">
        <f t="shared" si="31"/>
        <v>6230</v>
      </c>
      <c r="F30" s="6" t="s">
        <v>166</v>
      </c>
      <c r="G30" s="103">
        <f t="shared" si="32"/>
        <v>-2000</v>
      </c>
      <c r="H30" s="6" t="s">
        <v>21</v>
      </c>
      <c r="I30" s="104" t="str">
        <f>VLOOKUP(H30,'FX-IR'!$B$20:$C$27,2,FALSE)</f>
        <v>USD.LIBOR.3M</v>
      </c>
      <c r="J30" s="104" t="s">
        <v>171</v>
      </c>
      <c r="K30" s="104" t="str">
        <f t="shared" si="25"/>
        <v>2b</v>
      </c>
      <c r="L30" t="str" cm="1">
        <f t="array" aca="1" ref="L30" ca="1">_xll.QIns_CreateForward("EuOpt_Fwd_"&amp;ROW(),D30,B30,H30,0,G30,H30,J30,K30,I30)</f>
        <v>EuOpt_Fwd_30¬0</v>
      </c>
      <c r="M30" s="14" cm="1">
        <f t="array" aca="1" ref="M30" ca="1">_xll.QIns_ProductParRate(L30,AModel)</f>
        <v>1000000</v>
      </c>
      <c r="N30" s="11" t="str" cm="1">
        <f t="array" aca="1" ref="N30" ca="1">_xll.QModels_GetCompoVol(AModel,B30,H30,E30,D30)</f>
        <v>Curve with name CA not found</v>
      </c>
      <c r="O30" t="str" cm="1">
        <f t="array" aca="1" ref="O30" ca="1">_xll.QIns_CreateEuropeanOption("euOpt_"&amp;ROW(),D30,B30,H30,E30,F30,G30,H30,J30,K30,I30)</f>
        <v>euOpt_30¬0</v>
      </c>
      <c r="P30" s="21" cm="1">
        <f t="array" aca="1" ref="P30" ca="1">_xll.QIns_ProductPV(O30,AModel,H30)</f>
        <v>0</v>
      </c>
      <c r="Q30" t="str" cm="1">
        <f t="array" aca="1" ref="Q30" ca="1">IF(VLOOKUP(B30,AssetStatic,4,FALSE),_xll.QRisk_PortfolioFxDeltaSpecific("euOpt_DeltaA"&amp;ROW(),O30,AModel,B30,"ZAR",FALSE),_xll.QRisk_PortfolioDelta("euOpt_DeltaA"&amp;ROW(),O30,AModel,FALSE))</f>
        <v>euOpt_DeltaA30¬0</v>
      </c>
      <c r="R30" s="21" cm="1">
        <f t="array" aca="1" ref="R30" ca="1">_xll.QCube_SumAllRows(Q30)</f>
        <v>0</v>
      </c>
      <c r="S30" s="11">
        <f t="shared" ca="1" si="26"/>
        <v>0</v>
      </c>
      <c r="T30" t="str" cm="1">
        <f t="array" aca="1" ref="T30" ca="1">_xll.QRisk_PortfolioVega("euopt_commVegaA"&amp;ROW(),O30,AModel,H30)</f>
        <v>euopt_commVegaA30¬0</v>
      </c>
      <c r="U30" s="21" cm="1">
        <f t="array" aca="1" ref="U30" ca="1">_xll.QCube_SumAllRows(T30)</f>
        <v>0</v>
      </c>
      <c r="V30" s="100">
        <f t="shared" ca="1" si="27"/>
        <v>0</v>
      </c>
      <c r="W30" t="str" cm="1">
        <f t="array" aca="1" ref="W30" ca="1">_xll.QRisk_PortfolioFxVega("euOpt_fxVegaA"&amp;ROW(),O30,AModel,H30)</f>
        <v>euOpt_fxVegaA30¬0</v>
      </c>
      <c r="X30" s="21" cm="1">
        <f t="array" aca="1" ref="X30" ca="1">_xll.QCube_SumAllRows(W30)</f>
        <v>0</v>
      </c>
      <c r="Y30" s="100">
        <f t="shared" ca="1" si="28"/>
        <v>0</v>
      </c>
      <c r="Z30" s="23">
        <f t="shared" ca="1" si="29"/>
        <v>0</v>
      </c>
      <c r="AB30" s="176">
        <v>44125</v>
      </c>
      <c r="AC30" s="176"/>
      <c r="AD30" s="176"/>
      <c r="AE30" s="176"/>
      <c r="AF30" s="177">
        <v>2000</v>
      </c>
    </row>
    <row r="31" spans="1:39" x14ac:dyDescent="0.25">
      <c r="A31" s="6"/>
      <c r="B31" s="6" t="s">
        <v>108</v>
      </c>
      <c r="C31" s="102">
        <f t="shared" ca="1" si="30"/>
        <v>44151</v>
      </c>
      <c r="D31" s="102" cm="1">
        <f t="array" aca="1" ref="D31" ca="1">IF(_xll.QUtils_IsTenor(C31),_xll.QDates_AddPeriod(valDate,C31,"F","NYC"),C31)</f>
        <v>44151</v>
      </c>
      <c r="E31" s="103">
        <f t="shared" si="31"/>
        <v>6230</v>
      </c>
      <c r="F31" s="6" t="s">
        <v>166</v>
      </c>
      <c r="G31" s="103">
        <f t="shared" si="32"/>
        <v>-2000</v>
      </c>
      <c r="H31" s="6" t="s">
        <v>21</v>
      </c>
      <c r="I31" s="104" t="str">
        <f>VLOOKUP(H31,'FX-IR'!$B$20:$C$27,2,FALSE)</f>
        <v>USD.LIBOR.3M</v>
      </c>
      <c r="J31" s="104" t="s">
        <v>171</v>
      </c>
      <c r="K31" s="104" t="str">
        <f t="shared" si="25"/>
        <v>2b</v>
      </c>
      <c r="L31" t="str" cm="1">
        <f t="array" aca="1" ref="L31" ca="1">_xll.QIns_CreateForward("EuOpt_Fwd_"&amp;ROW(),D31,B31,H31,0,G31,H31,J31,K31,I31)</f>
        <v>EuOpt_Fwd_31¬0</v>
      </c>
      <c r="M31" s="14" cm="1">
        <f t="array" aca="1" ref="M31" ca="1">_xll.QIns_ProductParRate(L31,AModel)</f>
        <v>1000000</v>
      </c>
      <c r="N31" s="11" t="str" cm="1">
        <f t="array" aca="1" ref="N31" ca="1">_xll.QModels_GetCompoVol(AModel,B31,H31,E31,D31)</f>
        <v>Curve with name CA not found</v>
      </c>
      <c r="O31" t="str" cm="1">
        <f t="array" aca="1" ref="O31" ca="1">_xll.QIns_CreateEuropeanOption("euOpt_"&amp;ROW(),D31,B31,H31,E31,F31,G31,H31,J31,K31,I31)</f>
        <v>euOpt_31¬0</v>
      </c>
      <c r="P31" s="21" cm="1">
        <f t="array" aca="1" ref="P31" ca="1">_xll.QIns_ProductPV(O31,AModel,H31)</f>
        <v>0</v>
      </c>
      <c r="Q31" t="str" cm="1">
        <f t="array" aca="1" ref="Q31" ca="1">IF(VLOOKUP(B31,AssetStatic,4,FALSE),_xll.QRisk_PortfolioFxDeltaSpecific("euOpt_DeltaA"&amp;ROW(),O31,AModel,B31,"ZAR",FALSE),_xll.QRisk_PortfolioDelta("euOpt_DeltaA"&amp;ROW(),O31,AModel,FALSE))</f>
        <v>euOpt_DeltaA31¬0</v>
      </c>
      <c r="R31" s="21" cm="1">
        <f t="array" aca="1" ref="R31" ca="1">_xll.QCube_SumAllRows(Q31)</f>
        <v>0</v>
      </c>
      <c r="S31" s="11">
        <f t="shared" ca="1" si="26"/>
        <v>0</v>
      </c>
      <c r="T31" t="str" cm="1">
        <f t="array" aca="1" ref="T31" ca="1">_xll.QRisk_PortfolioVega("euopt_commVegaA"&amp;ROW(),O31,AModel,H31)</f>
        <v>euopt_commVegaA31¬0</v>
      </c>
      <c r="U31" s="21" cm="1">
        <f t="array" aca="1" ref="U31" ca="1">_xll.QCube_SumAllRows(T31)</f>
        <v>0</v>
      </c>
      <c r="V31" s="100">
        <f t="shared" ca="1" si="27"/>
        <v>0</v>
      </c>
      <c r="W31" t="str" cm="1">
        <f t="array" aca="1" ref="W31" ca="1">_xll.QRisk_PortfolioFxVega("euOpt_fxVegaA"&amp;ROW(),O31,AModel,H31)</f>
        <v>euOpt_fxVegaA31¬0</v>
      </c>
      <c r="X31" s="21" cm="1">
        <f t="array" aca="1" ref="X31" ca="1">_xll.QCube_SumAllRows(W31)</f>
        <v>0</v>
      </c>
      <c r="Y31" s="100">
        <f t="shared" ca="1" si="28"/>
        <v>0</v>
      </c>
      <c r="Z31" s="23">
        <f t="shared" ca="1" si="29"/>
        <v>0</v>
      </c>
      <c r="AB31" s="176">
        <v>44153</v>
      </c>
      <c r="AC31" s="176"/>
      <c r="AD31" s="176"/>
      <c r="AE31" s="176"/>
      <c r="AF31" s="177">
        <v>2000</v>
      </c>
    </row>
    <row r="32" spans="1:39" x14ac:dyDescent="0.25">
      <c r="A32" s="6"/>
      <c r="B32" s="6" t="s">
        <v>108</v>
      </c>
      <c r="C32" s="102">
        <f t="shared" ca="1" si="30"/>
        <v>44179</v>
      </c>
      <c r="D32" s="102" cm="1">
        <f t="array" aca="1" ref="D32" ca="1">IF(_xll.QUtils_IsTenor(C32),_xll.QDates_AddPeriod(valDate,C32,"F","NYC"),C32)</f>
        <v>44179</v>
      </c>
      <c r="E32" s="103">
        <f t="shared" si="31"/>
        <v>6230</v>
      </c>
      <c r="F32" s="6" t="s">
        <v>166</v>
      </c>
      <c r="G32" s="103">
        <f t="shared" si="32"/>
        <v>-2000</v>
      </c>
      <c r="H32" s="6" t="s">
        <v>21</v>
      </c>
      <c r="I32" s="104" t="str">
        <f>VLOOKUP(H32,'FX-IR'!$B$20:$C$27,2,FALSE)</f>
        <v>USD.LIBOR.3M</v>
      </c>
      <c r="J32" s="104" t="s">
        <v>171</v>
      </c>
      <c r="K32" s="104" t="str">
        <f t="shared" si="25"/>
        <v>2b</v>
      </c>
      <c r="L32" t="str" cm="1">
        <f t="array" aca="1" ref="L32" ca="1">_xll.QIns_CreateForward("EuOpt_Fwd_"&amp;ROW(),D32,B32,H32,0,G32,H32,J32,K32,I32)</f>
        <v>EuOpt_Fwd_32¬0</v>
      </c>
      <c r="M32" s="14" cm="1">
        <f t="array" aca="1" ref="M32" ca="1">_xll.QIns_ProductParRate(L32,AModel)</f>
        <v>1000000</v>
      </c>
      <c r="N32" s="11" t="str" cm="1">
        <f t="array" aca="1" ref="N32" ca="1">_xll.QModels_GetCompoVol(AModel,B32,H32,E32,D32)</f>
        <v>Curve with name CA not found</v>
      </c>
      <c r="O32" t="str" cm="1">
        <f t="array" aca="1" ref="O32" ca="1">_xll.QIns_CreateEuropeanOption("euOpt_"&amp;ROW(),D32,B32,H32,E32,F32,G32,H32,J32,K32,I32)</f>
        <v>euOpt_32¬0</v>
      </c>
      <c r="P32" s="21" cm="1">
        <f t="array" aca="1" ref="P32" ca="1">_xll.QIns_ProductPV(O32,AModel,H32)</f>
        <v>0</v>
      </c>
      <c r="Q32" t="str" cm="1">
        <f t="array" aca="1" ref="Q32" ca="1">IF(VLOOKUP(B32,AssetStatic,4,FALSE),_xll.QRisk_PortfolioFxDeltaSpecific("euOpt_DeltaA"&amp;ROW(),O32,AModel,B32,"ZAR",FALSE),_xll.QRisk_PortfolioDelta("euOpt_DeltaA"&amp;ROW(),O32,AModel,FALSE))</f>
        <v>euOpt_DeltaA32¬0</v>
      </c>
      <c r="R32" s="21" cm="1">
        <f t="array" aca="1" ref="R32" ca="1">_xll.QCube_SumAllRows(Q32)</f>
        <v>0</v>
      </c>
      <c r="S32" s="11">
        <f t="shared" ca="1" si="26"/>
        <v>0</v>
      </c>
      <c r="T32" t="str" cm="1">
        <f t="array" aca="1" ref="T32" ca="1">_xll.QRisk_PortfolioVega("euopt_commVegaA"&amp;ROW(),O32,AModel,H32)</f>
        <v>euopt_commVegaA32¬0</v>
      </c>
      <c r="U32" s="21" cm="1">
        <f t="array" aca="1" ref="U32" ca="1">_xll.QCube_SumAllRows(T32)</f>
        <v>0</v>
      </c>
      <c r="V32" s="100">
        <f t="shared" ca="1" si="27"/>
        <v>0</v>
      </c>
      <c r="W32" t="str" cm="1">
        <f t="array" aca="1" ref="W32" ca="1">_xll.QRisk_PortfolioFxVega("euOpt_fxVegaA"&amp;ROW(),O32,AModel,H32)</f>
        <v>euOpt_fxVegaA32¬0</v>
      </c>
      <c r="X32" s="21" cm="1">
        <f t="array" aca="1" ref="X32" ca="1">_xll.QCube_SumAllRows(W32)</f>
        <v>0</v>
      </c>
      <c r="Y32" s="100">
        <f t="shared" ca="1" si="28"/>
        <v>0</v>
      </c>
      <c r="Z32" s="23">
        <f t="shared" ca="1" si="29"/>
        <v>0</v>
      </c>
      <c r="AB32" s="176">
        <v>44181</v>
      </c>
      <c r="AC32" s="176"/>
      <c r="AD32" s="176"/>
      <c r="AE32" s="176"/>
      <c r="AF32" s="177">
        <v>2000</v>
      </c>
    </row>
    <row r="33" spans="1:35" x14ac:dyDescent="0.25">
      <c r="A33" s="6"/>
      <c r="B33" s="6" t="s">
        <v>108</v>
      </c>
      <c r="C33" s="102">
        <f t="shared" ca="1" si="30"/>
        <v>44214</v>
      </c>
      <c r="D33" s="102" cm="1">
        <f t="array" aca="1" ref="D33" ca="1">IF(_xll.QUtils_IsTenor(C33),_xll.QDates_AddPeriod(valDate,C33,"F","NYC"),C33)</f>
        <v>44214</v>
      </c>
      <c r="E33" s="103">
        <f t="shared" si="31"/>
        <v>6230</v>
      </c>
      <c r="F33" s="6" t="s">
        <v>166</v>
      </c>
      <c r="G33" s="103">
        <f t="shared" si="32"/>
        <v>-2000</v>
      </c>
      <c r="H33" s="6" t="s">
        <v>21</v>
      </c>
      <c r="I33" s="104" t="str">
        <f>VLOOKUP(H33,'FX-IR'!$B$20:$C$27,2,FALSE)</f>
        <v>USD.LIBOR.3M</v>
      </c>
      <c r="J33" s="104" t="s">
        <v>171</v>
      </c>
      <c r="K33" s="104" t="str">
        <f t="shared" si="25"/>
        <v>2b</v>
      </c>
      <c r="L33" t="str" cm="1">
        <f t="array" aca="1" ref="L33" ca="1">_xll.QIns_CreateForward("EuOpt_Fwd_"&amp;ROW(),D33,B33,H33,0,G33,H33,J33,K33,I33)</f>
        <v>EuOpt_Fwd_33¬0</v>
      </c>
      <c r="M33" s="14" cm="1">
        <f t="array" aca="1" ref="M33" ca="1">_xll.QIns_ProductParRate(L33,AModel)</f>
        <v>1000000</v>
      </c>
      <c r="N33" s="11" t="str" cm="1">
        <f t="array" aca="1" ref="N33" ca="1">_xll.QModels_GetCompoVol(AModel,B33,H33,E33,D33)</f>
        <v>Curve with name CA not found</v>
      </c>
      <c r="O33" t="str" cm="1">
        <f t="array" aca="1" ref="O33" ca="1">_xll.QIns_CreateEuropeanOption("euOpt_"&amp;ROW(),D33,B33,H33,E33,F33,G33,H33,J33,K33,I33)</f>
        <v>euOpt_33¬0</v>
      </c>
      <c r="P33" s="21" cm="1">
        <f t="array" aca="1" ref="P33" ca="1">_xll.QIns_ProductPV(O33,AModel,H33)</f>
        <v>0</v>
      </c>
      <c r="Q33" t="str" cm="1">
        <f t="array" aca="1" ref="Q33" ca="1">IF(VLOOKUP(B33,AssetStatic,4,FALSE),_xll.QRisk_PortfolioFxDeltaSpecific("euOpt_DeltaA"&amp;ROW(),O33,AModel,B33,"ZAR",FALSE),_xll.QRisk_PortfolioDelta("euOpt_DeltaA"&amp;ROW(),O33,AModel,FALSE))</f>
        <v>euOpt_DeltaA33¬0</v>
      </c>
      <c r="R33" s="21" cm="1">
        <f t="array" aca="1" ref="R33" ca="1">_xll.QCube_SumAllRows(Q33)</f>
        <v>0</v>
      </c>
      <c r="S33" s="11">
        <f t="shared" ca="1" si="26"/>
        <v>0</v>
      </c>
      <c r="T33" t="str" cm="1">
        <f t="array" aca="1" ref="T33" ca="1">_xll.QRisk_PortfolioVega("euopt_commVegaA"&amp;ROW(),O33,AModel,H33)</f>
        <v>euopt_commVegaA33¬0</v>
      </c>
      <c r="U33" s="21" cm="1">
        <f t="array" aca="1" ref="U33" ca="1">_xll.QCube_SumAllRows(T33)</f>
        <v>0</v>
      </c>
      <c r="V33" s="100">
        <f t="shared" ca="1" si="27"/>
        <v>0</v>
      </c>
      <c r="W33" t="str" cm="1">
        <f t="array" aca="1" ref="W33" ca="1">_xll.QRisk_PortfolioFxVega("euOpt_fxVegaA"&amp;ROW(),O33,AModel,H33)</f>
        <v>euOpt_fxVegaA33¬0</v>
      </c>
      <c r="X33" s="21" cm="1">
        <f t="array" aca="1" ref="X33" ca="1">_xll.QCube_SumAllRows(W33)</f>
        <v>0</v>
      </c>
      <c r="Y33" s="100">
        <f t="shared" ca="1" si="28"/>
        <v>0</v>
      </c>
      <c r="Z33" s="23">
        <f t="shared" ca="1" si="29"/>
        <v>0</v>
      </c>
      <c r="AB33" s="176">
        <v>44216</v>
      </c>
      <c r="AC33" s="176"/>
      <c r="AD33" s="176"/>
      <c r="AE33" s="176"/>
      <c r="AF33" s="177">
        <v>2000</v>
      </c>
    </row>
    <row r="34" spans="1:35" x14ac:dyDescent="0.25">
      <c r="A34" s="6"/>
      <c r="B34" s="6" t="s">
        <v>108</v>
      </c>
      <c r="C34" s="102">
        <f t="shared" ca="1" si="30"/>
        <v>44242</v>
      </c>
      <c r="D34" s="102" cm="1">
        <f t="array" aca="1" ref="D34" ca="1">IF(_xll.QUtils_IsTenor(C34),_xll.QDates_AddPeriod(valDate,C34,"F","NYC"),C34)</f>
        <v>44242</v>
      </c>
      <c r="E34" s="103">
        <f t="shared" si="31"/>
        <v>6230</v>
      </c>
      <c r="F34" s="6" t="s">
        <v>166</v>
      </c>
      <c r="G34" s="103">
        <f t="shared" si="32"/>
        <v>-2000</v>
      </c>
      <c r="H34" s="6" t="s">
        <v>21</v>
      </c>
      <c r="I34" s="104" t="str">
        <f>VLOOKUP(H34,'FX-IR'!$B$20:$C$27,2,FALSE)</f>
        <v>USD.LIBOR.3M</v>
      </c>
      <c r="J34" s="104" t="s">
        <v>171</v>
      </c>
      <c r="K34" s="104" t="str">
        <f t="shared" si="25"/>
        <v>2b</v>
      </c>
      <c r="L34" t="str" cm="1">
        <f t="array" aca="1" ref="L34" ca="1">_xll.QIns_CreateForward("EuOpt_Fwd_"&amp;ROW(),D34,B34,H34,0,G34,H34,J34,K34,I34)</f>
        <v>EuOpt_Fwd_34¬0</v>
      </c>
      <c r="M34" s="14" t="str" cm="1">
        <f t="array" aca="1" ref="M34" ca="1">_xll.QIns_ProductParRate(L34,AModel)</f>
        <v>Curve with name CA not found</v>
      </c>
      <c r="N34" s="11" t="str" cm="1">
        <f t="array" aca="1" ref="N34" ca="1">_xll.QModels_GetCompoVol(AModel,B34,H34,E34,D34)</f>
        <v>Curve with name CA not found</v>
      </c>
      <c r="O34" t="str" cm="1">
        <f t="array" aca="1" ref="O34" ca="1">_xll.QIns_CreateEuropeanOption("euOpt_"&amp;ROW(),D34,B34,H34,E34,F34,G34,H34,J34,K34,I34)</f>
        <v>euOpt_34¬0</v>
      </c>
      <c r="P34" s="21" t="str" cm="1">
        <f t="array" aca="1" ref="P34" ca="1">_xll.QIns_ProductPV(O34,AModel,H34)</f>
        <v>Curve with name CA not found</v>
      </c>
      <c r="Q34" t="str" cm="1">
        <f t="array" aca="1" ref="Q34" ca="1">IF(VLOOKUP(B34,AssetStatic,4,FALSE),_xll.QRisk_PortfolioFxDeltaSpecific("euOpt_DeltaA"&amp;ROW(),O34,AModel,B34,"ZAR",FALSE),_xll.QRisk_PortfolioDelta("euOpt_DeltaA"&amp;ROW(),O34,AModel,FALSE))</f>
        <v>euOpt_DeltaA34¬0</v>
      </c>
      <c r="R34" s="21" cm="1">
        <f t="array" aca="1" ref="R34" ca="1">_xll.QCube_SumAllRows(Q34)</f>
        <v>0</v>
      </c>
      <c r="S34" s="11">
        <f t="shared" ca="1" si="26"/>
        <v>0</v>
      </c>
      <c r="T34" t="str" cm="1">
        <f t="array" aca="1" ref="T34" ca="1">_xll.QRisk_PortfolioVega("euopt_commVegaA"&amp;ROW(),O34,AModel,H34)</f>
        <v>euopt_commVegaA34¬0</v>
      </c>
      <c r="U34" s="21" cm="1">
        <f t="array" aca="1" ref="U34" ca="1">_xll.QCube_SumAllRows(T34)</f>
        <v>0</v>
      </c>
      <c r="V34" s="100">
        <f t="shared" ca="1" si="27"/>
        <v>0</v>
      </c>
      <c r="W34" t="str" cm="1">
        <f t="array" aca="1" ref="W34" ca="1">_xll.QRisk_PortfolioFxVega("euOpt_fxVegaA"&amp;ROW(),O34,AModel,H34)</f>
        <v>Curve with name CA not found</v>
      </c>
      <c r="X34" s="21" t="str" cm="1">
        <f t="array" aca="1" ref="X34" ca="1">_xll.QCube_SumAllRows(W34)</f>
        <v>Could not find cube Curve with name CA not found</v>
      </c>
      <c r="Y34" s="100" t="e">
        <f t="shared" ca="1" si="28"/>
        <v>#VALUE!</v>
      </c>
      <c r="Z34" s="23" t="e">
        <f t="shared" ca="1" si="29"/>
        <v>#VALUE!</v>
      </c>
      <c r="AB34" s="176">
        <v>44244</v>
      </c>
      <c r="AC34" s="176"/>
      <c r="AD34" s="176"/>
      <c r="AE34" s="176"/>
      <c r="AF34" s="177">
        <v>2000</v>
      </c>
    </row>
    <row r="35" spans="1:35" x14ac:dyDescent="0.25">
      <c r="A35" s="6"/>
      <c r="B35" s="6" t="s">
        <v>108</v>
      </c>
      <c r="C35" s="102">
        <f t="shared" ca="1" si="30"/>
        <v>44270</v>
      </c>
      <c r="D35" s="102" cm="1">
        <f t="array" aca="1" ref="D35" ca="1">IF(_xll.QUtils_IsTenor(C35),_xll.QDates_AddPeriod(valDate,C35,"F","NYC"),C35)</f>
        <v>44270</v>
      </c>
      <c r="E35" s="103">
        <f t="shared" si="31"/>
        <v>6230</v>
      </c>
      <c r="F35" s="6" t="s">
        <v>166</v>
      </c>
      <c r="G35" s="103">
        <f t="shared" si="32"/>
        <v>-2000</v>
      </c>
      <c r="H35" s="6" t="s">
        <v>21</v>
      </c>
      <c r="I35" s="104" t="str">
        <f>VLOOKUP(H35,'FX-IR'!$B$20:$C$27,2,FALSE)</f>
        <v>USD.LIBOR.3M</v>
      </c>
      <c r="J35" s="104" t="s">
        <v>171</v>
      </c>
      <c r="K35" s="104" t="str">
        <f t="shared" si="25"/>
        <v>2b</v>
      </c>
      <c r="L35" t="str" cm="1">
        <f t="array" aca="1" ref="L35" ca="1">_xll.QIns_CreateForward("EuOpt_Fwd_"&amp;ROW(),D35,B35,H35,0,G35,H35,J35,K35,I35)</f>
        <v>EuOpt_Fwd_35¬0</v>
      </c>
      <c r="M35" s="14" t="str" cm="1">
        <f t="array" aca="1" ref="M35" ca="1">_xll.QIns_ProductParRate(L35,AModel)</f>
        <v>Curve with name CA not found</v>
      </c>
      <c r="N35" s="11" t="str" cm="1">
        <f t="array" aca="1" ref="N35" ca="1">_xll.QModels_GetCompoVol(AModel,B35,H35,E35,D35)</f>
        <v>Curve with name CA not found</v>
      </c>
      <c r="O35" t="str" cm="1">
        <f t="array" aca="1" ref="O35" ca="1">_xll.QIns_CreateEuropeanOption("euOpt_"&amp;ROW(),D35,B35,H35,E35,F35,G35,H35,J35,K35,I35)</f>
        <v>euOpt_35¬0</v>
      </c>
      <c r="P35" s="21" t="str" cm="1">
        <f t="array" aca="1" ref="P35" ca="1">_xll.QIns_ProductPV(O35,AModel,H35)</f>
        <v>Curve with name CA not found</v>
      </c>
      <c r="Q35" t="str" cm="1">
        <f t="array" aca="1" ref="Q35" ca="1">IF(VLOOKUP(B35,AssetStatic,4,FALSE),_xll.QRisk_PortfolioFxDeltaSpecific("euOpt_DeltaA"&amp;ROW(),O35,AModel,B35,"ZAR",FALSE),_xll.QRisk_PortfolioDelta("euOpt_DeltaA"&amp;ROW(),O35,AModel,FALSE))</f>
        <v>euOpt_DeltaA35¬0</v>
      </c>
      <c r="R35" s="21" cm="1">
        <f t="array" aca="1" ref="R35" ca="1">_xll.QCube_SumAllRows(Q35)</f>
        <v>0</v>
      </c>
      <c r="S35" s="11">
        <f t="shared" ca="1" si="26"/>
        <v>0</v>
      </c>
      <c r="T35" t="str" cm="1">
        <f t="array" aca="1" ref="T35" ca="1">_xll.QRisk_PortfolioVega("euopt_commVegaA"&amp;ROW(),O35,AModel,H35)</f>
        <v>euopt_commVegaA35¬0</v>
      </c>
      <c r="U35" s="21" cm="1">
        <f t="array" aca="1" ref="U35" ca="1">_xll.QCube_SumAllRows(T35)</f>
        <v>0</v>
      </c>
      <c r="V35" s="100">
        <f t="shared" ca="1" si="27"/>
        <v>0</v>
      </c>
      <c r="W35" t="str" cm="1">
        <f t="array" aca="1" ref="W35" ca="1">_xll.QRisk_PortfolioFxVega("euOpt_fxVegaA"&amp;ROW(),O35,AModel,H35)</f>
        <v>Curve with name CA not found</v>
      </c>
      <c r="X35" s="21" t="str" cm="1">
        <f t="array" aca="1" ref="X35" ca="1">_xll.QCube_SumAllRows(W35)</f>
        <v>Could not find cube Curve with name CA not found</v>
      </c>
      <c r="Y35" s="100" t="e">
        <f t="shared" ca="1" si="28"/>
        <v>#VALUE!</v>
      </c>
      <c r="Z35" s="23" t="e">
        <f t="shared" ca="1" si="29"/>
        <v>#VALUE!</v>
      </c>
      <c r="AB35" s="176">
        <v>44272</v>
      </c>
      <c r="AC35" s="176"/>
      <c r="AD35" s="176"/>
      <c r="AE35" s="176"/>
      <c r="AF35" s="177">
        <v>2000</v>
      </c>
    </row>
    <row r="36" spans="1:35" x14ac:dyDescent="0.25">
      <c r="A36" s="6"/>
      <c r="B36" s="6" t="s">
        <v>108</v>
      </c>
      <c r="C36" s="102">
        <f t="shared" ca="1" si="30"/>
        <v>44305</v>
      </c>
      <c r="D36" s="102" cm="1">
        <f t="array" aca="1" ref="D36" ca="1">IF(_xll.QUtils_IsTenor(C36),_xll.QDates_AddPeriod(valDate,C36,"F","NYC"),C36)</f>
        <v>44305</v>
      </c>
      <c r="E36" s="103">
        <f t="shared" si="31"/>
        <v>6230</v>
      </c>
      <c r="F36" s="6" t="s">
        <v>166</v>
      </c>
      <c r="G36" s="103">
        <f t="shared" si="32"/>
        <v>-2000</v>
      </c>
      <c r="H36" s="6" t="s">
        <v>21</v>
      </c>
      <c r="I36" s="104" t="str">
        <f>VLOOKUP(H36,'FX-IR'!$B$20:$C$27,2,FALSE)</f>
        <v>USD.LIBOR.3M</v>
      </c>
      <c r="J36" s="104" t="s">
        <v>171</v>
      </c>
      <c r="K36" s="104" t="str">
        <f t="shared" si="25"/>
        <v>2b</v>
      </c>
      <c r="L36" t="str" cm="1">
        <f t="array" aca="1" ref="L36" ca="1">_xll.QIns_CreateForward("EuOpt_Fwd_"&amp;ROW(),D36,B36,H36,0,G36,H36,J36,K36,I36)</f>
        <v>EuOpt_Fwd_36¬0</v>
      </c>
      <c r="M36" s="14" t="str" cm="1">
        <f t="array" aca="1" ref="M36" ca="1">_xll.QIns_ProductParRate(L36,AModel)</f>
        <v>Curve with name CA not found</v>
      </c>
      <c r="N36" s="11" t="str" cm="1">
        <f t="array" aca="1" ref="N36" ca="1">_xll.QModels_GetCompoVol(AModel,B36,H36,E36,D36)</f>
        <v>Curve with name CA not found</v>
      </c>
      <c r="O36" t="str" cm="1">
        <f t="array" aca="1" ref="O36" ca="1">_xll.QIns_CreateEuropeanOption("euOpt_"&amp;ROW(),D36,B36,H36,E36,F36,G36,H36,J36,K36,I36)</f>
        <v>euOpt_36¬0</v>
      </c>
      <c r="P36" s="21" t="str" cm="1">
        <f t="array" aca="1" ref="P36" ca="1">_xll.QIns_ProductPV(O36,AModel,H36)</f>
        <v>Curve with name CA not found</v>
      </c>
      <c r="Q36" t="str" cm="1">
        <f t="array" aca="1" ref="Q36" ca="1">IF(VLOOKUP(B36,AssetStatic,4,FALSE),_xll.QRisk_PortfolioFxDeltaSpecific("euOpt_DeltaA"&amp;ROW(),O36,AModel,B36,"ZAR",FALSE),_xll.QRisk_PortfolioDelta("euOpt_DeltaA"&amp;ROW(),O36,AModel,FALSE))</f>
        <v>euOpt_DeltaA36¬0</v>
      </c>
      <c r="R36" s="21" cm="1">
        <f t="array" aca="1" ref="R36" ca="1">_xll.QCube_SumAllRows(Q36)</f>
        <v>0</v>
      </c>
      <c r="S36" s="11">
        <f t="shared" ca="1" si="26"/>
        <v>0</v>
      </c>
      <c r="T36" t="str" cm="1">
        <f t="array" aca="1" ref="T36" ca="1">_xll.QRisk_PortfolioVega("euopt_commVegaA"&amp;ROW(),O36,AModel,H36)</f>
        <v>euopt_commVegaA36¬18</v>
      </c>
      <c r="U36" s="21" cm="1">
        <f t="array" aca="1" ref="U36" ca="1">_xll.QCube_SumAllRows(T36)</f>
        <v>0</v>
      </c>
      <c r="V36" s="100">
        <f t="shared" ca="1" si="27"/>
        <v>0</v>
      </c>
      <c r="W36" t="str" cm="1">
        <f t="array" aca="1" ref="W36" ca="1">_xll.QRisk_PortfolioFxVega("euOpt_fxVegaA"&amp;ROW(),O36,AModel,H36)</f>
        <v>Curve with name CA not found</v>
      </c>
      <c r="X36" s="21" t="str" cm="1">
        <f t="array" aca="1" ref="X36" ca="1">_xll.QCube_SumAllRows(W36)</f>
        <v>Could not find cube Curve with name CA not found</v>
      </c>
      <c r="Y36" s="100" t="e">
        <f t="shared" ca="1" si="28"/>
        <v>#VALUE!</v>
      </c>
      <c r="Z36" s="23" t="e">
        <f t="shared" ca="1" si="29"/>
        <v>#VALUE!</v>
      </c>
      <c r="AB36" s="176">
        <v>44307</v>
      </c>
      <c r="AC36" s="176"/>
      <c r="AD36" s="176"/>
      <c r="AE36" s="176"/>
      <c r="AF36" s="177">
        <v>2000</v>
      </c>
      <c r="AH36" s="23">
        <f ca="1">SUM(R15:R26)</f>
        <v>0</v>
      </c>
      <c r="AI36">
        <f ca="1">AH36/SUM(G15:G26)</f>
        <v>0</v>
      </c>
    </row>
    <row r="37" spans="1:35" x14ac:dyDescent="0.25">
      <c r="A37" s="6"/>
      <c r="B37" s="6" t="s">
        <v>108</v>
      </c>
      <c r="C37" s="102">
        <f t="shared" ca="1" si="30"/>
        <v>44333</v>
      </c>
      <c r="D37" s="102" cm="1">
        <f t="array" aca="1" ref="D37" ca="1">IF(_xll.QUtils_IsTenor(C37),_xll.QDates_AddPeriod(valDate,C37,"F","NYC"),C37)</f>
        <v>44333</v>
      </c>
      <c r="E37" s="103">
        <f t="shared" si="31"/>
        <v>6230</v>
      </c>
      <c r="F37" s="6" t="s">
        <v>166</v>
      </c>
      <c r="G37" s="103">
        <f t="shared" si="32"/>
        <v>-2000</v>
      </c>
      <c r="H37" s="6" t="s">
        <v>21</v>
      </c>
      <c r="I37" s="104" t="str">
        <f>VLOOKUP(H37,'FX-IR'!$B$20:$C$27,2,FALSE)</f>
        <v>USD.LIBOR.3M</v>
      </c>
      <c r="J37" s="104" t="s">
        <v>171</v>
      </c>
      <c r="K37" s="104" t="str">
        <f t="shared" si="25"/>
        <v>2b</v>
      </c>
      <c r="L37" t="str" cm="1">
        <f t="array" aca="1" ref="L37" ca="1">_xll.QIns_CreateForward("EuOpt_Fwd_"&amp;ROW(),D37,B37,H37,0,G37,H37,J37,K37,I37)</f>
        <v>EuOpt_Fwd_37¬0</v>
      </c>
      <c r="M37" s="14" t="str" cm="1">
        <f t="array" aca="1" ref="M37" ca="1">_xll.QIns_ProductParRate(L37,AModel)</f>
        <v>Curve with name CA not found</v>
      </c>
      <c r="N37" s="11" t="str" cm="1">
        <f t="array" aca="1" ref="N37" ca="1">_xll.QModels_GetCompoVol(AModel,B37,H37,E37,D37)</f>
        <v>Curve with name CA not found</v>
      </c>
      <c r="O37" t="str" cm="1">
        <f t="array" aca="1" ref="O37" ca="1">_xll.QIns_CreateEuropeanOption("euOpt_"&amp;ROW(),D37,B37,H37,E37,F37,G37,H37,J37,K37,I37)</f>
        <v>euOpt_37¬0</v>
      </c>
      <c r="P37" s="21" t="str" cm="1">
        <f t="array" aca="1" ref="P37" ca="1">_xll.QIns_ProductPV(O37,AModel,H37)</f>
        <v>Curve with name CA not found</v>
      </c>
      <c r="Q37" t="str" cm="1">
        <f t="array" aca="1" ref="Q37" ca="1">IF(VLOOKUP(B37,AssetStatic,4,FALSE),_xll.QRisk_PortfolioFxDeltaSpecific("euOpt_DeltaA"&amp;ROW(),O37,AModel,B37,"ZAR",FALSE),_xll.QRisk_PortfolioDelta("euOpt_DeltaA"&amp;ROW(),O37,AModel,FALSE))</f>
        <v>euOpt_DeltaA37¬0</v>
      </c>
      <c r="R37" s="21" cm="1">
        <f t="array" aca="1" ref="R37" ca="1">_xll.QCube_SumAllRows(Q37)</f>
        <v>0</v>
      </c>
      <c r="S37" s="11">
        <f t="shared" ca="1" si="26"/>
        <v>0</v>
      </c>
      <c r="T37" t="str" cm="1">
        <f t="array" aca="1" ref="T37" ca="1">_xll.QRisk_PortfolioVega("euopt_commVegaA"&amp;ROW(),O37,AModel,H37)</f>
        <v>euopt_commVegaA37¬18</v>
      </c>
      <c r="U37" s="21" cm="1">
        <f t="array" aca="1" ref="U37" ca="1">_xll.QCube_SumAllRows(T37)</f>
        <v>0</v>
      </c>
      <c r="V37" s="100">
        <f t="shared" ca="1" si="27"/>
        <v>0</v>
      </c>
      <c r="W37" t="str" cm="1">
        <f t="array" aca="1" ref="W37" ca="1">_xll.QRisk_PortfolioFxVega("euOpt_fxVegaA"&amp;ROW(),O37,AModel,H37)</f>
        <v>Curve with name CA not found</v>
      </c>
      <c r="X37" s="21" t="str" cm="1">
        <f t="array" aca="1" ref="X37" ca="1">_xll.QCube_SumAllRows(W37)</f>
        <v>Could not find cube Curve with name CA not found</v>
      </c>
      <c r="Y37" s="100" t="e">
        <f t="shared" ca="1" si="28"/>
        <v>#VALUE!</v>
      </c>
      <c r="Z37" s="23" t="e">
        <f t="shared" ca="1" si="29"/>
        <v>#VALUE!</v>
      </c>
      <c r="AB37" s="176">
        <v>44335</v>
      </c>
      <c r="AC37" s="176"/>
      <c r="AD37" s="176"/>
      <c r="AE37" s="176"/>
      <c r="AF37" s="177">
        <v>2000</v>
      </c>
      <c r="AH37" s="23">
        <f ca="1">SUM(R28:R39)</f>
        <v>0</v>
      </c>
      <c r="AI37">
        <f ca="1">AH37/SUM(G28:G39)</f>
        <v>0</v>
      </c>
    </row>
    <row r="38" spans="1:35" x14ac:dyDescent="0.25">
      <c r="A38" s="6"/>
      <c r="B38" s="6" t="s">
        <v>108</v>
      </c>
      <c r="C38" s="102">
        <f t="shared" ca="1" si="30"/>
        <v>44361</v>
      </c>
      <c r="D38" s="102" cm="1">
        <f t="array" aca="1" ref="D38" ca="1">IF(_xll.QUtils_IsTenor(C38),_xll.QDates_AddPeriod(valDate,C38,"F","NYC"),C38)</f>
        <v>44361</v>
      </c>
      <c r="E38" s="103">
        <f t="shared" si="31"/>
        <v>6230</v>
      </c>
      <c r="F38" s="6" t="s">
        <v>166</v>
      </c>
      <c r="G38" s="103">
        <f t="shared" si="32"/>
        <v>-2000</v>
      </c>
      <c r="H38" s="6" t="s">
        <v>21</v>
      </c>
      <c r="I38" s="104" t="str">
        <f>VLOOKUP(H38,'FX-IR'!$B$20:$C$27,2,FALSE)</f>
        <v>USD.LIBOR.3M</v>
      </c>
      <c r="J38" s="104" t="s">
        <v>171</v>
      </c>
      <c r="K38" s="104" t="str">
        <f t="shared" si="25"/>
        <v>2b</v>
      </c>
      <c r="L38" t="str" cm="1">
        <f t="array" aca="1" ref="L38" ca="1">_xll.QIns_CreateForward("EuOpt_Fwd_"&amp;ROW(),D38,B38,H38,0,G38,H38,J38,K38,I38)</f>
        <v>EuOpt_Fwd_38¬0</v>
      </c>
      <c r="M38" s="14" t="str" cm="1">
        <f t="array" aca="1" ref="M38" ca="1">_xll.QIns_ProductParRate(L38,AModel)</f>
        <v>Curve with name CA not found</v>
      </c>
      <c r="N38" s="11" t="str" cm="1">
        <f t="array" aca="1" ref="N38" ca="1">_xll.QModels_GetCompoVol(AModel,B38,H38,E38,D38)</f>
        <v>Curve with name CA not found</v>
      </c>
      <c r="O38" t="str" cm="1">
        <f t="array" aca="1" ref="O38" ca="1">_xll.QIns_CreateEuropeanOption("euOpt_"&amp;ROW(),D38,B38,H38,E38,F38,G38,H38,J38,K38,I38)</f>
        <v>euOpt_38¬0</v>
      </c>
      <c r="P38" s="21" t="str" cm="1">
        <f t="array" aca="1" ref="P38" ca="1">_xll.QIns_ProductPV(O38,AModel,H38)</f>
        <v>Curve with name CA not found</v>
      </c>
      <c r="Q38" t="str" cm="1">
        <f t="array" aca="1" ref="Q38" ca="1">IF(VLOOKUP(B38,AssetStatic,4,FALSE),_xll.QRisk_PortfolioFxDeltaSpecific("euOpt_DeltaA"&amp;ROW(),O38,AModel,B38,"ZAR",FALSE),_xll.QRisk_PortfolioDelta("euOpt_DeltaA"&amp;ROW(),O38,AModel,FALSE))</f>
        <v>euOpt_DeltaA38¬0</v>
      </c>
      <c r="R38" s="21" cm="1">
        <f t="array" aca="1" ref="R38" ca="1">_xll.QCube_SumAllRows(Q38)</f>
        <v>0</v>
      </c>
      <c r="S38" s="11">
        <f t="shared" ca="1" si="26"/>
        <v>0</v>
      </c>
      <c r="T38" t="str" cm="1">
        <f t="array" aca="1" ref="T38" ca="1">_xll.QRisk_PortfolioVega("euopt_commVegaA"&amp;ROW(),O38,AModel,H38)</f>
        <v>euopt_commVegaA38¬18</v>
      </c>
      <c r="U38" s="21" cm="1">
        <f t="array" aca="1" ref="U38" ca="1">_xll.QCube_SumAllRows(T38)</f>
        <v>0</v>
      </c>
      <c r="V38" s="100">
        <f t="shared" ca="1" si="27"/>
        <v>0</v>
      </c>
      <c r="W38" t="str" cm="1">
        <f t="array" aca="1" ref="W38" ca="1">_xll.QRisk_PortfolioFxVega("euOpt_fxVegaA"&amp;ROW(),O38,AModel,H38)</f>
        <v>Curve with name CA not found</v>
      </c>
      <c r="X38" s="21" t="str" cm="1">
        <f t="array" aca="1" ref="X38" ca="1">_xll.QCube_SumAllRows(W38)</f>
        <v>Could not find cube Curve with name CA not found</v>
      </c>
      <c r="Y38" s="100" t="e">
        <f t="shared" ca="1" si="28"/>
        <v>#VALUE!</v>
      </c>
      <c r="Z38" s="23" t="e">
        <f t="shared" ca="1" si="29"/>
        <v>#VALUE!</v>
      </c>
      <c r="AB38" s="176">
        <v>44363</v>
      </c>
      <c r="AC38" s="176"/>
      <c r="AD38" s="176"/>
      <c r="AE38" s="176"/>
      <c r="AF38" s="177">
        <v>2000</v>
      </c>
    </row>
    <row r="39" spans="1:35" x14ac:dyDescent="0.25">
      <c r="A39" s="6"/>
      <c r="B39" s="6" t="s">
        <v>108</v>
      </c>
      <c r="C39" s="102">
        <f t="shared" ca="1" si="30"/>
        <v>44396</v>
      </c>
      <c r="D39" s="102" cm="1">
        <f t="array" aca="1" ref="D39" ca="1">IF(_xll.QUtils_IsTenor(C39),_xll.QDates_AddPeriod(valDate,C39,"F","NYC"),C39)</f>
        <v>44396</v>
      </c>
      <c r="E39" s="103">
        <f t="shared" si="31"/>
        <v>6230</v>
      </c>
      <c r="F39" s="6" t="s">
        <v>166</v>
      </c>
      <c r="G39" s="103">
        <f t="shared" si="32"/>
        <v>-2000</v>
      </c>
      <c r="H39" s="6" t="s">
        <v>21</v>
      </c>
      <c r="I39" s="104" t="str">
        <f>VLOOKUP(H39,'FX-IR'!$B$20:$C$27,2,FALSE)</f>
        <v>USD.LIBOR.3M</v>
      </c>
      <c r="J39" s="104" t="s">
        <v>171</v>
      </c>
      <c r="K39" s="104" t="str">
        <f t="shared" si="25"/>
        <v>2b</v>
      </c>
      <c r="L39" t="str" cm="1">
        <f t="array" aca="1" ref="L39" ca="1">_xll.QIns_CreateForward("EuOpt_Fwd_"&amp;ROW(),D39,B39,H39,0,G39,H39,J39,K39,I39)</f>
        <v>EuOpt_Fwd_39¬0</v>
      </c>
      <c r="M39" s="14" t="str" cm="1">
        <f t="array" aca="1" ref="M39" ca="1">_xll.QIns_ProductParRate(L39,AModel)</f>
        <v>Curve with name CA not found</v>
      </c>
      <c r="N39" s="11" t="str" cm="1">
        <f t="array" aca="1" ref="N39" ca="1">_xll.QModels_GetCompoVol(AModel,B39,H39,E39,D39)</f>
        <v>Curve with name CA not found</v>
      </c>
      <c r="O39" t="str" cm="1">
        <f t="array" aca="1" ref="O39" ca="1">_xll.QIns_CreateEuropeanOption("euOpt_"&amp;ROW(),D39,B39,H39,E39,F39,G39,H39,J39,K39,I39)</f>
        <v>euOpt_39¬0</v>
      </c>
      <c r="P39" s="21" t="str" cm="1">
        <f t="array" aca="1" ref="P39" ca="1">_xll.QIns_ProductPV(O39,AModel,H39)</f>
        <v>Curve with name CA not found</v>
      </c>
      <c r="Q39" t="str" cm="1">
        <f t="array" aca="1" ref="Q39" ca="1">IF(VLOOKUP(B39,AssetStatic,4,FALSE),_xll.QRisk_PortfolioFxDeltaSpecific("euOpt_DeltaA"&amp;ROW(),O39,AModel,B39,"ZAR",FALSE),_xll.QRisk_PortfolioDelta("euOpt_DeltaA"&amp;ROW(),O39,AModel,FALSE))</f>
        <v>euOpt_DeltaA39¬0</v>
      </c>
      <c r="R39" s="21" cm="1">
        <f t="array" aca="1" ref="R39" ca="1">_xll.QCube_SumAllRows(Q39)</f>
        <v>0</v>
      </c>
      <c r="S39" s="11">
        <f t="shared" ca="1" si="26"/>
        <v>0</v>
      </c>
      <c r="T39" t="str" cm="1">
        <f t="array" aca="1" ref="T39" ca="1">_xll.QRisk_PortfolioVega("euopt_commVegaA"&amp;ROW(),O39,AModel,H39)</f>
        <v>euopt_commVegaA39¬18</v>
      </c>
      <c r="U39" s="21" cm="1">
        <f t="array" aca="1" ref="U39" ca="1">_xll.QCube_SumAllRows(T39)</f>
        <v>0</v>
      </c>
      <c r="V39" s="100">
        <f t="shared" ca="1" si="27"/>
        <v>0</v>
      </c>
      <c r="W39" t="str" cm="1">
        <f t="array" aca="1" ref="W39" ca="1">_xll.QRisk_PortfolioFxVega("euOpt_fxVegaA"&amp;ROW(),O39,AModel,H39)</f>
        <v>Curve with name CA not found</v>
      </c>
      <c r="X39" s="21" t="str" cm="1">
        <f t="array" aca="1" ref="X39" ca="1">_xll.QCube_SumAllRows(W39)</f>
        <v>Could not find cube Curve with name CA not found</v>
      </c>
      <c r="Y39" s="100" t="e">
        <f t="shared" ca="1" si="28"/>
        <v>#VALUE!</v>
      </c>
      <c r="Z39" s="23" t="e">
        <f ca="1">P39+U39*5</f>
        <v>#VALUE!</v>
      </c>
      <c r="AB39" s="176">
        <v>44398</v>
      </c>
      <c r="AC39" s="176"/>
      <c r="AD39" s="176"/>
      <c r="AE39" s="176"/>
      <c r="AF39" s="177">
        <v>2000</v>
      </c>
    </row>
    <row r="40" spans="1:35" x14ac:dyDescent="0.25">
      <c r="A40" s="6"/>
      <c r="B40" s="6"/>
      <c r="C40" s="102"/>
      <c r="D40" s="102"/>
      <c r="E40" s="103"/>
      <c r="F40" s="6"/>
      <c r="G40" s="103"/>
      <c r="H40" s="6"/>
      <c r="I40" s="104"/>
      <c r="J40" s="104"/>
      <c r="K40" s="104"/>
      <c r="M40" s="14"/>
      <c r="N40" s="180">
        <f ca="1">(C28-TODAY())/365</f>
        <v>-0.48767123287671232</v>
      </c>
      <c r="R40" s="21"/>
      <c r="S40" s="11"/>
      <c r="U40" s="21"/>
      <c r="V40" s="100"/>
      <c r="X40" s="21"/>
      <c r="Y40" s="100"/>
      <c r="Z40" s="23"/>
    </row>
    <row r="41" spans="1:35" x14ac:dyDescent="0.25">
      <c r="A41" s="6"/>
      <c r="B41" s="6"/>
      <c r="C41" s="102"/>
      <c r="D41" s="102"/>
      <c r="E41" s="103"/>
      <c r="F41" s="6"/>
      <c r="G41" s="103"/>
      <c r="H41" s="6"/>
      <c r="I41" s="104"/>
      <c r="J41" s="104"/>
      <c r="K41" s="104"/>
      <c r="M41" s="21"/>
      <c r="N41" s="181" t="e">
        <f ca="1">N28*SQRT(N40)</f>
        <v>#VALUE!</v>
      </c>
      <c r="P41" s="21" t="e">
        <f ca="1">N41*M28</f>
        <v>#VALUE!</v>
      </c>
      <c r="R41" s="23" t="e">
        <f ca="1">S41/P41</f>
        <v>#VALUE!</v>
      </c>
      <c r="S41" s="23">
        <f ca="1">M28-E14</f>
        <v>993770</v>
      </c>
    </row>
    <row r="42" spans="1:35" x14ac:dyDescent="0.25">
      <c r="A42" s="6"/>
      <c r="B42" s="6"/>
      <c r="C42" s="102" t="s">
        <v>306</v>
      </c>
      <c r="D42" s="102"/>
      <c r="E42" s="103">
        <v>1.7</v>
      </c>
      <c r="F42" s="6"/>
      <c r="G42" s="103"/>
      <c r="H42" s="6"/>
      <c r="I42" s="104"/>
      <c r="J42" s="104"/>
      <c r="K42" s="104"/>
      <c r="M42" s="161"/>
      <c r="N42" s="161"/>
      <c r="O42" s="162"/>
      <c r="P42" s="161">
        <f ca="1">SUM(P43:P64)/SUM(G54:G64)</f>
        <v>4.3980436526984885</v>
      </c>
    </row>
    <row r="43" spans="1:35" x14ac:dyDescent="0.25">
      <c r="A43" s="6"/>
      <c r="B43" s="6" t="s">
        <v>11</v>
      </c>
      <c r="C43" s="102">
        <v>44453</v>
      </c>
      <c r="D43" s="102" cm="1">
        <f t="array" aca="1" ref="D43" ca="1">IF(_xll.QUtils_IsTenor(C43),_xll.QDates_AddPeriod(valDate,C43,"F","NYC"),C43)</f>
        <v>44453</v>
      </c>
      <c r="E43" s="103">
        <v>23.4</v>
      </c>
      <c r="F43" s="6" t="s">
        <v>166</v>
      </c>
      <c r="G43" s="103">
        <v>-10000</v>
      </c>
      <c r="H43" s="6" t="s">
        <v>21</v>
      </c>
      <c r="I43" s="104" t="str">
        <f>VLOOKUP(H43,'FX-IR'!$B$20:$C$27,2,FALSE)</f>
        <v>USD.LIBOR.3M</v>
      </c>
      <c r="J43" s="104" t="s">
        <v>171</v>
      </c>
      <c r="K43" s="104" t="str">
        <f t="shared" ref="K43" si="33">VLOOKUP(B43,AssetStatic,2,FALSE)</f>
        <v>2b</v>
      </c>
      <c r="L43" t="str" cm="1">
        <f t="array" aca="1" ref="L43" ca="1">_xll.QIns_CreateForward("EuOpt_Fwd_"&amp;ROW(),D43,B43,H43,0,G43,H43,J43,K43,I43)</f>
        <v>EuOpt_Fwd_43¬0</v>
      </c>
      <c r="M43" s="14" cm="1">
        <f t="array" aca="1" ref="M43" ca="1">_xll.QIns_ProductParRate(L43,AModel)</f>
        <v>29.470523218675741</v>
      </c>
      <c r="N43" s="11" cm="1">
        <f t="array" aca="1" ref="N43" ca="1">_xll.QModels_GetCompoVol(AModel,B43,H43,E43,D43)</f>
        <v>0.40911801690952804</v>
      </c>
      <c r="O43" t="str" cm="1">
        <f t="array" aca="1" ref="O43" ca="1">_xll.QIns_CreateEuropeanOption("euOpt_"&amp;ROW(),D43,B43,H43,E43,F43,G43,H43,J43,K43,I43)</f>
        <v>euOpt_43¬0</v>
      </c>
      <c r="P43" s="21" cm="1">
        <f t="array" aca="1" ref="P43" ca="1">_xll.QIns_ProductPV(O43,AModel,H43)</f>
        <v>-11061.248400921238</v>
      </c>
      <c r="Q43" t="str" cm="1">
        <f t="array" aca="1" ref="Q43" ca="1">IF(VLOOKUP(B43,AssetStatic,4,FALSE),_xll.QRisk_PortfolioFxDeltaSpecific("euOpt_DeltaA"&amp;ROW(),O43,AModel,B43,"ZAR",FALSE),_xll.QRisk_PortfolioDelta("euOpt_DeltaA"&amp;ROW(),O43,AModel,FALSE))</f>
        <v>euOpt_DeltaA43¬0</v>
      </c>
      <c r="R43" s="21" cm="1">
        <f t="array" aca="1" ref="R43" ca="1">_xll.QCube_SumAllRows(Q43)</f>
        <v>1855.5080694375119</v>
      </c>
      <c r="S43" s="11">
        <f t="shared" ref="S43" ca="1" si="34">R43/G43</f>
        <v>-0.1855508069437512</v>
      </c>
      <c r="T43" t="str" cm="1">
        <f t="array" aca="1" ref="T43" ca="1">_xll.QRisk_PortfolioVega("euopt_commVegaA"&amp;ROW(),O43,AModel,H43)</f>
        <v>euopt_commVegaA43¬18</v>
      </c>
      <c r="U43" s="21" cm="1">
        <f t="array" aca="1" ref="U43" ca="1">_xll.QCube_SumAllRows(T43)</f>
        <v>0</v>
      </c>
      <c r="V43" s="100">
        <f t="shared" ref="V43" ca="1" si="35">U43/D43</f>
        <v>0</v>
      </c>
      <c r="X43" s="75">
        <v>44440</v>
      </c>
    </row>
    <row r="44" spans="1:35" x14ac:dyDescent="0.25">
      <c r="A44" s="6"/>
      <c r="B44" s="6" t="s">
        <v>11</v>
      </c>
      <c r="C44" s="102">
        <v>44495</v>
      </c>
      <c r="D44" s="102" cm="1">
        <f t="array" aca="1" ref="D44" ca="1">IF(_xll.QUtils_IsTenor(C44),_xll.QDates_AddPeriod(valDate,C44,"F","NYC"),C44)</f>
        <v>44495</v>
      </c>
      <c r="E44" s="103">
        <v>23.4</v>
      </c>
      <c r="F44" s="6" t="s">
        <v>166</v>
      </c>
      <c r="G44" s="103">
        <v>-10000</v>
      </c>
      <c r="H44" s="6" t="s">
        <v>21</v>
      </c>
      <c r="I44" s="104" t="str">
        <f>VLOOKUP(H44,'FX-IR'!$B$20:$C$27,2,FALSE)</f>
        <v>USD.LIBOR.3M</v>
      </c>
      <c r="J44" s="104" t="s">
        <v>171</v>
      </c>
      <c r="K44" s="104" t="str">
        <f t="shared" ref="K44:K52" si="36">VLOOKUP(B44,AssetStatic,2,FALSE)</f>
        <v>2b</v>
      </c>
      <c r="L44" t="str" cm="1">
        <f t="array" aca="1" ref="L44" ca="1">_xll.QIns_CreateForward("EuOpt_Fwd_"&amp;ROW(),D44,B44,H44,0,G44,H44,J44,K44,I44)</f>
        <v>EuOpt_Fwd_44¬0</v>
      </c>
      <c r="M44" s="14" cm="1">
        <f t="array" aca="1" ref="M44" ca="1">_xll.QIns_ProductParRate(L44,AModel)</f>
        <v>29.444609551090512</v>
      </c>
      <c r="N44" s="11" cm="1">
        <f t="array" aca="1" ref="N44" ca="1">_xll.QModels_GetCompoVol(AModel,B44,H44,E44,D44)</f>
        <v>0.40942693483577708</v>
      </c>
      <c r="O44" t="str" cm="1">
        <f t="array" aca="1" ref="O44" ca="1">_xll.QIns_CreateEuropeanOption("euOpt_"&amp;ROW(),D44,B44,H44,E44,F44,G44,H44,J44,K44,I44)</f>
        <v>euOpt_44¬0</v>
      </c>
      <c r="P44" s="21" cm="1">
        <f t="array" aca="1" ref="P44" ca="1">_xll.QIns_ProductPV(O44,AModel,H44)</f>
        <v>-13494.038636458259</v>
      </c>
      <c r="Q44" t="str" cm="1">
        <f t="array" aca="1" ref="Q44" ca="1">IF(VLOOKUP(B44,AssetStatic,4,FALSE),_xll.QRisk_PortfolioFxDeltaSpecific("euOpt_DeltaA"&amp;ROW(),O44,AModel,B44,"ZAR",FALSE),_xll.QRisk_PortfolioDelta("euOpt_DeltaA"&amp;ROW(),O44,AModel,FALSE))</f>
        <v>euOpt_DeltaA44¬0</v>
      </c>
      <c r="R44" s="21" cm="1">
        <f t="array" aca="1" ref="R44" ca="1">_xll.QCube_SumAllRows(Q44)</f>
        <v>1991.6714035827697</v>
      </c>
      <c r="S44" s="11">
        <f t="shared" ref="S44:S52" ca="1" si="37">R44/G44</f>
        <v>-0.19916714035827696</v>
      </c>
      <c r="T44" t="str" cm="1">
        <f t="array" aca="1" ref="T44" ca="1">_xll.QRisk_PortfolioVega("euopt_commVegaA"&amp;ROW(),O44,AModel,H44)</f>
        <v>euopt_commVegaA44¬18</v>
      </c>
      <c r="U44" s="21" cm="1">
        <f t="array" aca="1" ref="U44" ca="1">_xll.QCube_SumAllRows(T44)</f>
        <v>0</v>
      </c>
      <c r="V44" s="100">
        <f t="shared" ref="V44:V52" ca="1" si="38">U44/D44</f>
        <v>0</v>
      </c>
      <c r="X44" s="75">
        <v>44470</v>
      </c>
    </row>
    <row r="45" spans="1:35" x14ac:dyDescent="0.25">
      <c r="A45" s="6"/>
      <c r="B45" s="6" t="s">
        <v>11</v>
      </c>
      <c r="C45" s="102">
        <v>44525</v>
      </c>
      <c r="D45" s="102" cm="1">
        <f t="array" aca="1" ref="D45" ca="1">IF(_xll.QUtils_IsTenor(C45),_xll.QDates_AddPeriod(valDate,C45,"F","NYC"),C45)</f>
        <v>44525</v>
      </c>
      <c r="E45" s="103">
        <v>23.4</v>
      </c>
      <c r="F45" s="6" t="s">
        <v>166</v>
      </c>
      <c r="G45" s="103">
        <v>-10000</v>
      </c>
      <c r="H45" s="6" t="s">
        <v>21</v>
      </c>
      <c r="I45" s="104" t="str">
        <f>VLOOKUP(H45,'FX-IR'!$B$20:$C$27,2,FALSE)</f>
        <v>USD.LIBOR.3M</v>
      </c>
      <c r="J45" s="104" t="s">
        <v>171</v>
      </c>
      <c r="K45" s="104" t="str">
        <f t="shared" si="36"/>
        <v>2b</v>
      </c>
      <c r="L45" t="str" cm="1">
        <f t="array" aca="1" ref="L45" ca="1">_xll.QIns_CreateForward("EuOpt_Fwd_"&amp;ROW(),D45,B45,H45,0,G45,H45,J45,K45,I45)</f>
        <v>EuOpt_Fwd_45¬0</v>
      </c>
      <c r="M45" s="14" cm="1">
        <f t="array" aca="1" ref="M45" ca="1">_xll.QIns_ProductParRate(L45,AModel)</f>
        <v>29.425985337713097</v>
      </c>
      <c r="N45" s="11" cm="1">
        <f t="array" aca="1" ref="N45" ca="1">_xll.QModels_GetCompoVol(AModel,B45,H45,E45,D45)</f>
        <v>0.40937439850973806</v>
      </c>
      <c r="O45" t="str" cm="1">
        <f t="array" aca="1" ref="O45" ca="1">_xll.QIns_CreateEuropeanOption("euOpt_"&amp;ROW(),D45,B45,H45,E45,F45,G45,H45,J45,K45,I45)</f>
        <v>euOpt_45¬0</v>
      </c>
      <c r="P45" s="21" cm="1">
        <f t="array" aca="1" ref="P45" ca="1">_xll.QIns_ProductPV(O45,AModel,H45)</f>
        <v>-15150.124924407786</v>
      </c>
      <c r="Q45" t="str" cm="1">
        <f t="array" aca="1" ref="Q45" ca="1">IF(VLOOKUP(B45,AssetStatic,4,FALSE),_xll.QRisk_PortfolioFxDeltaSpecific("euOpt_DeltaA"&amp;ROW(),O45,AModel,B45,"ZAR",FALSE),_xll.QRisk_PortfolioDelta("euOpt_DeltaA"&amp;ROW(),O45,AModel,FALSE))</f>
        <v>euOpt_DeltaA45¬0</v>
      </c>
      <c r="R45" s="21" cm="1">
        <f t="array" aca="1" ref="R45" ca="1">_xll.QCube_SumAllRows(Q45)</f>
        <v>2068.1175609017255</v>
      </c>
      <c r="S45" s="11">
        <f t="shared" ca="1" si="37"/>
        <v>-0.20681175609017255</v>
      </c>
      <c r="T45" t="str" cm="1">
        <f t="array" aca="1" ref="T45" ca="1">_xll.QRisk_PortfolioVega("euopt_commVegaA"&amp;ROW(),O45,AModel,H45)</f>
        <v>euopt_commVegaA45¬18</v>
      </c>
      <c r="U45" s="21" cm="1">
        <f t="array" aca="1" ref="U45" ca="1">_xll.QCube_SumAllRows(T45)</f>
        <v>0</v>
      </c>
      <c r="V45" s="100">
        <f t="shared" ca="1" si="38"/>
        <v>0</v>
      </c>
      <c r="X45" s="75">
        <v>44501</v>
      </c>
    </row>
    <row r="46" spans="1:35" x14ac:dyDescent="0.25">
      <c r="A46" s="6"/>
      <c r="B46" s="6" t="s">
        <v>11</v>
      </c>
      <c r="C46" s="102">
        <v>44546</v>
      </c>
      <c r="D46" s="102" cm="1">
        <f t="array" aca="1" ref="D46" ca="1">IF(_xll.QUtils_IsTenor(C46),_xll.QDates_AddPeriod(valDate,C46,"F","NYC"),C46)</f>
        <v>44546</v>
      </c>
      <c r="E46" s="103">
        <v>23.4</v>
      </c>
      <c r="F46" s="6" t="s">
        <v>166</v>
      </c>
      <c r="G46" s="103">
        <v>-10000</v>
      </c>
      <c r="H46" s="6" t="s">
        <v>21</v>
      </c>
      <c r="I46" s="104" t="str">
        <f>VLOOKUP(H46,'FX-IR'!$B$20:$C$27,2,FALSE)</f>
        <v>USD.LIBOR.3M</v>
      </c>
      <c r="J46" s="104" t="s">
        <v>171</v>
      </c>
      <c r="K46" s="104" t="str">
        <f t="shared" si="36"/>
        <v>2b</v>
      </c>
      <c r="L46" t="str" cm="1">
        <f t="array" aca="1" ref="L46" ca="1">_xll.QIns_CreateForward("EuOpt_Fwd_"&amp;ROW(),D46,B46,H46,0,G46,H46,J46,K46,I46)</f>
        <v>EuOpt_Fwd_46¬0</v>
      </c>
      <c r="M46" s="14" cm="1">
        <f t="array" aca="1" ref="M46" ca="1">_xll.QIns_ProductParRate(L46,AModel)</f>
        <v>29.41276029609449</v>
      </c>
      <c r="N46" s="11" cm="1">
        <f t="array" aca="1" ref="N46" ca="1">_xll.QModels_GetCompoVol(AModel,B46,H46,E46,D46)</f>
        <v>0.40915787762091615</v>
      </c>
      <c r="O46" t="str" cm="1">
        <f t="array" aca="1" ref="O46" ca="1">_xll.QIns_CreateEuropeanOption("euOpt_"&amp;ROW(),D46,B46,H46,E46,F46,G46,H46,J46,K46,I46)</f>
        <v>euOpt_46¬0</v>
      </c>
      <c r="P46" s="21" cm="1">
        <f t="array" aca="1" ref="P46" ca="1">_xll.QIns_ProductPV(O46,AModel,H46)</f>
        <v>-16264.957178216393</v>
      </c>
      <c r="Q46" t="str" cm="1">
        <f t="array" aca="1" ref="Q46" ca="1">IF(VLOOKUP(B46,AssetStatic,4,FALSE),_xll.QRisk_PortfolioFxDeltaSpecific("euOpt_DeltaA"&amp;ROW(),O46,AModel,B46,"ZAR",FALSE),_xll.QRisk_PortfolioDelta("euOpt_DeltaA"&amp;ROW(),O46,AModel,FALSE))</f>
        <v>euOpt_DeltaA46¬0</v>
      </c>
      <c r="R46" s="21" cm="1">
        <f t="array" aca="1" ref="R46" ca="1">_xll.QCube_SumAllRows(Q46)</f>
        <v>2113.5727220123235</v>
      </c>
      <c r="S46" s="11">
        <f t="shared" ca="1" si="37"/>
        <v>-0.21135727220123235</v>
      </c>
      <c r="T46" t="str" cm="1">
        <f t="array" aca="1" ref="T46" ca="1">_xll.QRisk_PortfolioVega("euopt_commVegaA"&amp;ROW(),O46,AModel,H46)</f>
        <v>euopt_commVegaA46¬18</v>
      </c>
      <c r="U46" s="21" cm="1">
        <f t="array" aca="1" ref="U46" ca="1">_xll.QCube_SumAllRows(T46)</f>
        <v>0</v>
      </c>
      <c r="V46" s="100">
        <f t="shared" ca="1" si="38"/>
        <v>0</v>
      </c>
      <c r="X46" s="75">
        <v>44531</v>
      </c>
    </row>
    <row r="47" spans="1:35" x14ac:dyDescent="0.25">
      <c r="A47" s="6"/>
      <c r="B47" s="6" t="s">
        <v>11</v>
      </c>
      <c r="C47" s="102">
        <v>44616</v>
      </c>
      <c r="D47" s="102" cm="1">
        <f t="array" aca="1" ref="D47" ca="1">IF(_xll.QUtils_IsTenor(C47),_xll.QDates_AddPeriod(valDate,C47,"F","NYC"),C47)</f>
        <v>44616</v>
      </c>
      <c r="E47" s="103">
        <v>23.4</v>
      </c>
      <c r="F47" s="6" t="s">
        <v>166</v>
      </c>
      <c r="G47" s="103">
        <v>-10000</v>
      </c>
      <c r="H47" s="6" t="s">
        <v>21</v>
      </c>
      <c r="I47" s="104" t="str">
        <f>VLOOKUP(H47,'FX-IR'!$B$20:$C$27,2,FALSE)</f>
        <v>USD.LIBOR.3M</v>
      </c>
      <c r="J47" s="104" t="s">
        <v>171</v>
      </c>
      <c r="K47" s="104" t="str">
        <f t="shared" si="36"/>
        <v>2b</v>
      </c>
      <c r="L47" t="str" cm="1">
        <f t="array" aca="1" ref="L47" ca="1">_xll.QIns_CreateForward("EuOpt_Fwd_"&amp;ROW(),D47,B47,H47,0,G47,H47,J47,K47,I47)</f>
        <v>EuOpt_Fwd_47¬0</v>
      </c>
      <c r="M47" s="14" cm="1">
        <f t="array" aca="1" ref="M47" ca="1">_xll.QIns_ProductParRate(L47,AModel)</f>
        <v>29.370135066807311</v>
      </c>
      <c r="N47" s="11" cm="1">
        <f t="array" aca="1" ref="N47" ca="1">_xll.QModels_GetCompoVol(AModel,B47,H47,E47,D47)</f>
        <v>0.40923919165419903</v>
      </c>
      <c r="O47" t="str" cm="1">
        <f t="array" aca="1" ref="O47" ca="1">_xll.QIns_CreateEuropeanOption("euOpt_"&amp;ROW(),D47,B47,H47,E47,F47,G47,H47,J47,K47,I47)</f>
        <v>euOpt_47¬0</v>
      </c>
      <c r="P47" s="21" cm="1">
        <f t="array" aca="1" ref="P47" ca="1">_xll.QIns_ProductPV(O47,AModel,H47)</f>
        <v>-19871.548113614634</v>
      </c>
      <c r="Q47" t="str" cm="1">
        <f t="array" aca="1" ref="Q47" ca="1">IF(VLOOKUP(B47,AssetStatic,4,FALSE),_xll.QRisk_PortfolioFxDeltaSpecific("euOpt_DeltaA"&amp;ROW(),O47,AModel,B47,"ZAR",FALSE),_xll.QRisk_PortfolioDelta("euOpt_DeltaA"&amp;ROW(),O47,AModel,FALSE))</f>
        <v>euOpt_DeltaA47¬0</v>
      </c>
      <c r="R47" s="21" cm="1">
        <f t="array" aca="1" ref="R47" ca="1">_xll.QCube_SumAllRows(Q47)</f>
        <v>2233.472743059554</v>
      </c>
      <c r="S47" s="11">
        <f t="shared" ca="1" si="37"/>
        <v>-0.22334727430595538</v>
      </c>
      <c r="T47" t="str" cm="1">
        <f t="array" aca="1" ref="T47" ca="1">_xll.QRisk_PortfolioVega("euopt_commVegaA"&amp;ROW(),O47,AModel,H47)</f>
        <v>euopt_commVegaA47¬18</v>
      </c>
      <c r="U47" s="21" cm="1">
        <f t="array" aca="1" ref="U47" ca="1">_xll.QCube_SumAllRows(T47)</f>
        <v>0</v>
      </c>
      <c r="V47" s="100">
        <f t="shared" ca="1" si="38"/>
        <v>0</v>
      </c>
      <c r="X47" s="75">
        <v>44562</v>
      </c>
    </row>
    <row r="48" spans="1:35" x14ac:dyDescent="0.25">
      <c r="A48" s="6"/>
      <c r="B48" s="6" t="s">
        <v>11</v>
      </c>
      <c r="C48" s="102">
        <v>44651</v>
      </c>
      <c r="D48" s="102" cm="1">
        <f t="array" aca="1" ref="D48" ca="1">IF(_xll.QUtils_IsTenor(C48),_xll.QDates_AddPeriod(valDate,C48,"F","NYC"),C48)</f>
        <v>44651</v>
      </c>
      <c r="E48" s="103">
        <v>23.4</v>
      </c>
      <c r="F48" s="6" t="s">
        <v>166</v>
      </c>
      <c r="G48" s="103">
        <v>-10000</v>
      </c>
      <c r="H48" s="6" t="s">
        <v>21</v>
      </c>
      <c r="I48" s="104" t="str">
        <f>VLOOKUP(H48,'FX-IR'!$B$20:$C$27,2,FALSE)</f>
        <v>USD.LIBOR.3M</v>
      </c>
      <c r="J48" s="104" t="s">
        <v>171</v>
      </c>
      <c r="K48" s="104" t="str">
        <f t="shared" si="36"/>
        <v>2b</v>
      </c>
      <c r="L48" t="str" cm="1">
        <f t="array" aca="1" ref="L48" ca="1">_xll.QIns_CreateForward("EuOpt_Fwd_"&amp;ROW(),D48,B48,H48,0,G48,H48,J48,K48,I48)</f>
        <v>EuOpt_Fwd_48¬0</v>
      </c>
      <c r="M48" s="14" cm="1">
        <f t="array" aca="1" ref="M48" ca="1">_xll.QIns_ProductParRate(L48,AModel)</f>
        <v>29.348706325163793</v>
      </c>
      <c r="N48" s="11" cm="1">
        <f t="array" aca="1" ref="N48" ca="1">_xll.QModels_GetCompoVol(AModel,B48,H48,E48,D48)</f>
        <v>0.41099373061210942</v>
      </c>
      <c r="O48" t="str" cm="1">
        <f t="array" aca="1" ref="O48" ca="1">_xll.QIns_CreateEuropeanOption("euOpt_"&amp;ROW(),D48,B48,H48,E48,F48,G48,H48,J48,K48,I48)</f>
        <v>euOpt_48¬0</v>
      </c>
      <c r="P48" s="21" cm="1">
        <f t="array" aca="1" ref="P48" ca="1">_xll.QIns_ProductPV(O48,AModel,H48)</f>
        <v>-21750.572340076287</v>
      </c>
      <c r="Q48" t="str" cm="1">
        <f t="array" aca="1" ref="Q48" ca="1">IF(VLOOKUP(B48,AssetStatic,4,FALSE),_xll.QRisk_PortfolioFxDeltaSpecific("euOpt_DeltaA"&amp;ROW(),O48,AModel,B48,"ZAR",FALSE),_xll.QRisk_PortfolioDelta("euOpt_DeltaA"&amp;ROW(),O48,AModel,FALSE))</f>
        <v>euOpt_DeltaA48¬0</v>
      </c>
      <c r="R48" s="21" cm="1">
        <f t="array" aca="1" ref="R48" ca="1">_xll.QCube_SumAllRows(Q48)</f>
        <v>2282.5529378771921</v>
      </c>
      <c r="S48" s="11">
        <f t="shared" ca="1" si="37"/>
        <v>-0.22825529378771922</v>
      </c>
      <c r="T48" t="str" cm="1">
        <f t="array" aca="1" ref="T48" ca="1">_xll.QRisk_PortfolioVega("euopt_commVegaA"&amp;ROW(),O48,AModel,H48)</f>
        <v>euopt_commVegaA48¬18</v>
      </c>
      <c r="U48" s="21" cm="1">
        <f t="array" aca="1" ref="U48" ca="1">_xll.QCube_SumAllRows(T48)</f>
        <v>0</v>
      </c>
      <c r="V48" s="100">
        <f t="shared" ca="1" si="38"/>
        <v>0</v>
      </c>
      <c r="X48" s="75">
        <v>44593</v>
      </c>
    </row>
    <row r="49" spans="1:24" x14ac:dyDescent="0.25">
      <c r="A49" s="6"/>
      <c r="B49" s="6" t="s">
        <v>11</v>
      </c>
      <c r="C49" s="102">
        <v>44680</v>
      </c>
      <c r="D49" s="102" cm="1">
        <f t="array" aca="1" ref="D49" ca="1">IF(_xll.QUtils_IsTenor(C49),_xll.QDates_AddPeriod(valDate,C49,"F","NYC"),C49)</f>
        <v>44680</v>
      </c>
      <c r="E49" s="103">
        <v>23.4</v>
      </c>
      <c r="F49" s="6" t="s">
        <v>166</v>
      </c>
      <c r="G49" s="103">
        <v>-10000</v>
      </c>
      <c r="H49" s="6" t="s">
        <v>21</v>
      </c>
      <c r="I49" s="104" t="str">
        <f>VLOOKUP(H49,'FX-IR'!$B$20:$C$27,2,FALSE)</f>
        <v>USD.LIBOR.3M</v>
      </c>
      <c r="J49" s="104" t="s">
        <v>171</v>
      </c>
      <c r="K49" s="104" t="str">
        <f t="shared" si="36"/>
        <v>2b</v>
      </c>
      <c r="L49" t="str" cm="1">
        <f t="array" aca="1" ref="L49" ca="1">_xll.QIns_CreateForward("EuOpt_Fwd_"&amp;ROW(),D49,B49,H49,0,G49,H49,J49,K49,I49)</f>
        <v>EuOpt_Fwd_49¬0</v>
      </c>
      <c r="M49" s="14" cm="1">
        <f t="array" aca="1" ref="M49" ca="1">_xll.QIns_ProductParRate(L49,AModel)</f>
        <v>29.330354303641048</v>
      </c>
      <c r="N49" s="11" cm="1">
        <f t="array" aca="1" ref="N49" ca="1">_xll.QModels_GetCompoVol(AModel,B49,H49,E49,D49)</f>
        <v>0.41223247161073384</v>
      </c>
      <c r="O49" t="str" cm="1">
        <f t="array" aca="1" ref="O49" ca="1">_xll.QIns_CreateEuropeanOption("euOpt_"&amp;ROW(),D49,B49,H49,E49,F49,G49,H49,J49,K49,I49)</f>
        <v>euOpt_49¬0</v>
      </c>
      <c r="P49" s="21" cm="1">
        <f t="array" aca="1" ref="P49" ca="1">_xll.QIns_ProductPV(O49,AModel,H49)</f>
        <v>-23260.636271272269</v>
      </c>
      <c r="Q49" t="str" cm="1">
        <f t="array" aca="1" ref="Q49" ca="1">IF(VLOOKUP(B49,AssetStatic,4,FALSE),_xll.QRisk_PortfolioFxDeltaSpecific("euOpt_DeltaA"&amp;ROW(),O49,AModel,B49,"ZAR",FALSE),_xll.QRisk_PortfolioDelta("euOpt_DeltaA"&amp;ROW(),O49,AModel,FALSE))</f>
        <v>euOpt_DeltaA49¬0</v>
      </c>
      <c r="R49" s="21" cm="1">
        <f t="array" aca="1" ref="R49" ca="1">_xll.QCube_SumAllRows(Q49)</f>
        <v>2316.7240324675663</v>
      </c>
      <c r="S49" s="11">
        <f t="shared" ca="1" si="37"/>
        <v>-0.23167240324675664</v>
      </c>
      <c r="T49" t="str" cm="1">
        <f t="array" aca="1" ref="T49" ca="1">_xll.QRisk_PortfolioVega("euopt_commVegaA"&amp;ROW(),O49,AModel,H49)</f>
        <v>euopt_commVegaA49¬18</v>
      </c>
      <c r="U49" s="21" cm="1">
        <f t="array" aca="1" ref="U49" ca="1">_xll.QCube_SumAllRows(T49)</f>
        <v>0</v>
      </c>
      <c r="V49" s="100">
        <f t="shared" ca="1" si="38"/>
        <v>0</v>
      </c>
      <c r="X49" s="75">
        <v>44621</v>
      </c>
    </row>
    <row r="50" spans="1:24" x14ac:dyDescent="0.25">
      <c r="A50" s="6"/>
      <c r="B50" s="6" t="s">
        <v>11</v>
      </c>
      <c r="C50" s="102">
        <v>44706</v>
      </c>
      <c r="D50" s="102" cm="1">
        <f t="array" aca="1" ref="D50" ca="1">IF(_xll.QUtils_IsTenor(C50),_xll.QDates_AddPeriod(valDate,C50,"F","NYC"),C50)</f>
        <v>44706</v>
      </c>
      <c r="E50" s="103">
        <v>23.4</v>
      </c>
      <c r="F50" s="6" t="s">
        <v>166</v>
      </c>
      <c r="G50" s="103">
        <v>-10000</v>
      </c>
      <c r="H50" s="6" t="s">
        <v>21</v>
      </c>
      <c r="I50" s="104" t="str">
        <f>VLOOKUP(H50,'FX-IR'!$B$20:$C$27,2,FALSE)</f>
        <v>USD.LIBOR.3M</v>
      </c>
      <c r="J50" s="104" t="s">
        <v>171</v>
      </c>
      <c r="K50" s="104" t="str">
        <f t="shared" si="36"/>
        <v>2b</v>
      </c>
      <c r="L50" t="str" cm="1">
        <f t="array" aca="1" ref="L50" ca="1">_xll.QIns_CreateForward("EuOpt_Fwd_"&amp;ROW(),D50,B50,H50,0,G50,H50,J50,K50,I50)</f>
        <v>EuOpt_Fwd_50¬0</v>
      </c>
      <c r="M50" s="14" cm="1">
        <f t="array" aca="1" ref="M50" ca="1">_xll.QIns_ProductParRate(L50,AModel)</f>
        <v>29.313847058049078</v>
      </c>
      <c r="N50" s="11" cm="1">
        <f t="array" aca="1" ref="N50" ca="1">_xll.QModels_GetCompoVol(AModel,B50,H50,E50,D50)</f>
        <v>0.41320991694547649</v>
      </c>
      <c r="O50" t="str" cm="1">
        <f t="array" aca="1" ref="O50" ca="1">_xll.QIns_CreateEuropeanOption("euOpt_"&amp;ROW(),D50,B50,H50,E50,F50,G50,H50,J50,K50,I50)</f>
        <v>euOpt_50¬0</v>
      </c>
      <c r="P50" s="21" cm="1">
        <f t="array" aca="1" ref="P50" ca="1">_xll.QIns_ProductPV(O50,AModel,H50)</f>
        <v>-24580.110378530153</v>
      </c>
      <c r="Q50" t="str" cm="1">
        <f t="array" aca="1" ref="Q50" ca="1">IF(VLOOKUP(B50,AssetStatic,4,FALSE),_xll.QRisk_PortfolioFxDeltaSpecific("euOpt_DeltaA"&amp;ROW(),O50,AModel,B50,"ZAR",FALSE),_xll.QRisk_PortfolioDelta("euOpt_DeltaA"&amp;ROW(),O50,AModel,FALSE))</f>
        <v>euOpt_DeltaA50¬0</v>
      </c>
      <c r="R50" s="21" cm="1">
        <f t="array" aca="1" ref="R50" ca="1">_xll.QCube_SumAllRows(Q50)</f>
        <v>2343.1591516097901</v>
      </c>
      <c r="S50" s="11">
        <f t="shared" ca="1" si="37"/>
        <v>-0.23431591516097902</v>
      </c>
      <c r="T50" t="str" cm="1">
        <f t="array" aca="1" ref="T50" ca="1">_xll.QRisk_PortfolioVega("euopt_commVegaA"&amp;ROW(),O50,AModel,H50)</f>
        <v>euopt_commVegaA50¬18</v>
      </c>
      <c r="U50" s="21" cm="1">
        <f t="array" aca="1" ref="U50" ca="1">_xll.QCube_SumAllRows(T50)</f>
        <v>0</v>
      </c>
      <c r="V50" s="100">
        <f t="shared" ca="1" si="38"/>
        <v>0</v>
      </c>
      <c r="X50" s="75">
        <v>44652</v>
      </c>
    </row>
    <row r="51" spans="1:24" x14ac:dyDescent="0.25">
      <c r="A51" s="6"/>
      <c r="B51" s="6" t="s">
        <v>11</v>
      </c>
      <c r="C51" s="102">
        <v>44741</v>
      </c>
      <c r="D51" s="102" cm="1">
        <f t="array" aca="1" ref="D51" ca="1">IF(_xll.QUtils_IsTenor(C51),_xll.QDates_AddPeriod(valDate,C51,"F","NYC"),C51)</f>
        <v>44741</v>
      </c>
      <c r="E51" s="103">
        <v>23.4</v>
      </c>
      <c r="F51" s="6" t="s">
        <v>166</v>
      </c>
      <c r="G51" s="103">
        <v>-10000</v>
      </c>
      <c r="H51" s="6" t="s">
        <v>21</v>
      </c>
      <c r="I51" s="104" t="str">
        <f>VLOOKUP(H51,'FX-IR'!$B$20:$C$27,2,FALSE)</f>
        <v>USD.LIBOR.3M</v>
      </c>
      <c r="J51" s="104" t="s">
        <v>171</v>
      </c>
      <c r="K51" s="104" t="str">
        <f t="shared" si="36"/>
        <v>2b</v>
      </c>
      <c r="L51" t="str" cm="1">
        <f t="array" aca="1" ref="L51" ca="1">_xll.QIns_CreateForward("EuOpt_Fwd_"&amp;ROW(),D51,B51,H51,0,G51,H51,J51,K51,I51)</f>
        <v>EuOpt_Fwd_51¬0</v>
      </c>
      <c r="M51" s="14" cm="1">
        <f t="array" aca="1" ref="M51" ca="1">_xll.QIns_ProductParRate(L51,AModel)</f>
        <v>29.291700302317228</v>
      </c>
      <c r="N51" s="11" cm="1">
        <f t="array" aca="1" ref="N51" ca="1">_xll.QModels_GetCompoVol(AModel,B51,H51,E51,D51)</f>
        <v>0.41436316271742923</v>
      </c>
      <c r="O51" t="str" cm="1">
        <f t="array" aca="1" ref="O51" ca="1">_xll.QIns_CreateEuropeanOption("euOpt_"&amp;ROW(),D51,B51,H51,E51,F51,G51,H51,J51,K51,I51)</f>
        <v>euOpt_51¬0</v>
      </c>
      <c r="P51" s="21" cm="1">
        <f t="array" aca="1" ref="P51" ca="1">_xll.QIns_ProductPV(O51,AModel,H51)</f>
        <v>-26307.288965679909</v>
      </c>
      <c r="Q51" t="str" cm="1">
        <f t="array" aca="1" ref="Q51" ca="1">IF(VLOOKUP(B51,AssetStatic,4,FALSE),_xll.QRisk_PortfolioFxDeltaSpecific("euOpt_DeltaA"&amp;ROW(),O51,AModel,B51,"ZAR",FALSE),_xll.QRisk_PortfolioDelta("euOpt_DeltaA"&amp;ROW(),O51,AModel,FALSE))</f>
        <v>euOpt_DeltaA51¬0</v>
      </c>
      <c r="R51" s="21" cm="1">
        <f t="array" aca="1" ref="R51" ca="1">_xll.QCube_SumAllRows(Q51)</f>
        <v>2373.383083985017</v>
      </c>
      <c r="S51" s="11">
        <f t="shared" ca="1" si="37"/>
        <v>-0.2373383083985017</v>
      </c>
      <c r="T51" t="str" cm="1">
        <f t="array" aca="1" ref="T51" ca="1">_xll.QRisk_PortfolioVega("euopt_commVegaA"&amp;ROW(),O51,AModel,H51)</f>
        <v>euopt_commVegaA51¬18</v>
      </c>
      <c r="U51" s="21" cm="1">
        <f t="array" aca="1" ref="U51" ca="1">_xll.QCube_SumAllRows(T51)</f>
        <v>0</v>
      </c>
      <c r="V51" s="100">
        <f t="shared" ca="1" si="38"/>
        <v>0</v>
      </c>
      <c r="X51" s="75">
        <v>44682</v>
      </c>
    </row>
    <row r="52" spans="1:24" x14ac:dyDescent="0.25">
      <c r="A52" s="6"/>
      <c r="B52" s="6" t="s">
        <v>11</v>
      </c>
      <c r="C52" s="102">
        <v>44767</v>
      </c>
      <c r="D52" s="102" cm="1">
        <f t="array" aca="1" ref="D52" ca="1">IF(_xll.QUtils_IsTenor(C52),_xll.QDates_AddPeriod(valDate,C52,"F","NYC"),C52)</f>
        <v>44767</v>
      </c>
      <c r="E52" s="103">
        <v>23.4</v>
      </c>
      <c r="F52" s="6" t="s">
        <v>166</v>
      </c>
      <c r="G52" s="103">
        <v>-10000</v>
      </c>
      <c r="H52" s="6" t="s">
        <v>21</v>
      </c>
      <c r="I52" s="104" t="str">
        <f>VLOOKUP(H52,'FX-IR'!$B$20:$C$27,2,FALSE)</f>
        <v>USD.LIBOR.3M</v>
      </c>
      <c r="J52" s="104" t="s">
        <v>171</v>
      </c>
      <c r="K52" s="104" t="str">
        <f t="shared" si="36"/>
        <v>2b</v>
      </c>
      <c r="L52" t="str" cm="1">
        <f t="array" aca="1" ref="L52" ca="1">_xll.QIns_CreateForward("EuOpt_Fwd_"&amp;ROW(),D52,B52,H52,0,G52,H52,J52,K52,I52)</f>
        <v>EuOpt_Fwd_52¬0</v>
      </c>
      <c r="M52" s="14" cm="1">
        <f t="array" aca="1" ref="M52" ca="1">_xll.QIns_ProductParRate(L52,AModel)</f>
        <v>29.275407097049357</v>
      </c>
      <c r="N52" s="11" cm="1">
        <f t="array" aca="1" ref="N52" ca="1">_xll.QModels_GetCompoVol(AModel,B52,H52,E52,D52)</f>
        <v>0.41511932757147169</v>
      </c>
      <c r="O52" t="str" cm="1">
        <f t="array" aca="1" ref="O52" ca="1">_xll.QIns_CreateEuropeanOption("euOpt_"&amp;ROW(),D52,B52,H52,E52,F52,G52,H52,J52,K52,I52)</f>
        <v>euOpt_52¬0</v>
      </c>
      <c r="P52" s="21" cm="1">
        <f t="array" aca="1" ref="P52" ca="1">_xll.QIns_ProductPV(O52,AModel,H52)</f>
        <v>-27556.07849096465</v>
      </c>
      <c r="Q52" t="str" cm="1">
        <f t="array" aca="1" ref="Q52" ca="1">IF(VLOOKUP(B52,AssetStatic,4,FALSE),_xll.QRisk_PortfolioFxDeltaSpecific("euOpt_DeltaA"&amp;ROW(),O52,AModel,B52,"ZAR",FALSE),_xll.QRisk_PortfolioDelta("euOpt_DeltaA"&amp;ROW(),O52,AModel,FALSE))</f>
        <v>euOpt_DeltaA52¬0</v>
      </c>
      <c r="R52" s="21" cm="1">
        <f t="array" aca="1" ref="R52" ca="1">_xll.QCube_SumAllRows(Q52)</f>
        <v>2392.4415764705104</v>
      </c>
      <c r="S52" s="11">
        <f t="shared" ca="1" si="37"/>
        <v>-0.23924415764705104</v>
      </c>
      <c r="T52" t="str" cm="1">
        <f t="array" aca="1" ref="T52" ca="1">_xll.QRisk_PortfolioVega("euopt_commVegaA"&amp;ROW(),O52,AModel,H52)</f>
        <v>euopt_commVegaA52¬18</v>
      </c>
      <c r="U52" s="21" cm="1">
        <f t="array" aca="1" ref="U52" ca="1">_xll.QCube_SumAllRows(T52)</f>
        <v>0</v>
      </c>
      <c r="V52" s="100">
        <f t="shared" ca="1" si="38"/>
        <v>0</v>
      </c>
      <c r="X52" s="75">
        <v>44713</v>
      </c>
    </row>
    <row r="53" spans="1:24" x14ac:dyDescent="0.25">
      <c r="A53" s="6"/>
      <c r="B53" s="6"/>
      <c r="C53" s="102"/>
      <c r="D53" s="102"/>
      <c r="E53" s="103"/>
      <c r="F53" s="6"/>
      <c r="G53" s="103"/>
      <c r="H53" s="6"/>
      <c r="I53" s="104"/>
      <c r="J53" s="104"/>
      <c r="K53" s="104"/>
      <c r="M53" s="14"/>
      <c r="N53" s="11"/>
      <c r="R53" s="21"/>
      <c r="S53" s="11"/>
      <c r="U53" s="21"/>
      <c r="V53" s="100"/>
      <c r="X53" s="75"/>
    </row>
    <row r="54" spans="1:24" x14ac:dyDescent="0.25">
      <c r="A54" s="6"/>
      <c r="B54" s="6" t="s">
        <v>11</v>
      </c>
      <c r="C54" s="102">
        <f>C43</f>
        <v>44453</v>
      </c>
      <c r="D54" s="102" cm="1">
        <f t="array" aca="1" ref="D54" ca="1">IF(_xll.QUtils_IsTenor(C54),_xll.QDates_AddPeriod(valDate,C54,"F","NYC"),C54)</f>
        <v>44453</v>
      </c>
      <c r="E54" s="103">
        <v>25.7</v>
      </c>
      <c r="F54" s="6" t="s">
        <v>287</v>
      </c>
      <c r="G54" s="103">
        <f>-G43</f>
        <v>10000</v>
      </c>
      <c r="H54" s="6" t="s">
        <v>21</v>
      </c>
      <c r="I54" s="104" t="str">
        <f>VLOOKUP(H54,'FX-IR'!$B$20:$C$27,2,FALSE)</f>
        <v>USD.LIBOR.3M</v>
      </c>
      <c r="J54" s="104" t="s">
        <v>171</v>
      </c>
      <c r="K54" s="104" t="str">
        <f t="shared" ref="K54:K63" si="39">VLOOKUP(B54,AssetStatic,2,FALSE)</f>
        <v>2b</v>
      </c>
      <c r="L54" t="str" cm="1">
        <f t="array" aca="1" ref="L54" ca="1">_xll.QIns_CreateForward("EuOpt_Fwd_"&amp;ROW(),D54,B54,H54,0,G54,H54,J54,K54,I54)</f>
        <v>EuOpt_Fwd_54¬0</v>
      </c>
      <c r="M54" s="14" cm="1">
        <f t="array" aca="1" ref="M54" ca="1">_xll.QIns_ProductParRate(L54,AModel)</f>
        <v>29.470523218675741</v>
      </c>
      <c r="N54" s="11" cm="1">
        <f t="array" aca="1" ref="N54" ca="1">_xll.QModels_GetCompoVol(AModel,B54,H54,E54,D54)</f>
        <v>0.40911801690952809</v>
      </c>
      <c r="O54" t="str" cm="1">
        <f t="array" aca="1" ref="O54" ca="1">_xll.QIns_CreateEuropeanOption("euOpt_"&amp;ROW(),D54,B54,H54,E54,F54,G54,H54,J54,K54,I54)</f>
        <v>euOpt_54¬0</v>
      </c>
      <c r="P54" s="21" cm="1">
        <f t="array" aca="1" ref="P54" ca="1">_xll.QIns_ProductPV(O54,AModel,H54)</f>
        <v>56454.482011212895</v>
      </c>
      <c r="Q54" t="str" cm="1">
        <f t="array" aca="1" ref="Q54" ca="1">IF(VLOOKUP(B54,AssetStatic,4,FALSE),_xll.QRisk_PortfolioFxDeltaSpecific("euOpt_DeltaA"&amp;ROW(),O54,AModel,B54,"ZAR",FALSE),_xll.QRisk_PortfolioDelta("euOpt_DeltaA"&amp;ROW(),O54,AModel,FALSE))</f>
        <v>euOpt_DeltaA54¬0</v>
      </c>
      <c r="R54" s="21" cm="1">
        <f t="array" aca="1" ref="R54" ca="1">_xll.QCube_SumAllRows(Q54)</f>
        <v>7190.429874657927</v>
      </c>
      <c r="S54" s="11">
        <f t="shared" ref="S54:S63" ca="1" si="40">R54/G54</f>
        <v>0.71904298746579265</v>
      </c>
      <c r="T54" t="str" cm="1">
        <f t="array" aca="1" ref="T54" ca="1">_xll.QRisk_PortfolioVega("euopt_commVegaA"&amp;ROW(),O54,AModel,H54)</f>
        <v>euopt_commVegaA54¬0</v>
      </c>
      <c r="U54" s="21" cm="1">
        <f t="array" aca="1" ref="U54" ca="1">_xll.QCube_SumAllRows(T54)</f>
        <v>0</v>
      </c>
      <c r="V54" s="100">
        <f t="shared" ref="V54:V63" ca="1" si="41">U54/D54</f>
        <v>0</v>
      </c>
      <c r="X54" s="75">
        <v>44440</v>
      </c>
    </row>
    <row r="55" spans="1:24" x14ac:dyDescent="0.25">
      <c r="A55" s="6"/>
      <c r="B55" s="6" t="s">
        <v>11</v>
      </c>
      <c r="C55" s="102">
        <f ca="1">_xll.QDates_SpecificWeekday(X55,"Tuesday",1)</f>
        <v>44474</v>
      </c>
      <c r="D55" s="102" cm="1">
        <f t="array" aca="1" ref="D55" ca="1">IF(_xll.QUtils_IsTenor(C55),_xll.QDates_AddPeriod(valDate,C55,"F","NYC"),C55)</f>
        <v>44474</v>
      </c>
      <c r="E55" s="103">
        <v>25.7</v>
      </c>
      <c r="F55" s="6" t="s">
        <v>287</v>
      </c>
      <c r="G55" s="103">
        <f t="shared" ref="G55:G63" si="42">-G44</f>
        <v>10000</v>
      </c>
      <c r="H55" s="6" t="s">
        <v>21</v>
      </c>
      <c r="I55" s="104" t="str">
        <f>VLOOKUP(H55,'FX-IR'!$B$20:$C$27,2,FALSE)</f>
        <v>USD.LIBOR.3M</v>
      </c>
      <c r="J55" s="104" t="s">
        <v>171</v>
      </c>
      <c r="K55" s="104" t="str">
        <f t="shared" si="39"/>
        <v>2b</v>
      </c>
      <c r="L55" t="str" cm="1">
        <f t="array" aca="1" ref="L55" ca="1">_xll.QIns_CreateForward("EuOpt_Fwd_"&amp;ROW(),D55,B55,H55,0,G55,H55,J55,K55,I55)</f>
        <v>EuOpt_Fwd_55¬0</v>
      </c>
      <c r="M55" s="14" cm="1">
        <f t="array" aca="1" ref="M55" ca="1">_xll.QIns_ProductParRate(L55,AModel)</f>
        <v>29.457568157535739</v>
      </c>
      <c r="N55" s="11" cm="1">
        <f t="array" aca="1" ref="N55" ca="1">_xll.QModels_GetCompoVol(AModel,B55,H55,E55,D55)</f>
        <v>0.40928624901698785</v>
      </c>
      <c r="O55" t="str" cm="1">
        <f t="array" aca="1" ref="O55" ca="1">_xll.QIns_CreateEuropeanOption("euOpt_"&amp;ROW(),D55,B55,H55,E55,F55,G55,H55,J55,K55,I55)</f>
        <v>euOpt_55¬0</v>
      </c>
      <c r="P55" s="21" cm="1">
        <f t="array" aca="1" ref="P55" ca="1">_xll.QIns_ProductPV(O55,AModel,H55)</f>
        <v>57848.307864183102</v>
      </c>
      <c r="Q55" t="str" cm="1">
        <f t="array" aca="1" ref="Q55" ca="1">IF(VLOOKUP(B55,AssetStatic,4,FALSE),_xll.QRisk_PortfolioFxDeltaSpecific("euOpt_DeltaA"&amp;ROW(),O55,AModel,B55,"ZAR",FALSE),_xll.QRisk_PortfolioDelta("euOpt_DeltaA"&amp;ROW(),O55,AModel,FALSE))</f>
        <v>euOpt_DeltaA55¬0</v>
      </c>
      <c r="R55" s="21" cm="1">
        <f t="array" aca="1" ref="R55" ca="1">_xll.QCube_SumAllRows(Q55)</f>
        <v>7140.7979968736036</v>
      </c>
      <c r="S55" s="11">
        <f t="shared" ca="1" si="40"/>
        <v>0.71407979968736035</v>
      </c>
      <c r="T55" t="str" cm="1">
        <f t="array" aca="1" ref="T55" ca="1">_xll.QRisk_PortfolioVega("euopt_commVegaA"&amp;ROW(),O55,AModel,H55)</f>
        <v>euopt_commVegaA55¬0</v>
      </c>
      <c r="U55" s="21" cm="1">
        <f t="array" aca="1" ref="U55" ca="1">_xll.QCube_SumAllRows(T55)</f>
        <v>0</v>
      </c>
      <c r="V55" s="100">
        <f t="shared" ca="1" si="41"/>
        <v>0</v>
      </c>
      <c r="X55" s="75">
        <v>44470</v>
      </c>
    </row>
    <row r="56" spans="1:24" x14ac:dyDescent="0.25">
      <c r="A56" s="6"/>
      <c r="B56" s="6" t="s">
        <v>11</v>
      </c>
      <c r="C56" s="102">
        <f ca="1">_xll.QDates_SpecificWeekday(X56,"Tuesday",1)</f>
        <v>44502</v>
      </c>
      <c r="D56" s="102" cm="1">
        <f t="array" aca="1" ref="D56" ca="1">IF(_xll.QUtils_IsTenor(C56),_xll.QDates_AddPeriod(valDate,C56,"F","NYC"),C56)</f>
        <v>44502</v>
      </c>
      <c r="E56" s="103">
        <v>25.7</v>
      </c>
      <c r="F56" s="6" t="s">
        <v>287</v>
      </c>
      <c r="G56" s="103">
        <f t="shared" si="42"/>
        <v>10000</v>
      </c>
      <c r="H56" s="6" t="s">
        <v>21</v>
      </c>
      <c r="I56" s="104" t="str">
        <f>VLOOKUP(H56,'FX-IR'!$B$20:$C$27,2,FALSE)</f>
        <v>USD.LIBOR.3M</v>
      </c>
      <c r="J56" s="104" t="s">
        <v>171</v>
      </c>
      <c r="K56" s="104" t="str">
        <f t="shared" si="39"/>
        <v>2b</v>
      </c>
      <c r="L56" t="str" cm="1">
        <f t="array" aca="1" ref="L56" ca="1">_xll.QIns_CreateForward("EuOpt_Fwd_"&amp;ROW(),D56,B56,H56,0,G56,H56,J56,K56,I56)</f>
        <v>EuOpt_Fwd_56¬0</v>
      </c>
      <c r="M56" s="14" cm="1">
        <f t="array" aca="1" ref="M56" ca="1">_xll.QIns_ProductParRate(L56,AModel)</f>
        <v>29.440289805378082</v>
      </c>
      <c r="N56" s="11" cm="1">
        <f t="array" aca="1" ref="N56" ca="1">_xll.QModels_GetCompoVol(AModel,B56,H56,E56,D56)</f>
        <v>0.40946884701994352</v>
      </c>
      <c r="O56" t="str" cm="1">
        <f t="array" aca="1" ref="O56" ca="1">_xll.QIns_CreateEuropeanOption("euOpt_"&amp;ROW(),D56,B56,H56,E56,F56,G56,H56,J56,K56,I56)</f>
        <v>euOpt_56¬0</v>
      </c>
      <c r="P56" s="21" cm="1">
        <f t="array" aca="1" ref="P56" ca="1">_xll.QIns_ProductPV(O56,AModel,H56)</f>
        <v>59621.441475197149</v>
      </c>
      <c r="Q56" t="str" cm="1">
        <f t="array" aca="1" ref="Q56" ca="1">IF(VLOOKUP(B56,AssetStatic,4,FALSE),_xll.QRisk_PortfolioFxDeltaSpecific("euOpt_DeltaA"&amp;ROW(),O56,AModel,B56,"ZAR",FALSE),_xll.QRisk_PortfolioDelta("euOpt_DeltaA"&amp;ROW(),O56,AModel,FALSE))</f>
        <v>euOpt_DeltaA56¬0</v>
      </c>
      <c r="R56" s="21" cm="1">
        <f t="array" aca="1" ref="R56" ca="1">_xll.QCube_SumAllRows(Q56)</f>
        <v>7085.8671581857916</v>
      </c>
      <c r="S56" s="11">
        <f t="shared" ca="1" si="40"/>
        <v>0.70858671581857913</v>
      </c>
      <c r="T56" t="str" cm="1">
        <f t="array" aca="1" ref="T56" ca="1">_xll.QRisk_PortfolioVega("euopt_commVegaA"&amp;ROW(),O56,AModel,H56)</f>
        <v>euopt_commVegaA56¬0</v>
      </c>
      <c r="U56" s="21" cm="1">
        <f t="array" aca="1" ref="U56" ca="1">_xll.QCube_SumAllRows(T56)</f>
        <v>0</v>
      </c>
      <c r="V56" s="100">
        <f t="shared" ca="1" si="41"/>
        <v>0</v>
      </c>
      <c r="X56" s="75">
        <v>44501</v>
      </c>
    </row>
    <row r="57" spans="1:24" x14ac:dyDescent="0.25">
      <c r="A57" s="6"/>
      <c r="B57" s="6" t="s">
        <v>11</v>
      </c>
      <c r="C57" s="102">
        <f ca="1">_xll.QDates_SpecificWeekday(X57,"Tuesday",1)</f>
        <v>44537</v>
      </c>
      <c r="D57" s="102" cm="1">
        <f t="array" aca="1" ref="D57" ca="1">IF(_xll.QUtils_IsTenor(C57),_xll.QDates_AddPeriod(valDate,C57,"F","NYC"),C57)</f>
        <v>44537</v>
      </c>
      <c r="E57" s="103">
        <v>25.7</v>
      </c>
      <c r="F57" s="6" t="s">
        <v>287</v>
      </c>
      <c r="G57" s="103">
        <f t="shared" si="42"/>
        <v>10000</v>
      </c>
      <c r="H57" s="6" t="s">
        <v>21</v>
      </c>
      <c r="I57" s="104" t="str">
        <f>VLOOKUP(H57,'FX-IR'!$B$20:$C$27,2,FALSE)</f>
        <v>USD.LIBOR.3M</v>
      </c>
      <c r="J57" s="104" t="s">
        <v>171</v>
      </c>
      <c r="K57" s="104" t="str">
        <f t="shared" si="39"/>
        <v>2b</v>
      </c>
      <c r="L57" t="str" cm="1">
        <f t="array" aca="1" ref="L57" ca="1">_xll.QIns_CreateForward("EuOpt_Fwd_"&amp;ROW(),D57,B57,H57,0,G57,H57,J57,K57,I57)</f>
        <v>EuOpt_Fwd_57¬0</v>
      </c>
      <c r="M57" s="14" cm="1">
        <f t="array" aca="1" ref="M57" ca="1">_xll.QIns_ProductParRate(L57,AModel)</f>
        <v>29.418421496444104</v>
      </c>
      <c r="N57" s="11" cm="1">
        <f t="array" aca="1" ref="N57" ca="1">_xll.QModels_GetCompoVol(AModel,B57,H57,E57,D57)</f>
        <v>0.40924696195634636</v>
      </c>
      <c r="O57" t="str" cm="1">
        <f t="array" aca="1" ref="O57" ca="1">_xll.QIns_CreateEuropeanOption("euOpt_"&amp;ROW(),D57,B57,H57,E57,F57,G57,H57,J57,K57,I57)</f>
        <v>euOpt_57¬0</v>
      </c>
      <c r="P57" s="21" cm="1">
        <f t="array" aca="1" ref="P57" ca="1">_xll.QIns_ProductPV(O57,AModel,H57)</f>
        <v>61678.996732911568</v>
      </c>
      <c r="Q57" t="str" cm="1">
        <f t="array" aca="1" ref="Q57" ca="1">IF(VLOOKUP(B57,AssetStatic,4,FALSE),_xll.QRisk_PortfolioFxDeltaSpecific("euOpt_DeltaA"&amp;ROW(),O57,AModel,B57,"ZAR",FALSE),_xll.QRisk_PortfolioDelta("euOpt_DeltaA"&amp;ROW(),O57,AModel,FALSE))</f>
        <v>euOpt_DeltaA57¬0</v>
      </c>
      <c r="R57" s="21" cm="1">
        <f t="array" aca="1" ref="R57" ca="1">_xll.QCube_SumAllRows(Q57)</f>
        <v>7031.3479473719099</v>
      </c>
      <c r="S57" s="11">
        <f t="shared" ca="1" si="40"/>
        <v>0.70313479473719098</v>
      </c>
      <c r="T57" t="str" cm="1">
        <f t="array" aca="1" ref="T57" ca="1">_xll.QRisk_PortfolioVega("euopt_commVegaA"&amp;ROW(),O57,AModel,H57)</f>
        <v>euopt_commVegaA57¬17</v>
      </c>
      <c r="U57" s="21" cm="1">
        <f t="array" aca="1" ref="U57" ca="1">_xll.QCube_SumAllRows(T57)</f>
        <v>0</v>
      </c>
      <c r="V57" s="100">
        <f t="shared" ca="1" si="41"/>
        <v>0</v>
      </c>
      <c r="X57" s="75">
        <v>44531</v>
      </c>
    </row>
    <row r="58" spans="1:24" x14ac:dyDescent="0.25">
      <c r="A58" s="6"/>
      <c r="B58" s="6" t="s">
        <v>11</v>
      </c>
      <c r="C58" s="102">
        <f ca="1">_xll.QDates_SpecificWeekday(X58,"Tuesday",1)</f>
        <v>44565</v>
      </c>
      <c r="D58" s="102" cm="1">
        <f t="array" aca="1" ref="D58" ca="1">IF(_xll.QUtils_IsTenor(C58),_xll.QDates_AddPeriod(valDate,C58,"F","NYC"),C58)</f>
        <v>44565</v>
      </c>
      <c r="E58" s="103">
        <v>25.7</v>
      </c>
      <c r="F58" s="6" t="s">
        <v>287</v>
      </c>
      <c r="G58" s="103">
        <f t="shared" si="42"/>
        <v>10000</v>
      </c>
      <c r="H58" s="6" t="s">
        <v>21</v>
      </c>
      <c r="I58" s="104" t="str">
        <f>VLOOKUP(H58,'FX-IR'!$B$20:$C$27,2,FALSE)</f>
        <v>USD.LIBOR.3M</v>
      </c>
      <c r="J58" s="104" t="s">
        <v>171</v>
      </c>
      <c r="K58" s="104" t="str">
        <f t="shared" si="39"/>
        <v>2b</v>
      </c>
      <c r="L58" t="str" cm="1">
        <f t="array" aca="1" ref="L58" ca="1">_xll.QIns_CreateForward("EuOpt_Fwd_"&amp;ROW(),D58,B58,H58,0,G58,H58,J58,K58,I58)</f>
        <v>EuOpt_Fwd_58¬0</v>
      </c>
      <c r="M58" s="14" cm="1">
        <f t="array" aca="1" ref="M58" ca="1">_xll.QIns_ProductParRate(L58,AModel)</f>
        <v>29.401146129683546</v>
      </c>
      <c r="N58" s="11" cm="1">
        <f t="array" aca="1" ref="N58" ca="1">_xll.QModels_GetCompoVol(AModel,B58,H58,E58,D58)</f>
        <v>0.40898585940051529</v>
      </c>
      <c r="O58" t="str" cm="1">
        <f t="array" aca="1" ref="O58" ca="1">_xll.QIns_CreateEuropeanOption("euOpt_"&amp;ROW(),D58,B58,H58,E58,F58,G58,H58,J58,K58,I58)</f>
        <v>euOpt_58¬0</v>
      </c>
      <c r="P58" s="21" cm="1">
        <f t="array" aca="1" ref="P58" ca="1">_xll.QIns_ProductPV(O58,AModel,H58)</f>
        <v>63232.600999729511</v>
      </c>
      <c r="Q58" t="str" cm="1">
        <f t="array" aca="1" ref="Q58" ca="1">IF(VLOOKUP(B58,AssetStatic,4,FALSE),_xll.QRisk_PortfolioFxDeltaSpecific("euOpt_DeltaA"&amp;ROW(),O58,AModel,B58,"ZAR",FALSE),_xll.QRisk_PortfolioDelta("euOpt_DeltaA"&amp;ROW(),O58,AModel,FALSE))</f>
        <v>euOpt_DeltaA58¬0</v>
      </c>
      <c r="R58" s="21" cm="1">
        <f t="array" aca="1" ref="R58" ca="1">_xll.QCube_SumAllRows(Q58)</f>
        <v>6995.9661927192001</v>
      </c>
      <c r="S58" s="11">
        <f t="shared" ca="1" si="40"/>
        <v>0.69959661927191996</v>
      </c>
      <c r="T58" t="str" cm="1">
        <f t="array" aca="1" ref="T58" ca="1">_xll.QRisk_PortfolioVega("euopt_commVegaA"&amp;ROW(),O58,AModel,H58)</f>
        <v>euopt_commVegaA58¬0</v>
      </c>
      <c r="U58" s="21" cm="1">
        <f t="array" aca="1" ref="U58" ca="1">_xll.QCube_SumAllRows(T58)</f>
        <v>0</v>
      </c>
      <c r="V58" s="100">
        <f t="shared" ca="1" si="41"/>
        <v>0</v>
      </c>
      <c r="X58" s="75">
        <v>44562</v>
      </c>
    </row>
    <row r="59" spans="1:24" x14ac:dyDescent="0.25">
      <c r="A59" s="6"/>
      <c r="B59" s="6" t="s">
        <v>11</v>
      </c>
      <c r="C59" s="102">
        <f ca="1">_xll.QDates_SpecificWeekday(X59,"Tuesday",1)</f>
        <v>44593</v>
      </c>
      <c r="D59" s="102" cm="1">
        <f t="array" aca="1" ref="D59" ca="1">IF(_xll.QUtils_IsTenor(C59),_xll.QDates_AddPeriod(valDate,C59,"F","NYC"),C59)</f>
        <v>44593</v>
      </c>
      <c r="E59" s="103">
        <v>25.7</v>
      </c>
      <c r="F59" s="6" t="s">
        <v>287</v>
      </c>
      <c r="G59" s="103">
        <f t="shared" si="42"/>
        <v>10000</v>
      </c>
      <c r="H59" s="6" t="s">
        <v>21</v>
      </c>
      <c r="I59" s="104" t="str">
        <f>VLOOKUP(H59,'FX-IR'!$B$20:$C$27,2,FALSE)</f>
        <v>USD.LIBOR.3M</v>
      </c>
      <c r="J59" s="104" t="s">
        <v>171</v>
      </c>
      <c r="K59" s="104" t="str">
        <f t="shared" si="39"/>
        <v>2b</v>
      </c>
      <c r="L59" t="str" cm="1">
        <f t="array" aca="1" ref="L59" ca="1">_xll.QIns_CreateForward("EuOpt_Fwd_"&amp;ROW(),D59,B59,H59,0,G59,H59,J59,K59,I59)</f>
        <v>EuOpt_Fwd_59¬0</v>
      </c>
      <c r="M59" s="14" cm="1">
        <f t="array" aca="1" ref="M59" ca="1">_xll.QIns_ProductParRate(L59,AModel)</f>
        <v>29.384057785301092</v>
      </c>
      <c r="N59" s="11" cm="1">
        <f t="array" aca="1" ref="N59" ca="1">_xll.QModels_GetCompoVol(AModel,B59,H59,E59,D59)</f>
        <v>0.40876581546077123</v>
      </c>
      <c r="O59" t="str" cm="1">
        <f t="array" aca="1" ref="O59" ca="1">_xll.QIns_CreateEuropeanOption("euOpt_"&amp;ROW(),D59,B59,H59,E59,F59,G59,H59,J59,K59,I59)</f>
        <v>euOpt_59¬0</v>
      </c>
      <c r="P59" s="21" cm="1">
        <f t="array" aca="1" ref="P59" ca="1">_xll.QIns_ProductPV(O59,AModel,H59)</f>
        <v>64723.381344617592</v>
      </c>
      <c r="Q59" t="str" cm="1">
        <f t="array" aca="1" ref="Q59" ca="1">IF(VLOOKUP(B59,AssetStatic,4,FALSE),_xll.QRisk_PortfolioFxDeltaSpecific("euOpt_DeltaA"&amp;ROW(),O59,AModel,B59,"ZAR",FALSE),_xll.QRisk_PortfolioDelta("euOpt_DeltaA"&amp;ROW(),O59,AModel,FALSE))</f>
        <v>euOpt_DeltaA59¬0</v>
      </c>
      <c r="R59" s="21" cm="1">
        <f t="array" aca="1" ref="R59" ca="1">_xll.QCube_SumAllRows(Q59)</f>
        <v>6966.142904497261</v>
      </c>
      <c r="S59" s="11">
        <f t="shared" ca="1" si="40"/>
        <v>0.69661429044972611</v>
      </c>
      <c r="T59" t="str" cm="1">
        <f t="array" aca="1" ref="T59" ca="1">_xll.QRisk_PortfolioVega("euopt_commVegaA"&amp;ROW(),O59,AModel,H59)</f>
        <v>euopt_commVegaA59¬0</v>
      </c>
      <c r="U59" s="21" cm="1">
        <f t="array" aca="1" ref="U59" ca="1">_xll.QCube_SumAllRows(T59)</f>
        <v>0</v>
      </c>
      <c r="V59" s="100">
        <f t="shared" ca="1" si="41"/>
        <v>0</v>
      </c>
      <c r="X59" s="75">
        <v>44593</v>
      </c>
    </row>
    <row r="60" spans="1:24" x14ac:dyDescent="0.25">
      <c r="A60" s="6"/>
      <c r="B60" s="6" t="s">
        <v>11</v>
      </c>
      <c r="C60" s="102">
        <f ca="1">_xll.QDates_SpecificWeekday(X60,"Tuesday",1)</f>
        <v>44621</v>
      </c>
      <c r="D60" s="102" cm="1">
        <f t="array" aca="1" ref="D60" ca="1">IF(_xll.QUtils_IsTenor(C60),_xll.QDates_AddPeriod(valDate,C60,"F","NYC"),C60)</f>
        <v>44621</v>
      </c>
      <c r="E60" s="103">
        <v>25.7</v>
      </c>
      <c r="F60" s="6" t="s">
        <v>287</v>
      </c>
      <c r="G60" s="103">
        <f t="shared" si="42"/>
        <v>10000</v>
      </c>
      <c r="H60" s="6" t="s">
        <v>21</v>
      </c>
      <c r="I60" s="104" t="str">
        <f>VLOOKUP(H60,'FX-IR'!$B$20:$C$27,2,FALSE)</f>
        <v>USD.LIBOR.3M</v>
      </c>
      <c r="J60" s="104" t="s">
        <v>171</v>
      </c>
      <c r="K60" s="104" t="str">
        <f t="shared" si="39"/>
        <v>2b</v>
      </c>
      <c r="L60" t="str" cm="1">
        <f t="array" aca="1" ref="L60" ca="1">_xll.QIns_CreateForward("EuOpt_Fwd_"&amp;ROW(),D60,B60,H60,0,G60,H60,J60,K60,I60)</f>
        <v>EuOpt_Fwd_60¬0</v>
      </c>
      <c r="M60" s="14" cm="1">
        <f t="array" aca="1" ref="M60" ca="1">_xll.QIns_ProductParRate(L60,AModel)</f>
        <v>29.367149826930543</v>
      </c>
      <c r="N60" s="11" cm="1">
        <f t="array" aca="1" ref="N60" ca="1">_xll.QModels_GetCompoVol(AModel,B60,H60,E60,D60)</f>
        <v>0.4095099629265837</v>
      </c>
      <c r="O60" t="str" cm="1">
        <f t="array" aca="1" ref="O60" ca="1">_xll.QIns_CreateEuropeanOption("euOpt_"&amp;ROW(),D60,B60,H60,E60,F60,G60,H60,J60,K60,I60)</f>
        <v>euOpt_60¬0</v>
      </c>
      <c r="P60" s="21" cm="1">
        <f t="array" aca="1" ref="P60" ca="1">_xll.QIns_ProductPV(O60,AModel,H60)</f>
        <v>66254.89218315504</v>
      </c>
      <c r="Q60" t="str" cm="1">
        <f t="array" aca="1" ref="Q60" ca="1">IF(VLOOKUP(B60,AssetStatic,4,FALSE),_xll.QRisk_PortfolioFxDeltaSpecific("euOpt_DeltaA"&amp;ROW(),O60,AModel,B60,"ZAR",FALSE),_xll.QRisk_PortfolioDelta("euOpt_DeltaA"&amp;ROW(),O60,AModel,FALSE))</f>
        <v>euOpt_DeltaA60¬0</v>
      </c>
      <c r="R60" s="21" cm="1">
        <f t="array" aca="1" ref="R60" ca="1">_xll.QCube_SumAllRows(Q60)</f>
        <v>6939.9938855371011</v>
      </c>
      <c r="S60" s="11">
        <f t="shared" ca="1" si="40"/>
        <v>0.69399938855371013</v>
      </c>
      <c r="T60" t="str" cm="1">
        <f t="array" aca="1" ref="T60" ca="1">_xll.QRisk_PortfolioVega("euopt_commVegaA"&amp;ROW(),O60,AModel,H60)</f>
        <v>euopt_commVegaA60¬17</v>
      </c>
      <c r="U60" s="21" cm="1">
        <f t="array" aca="1" ref="U60" ca="1">_xll.QCube_SumAllRows(T60)</f>
        <v>0</v>
      </c>
      <c r="V60" s="100">
        <f t="shared" ca="1" si="41"/>
        <v>0</v>
      </c>
      <c r="X60" s="75">
        <v>44621</v>
      </c>
    </row>
    <row r="61" spans="1:24" x14ac:dyDescent="0.25">
      <c r="A61" s="6"/>
      <c r="B61" s="6" t="s">
        <v>11</v>
      </c>
      <c r="C61" s="102">
        <f ca="1">_xll.QDates_SpecificWeekday(X61,"Tuesday",1)</f>
        <v>44656</v>
      </c>
      <c r="D61" s="102" cm="1">
        <f t="array" aca="1" ref="D61" ca="1">IF(_xll.QUtils_IsTenor(C61),_xll.QDates_AddPeriod(valDate,C61,"F","NYC"),C61)</f>
        <v>44656</v>
      </c>
      <c r="E61" s="103">
        <v>25.7</v>
      </c>
      <c r="F61" s="6" t="s">
        <v>287</v>
      </c>
      <c r="G61" s="103">
        <f t="shared" si="42"/>
        <v>10000</v>
      </c>
      <c r="H61" s="6" t="s">
        <v>21</v>
      </c>
      <c r="I61" s="104" t="str">
        <f>VLOOKUP(H61,'FX-IR'!$B$20:$C$27,2,FALSE)</f>
        <v>USD.LIBOR.3M</v>
      </c>
      <c r="J61" s="104" t="s">
        <v>171</v>
      </c>
      <c r="K61" s="104" t="str">
        <f t="shared" si="39"/>
        <v>2b</v>
      </c>
      <c r="L61" t="str" cm="1">
        <f t="array" aca="1" ref="L61" ca="1">_xll.QIns_CreateForward("EuOpt_Fwd_"&amp;ROW(),D61,B61,H61,0,G61,H61,J61,K61,I61)</f>
        <v>EuOpt_Fwd_61¬0</v>
      </c>
      <c r="M61" s="14" cm="1">
        <f t="array" aca="1" ref="M61" ca="1">_xll.QIns_ProductParRate(L61,AModel)</f>
        <v>29.345546696034077</v>
      </c>
      <c r="N61" s="11" cm="1">
        <f t="array" aca="1" ref="N61" ca="1">_xll.QModels_GetCompoVol(AModel,B61,H61,E61,D61)</f>
        <v>0.4112198475243079</v>
      </c>
      <c r="O61" t="str" cm="1">
        <f t="array" aca="1" ref="O61" ca="1">_xll.QIns_CreateEuropeanOption("euOpt_"&amp;ROW(),D61,B61,H61,E61,F61,G61,H61,J61,K61,I61)</f>
        <v>euOpt_61¬0</v>
      </c>
      <c r="P61" s="21" cm="1">
        <f t="array" aca="1" ref="P61" ca="1">_xll.QIns_ProductPV(O61,AModel,H61)</f>
        <v>68186.161054962911</v>
      </c>
      <c r="Q61" t="str" cm="1">
        <f t="array" aca="1" ref="Q61" ca="1">IF(VLOOKUP(B61,AssetStatic,4,FALSE),_xll.QRisk_PortfolioFxDeltaSpecific("euOpt_DeltaA"&amp;ROW(),O61,AModel,B61,"ZAR",FALSE),_xll.QRisk_PortfolioDelta("euOpt_DeltaA"&amp;ROW(),O61,AModel,FALSE))</f>
        <v>euOpt_DeltaA61¬0</v>
      </c>
      <c r="R61" s="21" cm="1">
        <f t="array" aca="1" ref="R61" ca="1">_xll.QCube_SumAllRows(Q61)</f>
        <v>6912.2219513457931</v>
      </c>
      <c r="S61" s="11">
        <f t="shared" ca="1" si="40"/>
        <v>0.69122219513457928</v>
      </c>
      <c r="T61" t="str" cm="1">
        <f t="array" aca="1" ref="T61" ca="1">_xll.QRisk_PortfolioVega("euopt_commVegaA"&amp;ROW(),O61,AModel,H61)</f>
        <v>euopt_commVegaA61¬17</v>
      </c>
      <c r="U61" s="21" cm="1">
        <f t="array" aca="1" ref="U61" ca="1">_xll.QCube_SumAllRows(T61)</f>
        <v>0</v>
      </c>
      <c r="V61" s="100">
        <f t="shared" ca="1" si="41"/>
        <v>0</v>
      </c>
      <c r="X61" s="75">
        <v>44652</v>
      </c>
    </row>
    <row r="62" spans="1:24" x14ac:dyDescent="0.25">
      <c r="A62" s="6"/>
      <c r="B62" s="6" t="s">
        <v>11</v>
      </c>
      <c r="C62" s="102">
        <f ca="1">_xll.QDates_SpecificWeekday(X62,"Tuesday",1)</f>
        <v>44684</v>
      </c>
      <c r="D62" s="102" cm="1">
        <f t="array" aca="1" ref="D62" ca="1">IF(_xll.QUtils_IsTenor(C62),_xll.QDates_AddPeriod(valDate,C62,"F","NYC"),C62)</f>
        <v>44684</v>
      </c>
      <c r="E62" s="103">
        <v>25.7</v>
      </c>
      <c r="F62" s="6" t="s">
        <v>287</v>
      </c>
      <c r="G62" s="103">
        <f t="shared" si="42"/>
        <v>10000</v>
      </c>
      <c r="H62" s="6" t="s">
        <v>21</v>
      </c>
      <c r="I62" s="104" t="str">
        <f>VLOOKUP(H62,'FX-IR'!$B$20:$C$27,2,FALSE)</f>
        <v>USD.LIBOR.3M</v>
      </c>
      <c r="J62" s="104" t="s">
        <v>171</v>
      </c>
      <c r="K62" s="104" t="str">
        <f t="shared" si="39"/>
        <v>2b</v>
      </c>
      <c r="L62" t="str" cm="1">
        <f t="array" aca="1" ref="L62" ca="1">_xll.QIns_CreateForward("EuOpt_Fwd_"&amp;ROW(),D62,B62,H62,0,G62,H62,J62,K62,I62)</f>
        <v>EuOpt_Fwd_62¬0</v>
      </c>
      <c r="M62" s="14" cm="1">
        <f t="array" aca="1" ref="M62" ca="1">_xll.QIns_ProductParRate(L62,AModel)</f>
        <v>29.327818029924813</v>
      </c>
      <c r="N62" s="11" cm="1">
        <f t="array" aca="1" ref="N62" ca="1">_xll.QModels_GetCompoVol(AModel,B62,H62,E62,D62)</f>
        <v>0.41239042228899553</v>
      </c>
      <c r="O62" t="str" cm="1">
        <f t="array" aca="1" ref="O62" ca="1">_xll.QIns_CreateEuropeanOption("euOpt_"&amp;ROW(),D62,B62,H62,E62,F62,G62,H62,J62,K62,I62)</f>
        <v>euOpt_62¬0</v>
      </c>
      <c r="P62" s="21" cm="1">
        <f t="array" aca="1" ref="P62" ca="1">_xll.QIns_ProductPV(O62,AModel,H62)</f>
        <v>69663.711523659906</v>
      </c>
      <c r="Q62" t="str" cm="1">
        <f t="array" aca="1" ref="Q62" ca="1">IF(VLOOKUP(B62,AssetStatic,4,FALSE),_xll.QRisk_PortfolioFxDeltaSpecific("euOpt_DeltaA"&amp;ROW(),O62,AModel,B62,"ZAR",FALSE),_xll.QRisk_PortfolioDelta("euOpt_DeltaA"&amp;ROW(),O62,AModel,FALSE))</f>
        <v>euOpt_DeltaA62¬0</v>
      </c>
      <c r="R62" s="21" cm="1">
        <f t="array" aca="1" ref="R62" ca="1">_xll.QCube_SumAllRows(Q62)</f>
        <v>6893.8263732205987</v>
      </c>
      <c r="S62" s="11">
        <f t="shared" ca="1" si="40"/>
        <v>0.68938263732205984</v>
      </c>
      <c r="T62" t="str" cm="1">
        <f t="array" aca="1" ref="T62" ca="1">_xll.QRisk_PortfolioVega("euopt_commVegaA"&amp;ROW(),O62,AModel,H62)</f>
        <v>euopt_commVegaA62¬17</v>
      </c>
      <c r="U62" s="21" cm="1">
        <f t="array" aca="1" ref="U62" ca="1">_xll.QCube_SumAllRows(T62)</f>
        <v>0</v>
      </c>
      <c r="V62" s="100">
        <f t="shared" ca="1" si="41"/>
        <v>0</v>
      </c>
      <c r="X62" s="75">
        <v>44682</v>
      </c>
    </row>
    <row r="63" spans="1:24" x14ac:dyDescent="0.25">
      <c r="A63" s="6"/>
      <c r="B63" s="6" t="s">
        <v>11</v>
      </c>
      <c r="C63" s="102">
        <f ca="1">_xll.QDates_SpecificWeekday(X63,"Tuesday",1)</f>
        <v>44719</v>
      </c>
      <c r="D63" s="102" cm="1">
        <f t="array" aca="1" ref="D63" ca="1">IF(_xll.QUtils_IsTenor(C63),_xll.QDates_AddPeriod(valDate,C63,"F","NYC"),C63)</f>
        <v>44719</v>
      </c>
      <c r="E63" s="103">
        <v>25.7</v>
      </c>
      <c r="F63" s="6" t="s">
        <v>287</v>
      </c>
      <c r="G63" s="103">
        <f t="shared" si="42"/>
        <v>10000</v>
      </c>
      <c r="H63" s="6" t="s">
        <v>21</v>
      </c>
      <c r="I63" s="104" t="str">
        <f>VLOOKUP(H63,'FX-IR'!$B$20:$C$27,2,FALSE)</f>
        <v>USD.LIBOR.3M</v>
      </c>
      <c r="J63" s="104" t="s">
        <v>171</v>
      </c>
      <c r="K63" s="104" t="str">
        <f t="shared" si="39"/>
        <v>2b</v>
      </c>
      <c r="L63" t="str" cm="1">
        <f t="array" aca="1" ref="L63" ca="1">_xll.QIns_CreateForward("EuOpt_Fwd_"&amp;ROW(),D63,B63,H63,0,G63,H63,J63,K63,I63)</f>
        <v>EuOpt_Fwd_63¬0</v>
      </c>
      <c r="M63" s="14" cm="1">
        <f t="array" aca="1" ref="M63" ca="1">_xll.QIns_ProductParRate(L63,AModel)</f>
        <v>29.305574424368324</v>
      </c>
      <c r="N63" s="11" cm="1">
        <f t="array" aca="1" ref="N63" ca="1">_xll.QModels_GetCompoVol(AModel,B63,H63,E63,D63)</f>
        <v>0.41365823907422961</v>
      </c>
      <c r="O63" t="str" cm="1">
        <f t="array" aca="1" ref="O63" ca="1">_xll.QIns_CreateEuropeanOption("euOpt_"&amp;ROW(),D63,B63,H63,E63,F63,G63,H63,J63,K63,I63)</f>
        <v>euOpt_63¬0</v>
      </c>
      <c r="P63" s="21" cm="1">
        <f t="array" aca="1" ref="P63" ca="1">_xll.QIns_ProductPV(O63,AModel,H63)</f>
        <v>71436.993780360819</v>
      </c>
      <c r="Q63" t="str" cm="1">
        <f t="array" aca="1" ref="Q63" ca="1">IF(VLOOKUP(B63,AssetStatic,4,FALSE),_xll.QRisk_PortfolioFxDeltaSpecific("euOpt_DeltaA"&amp;ROW(),O63,AModel,B63,"ZAR",FALSE),_xll.QRisk_PortfolioDelta("euOpt_DeltaA"&amp;ROW(),O63,AModel,FALSE))</f>
        <v>euOpt_DeltaA63¬0</v>
      </c>
      <c r="R63" s="21" cm="1">
        <f t="array" aca="1" ref="R63" ca="1">_xll.QCube_SumAllRows(Q63)</f>
        <v>6874.7571727308004</v>
      </c>
      <c r="S63" s="11">
        <f t="shared" ca="1" si="40"/>
        <v>0.6874757172730801</v>
      </c>
      <c r="T63" t="str" cm="1">
        <f t="array" aca="1" ref="T63" ca="1">_xll.QRisk_PortfolioVega("euopt_commVegaA"&amp;ROW(),O63,AModel,H63)</f>
        <v>euopt_commVegaA63¬17</v>
      </c>
      <c r="U63" s="21" cm="1">
        <f t="array" aca="1" ref="U63" ca="1">_xll.QCube_SumAllRows(T63)</f>
        <v>0</v>
      </c>
      <c r="V63" s="100">
        <f t="shared" ca="1" si="41"/>
        <v>0</v>
      </c>
      <c r="X63" s="75">
        <v>44713</v>
      </c>
    </row>
    <row r="64" spans="1:24" x14ac:dyDescent="0.25">
      <c r="A64" s="6"/>
      <c r="B64" s="6"/>
      <c r="C64" s="102"/>
      <c r="D64" s="102"/>
      <c r="E64" s="103"/>
      <c r="F64" s="6"/>
      <c r="G64" s="103"/>
      <c r="H64" s="6"/>
      <c r="I64" s="104"/>
      <c r="J64" s="104"/>
      <c r="K64" s="104"/>
      <c r="M64" s="14"/>
      <c r="N64" s="11"/>
      <c r="R64" s="21"/>
      <c r="S64" s="11"/>
      <c r="U64" s="21"/>
      <c r="V64" s="100"/>
      <c r="X64" s="75"/>
    </row>
    <row r="65" spans="1:25" x14ac:dyDescent="0.25">
      <c r="A65" s="6"/>
      <c r="B65" s="6"/>
      <c r="C65" s="102"/>
      <c r="D65" s="102"/>
      <c r="E65" s="103"/>
      <c r="F65" s="6"/>
      <c r="G65" s="103"/>
      <c r="H65" s="6"/>
      <c r="I65" s="104"/>
      <c r="J65" s="104"/>
      <c r="K65" s="104"/>
      <c r="N65" s="8" t="s">
        <v>130</v>
      </c>
      <c r="O65" s="73" t="s">
        <v>105</v>
      </c>
      <c r="P65" s="73" t="s">
        <v>307</v>
      </c>
    </row>
    <row r="66" spans="1:25" x14ac:dyDescent="0.25">
      <c r="A66" s="6"/>
      <c r="B66" s="6"/>
      <c r="C66" s="102"/>
      <c r="D66" s="102"/>
      <c r="E66" s="103"/>
      <c r="F66" s="6"/>
      <c r="G66" s="103"/>
      <c r="H66" s="6"/>
      <c r="I66" s="104"/>
      <c r="J66" s="104"/>
      <c r="K66" s="104"/>
      <c r="N66" s="19">
        <f t="shared" ref="N66:N76" si="43">C43</f>
        <v>44453</v>
      </c>
      <c r="O66" s="19">
        <f ca="1">_xll.QDates_AddPeriod(N66,"2b","F","NYC")</f>
        <v>44455</v>
      </c>
      <c r="P66" s="163">
        <v>10000</v>
      </c>
      <c r="S66" s="183" t="s">
        <v>360</v>
      </c>
    </row>
    <row r="67" spans="1:25" x14ac:dyDescent="0.25">
      <c r="A67" s="6"/>
      <c r="B67" s="6"/>
      <c r="C67" s="102"/>
      <c r="D67" s="102"/>
      <c r="E67" s="103"/>
      <c r="F67" s="6"/>
      <c r="G67" s="103"/>
      <c r="H67" s="6"/>
      <c r="I67" s="104"/>
      <c r="J67" s="170"/>
      <c r="K67" s="104"/>
      <c r="N67" s="19">
        <f t="shared" si="43"/>
        <v>44495</v>
      </c>
      <c r="O67" s="19">
        <f ca="1">_xll.QDates_AddPeriod(N67,"2b","F","NYC")</f>
        <v>44497</v>
      </c>
      <c r="P67" s="163">
        <v>10000</v>
      </c>
      <c r="S67" s="183" t="s">
        <v>361</v>
      </c>
    </row>
    <row r="68" spans="1:25" x14ac:dyDescent="0.25">
      <c r="A68" s="6"/>
      <c r="B68" s="6"/>
      <c r="C68" s="102"/>
      <c r="D68" s="102"/>
      <c r="E68" s="103"/>
      <c r="F68" s="6"/>
      <c r="G68" s="103"/>
      <c r="H68" s="6"/>
      <c r="I68" s="104"/>
      <c r="J68" s="104"/>
      <c r="K68" s="104"/>
      <c r="N68" s="19">
        <f t="shared" si="43"/>
        <v>44525</v>
      </c>
      <c r="O68" s="19">
        <f ca="1">_xll.QDates_AddPeriod(N68,"2b","F","NYC")</f>
        <v>44529</v>
      </c>
      <c r="P68" s="163">
        <v>10000</v>
      </c>
      <c r="S68" s="183" t="s">
        <v>362</v>
      </c>
    </row>
    <row r="69" spans="1:25" x14ac:dyDescent="0.25">
      <c r="A69" s="6"/>
      <c r="B69" s="6"/>
      <c r="C69" s="102"/>
      <c r="D69" s="102"/>
      <c r="E69" s="103"/>
      <c r="F69" s="6"/>
      <c r="G69" s="103"/>
      <c r="H69" s="6"/>
      <c r="I69" s="104"/>
      <c r="J69" s="104"/>
      <c r="K69" s="104"/>
      <c r="N69" s="19">
        <f t="shared" si="43"/>
        <v>44546</v>
      </c>
      <c r="O69" s="19">
        <f ca="1">_xll.QDates_AddPeriod(N69,"2b","F","NYC")</f>
        <v>44550</v>
      </c>
      <c r="P69" s="163">
        <v>10000</v>
      </c>
      <c r="S69" s="183" t="s">
        <v>363</v>
      </c>
    </row>
    <row r="70" spans="1:25" x14ac:dyDescent="0.25">
      <c r="A70" s="6"/>
      <c r="B70" s="6"/>
      <c r="C70" s="102"/>
      <c r="D70" s="102"/>
      <c r="E70" s="103"/>
      <c r="F70" s="6"/>
      <c r="G70" s="103"/>
      <c r="H70" s="6"/>
      <c r="I70" s="104"/>
      <c r="J70" s="104"/>
      <c r="K70" s="104"/>
      <c r="N70" s="19">
        <f t="shared" si="43"/>
        <v>44616</v>
      </c>
      <c r="O70" s="19">
        <f ca="1">_xll.QDates_AddPeriod(N70,"2b","F","NYC")</f>
        <v>44620</v>
      </c>
      <c r="P70" s="163">
        <v>10000</v>
      </c>
      <c r="S70" s="183" t="s">
        <v>364</v>
      </c>
    </row>
    <row r="71" spans="1:25" x14ac:dyDescent="0.25">
      <c r="A71" s="6"/>
      <c r="B71" s="6"/>
      <c r="C71" s="102"/>
      <c r="D71" s="102"/>
      <c r="E71" s="103"/>
      <c r="F71" s="6"/>
      <c r="G71" s="103"/>
      <c r="H71" s="6"/>
      <c r="I71" s="104"/>
      <c r="J71" s="104"/>
      <c r="K71" s="104"/>
      <c r="N71" s="19">
        <f t="shared" si="43"/>
        <v>44651</v>
      </c>
      <c r="O71" s="19">
        <f ca="1">_xll.QDates_AddPeriod(N71,"2b","F","NYC")</f>
        <v>44655</v>
      </c>
      <c r="P71" s="163">
        <v>10000</v>
      </c>
      <c r="S71" s="183" t="s">
        <v>365</v>
      </c>
    </row>
    <row r="72" spans="1:25" x14ac:dyDescent="0.25">
      <c r="A72" s="6"/>
      <c r="B72" s="6"/>
      <c r="C72" s="102"/>
      <c r="D72" s="102"/>
      <c r="E72" s="103"/>
      <c r="F72" s="6"/>
      <c r="G72" s="103"/>
      <c r="H72" s="6"/>
      <c r="I72" s="104"/>
      <c r="J72" s="104"/>
      <c r="K72" s="104"/>
      <c r="N72" s="19">
        <f t="shared" si="43"/>
        <v>44680</v>
      </c>
      <c r="O72" s="19">
        <f ca="1">_xll.QDates_AddPeriod(N72,"2b","F","NYC")</f>
        <v>44684</v>
      </c>
      <c r="P72" s="163">
        <v>10000</v>
      </c>
      <c r="S72" s="183" t="s">
        <v>366</v>
      </c>
    </row>
    <row r="73" spans="1:25" x14ac:dyDescent="0.25">
      <c r="A73" s="6"/>
      <c r="B73" s="6"/>
      <c r="C73" s="102"/>
      <c r="D73" s="102"/>
      <c r="E73" s="103"/>
      <c r="F73" s="6"/>
      <c r="G73" s="103"/>
      <c r="H73" s="6"/>
      <c r="I73" s="104"/>
      <c r="J73" s="104"/>
      <c r="K73" s="104"/>
      <c r="N73" s="19">
        <f t="shared" si="43"/>
        <v>44706</v>
      </c>
      <c r="O73" s="19">
        <f ca="1">_xll.QDates_AddPeriod(N73,"2b","F","NYC")</f>
        <v>44708</v>
      </c>
      <c r="P73" s="163">
        <v>10000</v>
      </c>
      <c r="S73" s="183" t="s">
        <v>367</v>
      </c>
    </row>
    <row r="74" spans="1:25" x14ac:dyDescent="0.25">
      <c r="A74" s="6"/>
      <c r="B74" s="6"/>
      <c r="C74" s="102"/>
      <c r="D74" s="102"/>
      <c r="E74" s="103"/>
      <c r="F74" s="6"/>
      <c r="G74" s="103"/>
      <c r="H74" s="6"/>
      <c r="I74" s="104"/>
      <c r="J74" s="104"/>
      <c r="K74" s="104"/>
      <c r="N74" s="19">
        <f t="shared" si="43"/>
        <v>44741</v>
      </c>
      <c r="O74" s="19">
        <f ca="1">_xll.QDates_AddPeriod(N74,"2b","F","NYC")</f>
        <v>44743</v>
      </c>
      <c r="P74" s="163">
        <v>10000</v>
      </c>
      <c r="S74" s="183" t="s">
        <v>368</v>
      </c>
    </row>
    <row r="75" spans="1:25" x14ac:dyDescent="0.25">
      <c r="A75" s="6"/>
      <c r="B75" s="6"/>
      <c r="C75" s="102"/>
      <c r="D75" s="102"/>
      <c r="E75" s="103"/>
      <c r="F75" s="6"/>
      <c r="G75" s="103"/>
      <c r="H75" s="6"/>
      <c r="I75" s="104"/>
      <c r="J75" s="104"/>
      <c r="K75" s="104"/>
      <c r="N75" s="19">
        <f t="shared" si="43"/>
        <v>44767</v>
      </c>
      <c r="O75" s="19">
        <f ca="1">_xll.QDates_AddPeriod(N75,"2b","F","NYC")</f>
        <v>44769</v>
      </c>
      <c r="P75" s="163">
        <v>10000</v>
      </c>
      <c r="S75" s="183" t="s">
        <v>369</v>
      </c>
    </row>
    <row r="76" spans="1:25" x14ac:dyDescent="0.25">
      <c r="A76" s="6"/>
      <c r="B76" s="6"/>
      <c r="C76" s="102"/>
      <c r="D76" s="102"/>
      <c r="E76" s="103"/>
      <c r="F76" s="6"/>
      <c r="G76" s="103"/>
      <c r="H76" s="6"/>
      <c r="I76" s="104"/>
      <c r="J76" s="104"/>
      <c r="K76" s="104"/>
      <c r="N76" s="19">
        <f t="shared" si="43"/>
        <v>0</v>
      </c>
      <c r="O76" s="19">
        <f ca="1">_xll.QDates_AddPeriod(N76,"2b","F","NYC")</f>
        <v>3</v>
      </c>
      <c r="P76" s="163">
        <v>10000</v>
      </c>
    </row>
    <row r="77" spans="1:25" x14ac:dyDescent="0.25">
      <c r="A77" s="6"/>
      <c r="B77" s="6"/>
      <c r="C77" s="102"/>
      <c r="D77" s="102"/>
      <c r="E77" s="103"/>
      <c r="F77" s="6"/>
      <c r="G77" s="103"/>
      <c r="H77" s="6"/>
      <c r="I77" s="104"/>
      <c r="J77" s="104"/>
      <c r="K77" s="104"/>
    </row>
    <row r="78" spans="1:25" x14ac:dyDescent="0.25">
      <c r="A78" s="6"/>
      <c r="B78" s="6"/>
      <c r="C78" s="102"/>
      <c r="D78" s="102"/>
      <c r="E78" s="103">
        <v>3.5</v>
      </c>
      <c r="F78" s="6"/>
      <c r="G78" s="103"/>
      <c r="H78" s="6"/>
      <c r="I78" s="104"/>
      <c r="J78" s="104"/>
      <c r="K78" s="104"/>
    </row>
    <row r="79" spans="1:25" x14ac:dyDescent="0.25">
      <c r="A79" s="6"/>
      <c r="B79" s="6"/>
      <c r="C79" s="102"/>
      <c r="D79" s="102"/>
      <c r="E79" s="103"/>
      <c r="F79" s="6"/>
      <c r="G79" s="103"/>
      <c r="H79" s="6"/>
      <c r="I79" s="104"/>
      <c r="J79" s="104"/>
      <c r="K79" s="104"/>
      <c r="N79" s="1"/>
      <c r="P79" s="21">
        <f ca="1">SUM(P80:P93)/SUM(G87:G93)</f>
        <v>0.56579101017798261</v>
      </c>
    </row>
    <row r="80" spans="1:25" x14ac:dyDescent="0.25">
      <c r="A80" s="6"/>
      <c r="B80" s="6" t="s">
        <v>11</v>
      </c>
      <c r="C80" s="102">
        <v>44806</v>
      </c>
      <c r="D80" s="102" cm="1">
        <f t="array" aca="1" ref="D80" ca="1">IF(_xll.QUtils_IsTenor(C80),_xll.QDates_AddPeriod(valDate,C80,"F","NYC"),C80)</f>
        <v>44806</v>
      </c>
      <c r="E80" s="103">
        <v>27.25</v>
      </c>
      <c r="F80" s="6" t="s">
        <v>166</v>
      </c>
      <c r="G80" s="103">
        <v>-10000</v>
      </c>
      <c r="H80" s="6" t="s">
        <v>21</v>
      </c>
      <c r="I80" s="104" t="str">
        <f>VLOOKUP(H80,'FX-IR'!$B$20:$C$27,2,FALSE)</f>
        <v>USD.LIBOR.3M</v>
      </c>
      <c r="J80" s="104" t="s">
        <v>171</v>
      </c>
      <c r="K80" s="104" t="str">
        <f t="shared" ref="K80:K90" si="44">VLOOKUP(B80,AssetStatic,2,FALSE)</f>
        <v>2b</v>
      </c>
      <c r="L80" t="str" cm="1">
        <f t="array" aca="1" ref="L80" ca="1">_xll.QIns_CreateForward("EuOpt_Fwd_"&amp;ROW(),D80,B80,H80,0,G80,H80,J80,K80,I80)</f>
        <v>EuOpt_Fwd_80¬0</v>
      </c>
      <c r="M80" s="14" cm="1">
        <f t="array" aca="1" ref="M80" ca="1">_xll.QIns_ProductParRate(L80,AModel)</f>
        <v>29.250931846288729</v>
      </c>
      <c r="N80" s="11" cm="1">
        <f t="array" aca="1" ref="N80" ca="1">_xll.QModels_GetCompoVol(AModel,B80,H80,E80,D80)</f>
        <v>0.41601279872369518</v>
      </c>
      <c r="O80" t="str" cm="1">
        <f t="array" aca="1" ref="O80" ca="1">_xll.QIns_CreateEuropeanOption("euOpt_"&amp;ROW(),D80,B80,H80,E80,F80,G80,H80,J80,K80,I80)</f>
        <v>euOpt_80¬0</v>
      </c>
      <c r="P80" s="21" cm="1">
        <f t="array" aca="1" ref="P80" ca="1">_xll.QIns_ProductPV(O80,AModel,H80)</f>
        <v>-48261.135036136111</v>
      </c>
      <c r="Q80" t="str" cm="1">
        <f t="array" aca="1" ref="Q80" ca="1">IF(VLOOKUP(B80,AssetStatic,4,FALSE),_xll.QRisk_PortfolioFxDeltaSpecific("euOpt_DeltaA"&amp;ROW(),O80,AModel,B80,"ZAR",FALSE),_xll.QRisk_PortfolioDelta("euOpt_DeltaA"&amp;ROW(),O80,AModel,FALSE))</f>
        <v>euOpt_DeltaA80¬0</v>
      </c>
      <c r="R80" s="21" cm="1">
        <f t="array" aca="1" ref="R80" ca="1">_xll.QCube_SumAllRows(Q80)</f>
        <v>3408.6290343623896</v>
      </c>
      <c r="S80" s="11">
        <f t="shared" ref="S80:S90" ca="1" si="45">R80/G80</f>
        <v>-0.34086290343623898</v>
      </c>
      <c r="T80" t="str" cm="1">
        <f t="array" aca="1" ref="T80" ca="1">_xll.QRisk_PortfolioVega("euopt_commVegaA"&amp;ROW(),O80,AModel,H80)</f>
        <v>euopt_commVegaA80¬0</v>
      </c>
      <c r="U80" s="21" cm="1">
        <f t="array" aca="1" ref="U80" ca="1">_xll.QCube_SumAllRows(T80)</f>
        <v>0</v>
      </c>
      <c r="V80" s="100">
        <f t="shared" ref="V80:V90" ca="1" si="46">U80/D80</f>
        <v>0</v>
      </c>
      <c r="X80" s="75">
        <v>44562</v>
      </c>
      <c r="Y80" s="1">
        <f>C80</f>
        <v>44806</v>
      </c>
    </row>
    <row r="81" spans="1:25" x14ac:dyDescent="0.25">
      <c r="A81" s="6"/>
      <c r="B81" s="6" t="s">
        <v>11</v>
      </c>
      <c r="C81" s="102">
        <v>44852</v>
      </c>
      <c r="D81" s="102" cm="1">
        <f t="array" aca="1" ref="D81" ca="1">IF(_xll.QUtils_IsTenor(C81),_xll.QDates_AddPeriod(valDate,C81,"F","NYC"),C81)</f>
        <v>44852</v>
      </c>
      <c r="E81" s="103">
        <f>E80</f>
        <v>27.25</v>
      </c>
      <c r="F81" s="6" t="s">
        <v>166</v>
      </c>
      <c r="G81" s="103">
        <f>G80</f>
        <v>-10000</v>
      </c>
      <c r="H81" s="6" t="s">
        <v>21</v>
      </c>
      <c r="I81" s="104" t="str">
        <f>VLOOKUP(H81,'FX-IR'!$B$20:$C$27,2,FALSE)</f>
        <v>USD.LIBOR.3M</v>
      </c>
      <c r="J81" s="104" t="s">
        <v>171</v>
      </c>
      <c r="K81" s="104" t="str">
        <f t="shared" si="44"/>
        <v>2b</v>
      </c>
      <c r="L81" t="str" cm="1">
        <f t="array" aca="1" ref="L81" ca="1">_xll.QIns_CreateForward("EuOpt_Fwd_"&amp;ROW(),D81,B81,H81,0,G81,H81,J81,K81,I81)</f>
        <v>EuOpt_Fwd_81¬0</v>
      </c>
      <c r="M81" s="14" cm="1">
        <f t="array" aca="1" ref="M81" ca="1">_xll.QIns_ProductParRate(L81,AModel)</f>
        <v>29.22238508384741</v>
      </c>
      <c r="N81" s="11" cm="1">
        <f t="array" aca="1" ref="N81" ca="1">_xll.QModels_GetCompoVol(AModel,B81,H81,E81,D81)</f>
        <v>0.41681717759444048</v>
      </c>
      <c r="O81" t="str" cm="1">
        <f t="array" aca="1" ref="O81" ca="1">_xll.QIns_CreateEuropeanOption("euOpt_"&amp;ROW(),D81,B81,H81,E81,F81,G81,H81,J81,K81,I81)</f>
        <v>euOpt_81¬0</v>
      </c>
      <c r="P81" s="21" cm="1">
        <f t="array" aca="1" ref="P81" ca="1">_xll.QIns_ProductPV(O81,AModel,H81)</f>
        <v>-50671.326643785447</v>
      </c>
      <c r="Q81" t="str" cm="1">
        <f t="array" aca="1" ref="Q81" ca="1">IF(VLOOKUP(B81,AssetStatic,4,FALSE),_xll.QRisk_PortfolioFxDeltaSpecific("euOpt_DeltaA"&amp;ROW(),O81,AModel,B81,"ZAR",FALSE),_xll.QRisk_PortfolioDelta("euOpt_DeltaA"&amp;ROW(),O81,AModel,FALSE))</f>
        <v>euOpt_DeltaA81¬0</v>
      </c>
      <c r="R81" s="21" cm="1">
        <f t="array" aca="1" ref="R81" ca="1">_xll.QCube_SumAllRows(Q81)</f>
        <v>3391.5123914478959</v>
      </c>
      <c r="S81" s="11">
        <f t="shared" ca="1" si="45"/>
        <v>-0.33915123914478956</v>
      </c>
      <c r="T81" t="str" cm="1">
        <f t="array" aca="1" ref="T81" ca="1">_xll.QRisk_PortfolioVega("euopt_commVegaA"&amp;ROW(),O81,AModel,H81)</f>
        <v>euopt_commVegaA81¬0</v>
      </c>
      <c r="U81" s="21" cm="1">
        <f t="array" aca="1" ref="U81" ca="1">_xll.QCube_SumAllRows(T81)</f>
        <v>0</v>
      </c>
      <c r="V81" s="100">
        <f t="shared" ca="1" si="46"/>
        <v>0</v>
      </c>
      <c r="X81" s="75">
        <v>44593</v>
      </c>
      <c r="Y81" s="1">
        <f t="shared" ref="Y81:Y90" si="47">C81</f>
        <v>44852</v>
      </c>
    </row>
    <row r="82" spans="1:25" x14ac:dyDescent="0.25">
      <c r="A82" s="6"/>
      <c r="B82" s="6" t="s">
        <v>11</v>
      </c>
      <c r="C82" s="102">
        <v>44905</v>
      </c>
      <c r="D82" s="102" cm="1">
        <f t="array" aca="1" ref="D82" ca="1">IF(_xll.QUtils_IsTenor(C82),_xll.QDates_AddPeriod(valDate,C82,"F","NYC"),C82)</f>
        <v>44905</v>
      </c>
      <c r="E82" s="103">
        <f t="shared" ref="E82:E83" si="48">E81</f>
        <v>27.25</v>
      </c>
      <c r="F82" s="6" t="s">
        <v>166</v>
      </c>
      <c r="G82" s="103">
        <f t="shared" ref="G82:G83" si="49">G81</f>
        <v>-10000</v>
      </c>
      <c r="H82" s="6" t="s">
        <v>21</v>
      </c>
      <c r="I82" s="104" t="str">
        <f>VLOOKUP(H82,'FX-IR'!$B$20:$C$27,2,FALSE)</f>
        <v>USD.LIBOR.3M</v>
      </c>
      <c r="J82" s="104" t="s">
        <v>171</v>
      </c>
      <c r="K82" s="104" t="str">
        <f t="shared" si="44"/>
        <v>2b</v>
      </c>
      <c r="L82" t="str" cm="1">
        <f t="array" aca="1" ref="L82" ca="1">_xll.QIns_CreateForward("EuOpt_Fwd_"&amp;ROW(),D82,B82,H82,0,G82,H82,J82,K82,I82)</f>
        <v>EuOpt_Fwd_82¬0</v>
      </c>
      <c r="M82" s="14" cm="1">
        <f t="array" aca="1" ref="M82" ca="1">_xll.QIns_ProductParRate(L82,AModel)</f>
        <v>29.189675430390597</v>
      </c>
      <c r="N82" s="11" cm="1">
        <f t="array" aca="1" ref="N82" ca="1">_xll.QModels_GetCompoVol(AModel,B82,H82,E82,D82)</f>
        <v>0.41760489738599454</v>
      </c>
      <c r="O82" t="str" cm="1">
        <f t="array" aca="1" ref="O82" ca="1">_xll.QIns_CreateEuropeanOption("euOpt_"&amp;ROW(),D82,B82,H82,E82,F82,G82,H82,J82,K82,I82)</f>
        <v>euOpt_82¬0</v>
      </c>
      <c r="P82" s="21" cm="1">
        <f t="array" aca="1" ref="P82" ca="1">_xll.QIns_ProductPV(O82,AModel,H82)</f>
        <v>-53326.36155049759</v>
      </c>
      <c r="Q82" t="str" cm="1">
        <f t="array" aca="1" ref="Q82" ca="1">IF(VLOOKUP(B82,AssetStatic,4,FALSE),_xll.QRisk_PortfolioFxDeltaSpecific("euOpt_DeltaA"&amp;ROW(),O82,AModel,B82,"ZAR",FALSE),_xll.QRisk_PortfolioDelta("euOpt_DeltaA"&amp;ROW(),O82,AModel,FALSE))</f>
        <v>euOpt_DeltaA82¬0</v>
      </c>
      <c r="R82" s="21" cm="1">
        <f t="array" aca="1" ref="R82" ca="1">_xll.QCube_SumAllRows(Q82)</f>
        <v>3370.2785444632868</v>
      </c>
      <c r="S82" s="11">
        <f t="shared" ca="1" si="45"/>
        <v>-0.33702785444632866</v>
      </c>
      <c r="T82" t="str" cm="1">
        <f t="array" aca="1" ref="T82" ca="1">_xll.QRisk_PortfolioVega("euopt_commVegaA"&amp;ROW(),O82,AModel,H82)</f>
        <v>euopt_commVegaA82¬0</v>
      </c>
      <c r="U82" s="21" cm="1">
        <f t="array" aca="1" ref="U82" ca="1">_xll.QCube_SumAllRows(T82)</f>
        <v>0</v>
      </c>
      <c r="V82" s="100">
        <f t="shared" ca="1" si="46"/>
        <v>0</v>
      </c>
      <c r="X82" s="75">
        <v>44621</v>
      </c>
      <c r="Y82" s="1">
        <f t="shared" si="47"/>
        <v>44905</v>
      </c>
    </row>
    <row r="83" spans="1:25" x14ac:dyDescent="0.25">
      <c r="A83" s="6"/>
      <c r="B83" s="6" t="s">
        <v>11</v>
      </c>
      <c r="C83" s="102">
        <v>44950</v>
      </c>
      <c r="D83" s="102" cm="1">
        <f t="array" aca="1" ref="D83" ca="1">IF(_xll.QUtils_IsTenor(C83),_xll.QDates_AddPeriod(valDate,C83,"F","NYC"),C83)</f>
        <v>44950</v>
      </c>
      <c r="E83" s="103">
        <f t="shared" si="48"/>
        <v>27.25</v>
      </c>
      <c r="F83" s="6" t="s">
        <v>166</v>
      </c>
      <c r="G83" s="103">
        <f t="shared" si="49"/>
        <v>-10000</v>
      </c>
      <c r="H83" s="6" t="s">
        <v>21</v>
      </c>
      <c r="I83" s="104" t="str">
        <f>VLOOKUP(H83,'FX-IR'!$B$20:$C$27,2,FALSE)</f>
        <v>USD.LIBOR.3M</v>
      </c>
      <c r="J83" s="104" t="s">
        <v>171</v>
      </c>
      <c r="K83" s="104" t="str">
        <f t="shared" si="44"/>
        <v>2b</v>
      </c>
      <c r="L83" t="str" cm="1">
        <f t="array" aca="1" ref="L83" ca="1">_xll.QIns_CreateForward("EuOpt_Fwd_"&amp;ROW(),D83,B83,H83,0,G83,H83,J83,K83,I83)</f>
        <v>EuOpt_Fwd_83¬0</v>
      </c>
      <c r="M83" s="14" cm="1">
        <f t="array" aca="1" ref="M83" ca="1">_xll.QIns_ProductParRate(L83,AModel)</f>
        <v>29.163130014564675</v>
      </c>
      <c r="N83" s="11" cm="1">
        <f t="array" aca="1" ref="N83" ca="1">_xll.QModels_GetCompoVol(AModel,B83,H83,E83,D83)</f>
        <v>0.41818071861403727</v>
      </c>
      <c r="O83" t="str" cm="1">
        <f t="array" aca="1" ref="O83" ca="1">_xll.QIns_CreateEuropeanOption("euOpt_"&amp;ROW(),D83,B83,H83,E83,F83,G83,H83,J83,K83,I83)</f>
        <v>euOpt_83¬0</v>
      </c>
      <c r="P83" s="21" cm="1">
        <f t="array" aca="1" ref="P83" ca="1">_xll.QIns_ProductPV(O83,AModel,H83)</f>
        <v>-55484.414137319378</v>
      </c>
      <c r="Q83" t="str" cm="1">
        <f t="array" aca="1" ref="Q83" ca="1">IF(VLOOKUP(B83,AssetStatic,4,FALSE),_xll.QRisk_PortfolioFxDeltaSpecific("euOpt_DeltaA"&amp;ROW(),O83,AModel,B83,"ZAR",FALSE),_xll.QRisk_PortfolioDelta("euOpt_DeltaA"&amp;ROW(),O83,AModel,FALSE))</f>
        <v>euOpt_DeltaA83¬0</v>
      </c>
      <c r="R83" s="21" cm="1">
        <f t="array" aca="1" ref="R83" ca="1">_xll.QCube_SumAllRows(Q83)</f>
        <v>3351.1781643404574</v>
      </c>
      <c r="S83" s="11">
        <f t="shared" ca="1" si="45"/>
        <v>-0.33511781643404576</v>
      </c>
      <c r="T83" t="str" cm="1">
        <f t="array" aca="1" ref="T83" ca="1">_xll.QRisk_PortfolioVega("euopt_commVegaA"&amp;ROW(),O83,AModel,H83)</f>
        <v>euopt_commVegaA83¬0</v>
      </c>
      <c r="U83" s="21" cm="1">
        <f t="array" aca="1" ref="U83" ca="1">_xll.QCube_SumAllRows(T83)</f>
        <v>0</v>
      </c>
      <c r="V83" s="100">
        <f t="shared" ca="1" si="46"/>
        <v>0</v>
      </c>
      <c r="X83" s="75">
        <v>44652</v>
      </c>
      <c r="Y83" s="1">
        <f t="shared" si="47"/>
        <v>44950</v>
      </c>
    </row>
    <row r="84" spans="1:25" x14ac:dyDescent="0.25">
      <c r="A84" s="6"/>
      <c r="B84" s="6"/>
      <c r="C84" s="102"/>
      <c r="D84" s="102"/>
      <c r="E84" s="103"/>
      <c r="F84" s="6"/>
      <c r="G84" s="103"/>
      <c r="H84" s="6"/>
      <c r="I84" s="104"/>
      <c r="J84" s="104"/>
      <c r="K84" s="104"/>
      <c r="M84" s="14"/>
      <c r="N84" s="11"/>
      <c r="R84" s="21"/>
      <c r="S84" s="11"/>
      <c r="U84" s="21"/>
      <c r="V84" s="100"/>
      <c r="X84" s="75"/>
      <c r="Y84" s="1"/>
    </row>
    <row r="85" spans="1:25" x14ac:dyDescent="0.25">
      <c r="A85" s="6"/>
      <c r="B85" s="6"/>
      <c r="C85" s="102"/>
      <c r="D85" s="102"/>
      <c r="E85" s="103"/>
      <c r="F85" s="6"/>
      <c r="G85" s="103"/>
      <c r="H85" s="6"/>
      <c r="I85" s="104"/>
      <c r="J85" s="104"/>
      <c r="K85" s="104"/>
      <c r="M85" s="14"/>
      <c r="N85" s="11"/>
      <c r="R85" s="21"/>
      <c r="S85" s="11"/>
      <c r="U85" s="21"/>
      <c r="V85" s="100"/>
      <c r="X85" s="75"/>
      <c r="Y85" s="1"/>
    </row>
    <row r="86" spans="1:25" x14ac:dyDescent="0.25">
      <c r="A86" s="6"/>
      <c r="B86" s="6"/>
      <c r="C86" s="102"/>
      <c r="D86" s="102"/>
      <c r="E86" s="103"/>
      <c r="F86" s="6"/>
      <c r="G86" s="103"/>
      <c r="H86" s="6"/>
      <c r="I86" s="104"/>
      <c r="J86" s="104"/>
      <c r="K86" s="104"/>
      <c r="M86" s="14"/>
      <c r="N86" s="11"/>
      <c r="R86" s="21"/>
      <c r="S86" s="11"/>
      <c r="U86" s="21"/>
      <c r="V86" s="100"/>
      <c r="X86" s="75"/>
      <c r="Y86" s="1"/>
    </row>
    <row r="87" spans="1:25" x14ac:dyDescent="0.25">
      <c r="A87" s="6"/>
      <c r="B87" s="6" t="s">
        <v>11</v>
      </c>
      <c r="C87" s="102">
        <f>C80</f>
        <v>44806</v>
      </c>
      <c r="D87" s="102" cm="1">
        <f t="array" aca="1" ref="D87" ca="1">IF(_xll.QUtils_IsTenor(C87),_xll.QDates_AddPeriod(valDate,C87,"F","NYC"),C87)</f>
        <v>44806</v>
      </c>
      <c r="E87" s="103">
        <f>E80+$E$78</f>
        <v>30.75</v>
      </c>
      <c r="F87" s="6" t="s">
        <v>287</v>
      </c>
      <c r="G87" s="103">
        <f t="shared" ref="G87:G90" si="50">-G80</f>
        <v>10000</v>
      </c>
      <c r="H87" s="6" t="s">
        <v>21</v>
      </c>
      <c r="I87" s="104" t="str">
        <f>VLOOKUP(H87,'FX-IR'!$B$20:$C$27,2,FALSE)</f>
        <v>USD.LIBOR.3M</v>
      </c>
      <c r="J87" s="104" t="s">
        <v>171</v>
      </c>
      <c r="K87" s="104" t="str">
        <f t="shared" si="44"/>
        <v>2b</v>
      </c>
      <c r="L87" t="str" cm="1">
        <f t="array" aca="1" ref="L87" ca="1">_xll.QIns_CreateForward("EuOpt_Fwd_"&amp;ROW(),D87,B87,H87,0,G87,H87,J87,K87,I87)</f>
        <v>EuOpt_Fwd_87¬0</v>
      </c>
      <c r="M87" s="14" cm="1">
        <f t="array" aca="1" ref="M87" ca="1">_xll.QIns_ProductParRate(L87,AModel)</f>
        <v>29.250931846288729</v>
      </c>
      <c r="N87" s="11" cm="1">
        <f t="array" aca="1" ref="N87" ca="1">_xll.QModels_GetCompoVol(AModel,B87,H87,E87,D87)</f>
        <v>0.41601279872369523</v>
      </c>
      <c r="O87" t="str" cm="1">
        <f t="array" aca="1" ref="O87" ca="1">_xll.QIns_CreateEuropeanOption("euOpt_"&amp;ROW(),D87,B87,H87,E87,F87,G87,H87,J87,K87,I87)</f>
        <v>euOpt_87¬0</v>
      </c>
      <c r="P87" s="21" cm="1">
        <f t="array" aca="1" ref="P87" ca="1">_xll.QIns_ProductPV(O87,AModel,H87)</f>
        <v>54091.550469220463</v>
      </c>
      <c r="Q87" t="str" cm="1">
        <f t="array" aca="1" ref="Q87" ca="1">IF(VLOOKUP(B87,AssetStatic,4,FALSE),_xll.QRisk_PortfolioFxDeltaSpecific("euOpt_DeltaA"&amp;ROW(),O87,AModel,B87,"ZAR",FALSE),_xll.QRisk_PortfolioDelta("euOpt_DeltaA"&amp;ROW(),O87,AModel,FALSE))</f>
        <v>euOpt_DeltaA87¬0</v>
      </c>
      <c r="R87" s="21" cm="1">
        <f t="array" aca="1" ref="R87" ca="1">_xll.QCube_SumAllRows(Q87)</f>
        <v>5563.9523308568587</v>
      </c>
      <c r="S87" s="11">
        <f t="shared" ca="1" si="45"/>
        <v>0.55639523308568584</v>
      </c>
      <c r="T87" t="str" cm="1">
        <f t="array" aca="1" ref="T87" ca="1">_xll.QRisk_PortfolioVega("euopt_commVegaA"&amp;ROW(),O87,AModel,H87)</f>
        <v>euopt_commVegaA87¬18</v>
      </c>
      <c r="U87" s="21" cm="1">
        <f t="array" aca="1" ref="U87" ca="1">_xll.QCube_SumAllRows(T87)</f>
        <v>0</v>
      </c>
      <c r="V87" s="100">
        <f t="shared" ca="1" si="46"/>
        <v>0</v>
      </c>
      <c r="X87" s="75">
        <f>X80</f>
        <v>44562</v>
      </c>
      <c r="Y87" s="1">
        <f t="shared" si="47"/>
        <v>44806</v>
      </c>
    </row>
    <row r="88" spans="1:25" x14ac:dyDescent="0.25">
      <c r="A88" s="6"/>
      <c r="B88" s="6" t="s">
        <v>11</v>
      </c>
      <c r="C88" s="102">
        <f t="shared" ref="C88:C90" si="51">C81</f>
        <v>44852</v>
      </c>
      <c r="D88" s="102" cm="1">
        <f t="array" aca="1" ref="D88" ca="1">IF(_xll.QUtils_IsTenor(C88),_xll.QDates_AddPeriod(valDate,C88,"F","NYC"),C88)</f>
        <v>44852</v>
      </c>
      <c r="E88" s="103">
        <f>E87</f>
        <v>30.75</v>
      </c>
      <c r="F88" s="6" t="s">
        <v>287</v>
      </c>
      <c r="G88" s="103">
        <f t="shared" si="50"/>
        <v>10000</v>
      </c>
      <c r="H88" s="6" t="s">
        <v>21</v>
      </c>
      <c r="I88" s="104" t="str">
        <f>VLOOKUP(H88,'FX-IR'!$B$20:$C$27,2,FALSE)</f>
        <v>USD.LIBOR.3M</v>
      </c>
      <c r="J88" s="104" t="s">
        <v>171</v>
      </c>
      <c r="K88" s="104" t="str">
        <f t="shared" si="44"/>
        <v>2b</v>
      </c>
      <c r="L88" t="str" cm="1">
        <f t="array" aca="1" ref="L88" ca="1">_xll.QIns_CreateForward("EuOpt_Fwd_"&amp;ROW(),D88,B88,H88,0,G88,H88,J88,K88,I88)</f>
        <v>EuOpt_Fwd_88¬0</v>
      </c>
      <c r="M88" s="14" cm="1">
        <f t="array" aca="1" ref="M88" ca="1">_xll.QIns_ProductParRate(L88,AModel)</f>
        <v>29.22238508384741</v>
      </c>
      <c r="N88" s="11" cm="1">
        <f t="array" aca="1" ref="N88" ca="1">_xll.QModels_GetCompoVol(AModel,B88,H88,E88,D88)</f>
        <v>0.41681717759444054</v>
      </c>
      <c r="O88" t="str" cm="1">
        <f t="array" aca="1" ref="O88" ca="1">_xll.QIns_CreateEuropeanOption("euOpt_"&amp;ROW(),D88,B88,H88,E88,F88,G88,H88,J88,K88,I88)</f>
        <v>euOpt_88¬0</v>
      </c>
      <c r="P88" s="21" cm="1">
        <f t="array" aca="1" ref="P88" ca="1">_xll.QIns_ProductPV(O88,AModel,H88)</f>
        <v>56395.816029320486</v>
      </c>
      <c r="Q88" t="str" cm="1">
        <f t="array" aca="1" ref="Q88" ca="1">IF(VLOOKUP(B88,AssetStatic,4,FALSE),_xll.QRisk_PortfolioFxDeltaSpecific("euOpt_DeltaA"&amp;ROW(),O88,AModel,B88,"ZAR",FALSE),_xll.QRisk_PortfolioDelta("euOpt_DeltaA"&amp;ROW(),O88,AModel,FALSE))</f>
        <v>euOpt_DeltaA88¬0</v>
      </c>
      <c r="R88" s="21" cm="1">
        <f t="array" aca="1" ref="R88" ca="1">_xll.QCube_SumAllRows(Q88)</f>
        <v>5606.8548212380874</v>
      </c>
      <c r="S88" s="11">
        <f t="shared" ca="1" si="45"/>
        <v>0.56068548212380875</v>
      </c>
      <c r="T88" t="str" cm="1">
        <f t="array" aca="1" ref="T88" ca="1">_xll.QRisk_PortfolioVega("euopt_commVegaA"&amp;ROW(),O88,AModel,H88)</f>
        <v>euopt_commVegaA88¬18</v>
      </c>
      <c r="U88" s="21" cm="1">
        <f t="array" aca="1" ref="U88" ca="1">_xll.QCube_SumAllRows(T88)</f>
        <v>0</v>
      </c>
      <c r="V88" s="100">
        <f t="shared" ca="1" si="46"/>
        <v>0</v>
      </c>
      <c r="X88" s="75">
        <f t="shared" ref="X88:X90" si="52">X81</f>
        <v>44593</v>
      </c>
      <c r="Y88" s="1">
        <f t="shared" si="47"/>
        <v>44852</v>
      </c>
    </row>
    <row r="89" spans="1:25" x14ac:dyDescent="0.25">
      <c r="A89" s="6"/>
      <c r="B89" s="6" t="s">
        <v>11</v>
      </c>
      <c r="C89" s="102">
        <f t="shared" si="51"/>
        <v>44905</v>
      </c>
      <c r="D89" s="102" cm="1">
        <f t="array" aca="1" ref="D89" ca="1">IF(_xll.QUtils_IsTenor(C89),_xll.QDates_AddPeriod(valDate,C89,"F","NYC"),C89)</f>
        <v>44905</v>
      </c>
      <c r="E89" s="103">
        <f t="shared" ref="E89:E90" si="53">E88</f>
        <v>30.75</v>
      </c>
      <c r="F89" s="6" t="s">
        <v>287</v>
      </c>
      <c r="G89" s="103">
        <f t="shared" si="50"/>
        <v>10000</v>
      </c>
      <c r="H89" s="6" t="s">
        <v>21</v>
      </c>
      <c r="I89" s="104" t="str">
        <f>VLOOKUP(H89,'FX-IR'!$B$20:$C$27,2,FALSE)</f>
        <v>USD.LIBOR.3M</v>
      </c>
      <c r="J89" s="104" t="s">
        <v>171</v>
      </c>
      <c r="K89" s="104" t="str">
        <f t="shared" si="44"/>
        <v>2b</v>
      </c>
      <c r="L89" t="str" cm="1">
        <f t="array" aca="1" ref="L89" ca="1">_xll.QIns_CreateForward("EuOpt_Fwd_"&amp;ROW(),D89,B89,H89,0,G89,H89,J89,K89,I89)</f>
        <v>EuOpt_Fwd_89¬0</v>
      </c>
      <c r="M89" s="14" cm="1">
        <f t="array" aca="1" ref="M89" ca="1">_xll.QIns_ProductParRate(L89,AModel)</f>
        <v>29.189675430390597</v>
      </c>
      <c r="N89" s="11" cm="1">
        <f t="array" aca="1" ref="N89" ca="1">_xll.QModels_GetCompoVol(AModel,B89,H89,E89,D89)</f>
        <v>0.41760489738599449</v>
      </c>
      <c r="O89" t="str" cm="1">
        <f t="array" aca="1" ref="O89" ca="1">_xll.QIns_CreateEuropeanOption("euOpt_"&amp;ROW(),D89,B89,H89,E89,F89,G89,H89,J89,K89,I89)</f>
        <v>euOpt_89¬0</v>
      </c>
      <c r="P89" s="21" cm="1">
        <f t="array" aca="1" ref="P89" ca="1">_xll.QIns_ProductPV(O89,AModel,H89)</f>
        <v>58919.160505211177</v>
      </c>
      <c r="Q89" t="str" cm="1">
        <f t="array" aca="1" ref="Q89" ca="1">IF(VLOOKUP(B89,AssetStatic,4,FALSE),_xll.QRisk_PortfolioFxDeltaSpecific("euOpt_DeltaA"&amp;ROW(),O89,AModel,B89,"ZAR",FALSE),_xll.QRisk_PortfolioDelta("euOpt_DeltaA"&amp;ROW(),O89,AModel,FALSE))</f>
        <v>euOpt_DeltaA89¬0</v>
      </c>
      <c r="R89" s="21" cm="1">
        <f t="array" aca="1" ref="R89" ca="1">_xll.QCube_SumAllRows(Q89)</f>
        <v>5652.4686140181875</v>
      </c>
      <c r="S89" s="11">
        <f t="shared" ca="1" si="45"/>
        <v>0.56524686140181879</v>
      </c>
      <c r="T89" t="str" cm="1">
        <f t="array" aca="1" ref="T89" ca="1">_xll.QRisk_PortfolioVega("euopt_commVegaA"&amp;ROW(),O89,AModel,H89)</f>
        <v>euopt_commVegaA89¬18</v>
      </c>
      <c r="U89" s="21" cm="1">
        <f t="array" aca="1" ref="U89" ca="1">_xll.QCube_SumAllRows(T89)</f>
        <v>0</v>
      </c>
      <c r="V89" s="100">
        <f t="shared" ca="1" si="46"/>
        <v>0</v>
      </c>
      <c r="X89" s="75">
        <f t="shared" si="52"/>
        <v>44621</v>
      </c>
      <c r="Y89" s="1">
        <f t="shared" si="47"/>
        <v>44905</v>
      </c>
    </row>
    <row r="90" spans="1:25" x14ac:dyDescent="0.25">
      <c r="A90" s="6"/>
      <c r="B90" s="6" t="s">
        <v>11</v>
      </c>
      <c r="C90" s="102">
        <f t="shared" si="51"/>
        <v>44950</v>
      </c>
      <c r="D90" s="102" cm="1">
        <f t="array" aca="1" ref="D90" ca="1">IF(_xll.QUtils_IsTenor(C90),_xll.QDates_AddPeriod(valDate,C90,"F","NYC"),C90)</f>
        <v>44950</v>
      </c>
      <c r="E90" s="103">
        <f t="shared" si="53"/>
        <v>30.75</v>
      </c>
      <c r="F90" s="6" t="s">
        <v>287</v>
      </c>
      <c r="G90" s="103">
        <f t="shared" si="50"/>
        <v>10000</v>
      </c>
      <c r="H90" s="6" t="s">
        <v>21</v>
      </c>
      <c r="I90" s="104" t="str">
        <f>VLOOKUP(H90,'FX-IR'!$B$20:$C$27,2,FALSE)</f>
        <v>USD.LIBOR.3M</v>
      </c>
      <c r="J90" s="104" t="s">
        <v>171</v>
      </c>
      <c r="K90" s="104" t="str">
        <f t="shared" si="44"/>
        <v>2b</v>
      </c>
      <c r="L90" t="str" cm="1">
        <f t="array" aca="1" ref="L90" ca="1">_xll.QIns_CreateForward("EuOpt_Fwd_"&amp;ROW(),D90,B90,H90,0,G90,H90,J90,K90,I90)</f>
        <v>EuOpt_Fwd_90¬0</v>
      </c>
      <c r="M90" s="14" cm="1">
        <f t="array" aca="1" ref="M90" ca="1">_xll.QIns_ProductParRate(L90,AModel)</f>
        <v>29.163130014564675</v>
      </c>
      <c r="N90" s="11" cm="1">
        <f t="array" aca="1" ref="N90" ca="1">_xll.QModels_GetCompoVol(AModel,B90,H90,E90,D90)</f>
        <v>0.41818071861403727</v>
      </c>
      <c r="O90" t="str" cm="1">
        <f t="array" aca="1" ref="O90" ca="1">_xll.QIns_CreateEuropeanOption("euOpt_"&amp;ROW(),D90,B90,H90,E90,F90,G90,H90,J90,K90,I90)</f>
        <v>euOpt_90¬0</v>
      </c>
      <c r="P90" s="21" cm="1">
        <f t="array" aca="1" ref="P90" ca="1">_xll.QIns_ProductPV(O90,AModel,H90)</f>
        <v>60968.350771105674</v>
      </c>
      <c r="Q90" t="str" cm="1">
        <f t="array" aca="1" ref="Q90" ca="1">IF(VLOOKUP(B90,AssetStatic,4,FALSE),_xll.QRisk_PortfolioFxDeltaSpecific("euOpt_DeltaA"&amp;ROW(),O90,AModel,B90,"ZAR",FALSE),_xll.QRisk_PortfolioDelta("euOpt_DeltaA"&amp;ROW(),O90,AModel,FALSE))</f>
        <v>euOpt_DeltaA90¬0</v>
      </c>
      <c r="R90" s="21" cm="1">
        <f t="array" aca="1" ref="R90" ca="1">_xll.QCube_SumAllRows(Q90)</f>
        <v>5688.822586191236</v>
      </c>
      <c r="S90" s="11">
        <f t="shared" ca="1" si="45"/>
        <v>0.56888225861912356</v>
      </c>
      <c r="T90" t="str" cm="1">
        <f t="array" aca="1" ref="T90" ca="1">_xll.QRisk_PortfolioVega("euopt_commVegaA"&amp;ROW(),O90,AModel,H90)</f>
        <v>euopt_commVegaA90¬18</v>
      </c>
      <c r="U90" s="21" cm="1">
        <f t="array" aca="1" ref="U90" ca="1">_xll.QCube_SumAllRows(T90)</f>
        <v>0</v>
      </c>
      <c r="V90" s="100">
        <f t="shared" ca="1" si="46"/>
        <v>0</v>
      </c>
      <c r="X90" s="75">
        <f t="shared" si="52"/>
        <v>44652</v>
      </c>
      <c r="Y90" s="1">
        <f t="shared" si="47"/>
        <v>44950</v>
      </c>
    </row>
    <row r="91" spans="1:25" x14ac:dyDescent="0.25">
      <c r="A91" s="6"/>
      <c r="B91" s="6"/>
      <c r="C91" s="102"/>
      <c r="D91" s="102"/>
      <c r="E91" s="103"/>
      <c r="F91" s="6"/>
      <c r="G91" s="103"/>
      <c r="H91" s="6"/>
      <c r="I91" s="104"/>
      <c r="J91" s="104"/>
      <c r="K91" s="104"/>
      <c r="M91" s="14"/>
      <c r="N91" s="11"/>
      <c r="R91" s="21"/>
      <c r="S91" s="11"/>
      <c r="U91" s="21"/>
      <c r="V91" s="100"/>
      <c r="X91" s="75"/>
      <c r="Y91" s="1"/>
    </row>
    <row r="92" spans="1:25" x14ac:dyDescent="0.25">
      <c r="A92" s="6"/>
      <c r="B92" s="6"/>
      <c r="C92" s="102"/>
      <c r="D92" s="102"/>
      <c r="E92" s="103"/>
      <c r="F92" s="6"/>
      <c r="G92" s="103"/>
      <c r="H92" s="6"/>
      <c r="I92" s="104"/>
      <c r="J92" s="104"/>
      <c r="K92" s="104"/>
      <c r="M92" s="14"/>
      <c r="N92" s="11"/>
      <c r="R92" s="21"/>
      <c r="S92" s="11"/>
      <c r="U92" s="21"/>
      <c r="V92" s="100"/>
      <c r="X92" s="75"/>
      <c r="Y92" s="1"/>
    </row>
    <row r="93" spans="1:25" x14ac:dyDescent="0.25">
      <c r="A93" s="6"/>
      <c r="B93" s="6"/>
      <c r="C93" s="102"/>
      <c r="D93" s="102"/>
      <c r="E93" s="103"/>
      <c r="F93" s="6"/>
      <c r="G93" s="103"/>
      <c r="H93" s="6"/>
      <c r="I93" s="104"/>
      <c r="J93" s="104"/>
      <c r="K93" s="104"/>
      <c r="M93" s="14"/>
      <c r="N93" s="11"/>
      <c r="R93" s="21"/>
      <c r="S93" s="11"/>
      <c r="U93" s="21"/>
      <c r="V93" s="100"/>
      <c r="X93" s="75"/>
      <c r="Y93" s="1"/>
    </row>
    <row r="94" spans="1:25" x14ac:dyDescent="0.25">
      <c r="A94" s="6"/>
      <c r="B94" s="6"/>
      <c r="C94" s="102"/>
      <c r="D94" s="102"/>
      <c r="E94" s="103"/>
      <c r="F94" s="6"/>
      <c r="G94" s="103"/>
      <c r="H94" s="6"/>
      <c r="I94" s="104"/>
      <c r="J94" s="104"/>
      <c r="K94" s="104"/>
      <c r="M94" s="14"/>
      <c r="N94" s="11"/>
      <c r="R94" s="21"/>
      <c r="S94" s="11"/>
      <c r="U94" s="21"/>
      <c r="V94" s="100"/>
      <c r="X94" s="75"/>
    </row>
    <row r="95" spans="1:25" x14ac:dyDescent="0.25">
      <c r="A95" s="6"/>
      <c r="B95" s="6"/>
      <c r="C95" s="102"/>
      <c r="D95" s="102"/>
      <c r="E95" s="103"/>
      <c r="F95" s="6"/>
      <c r="G95" s="103"/>
      <c r="H95" s="6"/>
      <c r="I95" s="104"/>
      <c r="J95" s="104"/>
      <c r="K95" s="104"/>
      <c r="M95" s="14"/>
      <c r="N95" s="11"/>
      <c r="P95" s="21">
        <f ca="1">SUM(P96:P97)</f>
        <v>-330538.57023868203</v>
      </c>
      <c r="R95" s="21"/>
      <c r="S95" s="11"/>
      <c r="U95" s="21"/>
      <c r="V95" s="100"/>
      <c r="X95" s="75"/>
    </row>
    <row r="96" spans="1:25" x14ac:dyDescent="0.25">
      <c r="A96" s="6"/>
      <c r="B96" s="6" t="s">
        <v>13</v>
      </c>
      <c r="C96" s="102">
        <v>44327</v>
      </c>
      <c r="D96" s="102" cm="1">
        <f t="array" aca="1" ref="D96" ca="1">IF(_xll.QUtils_IsTenor(C96),_xll.QDates_AddPeriod(valDate,C96,"F","NYC"),C96)</f>
        <v>44327</v>
      </c>
      <c r="E96" s="103">
        <v>16490</v>
      </c>
      <c r="F96" s="6" t="s">
        <v>287</v>
      </c>
      <c r="G96" s="103">
        <v>-129</v>
      </c>
      <c r="H96" s="6" t="s">
        <v>1</v>
      </c>
      <c r="I96" s="104" t="str">
        <f>VLOOKUP(H96,'FX-IR'!$B$20:$C$27,2,FALSE)</f>
        <v>ZAR.DISC.[USD.LIBOR.3M]</v>
      </c>
      <c r="J96" s="104" t="s">
        <v>171</v>
      </c>
      <c r="K96" s="104" t="str">
        <f t="shared" ref="K96:K97" si="54">VLOOKUP(B96,AssetStatic,2,FALSE)</f>
        <v>2b</v>
      </c>
      <c r="L96" t="str" cm="1">
        <f t="array" aca="1" ref="L96" ca="1">_xll.QIns_CreateForward("EuOpt_Fwd_"&amp;ROW(),D96,B96,H96,0,G96,H96,J96,K96,I96)</f>
        <v>EuOpt_Fwd_96¬0</v>
      </c>
      <c r="M96" s="14" cm="1">
        <f t="array" aca="1" ref="M96" ca="1">_xll.QIns_ProductParRate(L96,AModel)</f>
        <v>18710.682740771244</v>
      </c>
      <c r="N96" s="11" cm="1">
        <f t="array" aca="1" ref="N96" ca="1">_xll.QModels_GetCompoVol(AModel,B96,H96,E96,D96)</f>
        <v>0.33608491006365576</v>
      </c>
      <c r="O96" t="str" cm="1">
        <f t="array" aca="1" ref="O96" ca="1">_xll.QIns_CreateEuropeanOption("euOpt_"&amp;ROW(),D96,B96,H96,E96,F96,G96,H96,J96,K96,I96)</f>
        <v>euOpt_96¬0</v>
      </c>
      <c r="P96" s="21" cm="1">
        <f t="array" aca="1" ref="P96" ca="1">_xll.QIns_ProductPV(O96,AModel,H96)</f>
        <v>-330538.6032748461</v>
      </c>
      <c r="Q96" t="str" cm="1">
        <f t="array" aca="1" ref="Q96" ca="1">IF(VLOOKUP(B96,AssetStatic,4,FALSE),_xll.QRisk_PortfolioFxDeltaSpecific("euOpt_DeltaA"&amp;ROW(),O96,AModel,B96,"ZAR",FALSE),_xll.QRisk_PortfolioDelta("euOpt_DeltaA"&amp;ROW(),O96,AModel,FALSE))</f>
        <v>euOpt_DeltaA96¬0</v>
      </c>
      <c r="R96" s="21" cm="1">
        <f t="array" aca="1" ref="R96" ca="1">_xll.QCube_SumAllRows(Q96)</f>
        <v>-102.8066050699295</v>
      </c>
      <c r="S96" s="11">
        <f t="shared" ref="S96:S97" ca="1" si="55">R96/G96</f>
        <v>0.79695042689867834</v>
      </c>
      <c r="T96" t="str" cm="1">
        <f t="array" aca="1" ref="T96" ca="1">_xll.QRisk_PortfolioVega("euopt_commVegaA"&amp;ROW(),O96,AModel,H96)</f>
        <v>euopt_commVegaA96¬18</v>
      </c>
      <c r="U96" s="21" cm="1">
        <f t="array" aca="1" ref="U96" ca="1">_xll.QCube_SumAllRows(T96)</f>
        <v>0</v>
      </c>
      <c r="V96" s="100">
        <f t="shared" ref="V96:V97" ca="1" si="56">U96/D96</f>
        <v>0</v>
      </c>
      <c r="X96" s="75">
        <f t="shared" ref="X96:X100" si="57">X89</f>
        <v>44621</v>
      </c>
      <c r="Y96" s="1">
        <f t="shared" ref="Y96:Y97" si="58">C96</f>
        <v>44327</v>
      </c>
    </row>
    <row r="97" spans="1:25" x14ac:dyDescent="0.25">
      <c r="A97" s="6"/>
      <c r="B97" s="6" t="s">
        <v>13</v>
      </c>
      <c r="C97" s="102">
        <f>C96</f>
        <v>44327</v>
      </c>
      <c r="D97" s="102" cm="1">
        <f t="array" aca="1" ref="D97" ca="1">IF(_xll.QUtils_IsTenor(C97),_xll.QDates_AddPeriod(valDate,C97,"F","NYC"),C97)</f>
        <v>44327</v>
      </c>
      <c r="E97" s="103">
        <v>43000</v>
      </c>
      <c r="F97" s="6" t="s">
        <v>287</v>
      </c>
      <c r="G97" s="103">
        <v>129</v>
      </c>
      <c r="H97" s="6" t="s">
        <v>1</v>
      </c>
      <c r="I97" s="104" t="str">
        <f>VLOOKUP(H97,'FX-IR'!$B$20:$C$27,2,FALSE)</f>
        <v>ZAR.DISC.[USD.LIBOR.3M]</v>
      </c>
      <c r="J97" s="104" t="s">
        <v>171</v>
      </c>
      <c r="K97" s="104" t="str">
        <f t="shared" si="54"/>
        <v>2b</v>
      </c>
      <c r="L97" t="str" cm="1">
        <f t="array" aca="1" ref="L97" ca="1">_xll.QIns_CreateForward("EuOpt_Fwd_"&amp;ROW(),D97,B97,H97,0,G97,H97,J97,K97,I97)</f>
        <v>EuOpt_Fwd_97¬0</v>
      </c>
      <c r="M97" s="14" cm="1">
        <f t="array" aca="1" ref="M97" ca="1">_xll.QIns_ProductParRate(L97,AModel)</f>
        <v>18710.682740771244</v>
      </c>
      <c r="N97" s="11" cm="1">
        <f t="array" aca="1" ref="N97" ca="1">_xll.QModels_GetCompoVol(AModel,B97,H97,E97,D97)</f>
        <v>0.33608491006365576</v>
      </c>
      <c r="O97" t="str" cm="1">
        <f t="array" aca="1" ref="O97" ca="1">_xll.QIns_CreateEuropeanOption("euOpt_"&amp;ROW(),D97,B97,H97,E97,F97,G97,H97,J97,K97,I97)</f>
        <v>euOpt_97¬0</v>
      </c>
      <c r="P97" s="21" cm="1">
        <f t="array" aca="1" ref="P97" ca="1">_xll.QIns_ProductPV(O97,AModel,H97)</f>
        <v>3.3036164040259205E-2</v>
      </c>
      <c r="Q97" t="str" cm="1">
        <f t="array" aca="1" ref="Q97" ca="1">IF(VLOOKUP(B97,AssetStatic,4,FALSE),_xll.QRisk_PortfolioFxDeltaSpecific("euOpt_DeltaA"&amp;ROW(),O97,AModel,B97,"ZAR",FALSE),_xll.QRisk_PortfolioDelta("euOpt_DeltaA"&amp;ROW(),O97,AModel,FALSE))</f>
        <v>euOpt_DeltaA97¬0</v>
      </c>
      <c r="R97" s="21" cm="1">
        <f t="array" aca="1" ref="R97" ca="1">_xll.QCube_SumAllRows(Q97)</f>
        <v>5.8107530767103328E-5</v>
      </c>
      <c r="S97" s="11">
        <f t="shared" ca="1" si="55"/>
        <v>4.5044597493878548E-7</v>
      </c>
      <c r="T97" t="str" cm="1">
        <f t="array" aca="1" ref="T97" ca="1">_xll.QRisk_PortfolioVega("euopt_commVegaA"&amp;ROW(),O97,AModel,H97)</f>
        <v>euopt_commVegaA97¬18</v>
      </c>
      <c r="U97" s="21" cm="1">
        <f t="array" aca="1" ref="U97" ca="1">_xll.QCube_SumAllRows(T97)</f>
        <v>0</v>
      </c>
      <c r="V97" s="100">
        <f t="shared" ca="1" si="56"/>
        <v>0</v>
      </c>
      <c r="X97" s="75">
        <f t="shared" si="57"/>
        <v>44652</v>
      </c>
      <c r="Y97" s="1">
        <f t="shared" si="58"/>
        <v>44327</v>
      </c>
    </row>
    <row r="98" spans="1:25" x14ac:dyDescent="0.25">
      <c r="A98" s="6"/>
      <c r="B98" s="6"/>
      <c r="C98" s="102"/>
      <c r="D98" s="102"/>
      <c r="E98" s="103"/>
      <c r="F98" s="6"/>
      <c r="G98" s="103"/>
      <c r="H98" s="6"/>
      <c r="I98" s="104"/>
      <c r="J98" s="104"/>
      <c r="K98" s="104"/>
    </row>
    <row r="99" spans="1:25" x14ac:dyDescent="0.25">
      <c r="A99" s="6"/>
      <c r="B99" s="6" t="s">
        <v>12</v>
      </c>
      <c r="C99" s="102">
        <v>44245</v>
      </c>
      <c r="D99" s="102" cm="1">
        <f t="array" aca="1" ref="D99" ca="1">IF(_xll.QUtils_IsTenor(C99),_xll.QDates_AddPeriod(valDate,C99,"F","NYC"),C99)</f>
        <v>44245</v>
      </c>
      <c r="E99" s="103">
        <v>2316.5</v>
      </c>
      <c r="F99" s="6" t="s">
        <v>287</v>
      </c>
      <c r="G99" s="103">
        <v>1250</v>
      </c>
      <c r="H99" s="6" t="s">
        <v>21</v>
      </c>
      <c r="I99" s="104" t="str">
        <f>VLOOKUP(H99,'FX-IR'!$B$20:$C$27,2,FALSE)</f>
        <v>USD.LIBOR.3M</v>
      </c>
      <c r="J99" s="104" t="s">
        <v>171</v>
      </c>
      <c r="K99" s="104" t="str">
        <f t="shared" ref="K99:K100" si="59">VLOOKUP(B99,AssetStatic,2,FALSE)</f>
        <v>2b</v>
      </c>
      <c r="L99" t="str" cm="1">
        <f t="array" aca="1" ref="L99" ca="1">_xll.QIns_CreateForward("EuOpt_Fwd_"&amp;ROW(),D99,B99,H99,0,G99,H99,J99,K99,I99)</f>
        <v>EuOpt_Fwd_99¬0</v>
      </c>
      <c r="M99" s="14" cm="1">
        <f t="array" aca="1" ref="M99" ca="1">_xll.QIns_ProductParRate(L99,AModel)</f>
        <v>2373.032995972545</v>
      </c>
      <c r="N99" s="11" cm="1">
        <f t="array" aca="1" ref="N99" ca="1">_xll.QModels_GetCompoVol(AModel,B99,H99,E99,D99)</f>
        <v>0.33874111536444373</v>
      </c>
      <c r="O99" t="str" cm="1">
        <f t="array" aca="1" ref="O99" ca="1">_xll.QIns_CreateEuropeanOption("euOpt_"&amp;ROW(),D99,B99,H99,E99,F99,G99,H99,J99,K99,I99)</f>
        <v>euOpt_99¬0</v>
      </c>
      <c r="P99" s="21" cm="1">
        <f t="array" aca="1" ref="P99" ca="1">_xll.QIns_ProductPV(O99,AModel,H99)</f>
        <v>99789.739178788936</v>
      </c>
      <c r="Q99" t="str" cm="1">
        <f t="array" aca="1" ref="Q99" ca="1">IF(VLOOKUP(B99,AssetStatic,4,FALSE),_xll.QRisk_PortfolioFxDeltaSpecific("euOpt_DeltaA"&amp;ROW(),O99,AModel,B99,"ZAR",FALSE),_xll.QRisk_PortfolioDelta("euOpt_DeltaA"&amp;ROW(),O99,AModel,FALSE))</f>
        <v>euOpt_DeltaA99¬0</v>
      </c>
      <c r="R99" s="21" cm="1">
        <f t="array" aca="1" ref="R99" ca="1">_xll.QCube_SumAllRows(Q99)</f>
        <v>946.12912173334087</v>
      </c>
      <c r="S99" s="11">
        <f t="shared" ref="S99:S100" ca="1" si="60">R99/G99</f>
        <v>0.75690329738667272</v>
      </c>
      <c r="T99" t="str" cm="1">
        <f t="array" aca="1" ref="T99" ca="1">_xll.QRisk_PortfolioVega("euopt_commVegaA"&amp;ROW(),O99,AModel,H99)</f>
        <v>euopt_commVegaA99¬18</v>
      </c>
      <c r="U99" s="21" cm="1">
        <f t="array" aca="1" ref="U99" ca="1">_xll.QCube_SumAllRows(T99)</f>
        <v>0</v>
      </c>
      <c r="V99" s="100">
        <f t="shared" ref="V99:V100" ca="1" si="61">U99/D99</f>
        <v>0</v>
      </c>
      <c r="X99" s="75">
        <f t="shared" si="57"/>
        <v>0</v>
      </c>
      <c r="Y99" s="1">
        <f t="shared" ref="Y99:Y100" si="62">C99</f>
        <v>44245</v>
      </c>
    </row>
    <row r="100" spans="1:25" x14ac:dyDescent="0.25">
      <c r="A100" s="6"/>
      <c r="B100" s="6" t="s">
        <v>12</v>
      </c>
      <c r="C100" s="102">
        <f>C99</f>
        <v>44245</v>
      </c>
      <c r="D100" s="102" cm="1">
        <f t="array" aca="1" ref="D100" ca="1">IF(_xll.QUtils_IsTenor(C100),_xll.QDates_AddPeriod(valDate,C100,"F","NYC"),C100)</f>
        <v>44245</v>
      </c>
      <c r="E100" s="103">
        <v>2316.5</v>
      </c>
      <c r="F100" s="6" t="s">
        <v>166</v>
      </c>
      <c r="G100" s="103">
        <v>1250</v>
      </c>
      <c r="H100" s="6" t="s">
        <v>1</v>
      </c>
      <c r="I100" s="104" t="str">
        <f>VLOOKUP(H100,'FX-IR'!$B$20:$C$27,2,FALSE)</f>
        <v>ZAR.DISC.[USD.LIBOR.3M]</v>
      </c>
      <c r="J100" s="104" t="s">
        <v>171</v>
      </c>
      <c r="K100" s="104" t="str">
        <f t="shared" si="59"/>
        <v>2b</v>
      </c>
      <c r="L100" t="str" cm="1">
        <f t="array" aca="1" ref="L100" ca="1">_xll.QIns_CreateForward("EuOpt_Fwd_"&amp;ROW(),D100,B100,H100,0,G100,H100,J100,K100,I100)</f>
        <v>EuOpt_Fwd_100¬0</v>
      </c>
      <c r="M100" s="14" cm="1">
        <f t="array" aca="1" ref="M100" ca="1">_xll.QIns_ProductParRate(L100,AModel)</f>
        <v>34816.427073104518</v>
      </c>
      <c r="N100" s="11" cm="1">
        <f t="array" aca="1" ref="N100" ca="1">_xll.QModels_GetCompoVol(AModel,B100,H100,E100,D100)</f>
        <v>0.47407930518554831</v>
      </c>
      <c r="O100" t="str" cm="1">
        <f t="array" aca="1" ref="O100" ca="1">_xll.QIns_CreateEuropeanOption("euOpt_"&amp;ROW(),D100,B100,H100,E100,F100,G100,H100,J100,K100,I100)</f>
        <v>euOpt_100¬0</v>
      </c>
      <c r="P100" s="21" cm="1">
        <f t="array" aca="1" ref="P100" ca="1">_xll.QIns_ProductPV(O100,AModel,H100)</f>
        <v>0</v>
      </c>
      <c r="Q100" t="str" cm="1">
        <f t="array" aca="1" ref="Q100" ca="1">IF(VLOOKUP(B100,AssetStatic,4,FALSE),_xll.QRisk_PortfolioFxDeltaSpecific("euOpt_DeltaA"&amp;ROW(),O100,AModel,B100,"ZAR",FALSE),_xll.QRisk_PortfolioDelta("euOpt_DeltaA"&amp;ROW(),O100,AModel,FALSE))</f>
        <v>euOpt_DeltaA100¬0</v>
      </c>
      <c r="R100" s="21" cm="1">
        <f t="array" aca="1" ref="R100" ca="1">_xll.QCube_SumAllRows(Q100)</f>
        <v>0</v>
      </c>
      <c r="S100" s="11">
        <f t="shared" ca="1" si="60"/>
        <v>0</v>
      </c>
      <c r="T100" t="str" cm="1">
        <f t="array" aca="1" ref="T100" ca="1">_xll.QRisk_PortfolioVega("euopt_commVegaA"&amp;ROW(),O100,AModel,H100)</f>
        <v>euopt_commVegaA100¬18</v>
      </c>
      <c r="U100" s="21" cm="1">
        <f t="array" aca="1" ref="U100" ca="1">_xll.QCube_SumAllRows(T100)</f>
        <v>0</v>
      </c>
      <c r="V100" s="100">
        <f t="shared" ca="1" si="61"/>
        <v>0</v>
      </c>
      <c r="X100" s="75">
        <f t="shared" si="57"/>
        <v>0</v>
      </c>
      <c r="Y100" s="1">
        <f t="shared" si="62"/>
        <v>44245</v>
      </c>
    </row>
    <row r="101" spans="1:25" x14ac:dyDescent="0.25">
      <c r="A101" s="6"/>
      <c r="B101" s="6"/>
      <c r="C101" s="102"/>
      <c r="D101" s="102"/>
      <c r="E101" s="103"/>
      <c r="F101" s="6"/>
      <c r="G101" s="103"/>
      <c r="H101" s="6"/>
      <c r="I101" s="104"/>
      <c r="J101" s="104"/>
      <c r="K101" s="104"/>
    </row>
    <row r="102" spans="1:25" x14ac:dyDescent="0.25">
      <c r="A102" s="6"/>
      <c r="B102" s="6"/>
      <c r="C102" s="102"/>
      <c r="D102" s="102"/>
      <c r="E102" s="103"/>
      <c r="F102" s="6"/>
      <c r="G102" s="103"/>
      <c r="H102" s="6"/>
      <c r="I102" s="104"/>
      <c r="J102" s="104"/>
      <c r="K102" s="104"/>
    </row>
    <row r="103" spans="1:25" x14ac:dyDescent="0.25">
      <c r="A103" s="6"/>
      <c r="B103" s="6"/>
      <c r="C103" s="102"/>
      <c r="D103" s="102"/>
      <c r="E103" s="103"/>
      <c r="F103" s="6"/>
      <c r="G103" s="103"/>
      <c r="H103" s="6"/>
      <c r="I103" s="104"/>
      <c r="J103" s="104"/>
      <c r="K103" s="104"/>
    </row>
    <row r="104" spans="1:25" x14ac:dyDescent="0.25">
      <c r="A104" s="6"/>
      <c r="B104" s="6" t="s">
        <v>12</v>
      </c>
      <c r="C104" s="102">
        <v>44245</v>
      </c>
      <c r="D104" s="102">
        <v>44245</v>
      </c>
      <c r="E104" s="103">
        <v>2316.5</v>
      </c>
      <c r="F104" s="6" t="s">
        <v>166</v>
      </c>
      <c r="G104" s="103">
        <v>1250</v>
      </c>
      <c r="H104" s="6" t="s">
        <v>1</v>
      </c>
      <c r="I104" s="104" t="str">
        <f>VLOOKUP(H104,'FX-IR'!$B$20:$C$27,2,FALSE)</f>
        <v>ZAR.DISC.[USD.LIBOR.3M]</v>
      </c>
      <c r="J104" s="104" t="s">
        <v>171</v>
      </c>
      <c r="K104" s="104" t="s">
        <v>171</v>
      </c>
      <c r="L104" t="str" cm="1">
        <f t="array" aca="1" ref="L104" ca="1">_xll.QIns_CreateForward("EuOpt_Fwd_"&amp;ROW(),D104,B104,H104,0,G104,H104,J104,K104,I104)</f>
        <v>EuOpt_Fwd_104¬0</v>
      </c>
      <c r="M104" s="14" cm="1">
        <f t="array" aca="1" ref="M104" ca="1">_xll.QIns_ProductParRate(L104,AModel)</f>
        <v>34816.427073104518</v>
      </c>
      <c r="N104" s="11" cm="1">
        <f t="array" aca="1" ref="N104" ca="1">_xll.QModels_GetCompoVol(AModel,B104,H104,E104,D104)</f>
        <v>0.47407930518554831</v>
      </c>
      <c r="O104" t="str" cm="1">
        <f t="array" aca="1" ref="O104" ca="1">_xll.QIns_CreateEuropeanOption("euOpt_"&amp;ROW(),D104,B104,H104,E104,F104,G104,H104,J104,K104,I104)</f>
        <v>euOpt_104¬0</v>
      </c>
      <c r="P104" s="21" cm="1">
        <f t="array" aca="1" ref="P104" ca="1">_xll.QIns_ProductPV(O104,AModel,H104)</f>
        <v>0</v>
      </c>
      <c r="Q104" t="str" cm="1">
        <f t="array" aca="1" ref="Q104" ca="1">IF(VLOOKUP(B104,AssetStatic,4,FALSE),_xll.QRisk_PortfolioFxDeltaSpecific("euOpt_DeltaA"&amp;ROW(),O104,AModel,B104,"ZAR",FALSE),_xll.QRisk_PortfolioDelta("euOpt_DeltaA"&amp;ROW(),O104,AModel,FALSE))</f>
        <v>euOpt_DeltaA104¬0</v>
      </c>
      <c r="R104" s="21" cm="1">
        <f t="array" aca="1" ref="R104" ca="1">_xll.QCube_SumAllRows(Q104)</f>
        <v>0</v>
      </c>
      <c r="S104" s="11">
        <f t="shared" ref="S104" ca="1" si="63">R104/G104</f>
        <v>0</v>
      </c>
      <c r="T104" t="str" cm="1">
        <f t="array" aca="1" ref="T104" ca="1">_xll.QRisk_PortfolioVega("euopt_commVegaA"&amp;ROW(),O104,AModel,H104)</f>
        <v>euopt_commVegaA104¬18</v>
      </c>
      <c r="U104" s="21" cm="1">
        <f t="array" aca="1" ref="U104" ca="1">_xll.QCube_SumAllRows(T104)</f>
        <v>0</v>
      </c>
      <c r="V104" s="100">
        <f t="shared" ref="V104" ca="1" si="64">U104/D104</f>
        <v>0</v>
      </c>
      <c r="X104" s="75">
        <f t="shared" ref="X104:X123" si="65">X97</f>
        <v>44652</v>
      </c>
      <c r="Y104" s="1">
        <f t="shared" ref="Y104" si="66">C104</f>
        <v>44245</v>
      </c>
    </row>
    <row r="105" spans="1:25" x14ac:dyDescent="0.25">
      <c r="A105" s="6"/>
      <c r="B105" s="6" t="s">
        <v>12</v>
      </c>
      <c r="C105" s="102">
        <v>44245</v>
      </c>
      <c r="D105" s="102">
        <v>44245</v>
      </c>
      <c r="E105" s="103">
        <v>2316.5</v>
      </c>
      <c r="F105" s="6" t="s">
        <v>166</v>
      </c>
      <c r="G105" s="103">
        <v>1250</v>
      </c>
      <c r="H105" s="6" t="s">
        <v>1</v>
      </c>
      <c r="I105" s="104" t="str">
        <f>VLOOKUP(H105,'FX-IR'!$B$20:$C$27,2,FALSE)</f>
        <v>ZAR.DISC.[USD.LIBOR.3M]</v>
      </c>
      <c r="J105" s="104" t="s">
        <v>171</v>
      </c>
      <c r="K105" s="104" t="s">
        <v>171</v>
      </c>
      <c r="L105" t="str" cm="1">
        <f t="array" aca="1" ref="L105" ca="1">_xll.QIns_CreateForward("EuOpt_Fwd_"&amp;ROW(),D105,B105,H105,0,G105,H105,J105,K105,I105)</f>
        <v>EuOpt_Fwd_105¬0</v>
      </c>
      <c r="M105" s="14" cm="1">
        <f t="array" aca="1" ref="M105" ca="1">_xll.QIns_ProductParRate(L105,AModel)</f>
        <v>34816.427073104518</v>
      </c>
      <c r="N105" s="11" cm="1">
        <f t="array" aca="1" ref="N105" ca="1">_xll.QModels_GetCompoVol(AModel,B105,H105,E105,D105)</f>
        <v>0.47407930518554831</v>
      </c>
      <c r="O105" t="str" cm="1">
        <f t="array" aca="1" ref="O105" ca="1">_xll.QIns_CreateEuropeanOption("euOpt_"&amp;ROW(),D105,B105,H105,E105,F105,G105,H105,J105,K105,I105)</f>
        <v>euOpt_105¬0</v>
      </c>
      <c r="P105" s="21" cm="1">
        <f t="array" aca="1" ref="P105" ca="1">_xll.QIns_ProductPV(O105,AModel,H105)</f>
        <v>0</v>
      </c>
      <c r="Q105" t="str" cm="1">
        <f t="array" aca="1" ref="Q105" ca="1">IF(VLOOKUP(B105,AssetStatic,4,FALSE),_xll.QRisk_PortfolioFxDeltaSpecific("euOpt_DeltaA"&amp;ROW(),O105,AModel,B105,"ZAR",FALSE),_xll.QRisk_PortfolioDelta("euOpt_DeltaA"&amp;ROW(),O105,AModel,FALSE))</f>
        <v>euOpt_DeltaA105¬0</v>
      </c>
      <c r="R105" s="21" cm="1">
        <f t="array" aca="1" ref="R105" ca="1">_xll.QCube_SumAllRows(Q105)</f>
        <v>0</v>
      </c>
      <c r="S105" s="11">
        <f t="shared" ref="S105:S117" ca="1" si="67">R105/G105</f>
        <v>0</v>
      </c>
      <c r="T105" t="str" cm="1">
        <f t="array" aca="1" ref="T105" ca="1">_xll.QRisk_PortfolioVega("euopt_commVegaA"&amp;ROW(),O105,AModel,H105)</f>
        <v>euopt_commVegaA105¬18</v>
      </c>
      <c r="U105" s="21" cm="1">
        <f t="array" aca="1" ref="U105" ca="1">_xll.QCube_SumAllRows(T105)</f>
        <v>0</v>
      </c>
      <c r="V105" s="100">
        <f t="shared" ref="V105:V117" ca="1" si="68">U105/D105</f>
        <v>0</v>
      </c>
      <c r="X105" s="75">
        <f t="shared" si="65"/>
        <v>0</v>
      </c>
      <c r="Y105" s="1">
        <f t="shared" ref="Y105:Y117" si="69">C105</f>
        <v>44245</v>
      </c>
    </row>
    <row r="106" spans="1:25" x14ac:dyDescent="0.25">
      <c r="A106" s="6"/>
      <c r="B106" s="6" t="s">
        <v>12</v>
      </c>
      <c r="C106" s="102">
        <v>44245</v>
      </c>
      <c r="D106" s="102">
        <v>44245</v>
      </c>
      <c r="E106" s="103">
        <v>2316.5</v>
      </c>
      <c r="F106" s="6" t="s">
        <v>166</v>
      </c>
      <c r="G106" s="103">
        <v>1250</v>
      </c>
      <c r="H106" s="6" t="s">
        <v>1</v>
      </c>
      <c r="I106" s="104" t="str">
        <f>VLOOKUP(H106,'FX-IR'!$B$20:$C$27,2,FALSE)</f>
        <v>ZAR.DISC.[USD.LIBOR.3M]</v>
      </c>
      <c r="J106" s="104" t="s">
        <v>171</v>
      </c>
      <c r="K106" s="104" t="s">
        <v>171</v>
      </c>
      <c r="L106" t="str" cm="1">
        <f t="array" aca="1" ref="L106" ca="1">_xll.QIns_CreateForward("EuOpt_Fwd_"&amp;ROW(),D106,B106,H106,0,G106,H106,J106,K106,I106)</f>
        <v>EuOpt_Fwd_106¬0</v>
      </c>
      <c r="M106" s="14" cm="1">
        <f t="array" aca="1" ref="M106" ca="1">_xll.QIns_ProductParRate(L106,AModel)</f>
        <v>34816.427073104518</v>
      </c>
      <c r="N106" s="11" cm="1">
        <f t="array" aca="1" ref="N106" ca="1">_xll.QModels_GetCompoVol(AModel,B106,H106,E106,D106)</f>
        <v>0.47407930518554831</v>
      </c>
      <c r="O106" t="str" cm="1">
        <f t="array" aca="1" ref="O106" ca="1">_xll.QIns_CreateEuropeanOption("euOpt_"&amp;ROW(),D106,B106,H106,E106,F106,G106,H106,J106,K106,I106)</f>
        <v>euOpt_106¬0</v>
      </c>
      <c r="P106" s="21" cm="1">
        <f t="array" aca="1" ref="P106" ca="1">_xll.QIns_ProductPV(O106,AModel,H106)</f>
        <v>0</v>
      </c>
      <c r="Q106" t="str" cm="1">
        <f t="array" aca="1" ref="Q106" ca="1">IF(VLOOKUP(B106,AssetStatic,4,FALSE),_xll.QRisk_PortfolioFxDeltaSpecific("euOpt_DeltaA"&amp;ROW(),O106,AModel,B106,"ZAR",FALSE),_xll.QRisk_PortfolioDelta("euOpt_DeltaA"&amp;ROW(),O106,AModel,FALSE))</f>
        <v>euOpt_DeltaA106¬0</v>
      </c>
      <c r="R106" s="21" cm="1">
        <f t="array" aca="1" ref="R106" ca="1">_xll.QCube_SumAllRows(Q106)</f>
        <v>0</v>
      </c>
      <c r="S106" s="11">
        <f t="shared" ca="1" si="67"/>
        <v>0</v>
      </c>
      <c r="T106" t="str" cm="1">
        <f t="array" aca="1" ref="T106" ca="1">_xll.QRisk_PortfolioVega("euopt_commVegaA"&amp;ROW(),O106,AModel,H106)</f>
        <v>euopt_commVegaA106¬18</v>
      </c>
      <c r="U106" s="21" cm="1">
        <f t="array" aca="1" ref="U106" ca="1">_xll.QCube_SumAllRows(T106)</f>
        <v>0</v>
      </c>
      <c r="V106" s="100">
        <f t="shared" ca="1" si="68"/>
        <v>0</v>
      </c>
      <c r="X106" s="75">
        <f t="shared" si="65"/>
        <v>0</v>
      </c>
      <c r="Y106" s="1">
        <f t="shared" si="69"/>
        <v>44245</v>
      </c>
    </row>
    <row r="107" spans="1:25" x14ac:dyDescent="0.25">
      <c r="A107" s="6"/>
      <c r="B107" s="6" t="s">
        <v>12</v>
      </c>
      <c r="C107" s="102">
        <v>44245</v>
      </c>
      <c r="D107" s="102">
        <v>44245</v>
      </c>
      <c r="E107" s="103">
        <v>2316.5</v>
      </c>
      <c r="F107" s="6" t="s">
        <v>166</v>
      </c>
      <c r="G107" s="103">
        <v>1250</v>
      </c>
      <c r="H107" s="6" t="s">
        <v>1</v>
      </c>
      <c r="I107" s="104" t="str">
        <f>VLOOKUP(H107,'FX-IR'!$B$20:$C$27,2,FALSE)</f>
        <v>ZAR.DISC.[USD.LIBOR.3M]</v>
      </c>
      <c r="J107" s="104" t="s">
        <v>171</v>
      </c>
      <c r="K107" s="104" t="s">
        <v>171</v>
      </c>
      <c r="L107" t="str" cm="1">
        <f t="array" aca="1" ref="L107" ca="1">_xll.QIns_CreateForward("EuOpt_Fwd_"&amp;ROW(),D107,B107,H107,0,G107,H107,J107,K107,I107)</f>
        <v>EuOpt_Fwd_107¬0</v>
      </c>
      <c r="M107" s="14" cm="1">
        <f t="array" aca="1" ref="M107" ca="1">_xll.QIns_ProductParRate(L107,AModel)</f>
        <v>34816.427073104518</v>
      </c>
      <c r="N107" s="11" cm="1">
        <f t="array" aca="1" ref="N107" ca="1">_xll.QModels_GetCompoVol(AModel,B107,H107,E107,D107)</f>
        <v>0.47407930518554831</v>
      </c>
      <c r="O107" t="str" cm="1">
        <f t="array" aca="1" ref="O107" ca="1">_xll.QIns_CreateEuropeanOption("euOpt_"&amp;ROW(),D107,B107,H107,E107,F107,G107,H107,J107,K107,I107)</f>
        <v>euOpt_107¬0</v>
      </c>
      <c r="P107" s="21" cm="1">
        <f t="array" aca="1" ref="P107" ca="1">_xll.QIns_ProductPV(O107,AModel,H107)</f>
        <v>0</v>
      </c>
      <c r="Q107" t="str" cm="1">
        <f t="array" aca="1" ref="Q107" ca="1">IF(VLOOKUP(B107,AssetStatic,4,FALSE),_xll.QRisk_PortfolioFxDeltaSpecific("euOpt_DeltaA"&amp;ROW(),O107,AModel,B107,"ZAR",FALSE),_xll.QRisk_PortfolioDelta("euOpt_DeltaA"&amp;ROW(),O107,AModel,FALSE))</f>
        <v>euOpt_DeltaA107¬0</v>
      </c>
      <c r="R107" s="21" cm="1">
        <f t="array" aca="1" ref="R107" ca="1">_xll.QCube_SumAllRows(Q107)</f>
        <v>0</v>
      </c>
      <c r="S107" s="11">
        <f t="shared" ca="1" si="67"/>
        <v>0</v>
      </c>
      <c r="T107" t="str" cm="1">
        <f t="array" aca="1" ref="T107" ca="1">_xll.QRisk_PortfolioVega("euopt_commVegaA"&amp;ROW(),O107,AModel,H107)</f>
        <v>euopt_commVegaA107¬18</v>
      </c>
      <c r="U107" s="21" cm="1">
        <f t="array" aca="1" ref="U107" ca="1">_xll.QCube_SumAllRows(T107)</f>
        <v>0</v>
      </c>
      <c r="V107" s="100">
        <f t="shared" ca="1" si="68"/>
        <v>0</v>
      </c>
      <c r="X107" s="75">
        <f t="shared" si="65"/>
        <v>0</v>
      </c>
      <c r="Y107" s="1">
        <f t="shared" si="69"/>
        <v>44245</v>
      </c>
    </row>
    <row r="108" spans="1:25" x14ac:dyDescent="0.25">
      <c r="A108" s="6"/>
      <c r="B108" s="6" t="s">
        <v>12</v>
      </c>
      <c r="C108" s="102">
        <v>44245</v>
      </c>
      <c r="D108" s="102">
        <v>44245</v>
      </c>
      <c r="E108" s="103">
        <v>2316.5</v>
      </c>
      <c r="F108" s="6" t="s">
        <v>166</v>
      </c>
      <c r="G108" s="103">
        <v>1250</v>
      </c>
      <c r="H108" s="6" t="s">
        <v>1</v>
      </c>
      <c r="I108" s="104" t="str">
        <f>VLOOKUP(H108,'FX-IR'!$B$20:$C$27,2,FALSE)</f>
        <v>ZAR.DISC.[USD.LIBOR.3M]</v>
      </c>
      <c r="J108" s="104" t="s">
        <v>171</v>
      </c>
      <c r="K108" s="104" t="s">
        <v>171</v>
      </c>
      <c r="L108" t="str" cm="1">
        <f t="array" aca="1" ref="L108" ca="1">_xll.QIns_CreateForward("EuOpt_Fwd_"&amp;ROW(),D108,B108,H108,0,G108,H108,J108,K108,I108)</f>
        <v>EuOpt_Fwd_108¬0</v>
      </c>
      <c r="M108" s="14" cm="1">
        <f t="array" aca="1" ref="M108" ca="1">_xll.QIns_ProductParRate(L108,AModel)</f>
        <v>34816.427073104518</v>
      </c>
      <c r="N108" s="11" cm="1">
        <f t="array" aca="1" ref="N108" ca="1">_xll.QModels_GetCompoVol(AModel,B108,H108,E108,D108)</f>
        <v>0.47407930518554831</v>
      </c>
      <c r="O108" t="str" cm="1">
        <f t="array" aca="1" ref="O108" ca="1">_xll.QIns_CreateEuropeanOption("euOpt_"&amp;ROW(),D108,B108,H108,E108,F108,G108,H108,J108,K108,I108)</f>
        <v>euOpt_108¬0</v>
      </c>
      <c r="P108" s="21" cm="1">
        <f t="array" aca="1" ref="P108" ca="1">_xll.QIns_ProductPV(O108,AModel,H108)</f>
        <v>0</v>
      </c>
      <c r="Q108" t="str" cm="1">
        <f t="array" aca="1" ref="Q108" ca="1">IF(VLOOKUP(B108,AssetStatic,4,FALSE),_xll.QRisk_PortfolioFxDeltaSpecific("euOpt_DeltaA"&amp;ROW(),O108,AModel,B108,"ZAR",FALSE),_xll.QRisk_PortfolioDelta("euOpt_DeltaA"&amp;ROW(),O108,AModel,FALSE))</f>
        <v>euOpt_DeltaA108¬0</v>
      </c>
      <c r="R108" s="21" cm="1">
        <f t="array" aca="1" ref="R108" ca="1">_xll.QCube_SumAllRows(Q108)</f>
        <v>0</v>
      </c>
      <c r="S108" s="11">
        <f t="shared" ca="1" si="67"/>
        <v>0</v>
      </c>
      <c r="T108" t="str" cm="1">
        <f t="array" aca="1" ref="T108" ca="1">_xll.QRisk_PortfolioVega("euopt_commVegaA"&amp;ROW(),O108,AModel,H108)</f>
        <v>euopt_commVegaA108¬0</v>
      </c>
      <c r="U108" s="21" cm="1">
        <f t="array" aca="1" ref="U108" ca="1">_xll.QCube_SumAllRows(T108)</f>
        <v>0</v>
      </c>
      <c r="V108" s="100">
        <f t="shared" ca="1" si="68"/>
        <v>0</v>
      </c>
      <c r="X108" s="75">
        <f t="shared" si="65"/>
        <v>0</v>
      </c>
      <c r="Y108" s="1">
        <f t="shared" si="69"/>
        <v>44245</v>
      </c>
    </row>
    <row r="109" spans="1:25" x14ac:dyDescent="0.25">
      <c r="A109" s="6"/>
      <c r="B109" s="6" t="s">
        <v>12</v>
      </c>
      <c r="C109" s="102">
        <v>44245</v>
      </c>
      <c r="D109" s="102">
        <v>44245</v>
      </c>
      <c r="E109" s="103">
        <v>2316.5</v>
      </c>
      <c r="F109" s="6" t="s">
        <v>166</v>
      </c>
      <c r="G109" s="103">
        <v>1250</v>
      </c>
      <c r="H109" s="6" t="s">
        <v>1</v>
      </c>
      <c r="I109" s="104" t="str">
        <f>VLOOKUP(H109,'FX-IR'!$B$20:$C$27,2,FALSE)</f>
        <v>ZAR.DISC.[USD.LIBOR.3M]</v>
      </c>
      <c r="J109" s="104" t="s">
        <v>171</v>
      </c>
      <c r="K109" s="104" t="s">
        <v>171</v>
      </c>
      <c r="L109" t="str" cm="1">
        <f t="array" aca="1" ref="L109" ca="1">_xll.QIns_CreateForward("EuOpt_Fwd_"&amp;ROW(),D109,B109,H109,0,G109,H109,J109,K109,I109)</f>
        <v>EuOpt_Fwd_109¬0</v>
      </c>
      <c r="M109" s="14" cm="1">
        <f t="array" aca="1" ref="M109" ca="1">_xll.QIns_ProductParRate(L109,AModel)</f>
        <v>34816.427073104518</v>
      </c>
      <c r="N109" s="11" cm="1">
        <f t="array" aca="1" ref="N109" ca="1">_xll.QModels_GetCompoVol(AModel,B109,H109,E109,D109)</f>
        <v>0.47407930518554831</v>
      </c>
      <c r="O109" t="str" cm="1">
        <f t="array" aca="1" ref="O109" ca="1">_xll.QIns_CreateEuropeanOption("euOpt_"&amp;ROW(),D109,B109,H109,E109,F109,G109,H109,J109,K109,I109)</f>
        <v>euOpt_109¬0</v>
      </c>
      <c r="P109" s="21" cm="1">
        <f t="array" aca="1" ref="P109" ca="1">_xll.QIns_ProductPV(O109,AModel,H109)</f>
        <v>0</v>
      </c>
      <c r="Q109" t="str" cm="1">
        <f t="array" aca="1" ref="Q109" ca="1">IF(VLOOKUP(B109,AssetStatic,4,FALSE),_xll.QRisk_PortfolioFxDeltaSpecific("euOpt_DeltaA"&amp;ROW(),O109,AModel,B109,"ZAR",FALSE),_xll.QRisk_PortfolioDelta("euOpt_DeltaA"&amp;ROW(),O109,AModel,FALSE))</f>
        <v>euOpt_DeltaA109¬0</v>
      </c>
      <c r="R109" s="21" cm="1">
        <f t="array" aca="1" ref="R109" ca="1">_xll.QCube_SumAllRows(Q109)</f>
        <v>0</v>
      </c>
      <c r="S109" s="11">
        <f t="shared" ca="1" si="67"/>
        <v>0</v>
      </c>
      <c r="T109" t="str" cm="1">
        <f t="array" aca="1" ref="T109" ca="1">_xll.QRisk_PortfolioVega("euopt_commVegaA"&amp;ROW(),O109,AModel,H109)</f>
        <v>euopt_commVegaA109¬0</v>
      </c>
      <c r="U109" s="21" cm="1">
        <f t="array" aca="1" ref="U109" ca="1">_xll.QCube_SumAllRows(T109)</f>
        <v>0</v>
      </c>
      <c r="V109" s="100">
        <f t="shared" ca="1" si="68"/>
        <v>0</v>
      </c>
      <c r="X109" s="75">
        <f t="shared" si="65"/>
        <v>0</v>
      </c>
      <c r="Y109" s="1">
        <f t="shared" si="69"/>
        <v>44245</v>
      </c>
    </row>
    <row r="110" spans="1:25" x14ac:dyDescent="0.25">
      <c r="A110" s="6"/>
      <c r="B110" s="6" t="s">
        <v>12</v>
      </c>
      <c r="C110" s="102">
        <v>44245</v>
      </c>
      <c r="D110" s="102">
        <v>44245</v>
      </c>
      <c r="E110" s="103">
        <v>2316.5</v>
      </c>
      <c r="F110" s="6" t="s">
        <v>166</v>
      </c>
      <c r="G110" s="103">
        <v>1250</v>
      </c>
      <c r="H110" s="6" t="s">
        <v>1</v>
      </c>
      <c r="I110" s="104" t="str">
        <f>VLOOKUP(H110,'FX-IR'!$B$20:$C$27,2,FALSE)</f>
        <v>ZAR.DISC.[USD.LIBOR.3M]</v>
      </c>
      <c r="J110" s="104" t="s">
        <v>171</v>
      </c>
      <c r="K110" s="104" t="s">
        <v>171</v>
      </c>
      <c r="L110" t="str" cm="1">
        <f t="array" aca="1" ref="L110" ca="1">_xll.QIns_CreateForward("EuOpt_Fwd_"&amp;ROW(),D110,B110,H110,0,G110,H110,J110,K110,I110)</f>
        <v>EuOpt_Fwd_110¬0</v>
      </c>
      <c r="M110" s="14" cm="1">
        <f t="array" aca="1" ref="M110" ca="1">_xll.QIns_ProductParRate(L110,AModel)</f>
        <v>34816.427073104518</v>
      </c>
      <c r="N110" s="11" cm="1">
        <f t="array" aca="1" ref="N110" ca="1">_xll.QModels_GetCompoVol(AModel,B110,H110,E110,D110)</f>
        <v>0.47407930518554831</v>
      </c>
      <c r="O110" t="str" cm="1">
        <f t="array" aca="1" ref="O110" ca="1">_xll.QIns_CreateEuropeanOption("euOpt_"&amp;ROW(),D110,B110,H110,E110,F110,G110,H110,J110,K110,I110)</f>
        <v>euOpt_110¬0</v>
      </c>
      <c r="P110" s="21" cm="1">
        <f t="array" aca="1" ref="P110" ca="1">_xll.QIns_ProductPV(O110,AModel,H110)</f>
        <v>0</v>
      </c>
      <c r="Q110" t="str" cm="1">
        <f t="array" aca="1" ref="Q110" ca="1">IF(VLOOKUP(B110,AssetStatic,4,FALSE),_xll.QRisk_PortfolioFxDeltaSpecific("euOpt_DeltaA"&amp;ROW(),O110,AModel,B110,"ZAR",FALSE),_xll.QRisk_PortfolioDelta("euOpt_DeltaA"&amp;ROW(),O110,AModel,FALSE))</f>
        <v>euOpt_DeltaA110¬0</v>
      </c>
      <c r="R110" s="21" cm="1">
        <f t="array" aca="1" ref="R110" ca="1">_xll.QCube_SumAllRows(Q110)</f>
        <v>0</v>
      </c>
      <c r="S110" s="11">
        <f t="shared" ca="1" si="67"/>
        <v>0</v>
      </c>
      <c r="T110" t="str" cm="1">
        <f t="array" aca="1" ref="T110" ca="1">_xll.QRisk_PortfolioVega("euopt_commVegaA"&amp;ROW(),O110,AModel,H110)</f>
        <v>euopt_commVegaA110¬18</v>
      </c>
      <c r="U110" s="21" cm="1">
        <f t="array" aca="1" ref="U110" ca="1">_xll.QCube_SumAllRows(T110)</f>
        <v>0</v>
      </c>
      <c r="V110" s="100">
        <f t="shared" ca="1" si="68"/>
        <v>0</v>
      </c>
      <c r="X110" s="75">
        <f t="shared" si="65"/>
        <v>0</v>
      </c>
      <c r="Y110" s="1">
        <f t="shared" si="69"/>
        <v>44245</v>
      </c>
    </row>
    <row r="111" spans="1:25" x14ac:dyDescent="0.25">
      <c r="A111" s="6"/>
      <c r="B111" s="6" t="s">
        <v>12</v>
      </c>
      <c r="C111" s="102">
        <v>44245</v>
      </c>
      <c r="D111" s="102">
        <v>44245</v>
      </c>
      <c r="E111" s="103">
        <v>2316.5</v>
      </c>
      <c r="F111" s="6" t="s">
        <v>166</v>
      </c>
      <c r="G111" s="103">
        <v>1250</v>
      </c>
      <c r="H111" s="6" t="s">
        <v>1</v>
      </c>
      <c r="I111" s="104" t="str">
        <f>VLOOKUP(H111,'FX-IR'!$B$20:$C$27,2,FALSE)</f>
        <v>ZAR.DISC.[USD.LIBOR.3M]</v>
      </c>
      <c r="J111" s="104" t="s">
        <v>171</v>
      </c>
      <c r="K111" s="104" t="s">
        <v>171</v>
      </c>
      <c r="L111" t="str" cm="1">
        <f t="array" aca="1" ref="L111" ca="1">_xll.QIns_CreateForward("EuOpt_Fwd_"&amp;ROW(),D111,B111,H111,0,G111,H111,J111,K111,I111)</f>
        <v>EuOpt_Fwd_111¬0</v>
      </c>
      <c r="M111" s="14" cm="1">
        <f t="array" aca="1" ref="M111" ca="1">_xll.QIns_ProductParRate(L111,AModel)</f>
        <v>34816.427073104518</v>
      </c>
      <c r="N111" s="11" cm="1">
        <f t="array" aca="1" ref="N111" ca="1">_xll.QModels_GetCompoVol(AModel,B111,H111,E111,D111)</f>
        <v>0.47407930518554831</v>
      </c>
      <c r="O111" t="str" cm="1">
        <f t="array" aca="1" ref="O111" ca="1">_xll.QIns_CreateEuropeanOption("euOpt_"&amp;ROW(),D111,B111,H111,E111,F111,G111,H111,J111,K111,I111)</f>
        <v>euOpt_111¬0</v>
      </c>
      <c r="P111" s="21" cm="1">
        <f t="array" aca="1" ref="P111" ca="1">_xll.QIns_ProductPV(O111,AModel,H111)</f>
        <v>0</v>
      </c>
      <c r="Q111" t="str" cm="1">
        <f t="array" aca="1" ref="Q111" ca="1">IF(VLOOKUP(B111,AssetStatic,4,FALSE),_xll.QRisk_PortfolioFxDeltaSpecific("euOpt_DeltaA"&amp;ROW(),O111,AModel,B111,"ZAR",FALSE),_xll.QRisk_PortfolioDelta("euOpt_DeltaA"&amp;ROW(),O111,AModel,FALSE))</f>
        <v>euOpt_DeltaA111¬0</v>
      </c>
      <c r="R111" s="21" cm="1">
        <f t="array" aca="1" ref="R111" ca="1">_xll.QCube_SumAllRows(Q111)</f>
        <v>0</v>
      </c>
      <c r="S111" s="11">
        <f t="shared" ca="1" si="67"/>
        <v>0</v>
      </c>
      <c r="T111" t="str" cm="1">
        <f t="array" aca="1" ref="T111" ca="1">_xll.QRisk_PortfolioVega("euopt_commVegaA"&amp;ROW(),O111,AModel,H111)</f>
        <v>euopt_commVegaA111¬18</v>
      </c>
      <c r="U111" s="21" cm="1">
        <f t="array" aca="1" ref="U111" ca="1">_xll.QCube_SumAllRows(T111)</f>
        <v>0</v>
      </c>
      <c r="V111" s="100">
        <f t="shared" ca="1" si="68"/>
        <v>0</v>
      </c>
      <c r="X111" s="75">
        <f t="shared" si="65"/>
        <v>44652</v>
      </c>
      <c r="Y111" s="1">
        <f t="shared" si="69"/>
        <v>44245</v>
      </c>
    </row>
    <row r="112" spans="1:25" x14ac:dyDescent="0.25">
      <c r="A112" s="6"/>
      <c r="B112" s="6" t="s">
        <v>12</v>
      </c>
      <c r="C112" s="102">
        <v>44245</v>
      </c>
      <c r="D112" s="102">
        <v>44245</v>
      </c>
      <c r="E112" s="103">
        <v>2316.5</v>
      </c>
      <c r="F112" s="6" t="s">
        <v>166</v>
      </c>
      <c r="G112" s="103">
        <v>1250</v>
      </c>
      <c r="H112" s="6" t="s">
        <v>1</v>
      </c>
      <c r="I112" s="104" t="str">
        <f>VLOOKUP(H112,'FX-IR'!$B$20:$C$27,2,FALSE)</f>
        <v>ZAR.DISC.[USD.LIBOR.3M]</v>
      </c>
      <c r="J112" s="104" t="s">
        <v>171</v>
      </c>
      <c r="K112" s="104" t="s">
        <v>171</v>
      </c>
      <c r="L112" t="str" cm="1">
        <f t="array" aca="1" ref="L112" ca="1">_xll.QIns_CreateForward("EuOpt_Fwd_"&amp;ROW(),D112,B112,H112,0,G112,H112,J112,K112,I112)</f>
        <v>EuOpt_Fwd_112¬0</v>
      </c>
      <c r="M112" s="14" cm="1">
        <f t="array" aca="1" ref="M112" ca="1">_xll.QIns_ProductParRate(L112,AModel)</f>
        <v>34816.427073104518</v>
      </c>
      <c r="N112" s="11" cm="1">
        <f t="array" aca="1" ref="N112" ca="1">_xll.QModels_GetCompoVol(AModel,B112,H112,E112,D112)</f>
        <v>0.47407930518554831</v>
      </c>
      <c r="O112" t="str" cm="1">
        <f t="array" aca="1" ref="O112" ca="1">_xll.QIns_CreateEuropeanOption("euOpt_"&amp;ROW(),D112,B112,H112,E112,F112,G112,H112,J112,K112,I112)</f>
        <v>euOpt_112¬0</v>
      </c>
      <c r="P112" s="21" cm="1">
        <f t="array" aca="1" ref="P112" ca="1">_xll.QIns_ProductPV(O112,AModel,H112)</f>
        <v>0</v>
      </c>
      <c r="Q112" t="str" cm="1">
        <f t="array" aca="1" ref="Q112" ca="1">IF(VLOOKUP(B112,AssetStatic,4,FALSE),_xll.QRisk_PortfolioFxDeltaSpecific("euOpt_DeltaA"&amp;ROW(),O112,AModel,B112,"ZAR",FALSE),_xll.QRisk_PortfolioDelta("euOpt_DeltaA"&amp;ROW(),O112,AModel,FALSE))</f>
        <v>euOpt_DeltaA112¬0</v>
      </c>
      <c r="R112" s="21" cm="1">
        <f t="array" aca="1" ref="R112" ca="1">_xll.QCube_SumAllRows(Q112)</f>
        <v>0</v>
      </c>
      <c r="S112" s="11">
        <f t="shared" ca="1" si="67"/>
        <v>0</v>
      </c>
      <c r="T112" t="str" cm="1">
        <f t="array" aca="1" ref="T112" ca="1">_xll.QRisk_PortfolioVega("euopt_commVegaA"&amp;ROW(),O112,AModel,H112)</f>
        <v>euopt_commVegaA112¬0</v>
      </c>
      <c r="U112" s="21" cm="1">
        <f t="array" aca="1" ref="U112" ca="1">_xll.QCube_SumAllRows(T112)</f>
        <v>0</v>
      </c>
      <c r="V112" s="100">
        <f t="shared" ca="1" si="68"/>
        <v>0</v>
      </c>
      <c r="X112" s="75">
        <f t="shared" si="65"/>
        <v>0</v>
      </c>
      <c r="Y112" s="1">
        <f t="shared" si="69"/>
        <v>44245</v>
      </c>
    </row>
    <row r="113" spans="1:25" x14ac:dyDescent="0.25">
      <c r="A113" s="6"/>
      <c r="B113" s="6" t="s">
        <v>12</v>
      </c>
      <c r="C113" s="102">
        <v>44245</v>
      </c>
      <c r="D113" s="102">
        <v>44245</v>
      </c>
      <c r="E113" s="103">
        <v>2316.5</v>
      </c>
      <c r="F113" s="6" t="s">
        <v>166</v>
      </c>
      <c r="G113" s="103">
        <v>1250</v>
      </c>
      <c r="H113" s="6" t="s">
        <v>1</v>
      </c>
      <c r="I113" s="104" t="str">
        <f>VLOOKUP(H113,'FX-IR'!$B$20:$C$27,2,FALSE)</f>
        <v>ZAR.DISC.[USD.LIBOR.3M]</v>
      </c>
      <c r="J113" s="104" t="s">
        <v>171</v>
      </c>
      <c r="K113" s="104" t="s">
        <v>171</v>
      </c>
      <c r="L113" t="str" cm="1">
        <f t="array" aca="1" ref="L113" ca="1">_xll.QIns_CreateForward("EuOpt_Fwd_"&amp;ROW(),D113,B113,H113,0,G113,H113,J113,K113,I113)</f>
        <v>EuOpt_Fwd_113¬0</v>
      </c>
      <c r="M113" s="14" cm="1">
        <f t="array" aca="1" ref="M113" ca="1">_xll.QIns_ProductParRate(L113,AModel)</f>
        <v>34816.427073104518</v>
      </c>
      <c r="N113" s="11" cm="1">
        <f t="array" aca="1" ref="N113" ca="1">_xll.QModels_GetCompoVol(AModel,B113,H113,E113,D113)</f>
        <v>0.47407930518554831</v>
      </c>
      <c r="O113" t="str" cm="1">
        <f t="array" aca="1" ref="O113" ca="1">_xll.QIns_CreateEuropeanOption("euOpt_"&amp;ROW(),D113,B113,H113,E113,F113,G113,H113,J113,K113,I113)</f>
        <v>euOpt_113¬0</v>
      </c>
      <c r="P113" s="21" cm="1">
        <f t="array" aca="1" ref="P113" ca="1">_xll.QIns_ProductPV(O113,AModel,H113)</f>
        <v>0</v>
      </c>
      <c r="Q113" t="str" cm="1">
        <f t="array" aca="1" ref="Q113" ca="1">IF(VLOOKUP(B113,AssetStatic,4,FALSE),_xll.QRisk_PortfolioFxDeltaSpecific("euOpt_DeltaA"&amp;ROW(),O113,AModel,B113,"ZAR",FALSE),_xll.QRisk_PortfolioDelta("euOpt_DeltaA"&amp;ROW(),O113,AModel,FALSE))</f>
        <v>euOpt_DeltaA113¬0</v>
      </c>
      <c r="R113" s="21" cm="1">
        <f t="array" aca="1" ref="R113" ca="1">_xll.QCube_SumAllRows(Q113)</f>
        <v>0</v>
      </c>
      <c r="S113" s="11">
        <f t="shared" ca="1" si="67"/>
        <v>0</v>
      </c>
      <c r="T113" t="str" cm="1">
        <f t="array" aca="1" ref="T113" ca="1">_xll.QRisk_PortfolioVega("euopt_commVegaA"&amp;ROW(),O113,AModel,H113)</f>
        <v>euopt_commVegaA113¬0</v>
      </c>
      <c r="U113" s="21" cm="1">
        <f t="array" aca="1" ref="U113" ca="1">_xll.QCube_SumAllRows(T113)</f>
        <v>0</v>
      </c>
      <c r="V113" s="100">
        <f t="shared" ca="1" si="68"/>
        <v>0</v>
      </c>
      <c r="X113" s="75">
        <f t="shared" si="65"/>
        <v>0</v>
      </c>
      <c r="Y113" s="1">
        <f t="shared" si="69"/>
        <v>44245</v>
      </c>
    </row>
    <row r="114" spans="1:25" x14ac:dyDescent="0.25">
      <c r="A114" s="6"/>
      <c r="B114" s="6"/>
      <c r="C114" s="102"/>
      <c r="D114" s="102"/>
      <c r="E114" s="103"/>
      <c r="F114" s="6"/>
      <c r="G114" s="103"/>
      <c r="H114" s="6"/>
      <c r="I114" s="104"/>
      <c r="J114" s="104"/>
      <c r="K114" s="104"/>
      <c r="M114" s="14"/>
      <c r="N114" s="11"/>
      <c r="R114" s="21"/>
      <c r="S114" s="11"/>
      <c r="U114" s="21"/>
      <c r="V114" s="100"/>
      <c r="X114" s="75"/>
      <c r="Y114" s="1"/>
    </row>
    <row r="115" spans="1:25" x14ac:dyDescent="0.25">
      <c r="A115" s="6"/>
      <c r="B115" s="6"/>
      <c r="C115" s="102"/>
      <c r="D115" s="102"/>
      <c r="E115" s="103"/>
      <c r="F115" s="6"/>
      <c r="G115" s="103"/>
      <c r="H115" s="6"/>
      <c r="I115" s="104"/>
      <c r="J115" s="104"/>
      <c r="K115" s="104"/>
      <c r="M115" s="14"/>
      <c r="N115" s="11"/>
      <c r="R115" s="21"/>
      <c r="S115" s="11"/>
      <c r="U115" s="21"/>
      <c r="V115" s="100"/>
      <c r="X115" s="75"/>
      <c r="Y115" s="1"/>
    </row>
    <row r="116" spans="1:25" x14ac:dyDescent="0.25">
      <c r="A116" s="6"/>
      <c r="B116" s="6" t="s">
        <v>108</v>
      </c>
      <c r="C116" s="102">
        <v>44104</v>
      </c>
      <c r="D116" s="102">
        <v>44245</v>
      </c>
      <c r="E116" s="103">
        <v>6900</v>
      </c>
      <c r="F116" s="6" t="s">
        <v>287</v>
      </c>
      <c r="G116" s="103">
        <v>-1</v>
      </c>
      <c r="H116" s="6" t="s">
        <v>21</v>
      </c>
      <c r="I116" s="104" t="str">
        <f>VLOOKUP(H116,'FX-IR'!$B$20:$C$27,2,FALSE)</f>
        <v>USD.LIBOR.3M</v>
      </c>
      <c r="J116" s="104" t="s">
        <v>171</v>
      </c>
      <c r="K116" s="104" t="s">
        <v>171</v>
      </c>
      <c r="L116" t="str" cm="1">
        <f t="array" aca="1" ref="L116" ca="1">_xll.QIns_CreateForward("EuOpt_Fwd_"&amp;ROW(),D116,B116,H116,0,G116,H116,J116,K116,I116)</f>
        <v>EuOpt_Fwd_116¬0</v>
      </c>
      <c r="M116" s="14" t="str" cm="1">
        <f t="array" aca="1" ref="M116" ca="1">_xll.QIns_ProductParRate(L116,AModel)</f>
        <v>Curve with name CA not found</v>
      </c>
      <c r="N116" s="11" t="str" cm="1">
        <f t="array" aca="1" ref="N116" ca="1">_xll.QModels_GetCompoVol(AModel,B116,H116,E116,D116)</f>
        <v>Curve with name CA not found</v>
      </c>
      <c r="O116" t="str" cm="1">
        <f t="array" aca="1" ref="O116" ca="1">_xll.QIns_CreateEuropeanOption("euOpt_"&amp;ROW(),D116,B116,H116,E116,F116,G116,H116,J116,K116,I116)</f>
        <v>euOpt_116¬0</v>
      </c>
      <c r="P116" s="21" t="str" cm="1">
        <f t="array" aca="1" ref="P116" ca="1">_xll.QIns_ProductPV(O116,AModel,H116)</f>
        <v>Curve with name CA not found</v>
      </c>
      <c r="Q116" t="str" cm="1">
        <f t="array" aca="1" ref="Q116" ca="1">IF(VLOOKUP(B116,AssetStatic,4,FALSE),_xll.QRisk_PortfolioFxDeltaSpecific("euOpt_DeltaA"&amp;ROW(),O116,AModel,B116,"ZAR",FALSE),_xll.QRisk_PortfolioDelta("euOpt_DeltaA"&amp;ROW(),O116,AModel,FALSE))</f>
        <v>euOpt_DeltaA116¬0</v>
      </c>
      <c r="R116" s="21" cm="1">
        <f t="array" aca="1" ref="R116" ca="1">_xll.QCube_SumAllRows(Q116)</f>
        <v>0</v>
      </c>
      <c r="S116" s="11">
        <f t="shared" ca="1" si="67"/>
        <v>0</v>
      </c>
      <c r="T116" t="str" cm="1">
        <f t="array" aca="1" ref="T116" ca="1">_xll.QRisk_PortfolioVega("euopt_commVegaA"&amp;ROW(),O116,AModel,H116)</f>
        <v>euopt_commVegaA116¬18</v>
      </c>
      <c r="U116" s="21" cm="1">
        <f t="array" aca="1" ref="U116" ca="1">_xll.QCube_SumAllRows(T116)</f>
        <v>0</v>
      </c>
      <c r="V116" s="100">
        <f t="shared" ca="1" si="68"/>
        <v>0</v>
      </c>
      <c r="X116" s="75">
        <f t="shared" si="65"/>
        <v>0</v>
      </c>
      <c r="Y116" s="1">
        <f t="shared" si="69"/>
        <v>44104</v>
      </c>
    </row>
    <row r="117" spans="1:25" x14ac:dyDescent="0.25">
      <c r="A117" s="6"/>
      <c r="B117" s="6" t="s">
        <v>108</v>
      </c>
      <c r="C117" s="102">
        <v>44104</v>
      </c>
      <c r="D117" s="102">
        <v>44245</v>
      </c>
      <c r="E117" s="103">
        <v>6800</v>
      </c>
      <c r="F117" s="6" t="s">
        <v>287</v>
      </c>
      <c r="G117" s="103">
        <v>-1</v>
      </c>
      <c r="H117" s="6" t="s">
        <v>21</v>
      </c>
      <c r="I117" s="104" t="str">
        <f>VLOOKUP(H117,'FX-IR'!$B$20:$C$27,2,FALSE)</f>
        <v>USD.LIBOR.3M</v>
      </c>
      <c r="J117" s="104" t="s">
        <v>171</v>
      </c>
      <c r="K117" s="104" t="s">
        <v>171</v>
      </c>
      <c r="L117" t="str" cm="1">
        <f t="array" aca="1" ref="L117" ca="1">_xll.QIns_CreateForward("EuOpt_Fwd_"&amp;ROW(),D117,B117,H117,0,G117,H117,J117,K117,I117)</f>
        <v>EuOpt_Fwd_117¬0</v>
      </c>
      <c r="M117" s="14" t="str" cm="1">
        <f t="array" aca="1" ref="M117" ca="1">_xll.QIns_ProductParRate(L117,AModel)</f>
        <v>Curve with name CA not found</v>
      </c>
      <c r="N117" s="11" t="str" cm="1">
        <f t="array" aca="1" ref="N117" ca="1">_xll.QModels_GetCompoVol(AModel,B117,H117,E117,D117)</f>
        <v>Curve with name CA not found</v>
      </c>
      <c r="O117" t="str" cm="1">
        <f t="array" aca="1" ref="O117" ca="1">_xll.QIns_CreateEuropeanOption("euOpt_"&amp;ROW(),D117,B117,H117,E117,F117,G117,H117,J117,K117,I117)</f>
        <v>euOpt_117¬0</v>
      </c>
      <c r="P117" s="21" t="str" cm="1">
        <f t="array" aca="1" ref="P117" ca="1">_xll.QIns_ProductPV(O117,AModel,H117)</f>
        <v>Curve with name CA not found</v>
      </c>
      <c r="Q117" t="str" cm="1">
        <f t="array" aca="1" ref="Q117" ca="1">IF(VLOOKUP(B117,AssetStatic,4,FALSE),_xll.QRisk_PortfolioFxDeltaSpecific("euOpt_DeltaA"&amp;ROW(),O117,AModel,B117,"ZAR",FALSE),_xll.QRisk_PortfolioDelta("euOpt_DeltaA"&amp;ROW(),O117,AModel,FALSE))</f>
        <v>euOpt_DeltaA117¬0</v>
      </c>
      <c r="R117" s="21" cm="1">
        <f t="array" aca="1" ref="R117" ca="1">_xll.QCube_SumAllRows(Q117)</f>
        <v>0</v>
      </c>
      <c r="S117" s="11">
        <f t="shared" ca="1" si="67"/>
        <v>0</v>
      </c>
      <c r="T117" t="str" cm="1">
        <f t="array" aca="1" ref="T117" ca="1">_xll.QRisk_PortfolioVega("euopt_commVegaA"&amp;ROW(),O117,AModel,H117)</f>
        <v>euopt_commVegaA117¬18</v>
      </c>
      <c r="U117" s="21" cm="1">
        <f t="array" aca="1" ref="U117" ca="1">_xll.QCube_SumAllRows(T117)</f>
        <v>0</v>
      </c>
      <c r="V117" s="100">
        <f t="shared" ca="1" si="68"/>
        <v>0</v>
      </c>
      <c r="X117" s="75">
        <f t="shared" si="65"/>
        <v>0</v>
      </c>
      <c r="Y117" s="1">
        <f t="shared" si="69"/>
        <v>44104</v>
      </c>
    </row>
    <row r="118" spans="1:25" x14ac:dyDescent="0.25">
      <c r="A118" s="6"/>
      <c r="B118" s="6"/>
      <c r="C118" s="102"/>
      <c r="D118" s="102"/>
      <c r="E118" s="103"/>
      <c r="F118" s="6"/>
      <c r="G118" s="103"/>
      <c r="H118" s="6"/>
      <c r="I118" s="104"/>
      <c r="J118" s="104"/>
      <c r="K118" s="104"/>
    </row>
    <row r="119" spans="1:25" x14ac:dyDescent="0.25">
      <c r="A119" s="6"/>
      <c r="B119" s="6" t="s">
        <v>108</v>
      </c>
      <c r="C119" s="102">
        <v>44104</v>
      </c>
      <c r="D119" s="102">
        <v>44245</v>
      </c>
      <c r="E119" s="103">
        <v>6575</v>
      </c>
      <c r="F119" s="6" t="s">
        <v>166</v>
      </c>
      <c r="G119" s="103">
        <v>1</v>
      </c>
      <c r="H119" s="6" t="s">
        <v>21</v>
      </c>
      <c r="I119" s="104" t="str">
        <f>VLOOKUP(H119,'FX-IR'!$B$20:$C$27,2,FALSE)</f>
        <v>USD.LIBOR.3M</v>
      </c>
      <c r="J119" s="104" t="s">
        <v>171</v>
      </c>
      <c r="K119" s="104" t="s">
        <v>171</v>
      </c>
      <c r="L119" t="str" cm="1">
        <f t="array" aca="1" ref="L119" ca="1">_xll.QIns_CreateForward("EuOpt_Fwd_"&amp;ROW(),D119,B119,H119,0,G119,H119,J119,K119,I119)</f>
        <v>EuOpt_Fwd_119¬0</v>
      </c>
      <c r="M119" s="14" t="str" cm="1">
        <f t="array" aca="1" ref="M119" ca="1">_xll.QIns_ProductParRate(L119,AModel)</f>
        <v>Curve with name CA not found</v>
      </c>
      <c r="N119" s="11" t="str" cm="1">
        <f t="array" aca="1" ref="N119" ca="1">_xll.QModels_GetCompoVol(AModel,B119,H119,E119,D119)</f>
        <v>Curve with name CA not found</v>
      </c>
      <c r="O119" t="str" cm="1">
        <f t="array" aca="1" ref="O119" ca="1">_xll.QIns_CreateEuropeanOption("euOpt_"&amp;ROW(),D119,B119,H119,E119,F119,G119,H119,J119,K119,I119)</f>
        <v>euOpt_119¬0</v>
      </c>
      <c r="P119" s="21" t="str" cm="1">
        <f t="array" aca="1" ref="P119" ca="1">_xll.QIns_ProductPV(O119,AModel,H119)</f>
        <v>Curve with name CA not found</v>
      </c>
      <c r="Q119" t="str" cm="1">
        <f t="array" aca="1" ref="Q119" ca="1">IF(VLOOKUP(B119,AssetStatic,4,FALSE),_xll.QRisk_PortfolioFxDeltaSpecific("euOpt_DeltaA"&amp;ROW(),O119,AModel,B119,"ZAR",FALSE),_xll.QRisk_PortfolioDelta("euOpt_DeltaA"&amp;ROW(),O119,AModel,FALSE))</f>
        <v>euOpt_DeltaA119¬0</v>
      </c>
      <c r="R119" s="21" cm="1">
        <f t="array" aca="1" ref="R119" ca="1">_xll.QCube_SumAllRows(Q119)</f>
        <v>0</v>
      </c>
      <c r="S119" s="11">
        <f t="shared" ref="S119:S120" ca="1" si="70">R119/G119</f>
        <v>0</v>
      </c>
      <c r="T119" t="str" cm="1">
        <f t="array" aca="1" ref="T119" ca="1">_xll.QRisk_PortfolioVega("euopt_commVegaA"&amp;ROW(),O119,AModel,H119)</f>
        <v>euopt_commVegaA119¬18</v>
      </c>
      <c r="U119" s="21" cm="1">
        <f t="array" aca="1" ref="U119" ca="1">_xll.QCube_SumAllRows(T119)</f>
        <v>0</v>
      </c>
      <c r="V119" s="100">
        <f t="shared" ref="V119:V120" ca="1" si="71">U119/D119</f>
        <v>0</v>
      </c>
      <c r="X119" s="75">
        <f t="shared" si="65"/>
        <v>0</v>
      </c>
      <c r="Y119" s="1">
        <f t="shared" ref="Y119:Y120" si="72">C119</f>
        <v>44104</v>
      </c>
    </row>
    <row r="120" spans="1:25" x14ac:dyDescent="0.25">
      <c r="A120" s="6"/>
      <c r="B120" s="6" t="s">
        <v>108</v>
      </c>
      <c r="C120" s="102">
        <v>44104</v>
      </c>
      <c r="D120" s="102">
        <v>44245</v>
      </c>
      <c r="E120" s="103">
        <v>6660</v>
      </c>
      <c r="F120" s="6" t="s">
        <v>166</v>
      </c>
      <c r="G120" s="103">
        <v>1</v>
      </c>
      <c r="H120" s="6" t="s">
        <v>21</v>
      </c>
      <c r="I120" s="104" t="str">
        <f>VLOOKUP(H120,'FX-IR'!$B$20:$C$27,2,FALSE)</f>
        <v>USD.LIBOR.3M</v>
      </c>
      <c r="J120" s="104" t="s">
        <v>171</v>
      </c>
      <c r="K120" s="104" t="s">
        <v>171</v>
      </c>
      <c r="L120" t="str" cm="1">
        <f t="array" aca="1" ref="L120" ca="1">_xll.QIns_CreateForward("EuOpt_Fwd_"&amp;ROW(),D120,B120,H120,0,G120,H120,J120,K120,I120)</f>
        <v>EuOpt_Fwd_120¬0</v>
      </c>
      <c r="M120" s="14" t="str" cm="1">
        <f t="array" aca="1" ref="M120" ca="1">_xll.QIns_ProductParRate(L120,AModel)</f>
        <v>Curve with name CA not found</v>
      </c>
      <c r="N120" s="11" t="str" cm="1">
        <f t="array" aca="1" ref="N120" ca="1">_xll.QModels_GetCompoVol(AModel,B120,H120,E120,D120)</f>
        <v>Curve with name CA not found</v>
      </c>
      <c r="O120" t="str" cm="1">
        <f t="array" aca="1" ref="O120" ca="1">_xll.QIns_CreateEuropeanOption("euOpt_"&amp;ROW(),D120,B120,H120,E120,F120,G120,H120,J120,K120,I120)</f>
        <v>euOpt_120¬0</v>
      </c>
      <c r="P120" s="21" t="str" cm="1">
        <f t="array" aca="1" ref="P120" ca="1">_xll.QIns_ProductPV(O120,AModel,H120)</f>
        <v>Curve with name CA not found</v>
      </c>
      <c r="Q120" t="str" cm="1">
        <f t="array" aca="1" ref="Q120" ca="1">IF(VLOOKUP(B120,AssetStatic,4,FALSE),_xll.QRisk_PortfolioFxDeltaSpecific("euOpt_DeltaA"&amp;ROW(),O120,AModel,B120,"ZAR",FALSE),_xll.QRisk_PortfolioDelta("euOpt_DeltaA"&amp;ROW(),O120,AModel,FALSE))</f>
        <v>euOpt_DeltaA120¬0</v>
      </c>
      <c r="R120" s="21" cm="1">
        <f t="array" aca="1" ref="R120" ca="1">_xll.QCube_SumAllRows(Q120)</f>
        <v>0</v>
      </c>
      <c r="S120" s="11">
        <f t="shared" ca="1" si="70"/>
        <v>0</v>
      </c>
      <c r="T120" t="str" cm="1">
        <f t="array" aca="1" ref="T120" ca="1">_xll.QRisk_PortfolioVega("euopt_commVegaA"&amp;ROW(),O120,AModel,H120)</f>
        <v>euopt_commVegaA120¬17</v>
      </c>
      <c r="U120" s="21" cm="1">
        <f t="array" aca="1" ref="U120" ca="1">_xll.QCube_SumAllRows(T120)</f>
        <v>0</v>
      </c>
      <c r="V120" s="100">
        <f t="shared" ca="1" si="71"/>
        <v>0</v>
      </c>
      <c r="X120" s="75">
        <f t="shared" si="65"/>
        <v>0</v>
      </c>
      <c r="Y120" s="1">
        <f t="shared" si="72"/>
        <v>44104</v>
      </c>
    </row>
    <row r="121" spans="1:25" x14ac:dyDescent="0.25">
      <c r="A121" s="6"/>
      <c r="B121" s="6"/>
      <c r="C121" s="102"/>
      <c r="D121" s="102"/>
      <c r="E121" s="103"/>
      <c r="F121" s="6"/>
      <c r="G121" s="103"/>
      <c r="H121" s="6"/>
      <c r="I121" s="104"/>
      <c r="J121" s="104"/>
      <c r="K121" s="104"/>
    </row>
    <row r="122" spans="1:25" s="185" customFormat="1" x14ac:dyDescent="0.25">
      <c r="A122" s="6"/>
      <c r="B122" s="6" t="s">
        <v>10</v>
      </c>
      <c r="C122" s="102" t="s">
        <v>36</v>
      </c>
      <c r="D122" s="102" cm="1">
        <f t="array" aca="1" ref="D122" ca="1">IF(_xll.QUtils_IsTenor(C122),_xll.QDates_AddPeriod(valDate,C122,"F","NYC"),C122)</f>
        <v>45334</v>
      </c>
      <c r="E122" s="103">
        <f>'FX-IR'!D15</f>
        <v>1843.42</v>
      </c>
      <c r="F122" s="6" t="s">
        <v>287</v>
      </c>
      <c r="G122" s="103">
        <v>-1</v>
      </c>
      <c r="H122" s="6" t="s">
        <v>21</v>
      </c>
      <c r="I122" s="104" t="str">
        <f>VLOOKUP(H122,'FX-IR'!$B$20:$C$27,2,FALSE)</f>
        <v>USD.LIBOR.3M</v>
      </c>
      <c r="J122" s="104" t="s">
        <v>171</v>
      </c>
      <c r="K122" s="104" t="s">
        <v>171</v>
      </c>
      <c r="L122" s="185" t="str">
        <f ca="1">_xll.QIns_CreateForward("EuOpt_Fwd_"&amp;ROW(),D122,B122,H122,0,G122,H122,J122,K122,I122,"None")</f>
        <v>EuOpt_Fwd_122¬0</v>
      </c>
      <c r="M122" s="14">
        <f ca="1">_xll.QIns_ProductParRate(L122,AModel)</f>
        <v>1850.6959219177984</v>
      </c>
      <c r="N122" s="11" cm="1">
        <f t="array" aca="1" ref="N122" ca="1">_xll.QModels_GetCompoVol(AModel,B122,H122,E122,D122)</f>
        <v>0.2027762055913972</v>
      </c>
      <c r="O122" s="185" t="str" cm="1">
        <f t="array" aca="1" ref="O122" ca="1">_xll.QIns_CreateEuropeanOption("euOpt_"&amp;ROW(),D122,B122,H122,E122,F122,G122,H122,J122,K122,I122)</f>
        <v>euOpt_122¬0</v>
      </c>
      <c r="P122" s="21" cm="1">
        <f t="array" aca="1" ref="P122" ca="1">_xll.QIns_ProductPV(O122,AModel,H122)</f>
        <v>-259.19328100168474</v>
      </c>
      <c r="Q122" s="185" t="str" cm="1">
        <f t="array" aca="1" ref="Q122" ca="1">IF(VLOOKUP(B122,AssetStatic,4,FALSE),_xll.QRisk_PortfolioFxDeltaSpecific("euOpt_DeltaA"&amp;ROW(),O122,AModel,B122,"ZAR",FALSE),_xll.QRisk_PortfolioDelta("euOpt_DeltaA"&amp;ROW(),O122,AModel,FALSE))</f>
        <v>euOpt_DeltaA122¬0</v>
      </c>
      <c r="R122" s="21" cm="1">
        <f t="array" aca="1" ref="R122" ca="1">_xll.QCube_SumAllRows(Q122)</f>
        <v>-0.5713907608383092</v>
      </c>
      <c r="S122" s="11">
        <f t="shared" ref="S122:S123" ca="1" si="73">R122/G122</f>
        <v>0.5713907608383092</v>
      </c>
      <c r="T122" s="185" t="str" cm="1">
        <f t="array" aca="1" ref="T122" ca="1">_xll.QRisk_PortfolioVega("euopt_commVegaA"&amp;ROW(),O122,AModel,H122)</f>
        <v>euopt_commVegaA122¬0</v>
      </c>
      <c r="U122" s="21" cm="1">
        <f t="array" aca="1" ref="U122" ca="1">_xll.QCube_SumAllRows(T122)</f>
        <v>0</v>
      </c>
      <c r="V122" s="100">
        <f t="shared" ref="V122:V123" ca="1" si="74">U122/D122</f>
        <v>0</v>
      </c>
      <c r="X122" s="75">
        <f t="shared" si="65"/>
        <v>0</v>
      </c>
      <c r="Y122" s="1" t="str">
        <f t="shared" ref="Y122:Y123" si="75">C122</f>
        <v>3y</v>
      </c>
    </row>
    <row r="123" spans="1:25" s="185" customFormat="1" x14ac:dyDescent="0.25">
      <c r="A123" s="6"/>
      <c r="B123" s="6" t="s">
        <v>10</v>
      </c>
      <c r="C123" s="102" t="s">
        <v>36</v>
      </c>
      <c r="D123" s="102" cm="1">
        <f t="array" aca="1" ref="D123" ca="1">IF(_xll.QUtils_IsTenor(C123),_xll.QDates_AddPeriod(valDate,C123,"F","NYC"),C123)</f>
        <v>45334</v>
      </c>
      <c r="E123" s="103">
        <f>E122*1.58</f>
        <v>2912.6036000000004</v>
      </c>
      <c r="F123" s="6" t="s">
        <v>287</v>
      </c>
      <c r="G123" s="103">
        <v>1</v>
      </c>
      <c r="H123" s="6" t="s">
        <v>21</v>
      </c>
      <c r="I123" s="104" t="str">
        <f>VLOOKUP(H123,'FX-IR'!$B$20:$C$27,2,FALSE)</f>
        <v>USD.LIBOR.3M</v>
      </c>
      <c r="J123" s="104" t="s">
        <v>171</v>
      </c>
      <c r="K123" s="104" t="s">
        <v>171</v>
      </c>
      <c r="L123" s="185" t="str">
        <f ca="1">_xll.QIns_CreateForward("EuOpt_Fwd_"&amp;ROW(),D123,B123,H123,0,G123,H123,J123,K123,I123)</f>
        <v>EuOpt_Fwd_123¬0</v>
      </c>
      <c r="M123" s="14">
        <f ca="1">_xll.QIns_ProductParRate(L123,AModel)</f>
        <v>1850.6959219177984</v>
      </c>
      <c r="N123" s="11" cm="1">
        <f t="array" aca="1" ref="N123" ca="1">_xll.QModels_GetCompoVol(AModel,B123,H123,E123,D123)</f>
        <v>0.20277620559139725</v>
      </c>
      <c r="O123" s="185" t="str" cm="1">
        <f t="array" aca="1" ref="O123" ca="1">_xll.QIns_CreateEuropeanOption("euOpt_"&amp;ROW(),D123,B123,H123,E123,F123,G123,H123,J123,K123,I123)</f>
        <v>euOpt_123¬0</v>
      </c>
      <c r="P123" s="21" cm="1">
        <f t="array" aca="1" ref="P123" ca="1">_xll.QIns_ProductPV(O123,AModel,H123)</f>
        <v>37.230108621038035</v>
      </c>
      <c r="Q123" s="185" t="str" cm="1">
        <f t="array" aca="1" ref="Q123" ca="1">IF(VLOOKUP(B123,AssetStatic,4,FALSE),_xll.QRisk_PortfolioFxDeltaSpecific("euOpt_DeltaA"&amp;ROW(),O123,AModel,B123,"ZAR",FALSE),_xll.QRisk_PortfolioDelta("euOpt_DeltaA"&amp;ROW(),O123,AModel,FALSE))</f>
        <v>euOpt_DeltaA123¬0</v>
      </c>
      <c r="R123" s="21" cm="1">
        <f t="array" aca="1" ref="R123" ca="1">_xll.QCube_SumAllRows(Q123)</f>
        <v>0.13189922771770443</v>
      </c>
      <c r="S123" s="11">
        <f t="shared" ca="1" si="73"/>
        <v>0.13189922771770443</v>
      </c>
      <c r="T123" s="185" t="str" cm="1">
        <f t="array" aca="1" ref="T123" ca="1">_xll.QRisk_PortfolioVega("euopt_commVegaA"&amp;ROW(),O123,AModel,H123)</f>
        <v>euopt_commVegaA123¬0</v>
      </c>
      <c r="U123" s="21" cm="1">
        <f t="array" aca="1" ref="U123" ca="1">_xll.QCube_SumAllRows(T123)</f>
        <v>0</v>
      </c>
      <c r="V123" s="100">
        <f t="shared" ca="1" si="74"/>
        <v>0</v>
      </c>
      <c r="X123" s="75">
        <f t="shared" si="65"/>
        <v>0</v>
      </c>
      <c r="Y123" s="1" t="str">
        <f t="shared" si="75"/>
        <v>3y</v>
      </c>
    </row>
    <row r="124" spans="1:25" x14ac:dyDescent="0.25">
      <c r="A124" s="6"/>
      <c r="B124" s="6"/>
      <c r="C124" s="102"/>
      <c r="D124" s="102"/>
      <c r="E124" s="103"/>
      <c r="F124" s="6"/>
      <c r="G124" s="103"/>
      <c r="H124" s="6"/>
      <c r="I124" s="104"/>
      <c r="J124" s="104"/>
      <c r="K124" s="104"/>
    </row>
    <row r="125" spans="1:25" x14ac:dyDescent="0.25">
      <c r="A125" s="6"/>
      <c r="B125" s="6"/>
      <c r="C125" s="102"/>
      <c r="D125" s="102"/>
      <c r="E125" s="103"/>
      <c r="F125" s="6"/>
      <c r="G125" s="103"/>
      <c r="H125" s="6"/>
      <c r="I125" s="104"/>
      <c r="J125" s="104"/>
      <c r="K125" s="104"/>
      <c r="P125" s="21">
        <f ca="1">SUM(P122:P123)</f>
        <v>-221.96317238064671</v>
      </c>
      <c r="R125" s="11">
        <f ca="1">P125/E122</f>
        <v>-0.12040835641397332</v>
      </c>
      <c r="S125" s="11">
        <f ca="1">R125/R126</f>
        <v>-0.12139928504958221</v>
      </c>
    </row>
    <row r="126" spans="1:25" x14ac:dyDescent="0.25">
      <c r="A126" s="6"/>
      <c r="B126" s="6"/>
      <c r="C126" s="102"/>
      <c r="D126" s="102"/>
      <c r="E126" s="103"/>
      <c r="F126" s="6"/>
      <c r="G126" s="103"/>
      <c r="H126" s="6"/>
      <c r="I126" s="104"/>
      <c r="J126" s="104"/>
      <c r="K126" s="104"/>
      <c r="L126">
        <f ca="1">_xll.QCurves_GetForwardFxRate(FundingModel,D122,"XAU/USD")</f>
        <v>1850.6959219177984</v>
      </c>
      <c r="R126">
        <f ca="1">_xll.QCurves_GetDF(I122,TODAY(),D123)</f>
        <v>0.9918374425746892</v>
      </c>
    </row>
    <row r="127" spans="1:25" s="185" customFormat="1" x14ac:dyDescent="0.25">
      <c r="A127" s="6"/>
      <c r="B127" s="6" t="s">
        <v>10</v>
      </c>
      <c r="C127" s="102" t="s">
        <v>36</v>
      </c>
      <c r="D127" s="102" cm="1">
        <f t="array" aca="1" ref="D127" ca="1">IF(_xll.QUtils_IsTenor(C127),_xll.QDates_AddPeriod(valDate,C127,"F","NYC"),C127)</f>
        <v>45334</v>
      </c>
      <c r="E127" s="103">
        <f>'FX-IR'!E15*'FX-IR'!D12</f>
        <v>0</v>
      </c>
      <c r="F127" s="6" t="s">
        <v>287</v>
      </c>
      <c r="G127" s="103">
        <v>-1</v>
      </c>
      <c r="H127" s="6" t="s">
        <v>1</v>
      </c>
      <c r="I127" s="104" t="str">
        <f>VLOOKUP(H127,'FX-IR'!$B$20:$C$27,2,FALSE)</f>
        <v>ZAR.DISC.[USD.LIBOR.3M]</v>
      </c>
      <c r="J127" s="104" t="s">
        <v>171</v>
      </c>
      <c r="K127" s="104" t="s">
        <v>171</v>
      </c>
      <c r="L127" s="185" t="str">
        <f ca="1">_xll.QIns_CreateForward("EuOpt_Fwd_"&amp;ROW(),D127,B127,H127,0,G127,H127,J127,K127,I127,"None")</f>
        <v>EuOpt_Fwd_127¬0</v>
      </c>
      <c r="M127" s="14">
        <f ca="1">_xll.QIns_ProductParRate(L127,AModel)</f>
        <v>31035.432609204985</v>
      </c>
      <c r="N127" s="11" cm="1">
        <f t="array" aca="1" ref="N127" ca="1">_xll.QModels_GetCompoVol(AModel,B127,H127,E127,D127)</f>
        <v>0.21841681445413291</v>
      </c>
      <c r="O127" s="185" t="str" cm="1">
        <f t="array" aca="1" ref="O127" ca="1">_xll.QIns_CreateEuropeanOption("euOpt_"&amp;ROW(),D127,B127,H127,E127,F127,G127,H127,J127,K127,I127)</f>
        <v>euOpt_127¬0</v>
      </c>
      <c r="P127" s="21" cm="1">
        <f t="array" aca="1" ref="P127" ca="1">_xll.QIns_ProductPV(O127,AModel,H127)</f>
        <v>-26890.888821208078</v>
      </c>
      <c r="Q127" s="185" t="str" cm="1">
        <f t="array" aca="1" ref="Q127" ca="1">IF(VLOOKUP(B127,AssetStatic,4,FALSE),_xll.QRisk_PortfolioFxDeltaSpecific("euOpt_DeltaA"&amp;ROW(),O127,AModel,B127,"ZAR",FALSE),_xll.QRisk_PortfolioDelta("euOpt_DeltaA"&amp;ROW(),O127,AModel,FALSE))</f>
        <v>euOpt_DeltaA127¬0</v>
      </c>
      <c r="R127" s="21" cm="1">
        <f t="array" aca="1" ref="R127" ca="1">_xll.QCube_SumAllRows(Q127)</f>
        <v>-0.99502540357647073</v>
      </c>
      <c r="S127" s="11">
        <f t="shared" ref="S127:S128" ca="1" si="76">R127/G127</f>
        <v>0.99502540357647073</v>
      </c>
      <c r="T127" s="185" t="str" cm="1">
        <f t="array" aca="1" ref="T127" ca="1">_xll.QRisk_PortfolioVega("euopt_commVegaA"&amp;ROW(),O127,AModel,H127)</f>
        <v>euopt_commVegaA127¬0</v>
      </c>
      <c r="U127" s="21" cm="1">
        <f t="array" aca="1" ref="U127" ca="1">_xll.QCube_SumAllRows(T127)</f>
        <v>0</v>
      </c>
      <c r="V127" s="100">
        <f t="shared" ref="V127:V128" ca="1" si="77">U127/D127</f>
        <v>0</v>
      </c>
      <c r="X127" s="75">
        <f t="shared" ref="X127:X128" si="78">X120</f>
        <v>0</v>
      </c>
      <c r="Y127" s="1" t="str">
        <f t="shared" ref="Y127:Y128" si="79">C127</f>
        <v>3y</v>
      </c>
    </row>
    <row r="128" spans="1:25" s="185" customFormat="1" x14ac:dyDescent="0.25">
      <c r="A128" s="6"/>
      <c r="B128" s="6" t="s">
        <v>10</v>
      </c>
      <c r="C128" s="102" t="s">
        <v>36</v>
      </c>
      <c r="D128" s="102" cm="1">
        <f t="array" aca="1" ref="D128" ca="1">IF(_xll.QUtils_IsTenor(C128),_xll.QDates_AddPeriod(valDate,C128,"F","NYC"),C128)</f>
        <v>45334</v>
      </c>
      <c r="E128" s="103">
        <f>E127*1.2</f>
        <v>0</v>
      </c>
      <c r="F128" s="6" t="s">
        <v>287</v>
      </c>
      <c r="G128" s="103">
        <v>1</v>
      </c>
      <c r="H128" s="6" t="s">
        <v>1</v>
      </c>
      <c r="I128" s="104" t="str">
        <f>VLOOKUP(H128,'FX-IR'!$B$20:$C$27,2,FALSE)</f>
        <v>ZAR.DISC.[USD.LIBOR.3M]</v>
      </c>
      <c r="J128" s="104" t="s">
        <v>171</v>
      </c>
      <c r="K128" s="104" t="s">
        <v>171</v>
      </c>
      <c r="L128" s="185" t="str">
        <f ca="1">_xll.QIns_CreateForward("EuOpt_Fwd_"&amp;ROW(),D128,B128,H128,0,G128,H128,J128,K128,I128)</f>
        <v>EuOpt_Fwd_128¬0</v>
      </c>
      <c r="M128" s="14">
        <f ca="1">_xll.QIns_ProductParRate(L128,AModel)</f>
        <v>31035.432609204985</v>
      </c>
      <c r="N128" s="11" cm="1">
        <f t="array" aca="1" ref="N128" ca="1">_xll.QModels_GetCompoVol(AModel,B128,H128,E128,D128)</f>
        <v>0.21841681445413291</v>
      </c>
      <c r="O128" s="185" t="str" cm="1">
        <f t="array" aca="1" ref="O128" ca="1">_xll.QIns_CreateEuropeanOption("euOpt_"&amp;ROW(),D128,B128,H128,E128,F128,G128,H128,J128,K128,I128)</f>
        <v>euOpt_128¬0</v>
      </c>
      <c r="P128" s="21" cm="1">
        <f t="array" aca="1" ref="P128" ca="1">_xll.QIns_ProductPV(O128,AModel,H128)</f>
        <v>26890.888821208078</v>
      </c>
      <c r="Q128" s="185" t="str" cm="1">
        <f t="array" aca="1" ref="Q128" ca="1">IF(VLOOKUP(B128,AssetStatic,4,FALSE),_xll.QRisk_PortfolioFxDeltaSpecific("euOpt_DeltaA"&amp;ROW(),O128,AModel,B128,"ZAR",FALSE),_xll.QRisk_PortfolioDelta("euOpt_DeltaA"&amp;ROW(),O128,AModel,FALSE))</f>
        <v>euOpt_DeltaA128¬0</v>
      </c>
      <c r="R128" s="21" cm="1">
        <f t="array" aca="1" ref="R128" ca="1">_xll.QCube_SumAllRows(Q128)</f>
        <v>0.99502540357647073</v>
      </c>
      <c r="S128" s="11">
        <f t="shared" ca="1" si="76"/>
        <v>0.99502540357647073</v>
      </c>
      <c r="T128" s="185" t="str" cm="1">
        <f t="array" aca="1" ref="T128" ca="1">_xll.QRisk_PortfolioVega("euopt_commVegaA"&amp;ROW(),O128,AModel,H128)</f>
        <v>euopt_commVegaA128¬0</v>
      </c>
      <c r="U128" s="21" cm="1">
        <f t="array" aca="1" ref="U128" ca="1">_xll.QCube_SumAllRows(T128)</f>
        <v>0</v>
      </c>
      <c r="V128" s="100">
        <f t="shared" ca="1" si="77"/>
        <v>0</v>
      </c>
      <c r="X128" s="75">
        <f t="shared" si="78"/>
        <v>0</v>
      </c>
      <c r="Y128" s="1" t="str">
        <f t="shared" si="79"/>
        <v>3y</v>
      </c>
    </row>
    <row r="129" spans="1:25" x14ac:dyDescent="0.25">
      <c r="A129" s="6"/>
      <c r="B129" s="6"/>
      <c r="C129" s="102"/>
      <c r="D129" s="102"/>
      <c r="E129" s="103"/>
      <c r="F129" s="6"/>
      <c r="G129" s="103"/>
      <c r="H129" s="6"/>
      <c r="I129" s="104"/>
      <c r="J129" s="104"/>
      <c r="K129" s="104"/>
    </row>
    <row r="130" spans="1:25" x14ac:dyDescent="0.25">
      <c r="A130" s="6"/>
      <c r="B130" s="6"/>
      <c r="C130" s="102"/>
      <c r="D130" s="102"/>
      <c r="E130" s="103"/>
      <c r="F130" s="6"/>
      <c r="G130" s="103"/>
      <c r="H130" s="6"/>
      <c r="I130" s="104"/>
      <c r="J130" s="104"/>
      <c r="K130" s="104"/>
      <c r="P130" s="21">
        <f ca="1">SUM(P127:P128)</f>
        <v>0</v>
      </c>
      <c r="R130" t="e">
        <f ca="1">P130/E127</f>
        <v>#DIV/0!</v>
      </c>
    </row>
    <row r="131" spans="1:25" x14ac:dyDescent="0.25">
      <c r="A131" s="6"/>
      <c r="B131" s="6"/>
      <c r="C131" s="102"/>
      <c r="D131" s="102"/>
      <c r="E131" s="103"/>
      <c r="F131" s="6"/>
      <c r="G131" s="103"/>
      <c r="H131" s="6"/>
      <c r="I131" s="104"/>
      <c r="J131" s="104"/>
      <c r="K131" s="104"/>
    </row>
    <row r="132" spans="1:25" x14ac:dyDescent="0.25">
      <c r="A132" s="6"/>
      <c r="B132" s="6"/>
      <c r="C132" s="102" t="s">
        <v>71</v>
      </c>
      <c r="D132" s="102"/>
      <c r="E132" s="103"/>
      <c r="F132" s="6"/>
      <c r="G132" s="103"/>
      <c r="H132" s="6"/>
      <c r="I132" s="104"/>
      <c r="J132" s="104"/>
      <c r="K132" s="104"/>
    </row>
    <row r="133" spans="1:25" x14ac:dyDescent="0.25">
      <c r="A133" s="6"/>
      <c r="B133" s="6"/>
      <c r="C133" s="102" t="s">
        <v>36</v>
      </c>
      <c r="D133" s="102"/>
      <c r="E133" s="103"/>
      <c r="F133" s="6"/>
      <c r="G133" s="103"/>
      <c r="H133" s="6"/>
      <c r="I133" s="104"/>
      <c r="J133" s="104"/>
      <c r="K133" s="104"/>
    </row>
    <row r="134" spans="1:25" x14ac:dyDescent="0.25">
      <c r="A134" s="6"/>
      <c r="B134" s="6"/>
      <c r="C134" s="102" t="s">
        <v>37</v>
      </c>
      <c r="D134" s="102"/>
      <c r="E134" s="103"/>
      <c r="F134" s="6"/>
      <c r="G134" s="103"/>
      <c r="H134" s="6"/>
      <c r="I134" s="104"/>
      <c r="J134" s="104"/>
      <c r="K134" s="104"/>
    </row>
    <row r="135" spans="1:25" x14ac:dyDescent="0.25">
      <c r="A135" s="6"/>
      <c r="B135" s="6"/>
      <c r="C135" s="102"/>
      <c r="D135" s="102"/>
      <c r="E135" s="103"/>
      <c r="F135" s="6"/>
      <c r="G135" s="103"/>
      <c r="H135" s="6"/>
      <c r="I135" s="104"/>
      <c r="J135" s="104"/>
      <c r="K135" s="104"/>
    </row>
    <row r="136" spans="1:25" s="185" customFormat="1" x14ac:dyDescent="0.25">
      <c r="A136" s="6"/>
      <c r="B136" s="6" t="s">
        <v>108</v>
      </c>
      <c r="C136" s="102" t="s">
        <v>71</v>
      </c>
      <c r="D136" s="102" cm="1">
        <f t="array" aca="1" ref="D136" ca="1">IF(_xll.QUtils_IsTenor(C136),_xll.QDates_AddPeriod(valDate,C136,"F","NYC"),C136)</f>
        <v>44603</v>
      </c>
      <c r="E136" s="103" t="e">
        <f ca="1">Base!L16</f>
        <v>#N/A</v>
      </c>
      <c r="F136" s="6" t="s">
        <v>287</v>
      </c>
      <c r="G136" s="103">
        <v>1</v>
      </c>
      <c r="H136" s="6" t="s">
        <v>21</v>
      </c>
      <c r="I136" s="104" t="str">
        <f>VLOOKUP(H136,'FX-IR'!$B$20:$C$27,2,FALSE)</f>
        <v>USD.LIBOR.3M</v>
      </c>
      <c r="J136" s="104" t="s">
        <v>171</v>
      </c>
      <c r="K136" s="104" t="s">
        <v>171</v>
      </c>
      <c r="L136" s="185" t="str" cm="1">
        <f t="array" aca="1" ref="L136" ca="1">_xll.QIns_CreateForward("EuOpt_Fwd_"&amp;ROW(),D136,B136,H136,0,G136,H136,J136,K136,I136)</f>
        <v>EuOpt_Fwd_136¬0</v>
      </c>
      <c r="M136" s="14" t="str" cm="1">
        <f t="array" aca="1" ref="M136" ca="1">_xll.QIns_ProductParRate(L136,AModel)</f>
        <v>Curve with name CA not found</v>
      </c>
      <c r="N136" s="11" t="e" cm="1">
        <f t="array" aca="1" ref="N136" ca="1">_xll.QModels_GetCompoVol(AModel,B136,H136,E136,D136)</f>
        <v>#VALUE!</v>
      </c>
      <c r="O136" s="185" t="e" cm="1">
        <f t="array" aca="1" ref="O136" ca="1">_xll.QIns_CreateEuropeanOption("euOpt_"&amp;ROW(),D136,B136,H136,E136,F136,G136,H136,J136,K136,I136)</f>
        <v>#VALUE!</v>
      </c>
      <c r="P136" s="21" t="e" cm="1">
        <f t="array" aca="1" ref="P136" ca="1">_xll.QIns_ProductPV(O136,AModel,H136)</f>
        <v>#VALUE!</v>
      </c>
      <c r="Q136" s="185" t="e" cm="1">
        <f t="array" aca="1" ref="Q136" ca="1">IF(VLOOKUP(B136,AssetStatic,4,FALSE),_xll.QRisk_PortfolioFxDeltaSpecific("euOpt_DeltaA"&amp;ROW(),O136,AModel,B136,"ZAR",FALSE),_xll.QRisk_PortfolioDelta("euOpt_DeltaA"&amp;ROW(),O136,AModel,FALSE))</f>
        <v>#VALUE!</v>
      </c>
      <c r="R136" s="21" t="e" cm="1">
        <f t="array" aca="1" ref="R136" ca="1">_xll.QCube_SumAllRows(Q136)</f>
        <v>#VALUE!</v>
      </c>
      <c r="S136" s="11" t="e">
        <f t="shared" ref="S136" ca="1" si="80">R136/G136</f>
        <v>#VALUE!</v>
      </c>
      <c r="T136" s="185" t="e" cm="1">
        <f t="array" aca="1" ref="T136" ca="1">_xll.QRisk_PortfolioVega("euopt_commVegaA"&amp;ROW(),O136,AModel,H136)</f>
        <v>#VALUE!</v>
      </c>
      <c r="U136" s="21" t="e" cm="1">
        <f t="array" aca="1" ref="U136" ca="1">_xll.QCube_SumAllRows(T136)</f>
        <v>#VALUE!</v>
      </c>
      <c r="V136" s="100" t="e">
        <f t="shared" ref="V136" ca="1" si="81">U136/D136</f>
        <v>#VALUE!</v>
      </c>
      <c r="X136" s="21" t="e">
        <f ca="1">P136+2*U136</f>
        <v>#VALUE!</v>
      </c>
      <c r="Y136" s="1"/>
    </row>
    <row r="137" spans="1:25" s="185" customFormat="1" x14ac:dyDescent="0.25">
      <c r="A137" s="6"/>
      <c r="B137" s="6" t="s">
        <v>108</v>
      </c>
      <c r="C137" s="102" t="str">
        <f>C133</f>
        <v>3y</v>
      </c>
      <c r="D137" s="102" cm="1">
        <f t="array" aca="1" ref="D137" ca="1">IF(_xll.QUtils_IsTenor(C137),_xll.QDates_AddPeriod(valDate,C137,"F","NYC"),C137)</f>
        <v>45334</v>
      </c>
      <c r="E137" s="103" t="e">
        <f ca="1">E136</f>
        <v>#N/A</v>
      </c>
      <c r="F137" s="6" t="s">
        <v>287</v>
      </c>
      <c r="G137" s="103">
        <f>G136</f>
        <v>1</v>
      </c>
      <c r="H137" s="6" t="s">
        <v>21</v>
      </c>
      <c r="I137" s="104" t="str">
        <f>VLOOKUP(H137,'FX-IR'!$B$20:$C$27,2,FALSE)</f>
        <v>USD.LIBOR.3M</v>
      </c>
      <c r="J137" s="104" t="s">
        <v>171</v>
      </c>
      <c r="K137" s="104" t="s">
        <v>171</v>
      </c>
      <c r="L137" s="185" t="str" cm="1">
        <f t="array" aca="1" ref="L137" ca="1">_xll.QIns_CreateForward("EuOpt_Fwd_"&amp;ROW(),D137,B137,H137,0,G137,H137,J137,K137,I137)</f>
        <v>EuOpt_Fwd_137¬0</v>
      </c>
      <c r="M137" s="14" t="str" cm="1">
        <f t="array" aca="1" ref="M137" ca="1">_xll.QIns_ProductParRate(L137,AModel)</f>
        <v>Curve with name CA not found</v>
      </c>
      <c r="N137" s="11" t="e" cm="1">
        <f t="array" aca="1" ref="N137" ca="1">_xll.QModels_GetCompoVol(AModel,B137,H137,E137,D137)</f>
        <v>#VALUE!</v>
      </c>
      <c r="O137" s="185" t="e" cm="1">
        <f t="array" aca="1" ref="O137" ca="1">_xll.QIns_CreateEuropeanOption("euOpt_"&amp;ROW(),D137,B137,H137,E137,F137,G137,H137,J137,K137,I137)</f>
        <v>#VALUE!</v>
      </c>
      <c r="P137" s="21" t="e" cm="1">
        <f t="array" aca="1" ref="P137" ca="1">_xll.QIns_ProductPV(O137,AModel,H137)</f>
        <v>#VALUE!</v>
      </c>
      <c r="Q137" s="185" t="e" cm="1">
        <f t="array" aca="1" ref="Q137" ca="1">IF(VLOOKUP(B137,AssetStatic,4,FALSE),_xll.QRisk_PortfolioFxDeltaSpecific("euOpt_DeltaA"&amp;ROW(),O137,AModel,B137,"ZAR",FALSE),_xll.QRisk_PortfolioDelta("euOpt_DeltaA"&amp;ROW(),O137,AModel,FALSE))</f>
        <v>#VALUE!</v>
      </c>
      <c r="R137" s="21" t="e" cm="1">
        <f t="array" aca="1" ref="R137" ca="1">_xll.QCube_SumAllRows(Q137)</f>
        <v>#VALUE!</v>
      </c>
      <c r="S137" s="11" t="e">
        <f t="shared" ref="S137:S138" ca="1" si="82">R137/G137</f>
        <v>#VALUE!</v>
      </c>
      <c r="T137" s="185" t="e" cm="1">
        <f t="array" aca="1" ref="T137" ca="1">_xll.QRisk_PortfolioVega("euopt_commVegaA"&amp;ROW(),O137,AModel,H137)</f>
        <v>#VALUE!</v>
      </c>
      <c r="U137" s="21" t="e" cm="1">
        <f t="array" aca="1" ref="U137" ca="1">_xll.QCube_SumAllRows(T137)</f>
        <v>#VALUE!</v>
      </c>
      <c r="V137" s="100" t="e">
        <f t="shared" ref="V137:V138" ca="1" si="83">U137/D137</f>
        <v>#VALUE!</v>
      </c>
      <c r="X137" s="21" t="e">
        <f t="shared" ref="X137:X138" ca="1" si="84">P137+2*U137</f>
        <v>#VALUE!</v>
      </c>
      <c r="Y137" s="1"/>
    </row>
    <row r="138" spans="1:25" s="185" customFormat="1" x14ac:dyDescent="0.25">
      <c r="A138" s="6"/>
      <c r="B138" s="6" t="s">
        <v>108</v>
      </c>
      <c r="C138" s="102" t="str">
        <f>C134</f>
        <v>5y</v>
      </c>
      <c r="D138" s="102" cm="1">
        <f t="array" aca="1" ref="D138" ca="1">IF(_xll.QUtils_IsTenor(C138),_xll.QDates_AddPeriod(valDate,C138,"F","NYC"),C138)</f>
        <v>46064</v>
      </c>
      <c r="E138" s="103" t="e">
        <f ca="1">E137</f>
        <v>#N/A</v>
      </c>
      <c r="F138" s="6" t="s">
        <v>287</v>
      </c>
      <c r="G138" s="103">
        <f>G137</f>
        <v>1</v>
      </c>
      <c r="H138" s="6" t="s">
        <v>21</v>
      </c>
      <c r="I138" s="104" t="str">
        <f>VLOOKUP(H138,'FX-IR'!$B$20:$C$27,2,FALSE)</f>
        <v>USD.LIBOR.3M</v>
      </c>
      <c r="J138" s="104" t="s">
        <v>171</v>
      </c>
      <c r="K138" s="104" t="s">
        <v>171</v>
      </c>
      <c r="L138" s="185" t="str" cm="1">
        <f t="array" aca="1" ref="L138" ca="1">_xll.QIns_CreateForward("EuOpt_Fwd_"&amp;ROW(),D138,B138,H138,0,G138,H138,J138,K138,I138)</f>
        <v>EuOpt_Fwd_138¬0</v>
      </c>
      <c r="M138" s="14" t="str" cm="1">
        <f t="array" aca="1" ref="M138" ca="1">_xll.QIns_ProductParRate(L138,AModel)</f>
        <v>Curve with name CA not found</v>
      </c>
      <c r="N138" s="11" t="e" cm="1">
        <f t="array" aca="1" ref="N138" ca="1">_xll.QModels_GetCompoVol(AModel,B138,H138,E138,D138)</f>
        <v>#VALUE!</v>
      </c>
      <c r="O138" s="185" t="e" cm="1">
        <f t="array" aca="1" ref="O138" ca="1">_xll.QIns_CreateEuropeanOption("euOpt_"&amp;ROW(),D138,B138,H138,E138,F138,G138,H138,J138,K138,I138)</f>
        <v>#VALUE!</v>
      </c>
      <c r="P138" s="21" t="e" cm="1">
        <f t="array" aca="1" ref="P138" ca="1">_xll.QIns_ProductPV(O138,AModel,H138)</f>
        <v>#VALUE!</v>
      </c>
      <c r="Q138" s="185" t="e" cm="1">
        <f t="array" aca="1" ref="Q138" ca="1">IF(VLOOKUP(B138,AssetStatic,4,FALSE),_xll.QRisk_PortfolioFxDeltaSpecific("euOpt_DeltaA"&amp;ROW(),O138,AModel,B138,"ZAR",FALSE),_xll.QRisk_PortfolioDelta("euOpt_DeltaA"&amp;ROW(),O138,AModel,FALSE))</f>
        <v>#VALUE!</v>
      </c>
      <c r="R138" s="21" t="e" cm="1">
        <f t="array" aca="1" ref="R138" ca="1">_xll.QCube_SumAllRows(Q138)</f>
        <v>#VALUE!</v>
      </c>
      <c r="S138" s="11" t="e">
        <f t="shared" ca="1" si="82"/>
        <v>#VALUE!</v>
      </c>
      <c r="T138" s="185" t="e" cm="1">
        <f t="array" aca="1" ref="T138" ca="1">_xll.QRisk_PortfolioVega("euopt_commVegaA"&amp;ROW(),O138,AModel,H138)</f>
        <v>#VALUE!</v>
      </c>
      <c r="U138" s="21" t="e" cm="1">
        <f t="array" aca="1" ref="U138" ca="1">_xll.QCube_SumAllRows(T138)</f>
        <v>#VALUE!</v>
      </c>
      <c r="V138" s="100" t="e">
        <f t="shared" ca="1" si="83"/>
        <v>#VALUE!</v>
      </c>
      <c r="X138" s="21" t="e">
        <f t="shared" ca="1" si="84"/>
        <v>#VALUE!</v>
      </c>
      <c r="Y138" s="1"/>
    </row>
    <row r="139" spans="1:25" x14ac:dyDescent="0.25">
      <c r="A139" s="6"/>
      <c r="B139" s="6"/>
      <c r="C139" s="102"/>
      <c r="D139" s="102"/>
      <c r="E139" s="103"/>
      <c r="F139" s="6"/>
      <c r="G139" s="103"/>
      <c r="H139" s="6"/>
      <c r="I139" s="104"/>
      <c r="J139" s="104"/>
      <c r="K139" s="104"/>
    </row>
    <row r="140" spans="1:25" s="185" customFormat="1" x14ac:dyDescent="0.25">
      <c r="A140" s="6"/>
      <c r="B140" s="6" t="s">
        <v>108</v>
      </c>
      <c r="C140" s="102" t="s">
        <v>71</v>
      </c>
      <c r="D140" s="102" cm="1">
        <f t="array" aca="1" ref="D140" ca="1">IF(_xll.QUtils_IsTenor(C140),_xll.QDates_AddPeriod(valDate,C140,"F","NYC"),C140)</f>
        <v>44603</v>
      </c>
      <c r="E140" s="103" t="e">
        <f ca="1">E136*'FX-IR'!F12</f>
        <v>#N/A</v>
      </c>
      <c r="F140" s="6" t="s">
        <v>287</v>
      </c>
      <c r="G140" s="103">
        <v>1</v>
      </c>
      <c r="H140" s="6" t="s">
        <v>1</v>
      </c>
      <c r="I140" s="104" t="str">
        <f>VLOOKUP(H140,'FX-IR'!$B$20:$C$27,2,FALSE)</f>
        <v>ZAR.DISC.[USD.LIBOR.3M]</v>
      </c>
      <c r="J140" s="104" t="s">
        <v>171</v>
      </c>
      <c r="K140" s="104" t="s">
        <v>171</v>
      </c>
      <c r="L140" s="185" t="str" cm="1">
        <f t="array" aca="1" ref="L140" ca="1">_xll.QIns_CreateForward("EuOpt_Fwd_"&amp;ROW(),D140,B140,H140,0,G140,H140,J140,K140,I140)</f>
        <v>EuOpt_Fwd_140¬0</v>
      </c>
      <c r="M140" s="14" t="str" cm="1">
        <f t="array" aca="1" ref="M140" ca="1">_xll.QIns_ProductParRate(L140,AModel)</f>
        <v>Curve with name CA not found</v>
      </c>
      <c r="N140" s="11" t="e" cm="1">
        <f t="array" aca="1" ref="N140" ca="1">_xll.QModels_GetCompoVol(AModel,B140,H140,E140,D140)</f>
        <v>#VALUE!</v>
      </c>
      <c r="O140" s="185" t="e" cm="1">
        <f t="array" aca="1" ref="O140" ca="1">_xll.QIns_CreateEuropeanOption("euOpt_"&amp;ROW(),D140,B140,H140,E140,F140,G140,H140,J140,K140,I140)</f>
        <v>#VALUE!</v>
      </c>
      <c r="P140" s="21" t="e" cm="1">
        <f t="array" aca="1" ref="P140" ca="1">_xll.QIns_ProductPV(O140,AModel,H140)</f>
        <v>#VALUE!</v>
      </c>
      <c r="Q140" s="185" t="e" cm="1">
        <f t="array" aca="1" ref="Q140" ca="1">IF(VLOOKUP(B140,AssetStatic,4,FALSE),_xll.QRisk_PortfolioFxDeltaSpecific("euOpt_DeltaA"&amp;ROW(),O140,AModel,B140,"ZAR",FALSE),_xll.QRisk_PortfolioDelta("euOpt_DeltaA"&amp;ROW(),O140,AModel,FALSE))</f>
        <v>#VALUE!</v>
      </c>
      <c r="R140" s="21" t="e" cm="1">
        <f t="array" aca="1" ref="R140" ca="1">_xll.QCube_SumAllRows(Q140)</f>
        <v>#VALUE!</v>
      </c>
      <c r="S140" s="11" t="e">
        <f t="shared" ref="S140:S142" ca="1" si="85">R140/G140</f>
        <v>#VALUE!</v>
      </c>
      <c r="T140" s="185" t="e" cm="1">
        <f t="array" aca="1" ref="T140" ca="1">_xll.QRisk_PortfolioVega("euopt_commVegaA"&amp;ROW(),O140,AModel,H140)</f>
        <v>#VALUE!</v>
      </c>
      <c r="U140" s="21" t="e" cm="1">
        <f t="array" aca="1" ref="U140" ca="1">_xll.QCube_SumAllRows(T140)</f>
        <v>#VALUE!</v>
      </c>
      <c r="V140" s="100" t="e">
        <f t="shared" ref="V140:V142" ca="1" si="86">U140/D140</f>
        <v>#VALUE!</v>
      </c>
      <c r="X140" s="21" t="e">
        <f ca="1">P140+3*U140</f>
        <v>#VALUE!</v>
      </c>
      <c r="Y140" s="1"/>
    </row>
    <row r="141" spans="1:25" s="185" customFormat="1" x14ac:dyDescent="0.25">
      <c r="A141" s="6"/>
      <c r="B141" s="6" t="s">
        <v>108</v>
      </c>
      <c r="C141" s="102" t="str">
        <f>C137</f>
        <v>3y</v>
      </c>
      <c r="D141" s="102" cm="1">
        <f t="array" aca="1" ref="D141" ca="1">IF(_xll.QUtils_IsTenor(C141),_xll.QDates_AddPeriod(valDate,C141,"F","NYC"),C141)</f>
        <v>45334</v>
      </c>
      <c r="E141" s="103" t="e">
        <f ca="1">E140</f>
        <v>#N/A</v>
      </c>
      <c r="F141" s="6" t="s">
        <v>287</v>
      </c>
      <c r="G141" s="103">
        <f>G140</f>
        <v>1</v>
      </c>
      <c r="H141" s="6" t="s">
        <v>1</v>
      </c>
      <c r="I141" s="104" t="str">
        <f>VLOOKUP(H141,'FX-IR'!$B$20:$C$27,2,FALSE)</f>
        <v>ZAR.DISC.[USD.LIBOR.3M]</v>
      </c>
      <c r="J141" s="104" t="s">
        <v>171</v>
      </c>
      <c r="K141" s="104" t="s">
        <v>171</v>
      </c>
      <c r="L141" s="185" t="str" cm="1">
        <f t="array" aca="1" ref="L141" ca="1">_xll.QIns_CreateForward("EuOpt_Fwd_"&amp;ROW(),D141,B141,H141,0,G141,H141,J141,K141,I141)</f>
        <v>EuOpt_Fwd_141¬0</v>
      </c>
      <c r="M141" s="14" t="str" cm="1">
        <f t="array" aca="1" ref="M141" ca="1">_xll.QIns_ProductParRate(L141,AModel)</f>
        <v>Curve with name CA not found</v>
      </c>
      <c r="N141" s="11" t="e" cm="1">
        <f t="array" aca="1" ref="N141" ca="1">_xll.QModels_GetCompoVol(AModel,B141,H141,E141,D141)</f>
        <v>#VALUE!</v>
      </c>
      <c r="O141" s="185" t="e" cm="1">
        <f t="array" aca="1" ref="O141" ca="1">_xll.QIns_CreateEuropeanOption("euOpt_"&amp;ROW(),D141,B141,H141,E141,F141,G141,H141,J141,K141,I141)</f>
        <v>#VALUE!</v>
      </c>
      <c r="P141" s="21" t="e" cm="1">
        <f t="array" aca="1" ref="P141" ca="1">_xll.QIns_ProductPV(O141,AModel,H141)</f>
        <v>#VALUE!</v>
      </c>
      <c r="Q141" s="185" t="e" cm="1">
        <f t="array" aca="1" ref="Q141" ca="1">IF(VLOOKUP(B141,AssetStatic,4,FALSE),_xll.QRisk_PortfolioFxDeltaSpecific("euOpt_DeltaA"&amp;ROW(),O141,AModel,B141,"ZAR",FALSE),_xll.QRisk_PortfolioDelta("euOpt_DeltaA"&amp;ROW(),O141,AModel,FALSE))</f>
        <v>#VALUE!</v>
      </c>
      <c r="R141" s="21" t="e" cm="1">
        <f t="array" aca="1" ref="R141" ca="1">_xll.QCube_SumAllRows(Q141)</f>
        <v>#VALUE!</v>
      </c>
      <c r="S141" s="11" t="e">
        <f t="shared" ca="1" si="85"/>
        <v>#VALUE!</v>
      </c>
      <c r="T141" s="185" t="e" cm="1">
        <f t="array" aca="1" ref="T141" ca="1">_xll.QRisk_PortfolioVega("euopt_commVegaA"&amp;ROW(),O141,AModel,H141)</f>
        <v>#VALUE!</v>
      </c>
      <c r="U141" s="21" t="e" cm="1">
        <f t="array" aca="1" ref="U141" ca="1">_xll.QCube_SumAllRows(T141)</f>
        <v>#VALUE!</v>
      </c>
      <c r="V141" s="100" t="e">
        <f t="shared" ca="1" si="86"/>
        <v>#VALUE!</v>
      </c>
      <c r="X141" s="21" t="e">
        <f t="shared" ref="X141:X142" ca="1" si="87">P141+3*U141</f>
        <v>#VALUE!</v>
      </c>
      <c r="Y141" s="1"/>
    </row>
    <row r="142" spans="1:25" s="185" customFormat="1" x14ac:dyDescent="0.25">
      <c r="A142" s="6"/>
      <c r="B142" s="6" t="s">
        <v>108</v>
      </c>
      <c r="C142" s="102" t="str">
        <f>C138</f>
        <v>5y</v>
      </c>
      <c r="D142" s="102" cm="1">
        <f t="array" aca="1" ref="D142" ca="1">IF(_xll.QUtils_IsTenor(C142),_xll.QDates_AddPeriod(valDate,C142,"F","NYC"),C142)</f>
        <v>46064</v>
      </c>
      <c r="E142" s="103" t="e">
        <f ca="1">E141</f>
        <v>#N/A</v>
      </c>
      <c r="F142" s="6" t="s">
        <v>287</v>
      </c>
      <c r="G142" s="103">
        <f>G141</f>
        <v>1</v>
      </c>
      <c r="H142" s="6" t="s">
        <v>1</v>
      </c>
      <c r="I142" s="104" t="str">
        <f>VLOOKUP(H142,'FX-IR'!$B$20:$C$27,2,FALSE)</f>
        <v>ZAR.DISC.[USD.LIBOR.3M]</v>
      </c>
      <c r="J142" s="104" t="s">
        <v>171</v>
      </c>
      <c r="K142" s="104" t="s">
        <v>171</v>
      </c>
      <c r="L142" s="185" t="str" cm="1">
        <f t="array" aca="1" ref="L142" ca="1">_xll.QIns_CreateForward("EuOpt_Fwd_"&amp;ROW(),D142,B142,H142,0,G142,H142,J142,K142,I142)</f>
        <v>EuOpt_Fwd_142¬0</v>
      </c>
      <c r="M142" s="14" t="str" cm="1">
        <f t="array" aca="1" ref="M142" ca="1">_xll.QIns_ProductParRate(L142,AModel)</f>
        <v>Curve with name CA not found</v>
      </c>
      <c r="N142" s="11" t="e" cm="1">
        <f t="array" aca="1" ref="N142" ca="1">_xll.QModels_GetCompoVol(AModel,B142,H142,E142,D142)</f>
        <v>#VALUE!</v>
      </c>
      <c r="O142" s="185" t="e" cm="1">
        <f t="array" aca="1" ref="O142" ca="1">_xll.QIns_CreateEuropeanOption("euOpt_"&amp;ROW(),D142,B142,H142,E142,F142,G142,H142,J142,K142,I142)</f>
        <v>#VALUE!</v>
      </c>
      <c r="P142" s="21" t="e" cm="1">
        <f t="array" aca="1" ref="P142" ca="1">_xll.QIns_ProductPV(O142,AModel,H142)</f>
        <v>#VALUE!</v>
      </c>
      <c r="Q142" s="185" t="e" cm="1">
        <f t="array" aca="1" ref="Q142" ca="1">IF(VLOOKUP(B142,AssetStatic,4,FALSE),_xll.QRisk_PortfolioFxDeltaSpecific("euOpt_DeltaA"&amp;ROW(),O142,AModel,B142,"ZAR",FALSE),_xll.QRisk_PortfolioDelta("euOpt_DeltaA"&amp;ROW(),O142,AModel,FALSE))</f>
        <v>#VALUE!</v>
      </c>
      <c r="R142" s="21" t="e" cm="1">
        <f t="array" aca="1" ref="R142" ca="1">_xll.QCube_SumAllRows(Q142)</f>
        <v>#VALUE!</v>
      </c>
      <c r="S142" s="11" t="e">
        <f t="shared" ca="1" si="85"/>
        <v>#VALUE!</v>
      </c>
      <c r="T142" s="185" t="e" cm="1">
        <f t="array" aca="1" ref="T142" ca="1">_xll.QRisk_PortfolioVega("euopt_commVegaA"&amp;ROW(),O142,AModel,H142)</f>
        <v>#VALUE!</v>
      </c>
      <c r="U142" s="21" t="e" cm="1">
        <f t="array" aca="1" ref="U142" ca="1">_xll.QCube_SumAllRows(T142)</f>
        <v>#VALUE!</v>
      </c>
      <c r="V142" s="100" t="e">
        <f t="shared" ca="1" si="86"/>
        <v>#VALUE!</v>
      </c>
      <c r="X142" s="21" t="e">
        <f t="shared" ca="1" si="87"/>
        <v>#VALUE!</v>
      </c>
      <c r="Y142" s="1"/>
    </row>
    <row r="143" spans="1:25" x14ac:dyDescent="0.25">
      <c r="A143" s="6"/>
      <c r="B143" s="6"/>
      <c r="C143" s="102"/>
      <c r="D143" s="102"/>
      <c r="E143" s="103"/>
      <c r="F143" s="6"/>
      <c r="G143" s="103"/>
      <c r="H143" s="6"/>
      <c r="I143" s="104"/>
      <c r="J143" s="104"/>
      <c r="K143" s="104"/>
    </row>
    <row r="144" spans="1:25" x14ac:dyDescent="0.25">
      <c r="A144" s="6"/>
      <c r="B144" s="6"/>
      <c r="C144" s="102"/>
      <c r="D144" s="102"/>
      <c r="E144" s="103"/>
      <c r="F144" s="6"/>
      <c r="G144" s="103"/>
      <c r="H144" s="6"/>
      <c r="I144" s="104"/>
      <c r="J144" s="104"/>
      <c r="K144" s="104"/>
      <c r="M144" t="s">
        <v>21</v>
      </c>
      <c r="N144" t="s">
        <v>373</v>
      </c>
    </row>
    <row r="145" spans="1:25" x14ac:dyDescent="0.25">
      <c r="A145" s="6"/>
      <c r="B145" s="6"/>
      <c r="C145" s="102"/>
      <c r="D145" s="102"/>
      <c r="E145" s="103"/>
      <c r="F145" s="6"/>
      <c r="G145" s="103"/>
      <c r="H145" s="6"/>
      <c r="I145" s="104"/>
      <c r="J145" s="104"/>
      <c r="K145" s="104"/>
      <c r="L145" s="1" t="str">
        <f>C140</f>
        <v>1y</v>
      </c>
      <c r="M145" s="11" t="e">
        <f ca="1">X136/E136</f>
        <v>#VALUE!</v>
      </c>
      <c r="N145" s="11" t="e">
        <f ca="1">X140/E140</f>
        <v>#VALUE!</v>
      </c>
    </row>
    <row r="146" spans="1:25" x14ac:dyDescent="0.25">
      <c r="A146" s="6"/>
      <c r="B146" s="6"/>
      <c r="C146" s="102"/>
      <c r="D146" s="102"/>
      <c r="E146" s="103"/>
      <c r="F146" s="6"/>
      <c r="G146" s="103"/>
      <c r="H146" s="6"/>
      <c r="I146" s="104"/>
      <c r="J146" s="104"/>
      <c r="K146" s="104"/>
      <c r="L146" s="1" t="str">
        <f t="shared" ref="L146:L147" si="88">C141</f>
        <v>3y</v>
      </c>
      <c r="M146" s="11" t="e">
        <f t="shared" ref="M146:M147" ca="1" si="89">X137/E137</f>
        <v>#VALUE!</v>
      </c>
      <c r="N146" s="11" t="e">
        <f t="shared" ref="N146:N147" ca="1" si="90">X141/E141</f>
        <v>#VALUE!</v>
      </c>
    </row>
    <row r="147" spans="1:25" x14ac:dyDescent="0.25">
      <c r="A147" s="6"/>
      <c r="B147" s="6"/>
      <c r="C147" s="102"/>
      <c r="D147" s="102"/>
      <c r="E147" s="103"/>
      <c r="F147" s="6"/>
      <c r="G147" s="103"/>
      <c r="H147" s="6"/>
      <c r="I147" s="104"/>
      <c r="J147" s="104"/>
      <c r="K147" s="104"/>
      <c r="L147" s="1" t="str">
        <f t="shared" si="88"/>
        <v>5y</v>
      </c>
      <c r="M147" s="11" t="e">
        <f t="shared" ca="1" si="89"/>
        <v>#VALUE!</v>
      </c>
      <c r="N147" s="11" t="e">
        <f t="shared" ca="1" si="90"/>
        <v>#VALUE!</v>
      </c>
    </row>
    <row r="148" spans="1:25" x14ac:dyDescent="0.25">
      <c r="A148" s="6"/>
      <c r="B148" s="6"/>
      <c r="C148" s="102"/>
      <c r="D148" s="102"/>
      <c r="E148" s="103"/>
      <c r="F148" s="6"/>
      <c r="G148" s="103"/>
      <c r="H148" s="6"/>
      <c r="I148" s="104"/>
      <c r="J148" s="104"/>
      <c r="K148" s="104"/>
      <c r="M148" s="11"/>
      <c r="N148" s="11"/>
    </row>
    <row r="149" spans="1:25" s="185" customFormat="1" x14ac:dyDescent="0.25">
      <c r="A149" s="6"/>
      <c r="B149" s="6" t="s">
        <v>108</v>
      </c>
      <c r="C149" s="102" t="str">
        <f>C132</f>
        <v>1y</v>
      </c>
      <c r="D149" s="102" cm="1">
        <f t="array" aca="1" ref="D149" ca="1">IF(_xll.QUtils_IsTenor(C149),_xll.QDates_AddPeriod(valDate,C149,"F","NYC"),C149)</f>
        <v>44603</v>
      </c>
      <c r="E149" s="103" t="e">
        <f ca="1">E136*1.1</f>
        <v>#N/A</v>
      </c>
      <c r="F149" s="6" t="s">
        <v>287</v>
      </c>
      <c r="G149" s="103">
        <v>1</v>
      </c>
      <c r="H149" s="6" t="s">
        <v>21</v>
      </c>
      <c r="I149" s="104" t="str">
        <f>VLOOKUP(H149,'FX-IR'!$B$20:$C$27,2,FALSE)</f>
        <v>USD.LIBOR.3M</v>
      </c>
      <c r="J149" s="104" t="s">
        <v>171</v>
      </c>
      <c r="K149" s="104" t="s">
        <v>171</v>
      </c>
      <c r="L149" s="185" t="str" cm="1">
        <f t="array" aca="1" ref="L149" ca="1">_xll.QIns_CreateForward("EuOpt_Fwd_"&amp;ROW(),D149,B149,H149,0,G149,H149,J149,K149,I149)</f>
        <v>EuOpt_Fwd_149¬0</v>
      </c>
      <c r="M149" s="14" t="str" cm="1">
        <f t="array" aca="1" ref="M149" ca="1">_xll.QIns_ProductParRate(L149,AModel)</f>
        <v>Curve with name CA not found</v>
      </c>
      <c r="N149" s="11" t="e" cm="1">
        <f t="array" aca="1" ref="N149" ca="1">_xll.QModels_GetCompoVol(AModel,B149,H149,E149,D149)</f>
        <v>#VALUE!</v>
      </c>
      <c r="O149" s="185" t="e" cm="1">
        <f t="array" aca="1" ref="O149" ca="1">_xll.QIns_CreateEuropeanOption("euOpt_"&amp;ROW(),D149,B149,H149,E149,F149,G149,H149,J149,K149,I149)</f>
        <v>#VALUE!</v>
      </c>
      <c r="P149" s="21" t="e" cm="1">
        <f t="array" aca="1" ref="P149" ca="1">_xll.QIns_ProductPV(O149,AModel,H149)</f>
        <v>#VALUE!</v>
      </c>
      <c r="Q149" s="185" t="e" cm="1">
        <f t="array" aca="1" ref="Q149" ca="1">IF(VLOOKUP(B149,AssetStatic,4,FALSE),_xll.QRisk_PortfolioFxDeltaSpecific("euOpt_DeltaA"&amp;ROW(),O149,AModel,B149,"ZAR",FALSE),_xll.QRisk_PortfolioDelta("euOpt_DeltaA"&amp;ROW(),O149,AModel,FALSE))</f>
        <v>#VALUE!</v>
      </c>
      <c r="R149" s="21" t="e" cm="1">
        <f t="array" aca="1" ref="R149" ca="1">_xll.QCube_SumAllRows(Q149)</f>
        <v>#VALUE!</v>
      </c>
      <c r="S149" s="11" t="e">
        <f t="shared" ref="S149:S151" ca="1" si="91">R149/G149</f>
        <v>#VALUE!</v>
      </c>
      <c r="T149" s="185" t="e" cm="1">
        <f t="array" aca="1" ref="T149" ca="1">_xll.QRisk_PortfolioVega("euopt_commVegaA"&amp;ROW(),O149,AModel,H149)</f>
        <v>#VALUE!</v>
      </c>
      <c r="U149" s="21" t="e" cm="1">
        <f t="array" aca="1" ref="U149" ca="1">_xll.QCube_SumAllRows(T149)</f>
        <v>#VALUE!</v>
      </c>
      <c r="V149" s="100" t="e">
        <f t="shared" ref="V149:V151" ca="1" si="92">U149/D149</f>
        <v>#VALUE!</v>
      </c>
      <c r="X149" s="21" t="e">
        <f ca="1">P149+2*U149</f>
        <v>#VALUE!</v>
      </c>
      <c r="Y149" s="1"/>
    </row>
    <row r="150" spans="1:25" s="185" customFormat="1" x14ac:dyDescent="0.25">
      <c r="A150" s="6"/>
      <c r="B150" s="6" t="s">
        <v>108</v>
      </c>
      <c r="C150" s="102" t="str">
        <f t="shared" ref="C150:C151" si="93">C133</f>
        <v>3y</v>
      </c>
      <c r="D150" s="102" cm="1">
        <f t="array" aca="1" ref="D150" ca="1">IF(_xll.QUtils_IsTenor(C150),_xll.QDates_AddPeriod(valDate,C150,"F","NYC"),C150)</f>
        <v>45334</v>
      </c>
      <c r="E150" s="103" t="e">
        <f ca="1">E137*1.3</f>
        <v>#N/A</v>
      </c>
      <c r="F150" s="6" t="s">
        <v>287</v>
      </c>
      <c r="G150" s="103">
        <f>G149</f>
        <v>1</v>
      </c>
      <c r="H150" s="6" t="s">
        <v>21</v>
      </c>
      <c r="I150" s="104" t="str">
        <f>VLOOKUP(H150,'FX-IR'!$B$20:$C$27,2,FALSE)</f>
        <v>USD.LIBOR.3M</v>
      </c>
      <c r="J150" s="104" t="s">
        <v>171</v>
      </c>
      <c r="K150" s="104" t="s">
        <v>171</v>
      </c>
      <c r="L150" s="185" t="str" cm="1">
        <f t="array" aca="1" ref="L150" ca="1">_xll.QIns_CreateForward("EuOpt_Fwd_"&amp;ROW(),D150,B150,H150,0,G150,H150,J150,K150,I150)</f>
        <v>EuOpt_Fwd_150¬0</v>
      </c>
      <c r="M150" s="14" t="str" cm="1">
        <f t="array" aca="1" ref="M150" ca="1">_xll.QIns_ProductParRate(L150,AModel)</f>
        <v>Curve with name CA not found</v>
      </c>
      <c r="N150" s="11" t="e" cm="1">
        <f t="array" aca="1" ref="N150" ca="1">_xll.QModels_GetCompoVol(AModel,B150,H150,E150,D150)</f>
        <v>#VALUE!</v>
      </c>
      <c r="O150" s="185" t="e" cm="1">
        <f t="array" aca="1" ref="O150" ca="1">_xll.QIns_CreateEuropeanOption("euOpt_"&amp;ROW(),D150,B150,H150,E150,F150,G150,H150,J150,K150,I150)</f>
        <v>#VALUE!</v>
      </c>
      <c r="P150" s="21" t="e" cm="1">
        <f t="array" aca="1" ref="P150" ca="1">_xll.QIns_ProductPV(O150,AModel,H150)</f>
        <v>#VALUE!</v>
      </c>
      <c r="Q150" s="185" t="e" cm="1">
        <f t="array" aca="1" ref="Q150" ca="1">IF(VLOOKUP(B150,AssetStatic,4,FALSE),_xll.QRisk_PortfolioFxDeltaSpecific("euOpt_DeltaA"&amp;ROW(),O150,AModel,B150,"ZAR",FALSE),_xll.QRisk_PortfolioDelta("euOpt_DeltaA"&amp;ROW(),O150,AModel,FALSE))</f>
        <v>#VALUE!</v>
      </c>
      <c r="R150" s="21" t="e" cm="1">
        <f t="array" aca="1" ref="R150" ca="1">_xll.QCube_SumAllRows(Q150)</f>
        <v>#VALUE!</v>
      </c>
      <c r="S150" s="11" t="e">
        <f t="shared" ca="1" si="91"/>
        <v>#VALUE!</v>
      </c>
      <c r="T150" s="185" t="e" cm="1">
        <f t="array" aca="1" ref="T150" ca="1">_xll.QRisk_PortfolioVega("euopt_commVegaA"&amp;ROW(),O150,AModel,H150)</f>
        <v>#VALUE!</v>
      </c>
      <c r="U150" s="21" t="e" cm="1">
        <f t="array" aca="1" ref="U150" ca="1">_xll.QCube_SumAllRows(T150)</f>
        <v>#VALUE!</v>
      </c>
      <c r="V150" s="100" t="e">
        <f t="shared" ca="1" si="92"/>
        <v>#VALUE!</v>
      </c>
      <c r="X150" s="21" t="e">
        <f t="shared" ref="X150:X151" ca="1" si="94">P150+2*U150</f>
        <v>#VALUE!</v>
      </c>
      <c r="Y150" s="1"/>
    </row>
    <row r="151" spans="1:25" s="185" customFormat="1" x14ac:dyDescent="0.25">
      <c r="A151" s="6"/>
      <c r="B151" s="6" t="s">
        <v>108</v>
      </c>
      <c r="C151" s="102" t="str">
        <f t="shared" si="93"/>
        <v>5y</v>
      </c>
      <c r="D151" s="102" cm="1">
        <f t="array" aca="1" ref="D151" ca="1">IF(_xll.QUtils_IsTenor(C151),_xll.QDates_AddPeriod(valDate,C151,"F","NYC"),C151)</f>
        <v>46064</v>
      </c>
      <c r="E151" s="103" t="e">
        <f ca="1">E138*1.5</f>
        <v>#N/A</v>
      </c>
      <c r="F151" s="6" t="s">
        <v>287</v>
      </c>
      <c r="G151" s="103">
        <f>G150</f>
        <v>1</v>
      </c>
      <c r="H151" s="6" t="s">
        <v>21</v>
      </c>
      <c r="I151" s="104" t="str">
        <f>VLOOKUP(H151,'FX-IR'!$B$20:$C$27,2,FALSE)</f>
        <v>USD.LIBOR.3M</v>
      </c>
      <c r="J151" s="104" t="s">
        <v>171</v>
      </c>
      <c r="K151" s="104" t="s">
        <v>171</v>
      </c>
      <c r="L151" s="185" t="str" cm="1">
        <f t="array" aca="1" ref="L151" ca="1">_xll.QIns_CreateForward("EuOpt_Fwd_"&amp;ROW(),D151,B151,H151,0,G151,H151,J151,K151,I151)</f>
        <v>EuOpt_Fwd_151¬0</v>
      </c>
      <c r="M151" s="14" t="str" cm="1">
        <f t="array" aca="1" ref="M151" ca="1">_xll.QIns_ProductParRate(L151,AModel)</f>
        <v>Curve with name CA not found</v>
      </c>
      <c r="N151" s="11" t="e" cm="1">
        <f t="array" aca="1" ref="N151" ca="1">_xll.QModels_GetCompoVol(AModel,B151,H151,E151,D151)</f>
        <v>#VALUE!</v>
      </c>
      <c r="O151" s="185" t="e" cm="1">
        <f t="array" aca="1" ref="O151" ca="1">_xll.QIns_CreateEuropeanOption("euOpt_"&amp;ROW(),D151,B151,H151,E151,F151,G151,H151,J151,K151,I151)</f>
        <v>#VALUE!</v>
      </c>
      <c r="P151" s="21" t="e" cm="1">
        <f t="array" aca="1" ref="P151" ca="1">_xll.QIns_ProductPV(O151,AModel,H151)</f>
        <v>#VALUE!</v>
      </c>
      <c r="Q151" s="185" t="e" cm="1">
        <f t="array" aca="1" ref="Q151" ca="1">IF(VLOOKUP(B151,AssetStatic,4,FALSE),_xll.QRisk_PortfolioFxDeltaSpecific("euOpt_DeltaA"&amp;ROW(),O151,AModel,B151,"ZAR",FALSE),_xll.QRisk_PortfolioDelta("euOpt_DeltaA"&amp;ROW(),O151,AModel,FALSE))</f>
        <v>#VALUE!</v>
      </c>
      <c r="R151" s="21" t="e" cm="1">
        <f t="array" aca="1" ref="R151" ca="1">_xll.QCube_SumAllRows(Q151)</f>
        <v>#VALUE!</v>
      </c>
      <c r="S151" s="11" t="e">
        <f t="shared" ca="1" si="91"/>
        <v>#VALUE!</v>
      </c>
      <c r="T151" s="185" t="e" cm="1">
        <f t="array" aca="1" ref="T151" ca="1">_xll.QRisk_PortfolioVega("euopt_commVegaA"&amp;ROW(),O151,AModel,H151)</f>
        <v>#VALUE!</v>
      </c>
      <c r="U151" s="21" t="e" cm="1">
        <f t="array" aca="1" ref="U151" ca="1">_xll.QCube_SumAllRows(T151)</f>
        <v>#VALUE!</v>
      </c>
      <c r="V151" s="100" t="e">
        <f t="shared" ca="1" si="92"/>
        <v>#VALUE!</v>
      </c>
      <c r="X151" s="21" t="e">
        <f t="shared" ca="1" si="94"/>
        <v>#VALUE!</v>
      </c>
      <c r="Y151" s="1"/>
    </row>
    <row r="152" spans="1:25" s="185" customFormat="1" x14ac:dyDescent="0.25">
      <c r="A152" s="6"/>
      <c r="B152" s="6"/>
      <c r="C152" s="102"/>
      <c r="D152" s="102"/>
      <c r="E152" s="103"/>
      <c r="F152" s="6"/>
      <c r="G152" s="103"/>
      <c r="H152" s="6"/>
      <c r="I152" s="104"/>
      <c r="J152" s="104"/>
      <c r="K152" s="104"/>
      <c r="P152" s="21"/>
    </row>
    <row r="153" spans="1:25" s="185" customFormat="1" x14ac:dyDescent="0.25">
      <c r="A153" s="6"/>
      <c r="B153" s="6" t="s">
        <v>108</v>
      </c>
      <c r="C153" s="102" t="str">
        <f>C149</f>
        <v>1y</v>
      </c>
      <c r="D153" s="102" cm="1">
        <f t="array" aca="1" ref="D153" ca="1">IF(_xll.QUtils_IsTenor(C153),_xll.QDates_AddPeriod(valDate,C153,"F","NYC"),C153)</f>
        <v>44603</v>
      </c>
      <c r="E153" s="103" t="e">
        <f ca="1">E140*1.1</f>
        <v>#N/A</v>
      </c>
      <c r="F153" s="6" t="s">
        <v>287</v>
      </c>
      <c r="G153" s="103">
        <v>1</v>
      </c>
      <c r="H153" s="6" t="s">
        <v>1</v>
      </c>
      <c r="I153" s="104" t="str">
        <f>VLOOKUP(H153,'FX-IR'!$B$20:$C$27,2,FALSE)</f>
        <v>ZAR.DISC.[USD.LIBOR.3M]</v>
      </c>
      <c r="J153" s="104" t="s">
        <v>171</v>
      </c>
      <c r="K153" s="104" t="s">
        <v>171</v>
      </c>
      <c r="L153" s="185" t="str" cm="1">
        <f t="array" aca="1" ref="L153" ca="1">_xll.QIns_CreateForward("EuOpt_Fwd_"&amp;ROW(),D153,B153,H153,0,G153,H153,J153,K153,I153)</f>
        <v>EuOpt_Fwd_153¬0</v>
      </c>
      <c r="M153" s="14" t="str" cm="1">
        <f t="array" aca="1" ref="M153" ca="1">_xll.QIns_ProductParRate(L153,AModel)</f>
        <v>Curve with name CA not found</v>
      </c>
      <c r="N153" s="11" t="e" cm="1">
        <f t="array" aca="1" ref="N153" ca="1">_xll.QModels_GetCompoVol(AModel,B153,H153,E153,D153)</f>
        <v>#VALUE!</v>
      </c>
      <c r="O153" s="185" t="e" cm="1">
        <f t="array" aca="1" ref="O153" ca="1">_xll.QIns_CreateEuropeanOption("euOpt_"&amp;ROW(),D153,B153,H153,E153,F153,G153,H153,J153,K153,I153)</f>
        <v>#VALUE!</v>
      </c>
      <c r="P153" s="21" t="e" cm="1">
        <f t="array" aca="1" ref="P153" ca="1">_xll.QIns_ProductPV(O153,AModel,H153)</f>
        <v>#VALUE!</v>
      </c>
      <c r="Q153" s="185" t="e" cm="1">
        <f t="array" aca="1" ref="Q153" ca="1">IF(VLOOKUP(B153,AssetStatic,4,FALSE),_xll.QRisk_PortfolioFxDeltaSpecific("euOpt_DeltaA"&amp;ROW(),O153,AModel,B153,"ZAR",FALSE),_xll.QRisk_PortfolioDelta("euOpt_DeltaA"&amp;ROW(),O153,AModel,FALSE))</f>
        <v>#VALUE!</v>
      </c>
      <c r="R153" s="21" t="e" cm="1">
        <f t="array" aca="1" ref="R153" ca="1">_xll.QCube_SumAllRows(Q153)</f>
        <v>#VALUE!</v>
      </c>
      <c r="S153" s="11" t="e">
        <f t="shared" ref="S153:S155" ca="1" si="95">R153/G153</f>
        <v>#VALUE!</v>
      </c>
      <c r="T153" s="185" t="e" cm="1">
        <f t="array" aca="1" ref="T153" ca="1">_xll.QRisk_PortfolioVega("euopt_commVegaA"&amp;ROW(),O153,AModel,H153)</f>
        <v>#VALUE!</v>
      </c>
      <c r="U153" s="21" t="e" cm="1">
        <f t="array" aca="1" ref="U153" ca="1">_xll.QCube_SumAllRows(T153)</f>
        <v>#VALUE!</v>
      </c>
      <c r="V153" s="100" t="e">
        <f t="shared" ref="V153:V155" ca="1" si="96">U153/D153</f>
        <v>#VALUE!</v>
      </c>
      <c r="X153" s="21" t="e">
        <f ca="1">P153+3*U153</f>
        <v>#VALUE!</v>
      </c>
      <c r="Y153" s="1"/>
    </row>
    <row r="154" spans="1:25" s="185" customFormat="1" x14ac:dyDescent="0.25">
      <c r="A154" s="6"/>
      <c r="B154" s="6" t="s">
        <v>108</v>
      </c>
      <c r="C154" s="102" t="str">
        <f t="shared" ref="C154:C155" si="97">C150</f>
        <v>3y</v>
      </c>
      <c r="D154" s="102" cm="1">
        <f t="array" aca="1" ref="D154" ca="1">IF(_xll.QUtils_IsTenor(C154),_xll.QDates_AddPeriod(valDate,C154,"F","NYC"),C154)</f>
        <v>45334</v>
      </c>
      <c r="E154" s="103" t="e">
        <f ca="1">E141*1.3</f>
        <v>#N/A</v>
      </c>
      <c r="F154" s="6" t="s">
        <v>287</v>
      </c>
      <c r="G154" s="103">
        <f>G153</f>
        <v>1</v>
      </c>
      <c r="H154" s="6" t="s">
        <v>1</v>
      </c>
      <c r="I154" s="104" t="str">
        <f>VLOOKUP(H154,'FX-IR'!$B$20:$C$27,2,FALSE)</f>
        <v>ZAR.DISC.[USD.LIBOR.3M]</v>
      </c>
      <c r="J154" s="104" t="s">
        <v>171</v>
      </c>
      <c r="K154" s="104" t="s">
        <v>171</v>
      </c>
      <c r="L154" s="185" t="str" cm="1">
        <f t="array" aca="1" ref="L154" ca="1">_xll.QIns_CreateForward("EuOpt_Fwd_"&amp;ROW(),D154,B154,H154,0,G154,H154,J154,K154,I154)</f>
        <v>EuOpt_Fwd_154¬0</v>
      </c>
      <c r="M154" s="14" t="str" cm="1">
        <f t="array" aca="1" ref="M154" ca="1">_xll.QIns_ProductParRate(L154,AModel)</f>
        <v>Curve with name CA not found</v>
      </c>
      <c r="N154" s="11" t="e" cm="1">
        <f t="array" aca="1" ref="N154" ca="1">_xll.QModels_GetCompoVol(AModel,B154,H154,E154,D154)</f>
        <v>#VALUE!</v>
      </c>
      <c r="O154" s="185" t="e" cm="1">
        <f t="array" aca="1" ref="O154" ca="1">_xll.QIns_CreateEuropeanOption("euOpt_"&amp;ROW(),D154,B154,H154,E154,F154,G154,H154,J154,K154,I154)</f>
        <v>#VALUE!</v>
      </c>
      <c r="P154" s="21" t="e" cm="1">
        <f t="array" aca="1" ref="P154" ca="1">_xll.QIns_ProductPV(O154,AModel,H154)</f>
        <v>#VALUE!</v>
      </c>
      <c r="Q154" s="185" t="e" cm="1">
        <f t="array" aca="1" ref="Q154" ca="1">IF(VLOOKUP(B154,AssetStatic,4,FALSE),_xll.QRisk_PortfolioFxDeltaSpecific("euOpt_DeltaA"&amp;ROW(),O154,AModel,B154,"ZAR",FALSE),_xll.QRisk_PortfolioDelta("euOpt_DeltaA"&amp;ROW(),O154,AModel,FALSE))</f>
        <v>#VALUE!</v>
      </c>
      <c r="R154" s="21" t="e" cm="1">
        <f t="array" aca="1" ref="R154" ca="1">_xll.QCube_SumAllRows(Q154)</f>
        <v>#VALUE!</v>
      </c>
      <c r="S154" s="11" t="e">
        <f t="shared" ca="1" si="95"/>
        <v>#VALUE!</v>
      </c>
      <c r="T154" s="185" t="e" cm="1">
        <f t="array" aca="1" ref="T154" ca="1">_xll.QRisk_PortfolioVega("euopt_commVegaA"&amp;ROW(),O154,AModel,H154)</f>
        <v>#VALUE!</v>
      </c>
      <c r="U154" s="21" t="e" cm="1">
        <f t="array" aca="1" ref="U154" ca="1">_xll.QCube_SumAllRows(T154)</f>
        <v>#VALUE!</v>
      </c>
      <c r="V154" s="100" t="e">
        <f t="shared" ca="1" si="96"/>
        <v>#VALUE!</v>
      </c>
      <c r="X154" s="21" t="e">
        <f t="shared" ref="X154:X155" ca="1" si="98">P154+3*U154</f>
        <v>#VALUE!</v>
      </c>
      <c r="Y154" s="1"/>
    </row>
    <row r="155" spans="1:25" s="185" customFormat="1" x14ac:dyDescent="0.25">
      <c r="A155" s="6"/>
      <c r="B155" s="6" t="s">
        <v>108</v>
      </c>
      <c r="C155" s="102" t="str">
        <f t="shared" si="97"/>
        <v>5y</v>
      </c>
      <c r="D155" s="102" cm="1">
        <f t="array" aca="1" ref="D155" ca="1">IF(_xll.QUtils_IsTenor(C155),_xll.QDates_AddPeriod(valDate,C155,"F","NYC"),C155)</f>
        <v>46064</v>
      </c>
      <c r="E155" s="103" t="e">
        <f ca="1">E142*1.5</f>
        <v>#N/A</v>
      </c>
      <c r="F155" s="6" t="s">
        <v>287</v>
      </c>
      <c r="G155" s="103">
        <f>G154</f>
        <v>1</v>
      </c>
      <c r="H155" s="6" t="s">
        <v>1</v>
      </c>
      <c r="I155" s="104" t="str">
        <f>VLOOKUP(H155,'FX-IR'!$B$20:$C$27,2,FALSE)</f>
        <v>ZAR.DISC.[USD.LIBOR.3M]</v>
      </c>
      <c r="J155" s="104" t="s">
        <v>171</v>
      </c>
      <c r="K155" s="104" t="s">
        <v>171</v>
      </c>
      <c r="L155" s="185" t="str" cm="1">
        <f t="array" aca="1" ref="L155" ca="1">_xll.QIns_CreateForward("EuOpt_Fwd_"&amp;ROW(),D155,B155,H155,0,G155,H155,J155,K155,I155)</f>
        <v>EuOpt_Fwd_155¬0</v>
      </c>
      <c r="M155" s="14" t="str" cm="1">
        <f t="array" aca="1" ref="M155" ca="1">_xll.QIns_ProductParRate(L155,AModel)</f>
        <v>Curve with name CA not found</v>
      </c>
      <c r="N155" s="11" t="e" cm="1">
        <f t="array" aca="1" ref="N155" ca="1">_xll.QModels_GetCompoVol(AModel,B155,H155,E155,D155)</f>
        <v>#VALUE!</v>
      </c>
      <c r="O155" s="185" t="e" cm="1">
        <f t="array" aca="1" ref="O155" ca="1">_xll.QIns_CreateEuropeanOption("euOpt_"&amp;ROW(),D155,B155,H155,E155,F155,G155,H155,J155,K155,I155)</f>
        <v>#VALUE!</v>
      </c>
      <c r="P155" s="21" t="e" cm="1">
        <f t="array" aca="1" ref="P155" ca="1">_xll.QIns_ProductPV(O155,AModel,H155)</f>
        <v>#VALUE!</v>
      </c>
      <c r="Q155" s="185" t="e" cm="1">
        <f t="array" aca="1" ref="Q155" ca="1">IF(VLOOKUP(B155,AssetStatic,4,FALSE),_xll.QRisk_PortfolioFxDeltaSpecific("euOpt_DeltaA"&amp;ROW(),O155,AModel,B155,"ZAR",FALSE),_xll.QRisk_PortfolioDelta("euOpt_DeltaA"&amp;ROW(),O155,AModel,FALSE))</f>
        <v>#VALUE!</v>
      </c>
      <c r="R155" s="21" t="e" cm="1">
        <f t="array" aca="1" ref="R155" ca="1">_xll.QCube_SumAllRows(Q155)</f>
        <v>#VALUE!</v>
      </c>
      <c r="S155" s="11" t="e">
        <f t="shared" ca="1" si="95"/>
        <v>#VALUE!</v>
      </c>
      <c r="T155" s="185" t="e" cm="1">
        <f t="array" aca="1" ref="T155" ca="1">_xll.QRisk_PortfolioVega("euopt_commVegaA"&amp;ROW(),O155,AModel,H155)</f>
        <v>#VALUE!</v>
      </c>
      <c r="U155" s="21" t="e" cm="1">
        <f t="array" aca="1" ref="U155" ca="1">_xll.QCube_SumAllRows(T155)</f>
        <v>#VALUE!</v>
      </c>
      <c r="V155" s="100" t="e">
        <f t="shared" ca="1" si="96"/>
        <v>#VALUE!</v>
      </c>
      <c r="X155" s="21" t="e">
        <f t="shared" ca="1" si="98"/>
        <v>#VALUE!</v>
      </c>
      <c r="Y155" s="1"/>
    </row>
    <row r="156" spans="1:25" s="185" customFormat="1" x14ac:dyDescent="0.25">
      <c r="A156" s="6"/>
      <c r="B156" s="6"/>
      <c r="C156" s="102"/>
      <c r="D156" s="102"/>
      <c r="E156" s="103"/>
      <c r="F156" s="6"/>
      <c r="G156" s="103"/>
      <c r="H156" s="6"/>
      <c r="I156" s="104"/>
      <c r="J156" s="104"/>
      <c r="K156" s="104"/>
      <c r="P156" s="21"/>
    </row>
    <row r="157" spans="1:25" s="185" customFormat="1" x14ac:dyDescent="0.25">
      <c r="A157" s="6"/>
      <c r="B157" s="6"/>
      <c r="C157" s="102"/>
      <c r="D157" s="102"/>
      <c r="E157" s="103"/>
      <c r="F157" s="6"/>
      <c r="G157" s="103"/>
      <c r="H157" s="6"/>
      <c r="I157" s="104"/>
      <c r="J157" s="104"/>
      <c r="K157" s="104"/>
      <c r="M157" s="185" t="s">
        <v>21</v>
      </c>
      <c r="N157" s="185" t="s">
        <v>373</v>
      </c>
      <c r="P157" s="21"/>
    </row>
    <row r="158" spans="1:25" s="185" customFormat="1" x14ac:dyDescent="0.25">
      <c r="A158" s="6"/>
      <c r="B158" s="6"/>
      <c r="C158" s="102"/>
      <c r="D158" s="102"/>
      <c r="E158" s="103"/>
      <c r="F158" s="6"/>
      <c r="G158" s="103"/>
      <c r="H158" s="6"/>
      <c r="I158" s="104"/>
      <c r="J158" s="104"/>
      <c r="K158" s="104"/>
      <c r="L158" s="1" t="str">
        <f>C153</f>
        <v>1y</v>
      </c>
      <c r="M158" s="11" t="e">
        <f ca="1">(P136-P149+2*U136)/E136</f>
        <v>#VALUE!</v>
      </c>
      <c r="N158" s="11" t="e">
        <f ca="1">(P140-P153+3*U153)/E140</f>
        <v>#VALUE!</v>
      </c>
      <c r="P158" s="21"/>
    </row>
    <row r="159" spans="1:25" s="185" customFormat="1" x14ac:dyDescent="0.25">
      <c r="A159" s="6"/>
      <c r="B159" s="6"/>
      <c r="C159" s="102"/>
      <c r="D159" s="102"/>
      <c r="E159" s="103"/>
      <c r="F159" s="6"/>
      <c r="G159" s="103"/>
      <c r="H159" s="6"/>
      <c r="I159" s="104"/>
      <c r="J159" s="104"/>
      <c r="K159" s="104"/>
      <c r="L159" s="1" t="str">
        <f t="shared" ref="L159:L160" si="99">C154</f>
        <v>3y</v>
      </c>
      <c r="M159" s="11" t="e">
        <f t="shared" ref="M159:M160" ca="1" si="100">(P137-P150+2*U137)/E137</f>
        <v>#VALUE!</v>
      </c>
      <c r="N159" s="11" t="e">
        <f t="shared" ref="N159:N160" ca="1" si="101">(P141-P154+3*U154)/E141</f>
        <v>#VALUE!</v>
      </c>
      <c r="P159" s="21"/>
    </row>
    <row r="160" spans="1:25" s="185" customFormat="1" x14ac:dyDescent="0.25">
      <c r="A160" s="6"/>
      <c r="B160" s="6"/>
      <c r="C160" s="102"/>
      <c r="D160" s="102"/>
      <c r="E160" s="103"/>
      <c r="F160" s="6"/>
      <c r="G160" s="103"/>
      <c r="H160" s="6"/>
      <c r="I160" s="104"/>
      <c r="J160" s="104"/>
      <c r="K160" s="104"/>
      <c r="L160" s="1" t="str">
        <f t="shared" si="99"/>
        <v>5y</v>
      </c>
      <c r="M160" s="11" t="e">
        <f t="shared" ca="1" si="100"/>
        <v>#VALUE!</v>
      </c>
      <c r="N160" s="11" t="e">
        <f t="shared" ca="1" si="101"/>
        <v>#VALUE!</v>
      </c>
      <c r="P160" s="21"/>
    </row>
    <row r="161" spans="1:11" x14ac:dyDescent="0.25">
      <c r="A161" s="6"/>
      <c r="B161" s="6"/>
      <c r="C161" s="102"/>
      <c r="D161" s="102"/>
      <c r="E161" s="103"/>
      <c r="F161" s="6"/>
      <c r="G161" s="103"/>
      <c r="H161" s="6"/>
      <c r="I161" s="104"/>
      <c r="J161" s="104"/>
      <c r="K161" s="104"/>
    </row>
    <row r="162" spans="1:11" x14ac:dyDescent="0.25">
      <c r="A162" s="6"/>
      <c r="B162" s="6"/>
      <c r="C162" s="102"/>
      <c r="D162" s="102"/>
      <c r="E162" s="103"/>
      <c r="F162" s="6"/>
      <c r="G162" s="103"/>
      <c r="H162" s="6"/>
      <c r="I162" s="104"/>
      <c r="J162" s="104"/>
      <c r="K162" s="104"/>
    </row>
    <row r="163" spans="1:11" x14ac:dyDescent="0.25">
      <c r="A163" s="6"/>
      <c r="B163" s="6"/>
      <c r="C163" s="102"/>
      <c r="D163" s="102"/>
      <c r="E163" s="103"/>
      <c r="F163" s="6"/>
      <c r="G163" s="103"/>
      <c r="H163" s="6"/>
      <c r="I163" s="104"/>
      <c r="J163" s="104"/>
      <c r="K163" s="104"/>
    </row>
    <row r="164" spans="1:11" x14ac:dyDescent="0.25">
      <c r="A164" s="6"/>
      <c r="B164" s="6"/>
      <c r="C164" s="102"/>
      <c r="D164" s="102"/>
      <c r="E164" s="103"/>
      <c r="F164" s="6"/>
      <c r="G164" s="103"/>
      <c r="H164" s="6"/>
      <c r="I164" s="104"/>
      <c r="J164" s="104"/>
      <c r="K164" s="104"/>
    </row>
    <row r="165" spans="1:11" x14ac:dyDescent="0.25">
      <c r="A165" s="6"/>
      <c r="B165" s="6"/>
      <c r="C165" s="102"/>
      <c r="D165" s="102"/>
      <c r="E165" s="103"/>
      <c r="F165" s="6"/>
      <c r="G165" s="103"/>
      <c r="H165" s="6"/>
      <c r="I165" s="104"/>
      <c r="J165" s="104"/>
      <c r="K165" s="104"/>
    </row>
    <row r="166" spans="1:11" x14ac:dyDescent="0.25">
      <c r="A166" s="6"/>
      <c r="B166" s="6"/>
      <c r="C166" s="102"/>
      <c r="D166" s="102"/>
      <c r="E166" s="103"/>
      <c r="F166" s="6"/>
      <c r="G166" s="103"/>
      <c r="H166" s="6"/>
      <c r="I166" s="104"/>
      <c r="J166" s="104"/>
      <c r="K166" s="104"/>
    </row>
    <row r="167" spans="1:11" x14ac:dyDescent="0.25">
      <c r="A167" s="6"/>
      <c r="B167" s="6"/>
      <c r="C167" s="102"/>
      <c r="D167" s="102"/>
      <c r="E167" s="103"/>
      <c r="F167" s="6"/>
      <c r="G167" s="103"/>
      <c r="H167" s="6"/>
      <c r="I167" s="104"/>
      <c r="J167" s="104"/>
      <c r="K167" s="104"/>
    </row>
    <row r="168" spans="1:11" x14ac:dyDescent="0.25">
      <c r="A168" s="6"/>
      <c r="B168" s="6"/>
      <c r="C168" s="102"/>
      <c r="D168" s="102"/>
      <c r="E168" s="103"/>
      <c r="F168" s="6"/>
      <c r="G168" s="103"/>
      <c r="H168" s="6"/>
      <c r="I168" s="104"/>
      <c r="J168" s="104"/>
      <c r="K168" s="104"/>
    </row>
    <row r="169" spans="1:11" x14ac:dyDescent="0.25">
      <c r="A169" s="6"/>
      <c r="B169" s="6"/>
      <c r="C169" s="102"/>
      <c r="D169" s="102"/>
      <c r="E169" s="103"/>
      <c r="F169" s="6"/>
      <c r="G169" s="103"/>
      <c r="H169" s="6"/>
      <c r="I169" s="104"/>
      <c r="J169" s="104"/>
      <c r="K169" s="104"/>
    </row>
    <row r="170" spans="1:11" x14ac:dyDescent="0.25">
      <c r="A170" s="6"/>
      <c r="B170" s="6"/>
      <c r="C170" s="102"/>
      <c r="D170" s="102"/>
      <c r="E170" s="103"/>
      <c r="F170" s="6"/>
      <c r="G170" s="103"/>
      <c r="H170" s="6"/>
      <c r="I170" s="104"/>
      <c r="J170" s="104"/>
      <c r="K170" s="104"/>
    </row>
    <row r="171" spans="1:11" x14ac:dyDescent="0.25">
      <c r="A171" s="6"/>
      <c r="B171" s="6"/>
      <c r="C171" s="102"/>
      <c r="D171" s="102"/>
      <c r="E171" s="103"/>
      <c r="F171" s="6"/>
      <c r="G171" s="103"/>
      <c r="H171" s="6"/>
      <c r="I171" s="104"/>
      <c r="J171" s="104"/>
      <c r="K171" s="104"/>
    </row>
    <row r="172" spans="1:11" x14ac:dyDescent="0.25">
      <c r="A172" s="6"/>
      <c r="B172" s="6"/>
      <c r="C172" s="102"/>
      <c r="D172" s="102"/>
      <c r="E172" s="103"/>
      <c r="F172" s="6"/>
      <c r="G172" s="103"/>
      <c r="H172" s="6"/>
      <c r="I172" s="104"/>
      <c r="J172" s="104"/>
      <c r="K172" s="104"/>
    </row>
    <row r="173" spans="1:11" x14ac:dyDescent="0.25">
      <c r="A173" s="6"/>
      <c r="B173" s="6"/>
      <c r="C173" s="102"/>
      <c r="D173" s="102"/>
      <c r="E173" s="103"/>
      <c r="F173" s="6"/>
      <c r="G173" s="103"/>
      <c r="H173" s="6"/>
      <c r="I173" s="104"/>
      <c r="J173" s="104"/>
      <c r="K173" s="104"/>
    </row>
    <row r="174" spans="1:11" x14ac:dyDescent="0.25">
      <c r="A174" s="6"/>
      <c r="B174" s="6"/>
      <c r="C174" s="102"/>
      <c r="D174" s="102"/>
      <c r="E174" s="103"/>
      <c r="F174" s="6"/>
      <c r="G174" s="103"/>
      <c r="H174" s="6"/>
      <c r="I174" s="104"/>
      <c r="J174" s="104"/>
      <c r="K174" s="104"/>
    </row>
    <row r="175" spans="1:11" x14ac:dyDescent="0.25">
      <c r="A175" s="6"/>
      <c r="B175" s="6"/>
      <c r="C175" s="102"/>
      <c r="D175" s="102"/>
      <c r="E175" s="103"/>
      <c r="F175" s="6"/>
      <c r="G175" s="103"/>
      <c r="H175" s="6"/>
      <c r="I175" s="104"/>
      <c r="J175" s="104"/>
      <c r="K175" s="104"/>
    </row>
    <row r="176" spans="1:11" x14ac:dyDescent="0.25">
      <c r="A176" s="6"/>
      <c r="B176" s="6"/>
      <c r="C176" s="102"/>
      <c r="D176" s="102"/>
      <c r="E176" s="103"/>
      <c r="F176" s="6"/>
      <c r="G176" s="103"/>
      <c r="H176" s="6"/>
      <c r="I176" s="104"/>
      <c r="J176" s="104"/>
      <c r="K176" s="104"/>
    </row>
    <row r="177" spans="1:11" x14ac:dyDescent="0.25">
      <c r="A177" s="6"/>
      <c r="B177" s="6"/>
      <c r="C177" s="102"/>
      <c r="D177" s="102"/>
      <c r="E177" s="103"/>
      <c r="F177" s="6"/>
      <c r="G177" s="103"/>
      <c r="H177" s="6"/>
      <c r="I177" s="104"/>
      <c r="J177" s="104"/>
      <c r="K177" s="104"/>
    </row>
    <row r="178" spans="1:11" x14ac:dyDescent="0.25">
      <c r="A178" s="6"/>
      <c r="B178" s="6"/>
      <c r="C178" s="102"/>
      <c r="D178" s="102"/>
      <c r="E178" s="103"/>
      <c r="F178" s="6"/>
      <c r="G178" s="103"/>
      <c r="H178" s="6"/>
      <c r="I178" s="104"/>
      <c r="J178" s="104"/>
      <c r="K178" s="104"/>
    </row>
    <row r="179" spans="1:11" x14ac:dyDescent="0.25">
      <c r="A179" s="6"/>
      <c r="B179" s="6"/>
      <c r="C179" s="102"/>
      <c r="D179" s="102"/>
      <c r="E179" s="103"/>
      <c r="F179" s="6"/>
      <c r="G179" s="103"/>
      <c r="H179" s="6"/>
      <c r="I179" s="104"/>
      <c r="J179" s="104"/>
      <c r="K179" s="104"/>
    </row>
    <row r="180" spans="1:11" x14ac:dyDescent="0.25">
      <c r="A180" s="6"/>
      <c r="B180" s="6"/>
      <c r="C180" s="102"/>
      <c r="D180" s="102"/>
      <c r="E180" s="103"/>
      <c r="F180" s="6"/>
      <c r="G180" s="103"/>
      <c r="H180" s="6"/>
      <c r="I180" s="104"/>
      <c r="J180" s="104"/>
      <c r="K180" s="104"/>
    </row>
    <row r="181" spans="1:11" x14ac:dyDescent="0.25">
      <c r="A181" s="6"/>
      <c r="B181" s="6"/>
      <c r="C181" s="102"/>
      <c r="D181" s="102"/>
      <c r="E181" s="103"/>
      <c r="F181" s="6"/>
      <c r="G181" s="103"/>
      <c r="H181" s="6"/>
      <c r="I181" s="104"/>
      <c r="J181" s="104"/>
      <c r="K181" s="104"/>
    </row>
    <row r="182" spans="1:11" x14ac:dyDescent="0.25">
      <c r="A182" s="6"/>
      <c r="B182" s="6"/>
      <c r="C182" s="102"/>
      <c r="D182" s="102"/>
      <c r="E182" s="103"/>
      <c r="F182" s="6"/>
      <c r="G182" s="103"/>
      <c r="H182" s="6"/>
      <c r="I182" s="104"/>
      <c r="J182" s="104"/>
      <c r="K182" s="104"/>
    </row>
    <row r="183" spans="1:11" x14ac:dyDescent="0.25">
      <c r="A183" s="6"/>
      <c r="B183" s="6"/>
      <c r="C183" s="102"/>
      <c r="D183" s="102"/>
      <c r="E183" s="103"/>
      <c r="F183" s="6"/>
      <c r="G183" s="103"/>
      <c r="H183" s="6"/>
      <c r="I183" s="104"/>
      <c r="J183" s="104"/>
      <c r="K183" s="104"/>
    </row>
    <row r="184" spans="1:11" x14ac:dyDescent="0.25">
      <c r="A184" s="6"/>
      <c r="B184" s="6"/>
      <c r="C184" s="102"/>
      <c r="D184" s="102"/>
      <c r="E184" s="103"/>
      <c r="F184" s="6"/>
      <c r="G184" s="103"/>
      <c r="H184" s="6"/>
      <c r="I184" s="104"/>
      <c r="J184" s="104"/>
      <c r="K184" s="104"/>
    </row>
    <row r="185" spans="1:11" x14ac:dyDescent="0.25">
      <c r="A185" s="6"/>
      <c r="B185" s="6"/>
      <c r="C185" s="102"/>
      <c r="D185" s="102"/>
      <c r="E185" s="103"/>
      <c r="F185" s="6"/>
      <c r="G185" s="103"/>
      <c r="H185" s="6"/>
      <c r="I185" s="104"/>
      <c r="J185" s="104"/>
      <c r="K185" s="104"/>
    </row>
    <row r="186" spans="1:11" x14ac:dyDescent="0.25">
      <c r="A186" s="6"/>
      <c r="B186" s="6"/>
      <c r="C186" s="102"/>
      <c r="D186" s="102"/>
      <c r="E186" s="103"/>
      <c r="F186" s="6"/>
      <c r="G186" s="103"/>
      <c r="H186" s="6"/>
      <c r="I186" s="104"/>
      <c r="J186" s="104"/>
      <c r="K186" s="104"/>
    </row>
    <row r="187" spans="1:11" x14ac:dyDescent="0.25">
      <c r="A187" s="6"/>
      <c r="B187" s="6"/>
      <c r="C187" s="102"/>
      <c r="D187" s="102"/>
      <c r="E187" s="103"/>
      <c r="F187" s="6"/>
      <c r="G187" s="103"/>
      <c r="H187" s="6"/>
      <c r="I187" s="104"/>
      <c r="J187" s="104"/>
      <c r="K187" s="104"/>
    </row>
    <row r="188" spans="1:11" x14ac:dyDescent="0.25">
      <c r="A188" s="6"/>
      <c r="B188" s="6"/>
      <c r="C188" s="102"/>
      <c r="D188" s="102"/>
      <c r="E188" s="103"/>
      <c r="F188" s="6"/>
      <c r="G188" s="103"/>
      <c r="H188" s="6"/>
      <c r="I188" s="104"/>
      <c r="J188" s="104"/>
      <c r="K188" s="104"/>
    </row>
    <row r="189" spans="1:11" x14ac:dyDescent="0.25">
      <c r="A189" s="6"/>
      <c r="B189" s="6"/>
      <c r="C189" s="102"/>
      <c r="D189" s="102"/>
      <c r="E189" s="103"/>
      <c r="F189" s="6"/>
      <c r="G189" s="103"/>
      <c r="H189" s="6"/>
      <c r="I189" s="104"/>
      <c r="J189" s="104"/>
      <c r="K189" s="104"/>
    </row>
    <row r="190" spans="1:11" x14ac:dyDescent="0.25">
      <c r="A190" s="6"/>
      <c r="B190" s="6"/>
      <c r="C190" s="102"/>
      <c r="D190" s="102"/>
      <c r="E190" s="103"/>
      <c r="F190" s="6"/>
      <c r="G190" s="103"/>
      <c r="H190" s="6"/>
      <c r="I190" s="104"/>
      <c r="J190" s="104"/>
      <c r="K190" s="104"/>
    </row>
    <row r="191" spans="1:11" x14ac:dyDescent="0.25">
      <c r="A191" s="6"/>
      <c r="B191" s="6"/>
      <c r="C191" s="102"/>
      <c r="D191" s="102"/>
      <c r="E191" s="103"/>
      <c r="F191" s="6"/>
      <c r="G191" s="103"/>
      <c r="H191" s="6"/>
      <c r="I191" s="104"/>
      <c r="J191" s="104"/>
      <c r="K191" s="104"/>
    </row>
    <row r="192" spans="1:11" x14ac:dyDescent="0.25">
      <c r="A192" s="6"/>
      <c r="B192" s="6"/>
      <c r="C192" s="102"/>
      <c r="D192" s="102"/>
      <c r="E192" s="103"/>
      <c r="F192" s="6"/>
      <c r="G192" s="103"/>
      <c r="H192" s="6"/>
      <c r="I192" s="104"/>
      <c r="J192" s="104"/>
      <c r="K192" s="104"/>
    </row>
    <row r="193" spans="1:11" x14ac:dyDescent="0.25">
      <c r="A193" s="6"/>
      <c r="B193" s="6"/>
      <c r="C193" s="102"/>
      <c r="D193" s="102"/>
      <c r="E193" s="103"/>
      <c r="F193" s="6"/>
      <c r="G193" s="103"/>
      <c r="H193" s="6"/>
      <c r="I193" s="104"/>
      <c r="J193" s="104"/>
      <c r="K193" s="104"/>
    </row>
    <row r="194" spans="1:11" x14ac:dyDescent="0.25">
      <c r="A194" s="6"/>
      <c r="B194" s="6"/>
      <c r="C194" s="102"/>
      <c r="D194" s="102"/>
      <c r="E194" s="103"/>
      <c r="F194" s="6"/>
      <c r="G194" s="103"/>
      <c r="H194" s="6"/>
      <c r="I194" s="104"/>
      <c r="J194" s="104"/>
      <c r="K194" s="104"/>
    </row>
    <row r="195" spans="1:11" x14ac:dyDescent="0.25">
      <c r="A195" s="6"/>
      <c r="B195" s="6"/>
      <c r="C195" s="102"/>
      <c r="D195" s="102"/>
      <c r="E195" s="103"/>
      <c r="F195" s="6"/>
      <c r="G195" s="103"/>
      <c r="H195" s="6"/>
      <c r="I195" s="104"/>
      <c r="J195" s="104"/>
      <c r="K195" s="104"/>
    </row>
    <row r="196" spans="1:11" x14ac:dyDescent="0.25">
      <c r="A196" s="6"/>
      <c r="B196" s="6"/>
      <c r="C196" s="102"/>
      <c r="D196" s="102"/>
      <c r="E196" s="103"/>
      <c r="F196" s="6"/>
      <c r="G196" s="103"/>
      <c r="H196" s="6"/>
      <c r="I196" s="104"/>
      <c r="J196" s="104"/>
      <c r="K196" s="104"/>
    </row>
    <row r="197" spans="1:11" x14ac:dyDescent="0.25">
      <c r="A197" s="6"/>
      <c r="B197" s="6"/>
      <c r="C197" s="102"/>
      <c r="D197" s="102"/>
      <c r="E197" s="103"/>
      <c r="F197" s="6"/>
      <c r="G197" s="103"/>
      <c r="H197" s="6"/>
      <c r="I197" s="104"/>
      <c r="J197" s="104"/>
      <c r="K197" s="104"/>
    </row>
    <row r="198" spans="1:11" x14ac:dyDescent="0.25">
      <c r="A198" s="6"/>
      <c r="B198" s="6"/>
      <c r="C198" s="102"/>
      <c r="D198" s="102"/>
      <c r="E198" s="103"/>
      <c r="F198" s="6"/>
      <c r="G198" s="103"/>
      <c r="H198" s="6"/>
      <c r="I198" s="104"/>
      <c r="J198" s="104"/>
      <c r="K198" s="104"/>
    </row>
    <row r="199" spans="1:11" x14ac:dyDescent="0.25">
      <c r="A199" s="6"/>
      <c r="B199" s="6"/>
      <c r="C199" s="102"/>
      <c r="D199" s="102"/>
      <c r="E199" s="103"/>
      <c r="F199" s="6"/>
      <c r="G199" s="103"/>
      <c r="H199" s="6"/>
      <c r="I199" s="104"/>
      <c r="J199" s="104"/>
      <c r="K199" s="104"/>
    </row>
    <row r="200" spans="1:11" x14ac:dyDescent="0.25">
      <c r="A200" s="6"/>
      <c r="B200" s="6"/>
      <c r="C200" s="102"/>
      <c r="D200" s="102"/>
      <c r="E200" s="103"/>
      <c r="F200" s="6"/>
      <c r="G200" s="103"/>
      <c r="H200" s="6"/>
      <c r="I200" s="104"/>
      <c r="J200" s="104"/>
      <c r="K200" s="104"/>
    </row>
    <row r="201" spans="1:11" x14ac:dyDescent="0.25">
      <c r="A201" s="6"/>
      <c r="B201" s="6"/>
      <c r="C201" s="102"/>
      <c r="D201" s="102"/>
      <c r="E201" s="103"/>
      <c r="F201" s="6"/>
      <c r="G201" s="103"/>
      <c r="H201" s="6"/>
      <c r="I201" s="104"/>
      <c r="J201" s="104"/>
      <c r="K201" s="104"/>
    </row>
    <row r="202" spans="1:11" x14ac:dyDescent="0.25">
      <c r="A202" s="6"/>
      <c r="B202" s="6"/>
      <c r="C202" s="102"/>
      <c r="D202" s="102"/>
      <c r="E202" s="103"/>
      <c r="F202" s="6"/>
      <c r="G202" s="103"/>
      <c r="H202" s="6"/>
      <c r="I202" s="104"/>
      <c r="J202" s="104"/>
      <c r="K202" s="104"/>
    </row>
    <row r="203" spans="1:11" x14ac:dyDescent="0.25">
      <c r="A203" s="6"/>
      <c r="B203" s="6"/>
      <c r="C203" s="102"/>
      <c r="D203" s="102"/>
      <c r="E203" s="103"/>
      <c r="F203" s="6"/>
      <c r="G203" s="103"/>
      <c r="H203" s="6"/>
      <c r="I203" s="104"/>
      <c r="J203" s="104"/>
      <c r="K203" s="104"/>
    </row>
    <row r="204" spans="1:11" x14ac:dyDescent="0.25">
      <c r="A204" s="6"/>
      <c r="B204" s="6"/>
      <c r="C204" s="102"/>
      <c r="D204" s="102"/>
      <c r="E204" s="103"/>
      <c r="F204" s="6"/>
      <c r="G204" s="103"/>
      <c r="H204" s="6"/>
      <c r="I204" s="104"/>
      <c r="J204" s="104"/>
      <c r="K204" s="104"/>
    </row>
    <row r="205" spans="1:11" x14ac:dyDescent="0.25">
      <c r="A205" s="6"/>
      <c r="B205" s="6"/>
      <c r="C205" s="102"/>
      <c r="D205" s="102"/>
      <c r="E205" s="103"/>
      <c r="F205" s="6"/>
      <c r="G205" s="103"/>
      <c r="H205" s="6"/>
      <c r="I205" s="104"/>
      <c r="J205" s="104"/>
      <c r="K205" s="104"/>
    </row>
    <row r="206" spans="1:11" x14ac:dyDescent="0.25">
      <c r="A206" s="6"/>
      <c r="B206" s="6"/>
      <c r="C206" s="102"/>
      <c r="D206" s="102"/>
      <c r="E206" s="103"/>
      <c r="F206" s="6"/>
      <c r="G206" s="103"/>
      <c r="H206" s="6"/>
      <c r="I206" s="104"/>
      <c r="J206" s="104"/>
      <c r="K206" s="104"/>
    </row>
    <row r="207" spans="1:11" x14ac:dyDescent="0.25">
      <c r="A207" s="6"/>
      <c r="B207" s="6"/>
      <c r="C207" s="102"/>
      <c r="D207" s="102"/>
      <c r="E207" s="103"/>
      <c r="F207" s="6"/>
      <c r="G207" s="103"/>
      <c r="H207" s="6"/>
      <c r="I207" s="104"/>
      <c r="J207" s="104"/>
      <c r="K207" s="104"/>
    </row>
    <row r="208" spans="1:11" x14ac:dyDescent="0.25">
      <c r="A208" s="6"/>
      <c r="B208" s="6"/>
      <c r="C208" s="102"/>
      <c r="D208" s="102"/>
      <c r="E208" s="103"/>
      <c r="F208" s="6"/>
      <c r="G208" s="103"/>
      <c r="H208" s="6"/>
      <c r="I208" s="104"/>
      <c r="J208" s="104"/>
      <c r="K208" s="104"/>
    </row>
    <row r="209" spans="1:11" x14ac:dyDescent="0.25">
      <c r="A209" s="6"/>
      <c r="B209" s="6"/>
      <c r="C209" s="102"/>
      <c r="D209" s="102"/>
      <c r="E209" s="103"/>
      <c r="F209" s="6"/>
      <c r="G209" s="103"/>
      <c r="H209" s="6"/>
      <c r="I209" s="104"/>
      <c r="J209" s="104"/>
      <c r="K209" s="104"/>
    </row>
    <row r="210" spans="1:11" x14ac:dyDescent="0.25">
      <c r="A210" s="6"/>
      <c r="B210" s="6"/>
      <c r="C210" s="102"/>
      <c r="D210" s="102"/>
      <c r="E210" s="103"/>
      <c r="F210" s="6"/>
      <c r="G210" s="103"/>
      <c r="H210" s="6"/>
      <c r="I210" s="104"/>
      <c r="J210" s="104"/>
      <c r="K210" s="104"/>
    </row>
    <row r="211" spans="1:11" x14ac:dyDescent="0.25">
      <c r="A211" s="6"/>
      <c r="B211" s="6"/>
      <c r="C211" s="102"/>
      <c r="D211" s="102"/>
      <c r="E211" s="103"/>
      <c r="F211" s="6"/>
      <c r="G211" s="103"/>
      <c r="H211" s="6"/>
      <c r="I211" s="104"/>
      <c r="J211" s="104"/>
      <c r="K211" s="104"/>
    </row>
    <row r="212" spans="1:11" x14ac:dyDescent="0.25">
      <c r="A212" s="6"/>
      <c r="B212" s="6"/>
      <c r="C212" s="102"/>
      <c r="D212" s="102"/>
      <c r="E212" s="103"/>
      <c r="F212" s="6"/>
      <c r="G212" s="103"/>
      <c r="H212" s="6"/>
      <c r="I212" s="104"/>
      <c r="J212" s="104"/>
      <c r="K212" s="104"/>
    </row>
    <row r="213" spans="1:11" x14ac:dyDescent="0.25">
      <c r="A213" s="6"/>
      <c r="B213" s="6"/>
      <c r="C213" s="102"/>
      <c r="D213" s="102"/>
      <c r="E213" s="103"/>
      <c r="F213" s="6"/>
      <c r="G213" s="103"/>
      <c r="H213" s="6"/>
      <c r="I213" s="104"/>
      <c r="J213" s="104"/>
      <c r="K213" s="104"/>
    </row>
    <row r="214" spans="1:11" x14ac:dyDescent="0.25">
      <c r="A214" s="6"/>
      <c r="B214" s="6"/>
      <c r="C214" s="102"/>
      <c r="D214" s="102"/>
      <c r="E214" s="103"/>
      <c r="F214" s="6"/>
      <c r="G214" s="103"/>
      <c r="H214" s="6"/>
      <c r="I214" s="104"/>
      <c r="J214" s="104"/>
      <c r="K214" s="104"/>
    </row>
    <row r="215" spans="1:11" x14ac:dyDescent="0.25">
      <c r="A215" s="6"/>
      <c r="B215" s="6"/>
      <c r="C215" s="102"/>
      <c r="D215" s="102"/>
      <c r="E215" s="103"/>
      <c r="F215" s="6"/>
      <c r="G215" s="103"/>
      <c r="H215" s="6"/>
      <c r="I215" s="104"/>
      <c r="J215" s="104"/>
      <c r="K215" s="104"/>
    </row>
    <row r="216" spans="1:11" x14ac:dyDescent="0.25">
      <c r="A216" s="6"/>
      <c r="B216" s="6"/>
      <c r="C216" s="102"/>
      <c r="D216" s="102"/>
      <c r="E216" s="103"/>
      <c r="F216" s="6"/>
      <c r="G216" s="103"/>
      <c r="H216" s="6"/>
      <c r="I216" s="104"/>
      <c r="J216" s="104"/>
      <c r="K216" s="104"/>
    </row>
    <row r="217" spans="1:11" x14ac:dyDescent="0.25">
      <c r="A217" s="6"/>
      <c r="B217" s="6"/>
      <c r="C217" s="102"/>
      <c r="D217" s="102"/>
      <c r="E217" s="103"/>
      <c r="F217" s="6"/>
      <c r="G217" s="103"/>
      <c r="H217" s="6"/>
      <c r="I217" s="104"/>
      <c r="J217" s="104"/>
      <c r="K217" s="104"/>
    </row>
    <row r="218" spans="1:11" x14ac:dyDescent="0.25">
      <c r="A218" s="6"/>
      <c r="B218" s="6"/>
      <c r="C218" s="102"/>
      <c r="D218" s="102"/>
      <c r="E218" s="103"/>
      <c r="F218" s="6"/>
      <c r="G218" s="103"/>
      <c r="H218" s="6"/>
      <c r="I218" s="104"/>
      <c r="J218" s="104"/>
      <c r="K218" s="104"/>
    </row>
    <row r="219" spans="1:11" x14ac:dyDescent="0.25">
      <c r="A219" s="6"/>
      <c r="B219" s="6"/>
      <c r="C219" s="102"/>
      <c r="D219" s="102"/>
      <c r="E219" s="103"/>
      <c r="F219" s="6"/>
      <c r="G219" s="103"/>
      <c r="H219" s="6"/>
      <c r="I219" s="104"/>
      <c r="J219" s="104"/>
      <c r="K219" s="104"/>
    </row>
    <row r="220" spans="1:11" x14ac:dyDescent="0.25">
      <c r="A220" s="6"/>
      <c r="B220" s="6"/>
      <c r="C220" s="102"/>
      <c r="D220" s="102"/>
      <c r="E220" s="103"/>
      <c r="F220" s="6"/>
      <c r="G220" s="103"/>
      <c r="H220" s="6"/>
      <c r="I220" s="104"/>
      <c r="J220" s="104"/>
      <c r="K220" s="104"/>
    </row>
    <row r="221" spans="1:11" x14ac:dyDescent="0.25">
      <c r="A221" s="6"/>
      <c r="B221" s="6"/>
      <c r="C221" s="102"/>
      <c r="D221" s="102"/>
      <c r="E221" s="103"/>
      <c r="F221" s="6"/>
      <c r="G221" s="103"/>
      <c r="H221" s="6"/>
      <c r="I221" s="104"/>
      <c r="J221" s="104"/>
      <c r="K221" s="104"/>
    </row>
    <row r="222" spans="1:11" x14ac:dyDescent="0.25">
      <c r="A222" s="6"/>
      <c r="B222" s="6"/>
      <c r="C222" s="102"/>
      <c r="D222" s="102"/>
      <c r="E222" s="103"/>
      <c r="F222" s="6"/>
      <c r="G222" s="103"/>
      <c r="H222" s="6"/>
      <c r="I222" s="104"/>
      <c r="J222" s="104"/>
      <c r="K222" s="104"/>
    </row>
    <row r="223" spans="1:11" x14ac:dyDescent="0.25">
      <c r="A223" s="6"/>
      <c r="B223" s="6"/>
      <c r="C223" s="102"/>
      <c r="D223" s="102"/>
      <c r="E223" s="103"/>
      <c r="F223" s="6"/>
      <c r="G223" s="103"/>
      <c r="H223" s="6"/>
      <c r="I223" s="104"/>
      <c r="J223" s="104"/>
      <c r="K223" s="104"/>
    </row>
    <row r="224" spans="1:11" x14ac:dyDescent="0.25">
      <c r="A224" s="6"/>
      <c r="B224" s="6"/>
      <c r="C224" s="102"/>
      <c r="D224" s="102"/>
      <c r="E224" s="103"/>
      <c r="F224" s="6"/>
      <c r="G224" s="103"/>
      <c r="H224" s="6"/>
      <c r="I224" s="104"/>
      <c r="J224" s="104"/>
      <c r="K224" s="104"/>
    </row>
    <row r="225" spans="1:11" x14ac:dyDescent="0.25">
      <c r="A225" s="6"/>
      <c r="B225" s="6"/>
      <c r="C225" s="102"/>
      <c r="D225" s="102"/>
      <c r="E225" s="103"/>
      <c r="F225" s="6"/>
      <c r="G225" s="103"/>
      <c r="H225" s="6"/>
      <c r="I225" s="104"/>
      <c r="J225" s="104"/>
      <c r="K225" s="104"/>
    </row>
    <row r="226" spans="1:11" x14ac:dyDescent="0.25">
      <c r="A226" s="6"/>
      <c r="B226" s="6"/>
      <c r="C226" s="102"/>
      <c r="D226" s="102"/>
      <c r="E226" s="103"/>
      <c r="F226" s="6"/>
      <c r="G226" s="103"/>
      <c r="H226" s="6"/>
      <c r="I226" s="104"/>
      <c r="J226" s="104"/>
      <c r="K226" s="104"/>
    </row>
    <row r="227" spans="1:11" x14ac:dyDescent="0.25">
      <c r="A227" s="6"/>
      <c r="B227" s="6"/>
      <c r="C227" s="102"/>
      <c r="D227" s="102"/>
      <c r="E227" s="103"/>
      <c r="F227" s="6"/>
      <c r="G227" s="103"/>
      <c r="H227" s="6"/>
      <c r="I227" s="104"/>
      <c r="J227" s="104"/>
      <c r="K227" s="104"/>
    </row>
    <row r="228" spans="1:11" x14ac:dyDescent="0.25">
      <c r="A228" s="6"/>
      <c r="B228" s="6"/>
      <c r="C228" s="102"/>
      <c r="D228" s="102"/>
      <c r="E228" s="103"/>
      <c r="F228" s="6"/>
      <c r="G228" s="103"/>
      <c r="H228" s="6"/>
      <c r="I228" s="104"/>
      <c r="J228" s="104"/>
      <c r="K228" s="104"/>
    </row>
    <row r="229" spans="1:11" x14ac:dyDescent="0.25">
      <c r="A229" s="6"/>
      <c r="B229" s="6"/>
      <c r="C229" s="102"/>
      <c r="D229" s="102"/>
      <c r="E229" s="103"/>
      <c r="F229" s="6"/>
      <c r="G229" s="103"/>
      <c r="H229" s="6"/>
      <c r="I229" s="104"/>
      <c r="J229" s="104"/>
      <c r="K229" s="104"/>
    </row>
    <row r="230" spans="1:11" x14ac:dyDescent="0.25">
      <c r="A230" s="6"/>
      <c r="B230" s="6"/>
      <c r="C230" s="102"/>
      <c r="D230" s="102"/>
      <c r="E230" s="103"/>
      <c r="F230" s="6"/>
      <c r="G230" s="103"/>
      <c r="H230" s="6"/>
      <c r="I230" s="104"/>
      <c r="J230" s="104"/>
      <c r="K230" s="104"/>
    </row>
    <row r="231" spans="1:11" x14ac:dyDescent="0.25">
      <c r="A231" s="6"/>
      <c r="B231" s="6"/>
      <c r="C231" s="102"/>
      <c r="D231" s="102"/>
      <c r="E231" s="103"/>
      <c r="F231" s="6"/>
      <c r="G231" s="103"/>
      <c r="H231" s="6"/>
      <c r="I231" s="104"/>
      <c r="J231" s="104"/>
      <c r="K231" s="104"/>
    </row>
    <row r="232" spans="1:11" x14ac:dyDescent="0.25">
      <c r="A232" s="6"/>
      <c r="B232" s="6"/>
      <c r="C232" s="102"/>
      <c r="D232" s="102"/>
      <c r="E232" s="103"/>
      <c r="F232" s="6"/>
      <c r="G232" s="103"/>
      <c r="H232" s="6"/>
      <c r="I232" s="104"/>
      <c r="J232" s="104"/>
      <c r="K232" s="104"/>
    </row>
    <row r="233" spans="1:11" x14ac:dyDescent="0.25">
      <c r="A233" s="6"/>
      <c r="B233" s="6"/>
      <c r="C233" s="102"/>
      <c r="D233" s="102"/>
      <c r="E233" s="103"/>
      <c r="F233" s="6"/>
      <c r="G233" s="103"/>
      <c r="H233" s="6"/>
      <c r="I233" s="104"/>
      <c r="J233" s="104"/>
      <c r="K233" s="104"/>
    </row>
    <row r="234" spans="1:11" x14ac:dyDescent="0.25">
      <c r="A234" s="6"/>
      <c r="B234" s="6"/>
      <c r="C234" s="102"/>
      <c r="D234" s="102"/>
      <c r="E234" s="103"/>
      <c r="F234" s="6"/>
      <c r="G234" s="103"/>
      <c r="H234" s="6"/>
      <c r="I234" s="104"/>
      <c r="J234" s="104"/>
      <c r="K234" s="104"/>
    </row>
    <row r="235" spans="1:11" x14ac:dyDescent="0.25">
      <c r="A235" s="6"/>
      <c r="B235" s="6"/>
      <c r="C235" s="102"/>
      <c r="D235" s="102"/>
      <c r="E235" s="103"/>
      <c r="F235" s="6"/>
      <c r="G235" s="103"/>
      <c r="H235" s="6"/>
      <c r="I235" s="104"/>
      <c r="J235" s="104"/>
      <c r="K235" s="104"/>
    </row>
    <row r="236" spans="1:11" x14ac:dyDescent="0.25">
      <c r="A236" s="6"/>
      <c r="B236" s="6"/>
      <c r="C236" s="102"/>
      <c r="D236" s="102"/>
      <c r="E236" s="103"/>
      <c r="F236" s="6"/>
      <c r="G236" s="103"/>
      <c r="H236" s="6"/>
      <c r="I236" s="104"/>
      <c r="J236" s="104"/>
      <c r="K236" s="104"/>
    </row>
    <row r="237" spans="1:11" x14ac:dyDescent="0.25">
      <c r="A237" s="6"/>
      <c r="B237" s="6"/>
      <c r="C237" s="102"/>
      <c r="D237" s="102"/>
      <c r="E237" s="103"/>
      <c r="F237" s="6"/>
      <c r="G237" s="103"/>
      <c r="H237" s="6"/>
      <c r="I237" s="104"/>
      <c r="J237" s="104"/>
      <c r="K237" s="104"/>
    </row>
    <row r="238" spans="1:11" x14ac:dyDescent="0.25">
      <c r="A238" s="6"/>
      <c r="B238" s="6"/>
      <c r="C238" s="102"/>
      <c r="D238" s="102"/>
      <c r="E238" s="103"/>
      <c r="F238" s="6"/>
      <c r="G238" s="103"/>
      <c r="H238" s="6"/>
      <c r="I238" s="104"/>
      <c r="J238" s="104"/>
      <c r="K238" s="104"/>
    </row>
    <row r="239" spans="1:11" x14ac:dyDescent="0.25">
      <c r="A239" s="6"/>
      <c r="B239" s="6"/>
      <c r="C239" s="102"/>
      <c r="D239" s="102"/>
      <c r="E239" s="103"/>
      <c r="F239" s="6"/>
      <c r="G239" s="103"/>
      <c r="H239" s="6"/>
      <c r="I239" s="104"/>
      <c r="J239" s="104"/>
      <c r="K239" s="104"/>
    </row>
    <row r="240" spans="1:11" x14ac:dyDescent="0.25">
      <c r="A240" s="6"/>
      <c r="B240" s="6"/>
      <c r="C240" s="102"/>
      <c r="D240" s="102"/>
      <c r="E240" s="103"/>
      <c r="F240" s="6"/>
      <c r="G240" s="103"/>
      <c r="H240" s="6"/>
      <c r="I240" s="104"/>
      <c r="J240" s="104"/>
      <c r="K240" s="104"/>
    </row>
    <row r="241" spans="1:11" x14ac:dyDescent="0.25">
      <c r="A241" s="6"/>
      <c r="B241" s="6"/>
      <c r="C241" s="102"/>
      <c r="D241" s="102"/>
      <c r="E241" s="103"/>
      <c r="F241" s="6"/>
      <c r="G241" s="103"/>
      <c r="H241" s="6"/>
      <c r="I241" s="104"/>
      <c r="J241" s="104"/>
      <c r="K241" s="104"/>
    </row>
    <row r="242" spans="1:11" x14ac:dyDescent="0.25">
      <c r="A242" s="6"/>
      <c r="B242" s="6"/>
      <c r="C242" s="102"/>
      <c r="D242" s="102"/>
      <c r="E242" s="103"/>
      <c r="F242" s="6"/>
      <c r="G242" s="103"/>
      <c r="H242" s="6"/>
      <c r="I242" s="104"/>
      <c r="J242" s="104"/>
      <c r="K242" s="104"/>
    </row>
    <row r="243" spans="1:11" x14ac:dyDescent="0.25">
      <c r="A243" s="6"/>
      <c r="B243" s="6"/>
      <c r="C243" s="102"/>
      <c r="D243" s="102"/>
      <c r="E243" s="103"/>
      <c r="F243" s="6"/>
      <c r="G243" s="103"/>
      <c r="H243" s="6"/>
      <c r="I243" s="104"/>
      <c r="J243" s="104"/>
      <c r="K243" s="104"/>
    </row>
    <row r="244" spans="1:11" x14ac:dyDescent="0.25">
      <c r="A244" s="6"/>
      <c r="B244" s="6"/>
      <c r="C244" s="102"/>
      <c r="D244" s="102"/>
      <c r="E244" s="103"/>
      <c r="F244" s="6"/>
      <c r="G244" s="103"/>
      <c r="H244" s="6"/>
      <c r="I244" s="104"/>
      <c r="J244" s="104"/>
      <c r="K244" s="104"/>
    </row>
    <row r="245" spans="1:11" x14ac:dyDescent="0.25">
      <c r="A245" s="6"/>
      <c r="B245" s="6"/>
      <c r="C245" s="102"/>
      <c r="D245" s="102"/>
      <c r="E245" s="103"/>
      <c r="F245" s="6"/>
      <c r="G245" s="103"/>
      <c r="H245" s="6"/>
      <c r="I245" s="104"/>
      <c r="J245" s="104"/>
      <c r="K245" s="104"/>
    </row>
    <row r="246" spans="1:11" x14ac:dyDescent="0.25">
      <c r="A246" s="6"/>
      <c r="B246" s="6"/>
      <c r="C246" s="102"/>
      <c r="D246" s="102"/>
      <c r="E246" s="103"/>
      <c r="F246" s="6"/>
      <c r="G246" s="103"/>
      <c r="H246" s="6"/>
      <c r="I246" s="104"/>
      <c r="J246" s="104"/>
      <c r="K246" s="104"/>
    </row>
    <row r="247" spans="1:11" x14ac:dyDescent="0.25">
      <c r="A247" s="6"/>
      <c r="B247" s="6"/>
      <c r="C247" s="102"/>
      <c r="D247" s="102"/>
      <c r="E247" s="103"/>
      <c r="F247" s="6"/>
      <c r="G247" s="103"/>
      <c r="H247" s="6"/>
      <c r="I247" s="104"/>
      <c r="J247" s="104"/>
      <c r="K247" s="104"/>
    </row>
    <row r="248" spans="1:11" x14ac:dyDescent="0.25">
      <c r="A248" s="6"/>
      <c r="B248" s="6"/>
      <c r="C248" s="102"/>
      <c r="D248" s="102"/>
      <c r="E248" s="103"/>
      <c r="F248" s="6"/>
      <c r="G248" s="103"/>
      <c r="H248" s="6"/>
      <c r="I248" s="104"/>
      <c r="J248" s="104"/>
      <c r="K248" s="104"/>
    </row>
    <row r="249" spans="1:11" x14ac:dyDescent="0.25">
      <c r="A249" s="6"/>
      <c r="B249" s="6"/>
      <c r="C249" s="102"/>
      <c r="D249" s="102"/>
      <c r="E249" s="103"/>
      <c r="F249" s="6"/>
      <c r="G249" s="103"/>
      <c r="H249" s="6"/>
      <c r="I249" s="104"/>
      <c r="J249" s="104"/>
      <c r="K249" s="104"/>
    </row>
    <row r="250" spans="1:11" x14ac:dyDescent="0.25">
      <c r="A250" s="6"/>
      <c r="B250" s="6"/>
      <c r="C250" s="102"/>
      <c r="D250" s="102"/>
      <c r="E250" s="103"/>
      <c r="F250" s="6"/>
      <c r="G250" s="103"/>
      <c r="H250" s="6"/>
      <c r="I250" s="104"/>
      <c r="J250" s="104"/>
      <c r="K250" s="104"/>
    </row>
    <row r="251" spans="1:11" x14ac:dyDescent="0.25">
      <c r="A251" s="6"/>
      <c r="B251" s="6"/>
      <c r="C251" s="102"/>
      <c r="D251" s="102"/>
      <c r="E251" s="103"/>
      <c r="F251" s="6"/>
      <c r="G251" s="103"/>
      <c r="H251" s="6"/>
      <c r="I251" s="104"/>
      <c r="J251" s="104"/>
      <c r="K251" s="104"/>
    </row>
    <row r="252" spans="1:11" x14ac:dyDescent="0.25">
      <c r="A252" s="6"/>
      <c r="B252" s="6"/>
      <c r="C252" s="102"/>
      <c r="D252" s="102"/>
      <c r="E252" s="103"/>
      <c r="F252" s="6"/>
      <c r="G252" s="103"/>
      <c r="H252" s="6"/>
      <c r="I252" s="104"/>
      <c r="J252" s="104"/>
      <c r="K252" s="104"/>
    </row>
    <row r="253" spans="1:11" x14ac:dyDescent="0.25">
      <c r="A253" s="6"/>
      <c r="B253" s="6"/>
      <c r="C253" s="102"/>
      <c r="D253" s="102"/>
      <c r="E253" s="103"/>
      <c r="F253" s="6"/>
      <c r="G253" s="103"/>
      <c r="H253" s="6"/>
      <c r="I253" s="104"/>
      <c r="J253" s="104"/>
      <c r="K253" s="104"/>
    </row>
    <row r="254" spans="1:11" x14ac:dyDescent="0.25">
      <c r="A254" s="6"/>
      <c r="B254" s="6"/>
      <c r="C254" s="102"/>
      <c r="D254" s="102"/>
      <c r="E254" s="103"/>
      <c r="F254" s="6"/>
      <c r="G254" s="103"/>
      <c r="H254" s="6"/>
      <c r="I254" s="104"/>
      <c r="J254" s="104"/>
      <c r="K254" s="104"/>
    </row>
    <row r="255" spans="1:11" x14ac:dyDescent="0.25">
      <c r="A255" s="6"/>
      <c r="B255" s="6"/>
      <c r="C255" s="102"/>
      <c r="D255" s="102"/>
      <c r="E255" s="103"/>
      <c r="F255" s="6"/>
      <c r="G255" s="103"/>
      <c r="H255" s="6"/>
      <c r="I255" s="104"/>
      <c r="J255" s="104"/>
      <c r="K255" s="104"/>
    </row>
    <row r="256" spans="1:11" x14ac:dyDescent="0.25">
      <c r="A256" s="6"/>
      <c r="B256" s="6"/>
      <c r="C256" s="102"/>
      <c r="D256" s="102"/>
      <c r="E256" s="103"/>
      <c r="F256" s="6"/>
      <c r="G256" s="103"/>
      <c r="H256" s="6"/>
      <c r="I256" s="104"/>
      <c r="J256" s="104"/>
      <c r="K256" s="104"/>
    </row>
    <row r="257" spans="1:11" x14ac:dyDescent="0.25">
      <c r="A257" s="6"/>
      <c r="B257" s="6"/>
      <c r="C257" s="102"/>
      <c r="D257" s="102"/>
      <c r="E257" s="103"/>
      <c r="F257" s="6"/>
      <c r="G257" s="103"/>
      <c r="H257" s="6"/>
      <c r="I257" s="104"/>
      <c r="J257" s="104"/>
      <c r="K257" s="104"/>
    </row>
    <row r="258" spans="1:11" x14ac:dyDescent="0.25">
      <c r="A258" s="6"/>
      <c r="B258" s="6"/>
      <c r="C258" s="102"/>
      <c r="D258" s="102"/>
      <c r="E258" s="103"/>
      <c r="F258" s="6"/>
      <c r="G258" s="103"/>
      <c r="H258" s="6"/>
      <c r="I258" s="104"/>
      <c r="J258" s="104"/>
      <c r="K258" s="104"/>
    </row>
    <row r="259" spans="1:11" x14ac:dyDescent="0.25">
      <c r="A259" s="6"/>
      <c r="B259" s="6"/>
      <c r="C259" s="102"/>
      <c r="D259" s="102"/>
      <c r="E259" s="103"/>
      <c r="F259" s="6"/>
      <c r="G259" s="103"/>
      <c r="H259" s="6"/>
      <c r="I259" s="104"/>
      <c r="J259" s="104"/>
      <c r="K259" s="104"/>
    </row>
    <row r="260" spans="1:11" x14ac:dyDescent="0.25">
      <c r="A260" s="6"/>
      <c r="B260" s="6"/>
      <c r="C260" s="102"/>
      <c r="D260" s="102"/>
      <c r="E260" s="103"/>
      <c r="F260" s="6"/>
      <c r="G260" s="103"/>
      <c r="H260" s="6"/>
      <c r="I260" s="104"/>
      <c r="J260" s="104"/>
      <c r="K260" s="104"/>
    </row>
    <row r="261" spans="1:11" x14ac:dyDescent="0.25">
      <c r="A261" s="6"/>
      <c r="B261" s="6"/>
      <c r="C261" s="102"/>
      <c r="D261" s="102"/>
      <c r="E261" s="103"/>
      <c r="F261" s="6"/>
      <c r="G261" s="103"/>
      <c r="H261" s="6"/>
      <c r="I261" s="104"/>
      <c r="J261" s="104"/>
      <c r="K261" s="104"/>
    </row>
    <row r="262" spans="1:11" x14ac:dyDescent="0.25">
      <c r="A262" s="6"/>
      <c r="B262" s="6"/>
      <c r="C262" s="102"/>
      <c r="D262" s="102"/>
      <c r="E262" s="103"/>
      <c r="F262" s="6"/>
      <c r="G262" s="103"/>
      <c r="H262" s="6"/>
      <c r="I262" s="104"/>
      <c r="J262" s="104"/>
      <c r="K262" s="104"/>
    </row>
    <row r="263" spans="1:11" x14ac:dyDescent="0.25">
      <c r="A263" s="6"/>
      <c r="B263" s="6"/>
      <c r="C263" s="102"/>
      <c r="D263" s="102"/>
      <c r="E263" s="103"/>
      <c r="F263" s="6"/>
      <c r="G263" s="103"/>
      <c r="H263" s="6"/>
      <c r="I263" s="104"/>
      <c r="J263" s="104"/>
      <c r="K263" s="104"/>
    </row>
    <row r="264" spans="1:11" x14ac:dyDescent="0.25">
      <c r="A264" s="6"/>
      <c r="B264" s="6"/>
      <c r="C264" s="102"/>
      <c r="D264" s="102"/>
      <c r="E264" s="103"/>
      <c r="F264" s="6"/>
      <c r="G264" s="103"/>
      <c r="H264" s="6"/>
      <c r="I264" s="104"/>
      <c r="J264" s="104"/>
      <c r="K264" s="104"/>
    </row>
    <row r="265" spans="1:11" x14ac:dyDescent="0.25">
      <c r="A265" s="6"/>
      <c r="B265" s="6"/>
      <c r="C265" s="102"/>
      <c r="D265" s="102"/>
      <c r="E265" s="103"/>
      <c r="F265" s="6"/>
      <c r="G265" s="103"/>
      <c r="H265" s="6"/>
      <c r="I265" s="104"/>
      <c r="J265" s="104"/>
      <c r="K265" s="104"/>
    </row>
    <row r="266" spans="1:11" x14ac:dyDescent="0.25">
      <c r="A266" s="6"/>
      <c r="B266" s="6"/>
      <c r="C266" s="102"/>
      <c r="D266" s="102"/>
      <c r="E266" s="103"/>
      <c r="F266" s="6"/>
      <c r="G266" s="103"/>
      <c r="H266" s="6"/>
      <c r="I266" s="104"/>
      <c r="J266" s="104"/>
      <c r="K266" s="104"/>
    </row>
    <row r="267" spans="1:11" x14ac:dyDescent="0.25">
      <c r="A267" s="6"/>
      <c r="B267" s="6"/>
      <c r="C267" s="102"/>
      <c r="D267" s="102"/>
      <c r="E267" s="103"/>
      <c r="F267" s="6"/>
      <c r="G267" s="103"/>
      <c r="H267" s="6"/>
      <c r="I267" s="104"/>
      <c r="J267" s="104"/>
      <c r="K267" s="104"/>
    </row>
    <row r="268" spans="1:11" x14ac:dyDescent="0.25">
      <c r="A268" s="6"/>
      <c r="B268" s="6"/>
      <c r="C268" s="102"/>
      <c r="D268" s="102"/>
      <c r="E268" s="103"/>
      <c r="F268" s="6"/>
      <c r="G268" s="103"/>
      <c r="H268" s="6"/>
      <c r="I268" s="104"/>
      <c r="J268" s="104"/>
      <c r="K268" s="104"/>
    </row>
    <row r="269" spans="1:11" x14ac:dyDescent="0.25">
      <c r="A269" s="6"/>
      <c r="B269" s="6"/>
      <c r="C269" s="102"/>
      <c r="D269" s="102"/>
      <c r="E269" s="103"/>
      <c r="F269" s="6"/>
      <c r="G269" s="103"/>
      <c r="H269" s="6"/>
      <c r="I269" s="104"/>
      <c r="J269" s="104"/>
      <c r="K269" s="104"/>
    </row>
    <row r="270" spans="1:11" x14ac:dyDescent="0.25">
      <c r="A270" s="6"/>
      <c r="B270" s="6"/>
      <c r="C270" s="102"/>
      <c r="D270" s="102"/>
      <c r="E270" s="103"/>
      <c r="F270" s="6"/>
      <c r="G270" s="103"/>
      <c r="H270" s="6"/>
      <c r="I270" s="104"/>
      <c r="J270" s="104"/>
      <c r="K270" s="104"/>
    </row>
    <row r="271" spans="1:11" x14ac:dyDescent="0.25">
      <c r="A271" s="6"/>
      <c r="B271" s="6"/>
      <c r="C271" s="102"/>
      <c r="D271" s="102"/>
      <c r="E271" s="103"/>
      <c r="F271" s="6"/>
      <c r="G271" s="103"/>
      <c r="H271" s="6"/>
      <c r="I271" s="104"/>
      <c r="J271" s="104"/>
      <c r="K271" s="104"/>
    </row>
    <row r="272" spans="1:11" x14ac:dyDescent="0.25">
      <c r="A272" s="6"/>
      <c r="B272" s="6"/>
      <c r="C272" s="102"/>
      <c r="D272" s="102"/>
      <c r="E272" s="103"/>
      <c r="F272" s="6"/>
      <c r="G272" s="103"/>
      <c r="H272" s="6"/>
      <c r="I272" s="104"/>
      <c r="J272" s="104"/>
      <c r="K272" s="104"/>
    </row>
    <row r="273" spans="1:11" x14ac:dyDescent="0.25">
      <c r="A273" s="6"/>
      <c r="B273" s="6"/>
      <c r="C273" s="102"/>
      <c r="D273" s="102"/>
      <c r="E273" s="103"/>
      <c r="F273" s="6"/>
      <c r="G273" s="103"/>
      <c r="H273" s="6"/>
      <c r="I273" s="104"/>
      <c r="J273" s="104"/>
      <c r="K273" s="104"/>
    </row>
    <row r="274" spans="1:11" x14ac:dyDescent="0.25">
      <c r="A274" s="6"/>
      <c r="B274" s="6"/>
      <c r="C274" s="102"/>
      <c r="D274" s="102"/>
      <c r="E274" s="103"/>
      <c r="F274" s="6"/>
      <c r="G274" s="103"/>
      <c r="H274" s="6"/>
      <c r="I274" s="104"/>
      <c r="J274" s="104"/>
      <c r="K274" s="104"/>
    </row>
    <row r="275" spans="1:11" x14ac:dyDescent="0.25">
      <c r="A275" s="6"/>
      <c r="B275" s="6"/>
      <c r="C275" s="102"/>
      <c r="D275" s="102"/>
      <c r="E275" s="103"/>
      <c r="F275" s="6"/>
      <c r="G275" s="103"/>
      <c r="H275" s="6"/>
      <c r="I275" s="104"/>
      <c r="J275" s="104"/>
      <c r="K275" s="104"/>
    </row>
    <row r="276" spans="1:11" x14ac:dyDescent="0.25">
      <c r="A276" s="6"/>
      <c r="B276" s="6"/>
      <c r="C276" s="102"/>
      <c r="D276" s="102"/>
      <c r="E276" s="103"/>
      <c r="F276" s="6"/>
      <c r="G276" s="103"/>
      <c r="H276" s="6"/>
      <c r="I276" s="104"/>
      <c r="J276" s="104"/>
      <c r="K276" s="104"/>
    </row>
    <row r="277" spans="1:11" x14ac:dyDescent="0.25">
      <c r="A277" s="6"/>
      <c r="B277" s="6"/>
      <c r="C277" s="102"/>
      <c r="D277" s="102"/>
      <c r="E277" s="103"/>
      <c r="F277" s="6"/>
      <c r="G277" s="103"/>
      <c r="H277" s="6"/>
      <c r="I277" s="104"/>
      <c r="J277" s="104"/>
      <c r="K277" s="104"/>
    </row>
    <row r="278" spans="1:11" x14ac:dyDescent="0.25">
      <c r="A278" s="6"/>
      <c r="B278" s="6"/>
      <c r="C278" s="102"/>
      <c r="D278" s="102"/>
      <c r="E278" s="103"/>
      <c r="F278" s="6"/>
      <c r="G278" s="103"/>
      <c r="H278" s="6"/>
      <c r="I278" s="104"/>
      <c r="J278" s="104"/>
      <c r="K278" s="104"/>
    </row>
    <row r="279" spans="1:11" x14ac:dyDescent="0.25">
      <c r="A279" s="6"/>
      <c r="B279" s="6"/>
      <c r="C279" s="102"/>
      <c r="D279" s="102"/>
      <c r="E279" s="103"/>
      <c r="F279" s="6"/>
      <c r="G279" s="103"/>
      <c r="H279" s="6"/>
      <c r="I279" s="104"/>
      <c r="J279" s="104"/>
      <c r="K279" s="104"/>
    </row>
    <row r="280" spans="1:11" x14ac:dyDescent="0.25">
      <c r="A280" s="6"/>
      <c r="B280" s="6"/>
      <c r="C280" s="102"/>
      <c r="D280" s="102"/>
      <c r="E280" s="103"/>
      <c r="F280" s="6"/>
      <c r="G280" s="103"/>
      <c r="H280" s="6"/>
      <c r="I280" s="104"/>
      <c r="J280" s="104"/>
      <c r="K280" s="104"/>
    </row>
    <row r="281" spans="1:11" x14ac:dyDescent="0.25">
      <c r="A281" s="6"/>
      <c r="B281" s="6"/>
      <c r="C281" s="102"/>
      <c r="D281" s="102"/>
      <c r="E281" s="103"/>
      <c r="F281" s="6"/>
      <c r="G281" s="103"/>
      <c r="H281" s="6"/>
      <c r="I281" s="104"/>
      <c r="J281" s="104"/>
      <c r="K281" s="104"/>
    </row>
    <row r="282" spans="1:11" x14ac:dyDescent="0.25">
      <c r="A282" s="6"/>
      <c r="B282" s="6"/>
      <c r="C282" s="102"/>
      <c r="D282" s="102"/>
      <c r="E282" s="103"/>
      <c r="F282" s="6"/>
      <c r="G282" s="103"/>
      <c r="H282" s="6"/>
      <c r="I282" s="104"/>
      <c r="J282" s="104"/>
      <c r="K282" s="104"/>
    </row>
    <row r="283" spans="1:11" x14ac:dyDescent="0.25">
      <c r="A283" s="6"/>
      <c r="B283" s="6"/>
      <c r="C283" s="102"/>
      <c r="D283" s="102"/>
      <c r="E283" s="103"/>
      <c r="F283" s="6"/>
      <c r="G283" s="103"/>
      <c r="H283" s="6"/>
      <c r="I283" s="104"/>
      <c r="J283" s="104"/>
      <c r="K283" s="104"/>
    </row>
    <row r="284" spans="1:11" x14ac:dyDescent="0.25">
      <c r="A284" s="6"/>
      <c r="B284" s="6"/>
      <c r="C284" s="102"/>
      <c r="D284" s="102"/>
      <c r="E284" s="103"/>
      <c r="F284" s="6"/>
      <c r="G284" s="103"/>
      <c r="H284" s="6"/>
      <c r="I284" s="104"/>
      <c r="J284" s="104"/>
      <c r="K284" s="104"/>
    </row>
    <row r="285" spans="1:11" x14ac:dyDescent="0.25">
      <c r="A285" s="6"/>
      <c r="B285" s="6"/>
      <c r="C285" s="102"/>
      <c r="D285" s="102"/>
      <c r="E285" s="103"/>
      <c r="F285" s="6"/>
      <c r="G285" s="103"/>
      <c r="H285" s="6"/>
      <c r="I285" s="104"/>
      <c r="J285" s="104"/>
      <c r="K285" s="104"/>
    </row>
    <row r="286" spans="1:11" x14ac:dyDescent="0.25">
      <c r="A286" s="6"/>
      <c r="B286" s="6"/>
      <c r="C286" s="102"/>
      <c r="D286" s="102"/>
      <c r="E286" s="103"/>
      <c r="F286" s="6"/>
      <c r="G286" s="103"/>
      <c r="H286" s="6"/>
      <c r="I286" s="104"/>
      <c r="J286" s="104"/>
      <c r="K286" s="104"/>
    </row>
    <row r="287" spans="1:11" x14ac:dyDescent="0.25">
      <c r="A287" s="6"/>
      <c r="B287" s="6"/>
      <c r="C287" s="102"/>
      <c r="D287" s="102"/>
      <c r="E287" s="103"/>
      <c r="F287" s="6"/>
      <c r="G287" s="103"/>
      <c r="H287" s="6"/>
      <c r="I287" s="104"/>
      <c r="J287" s="104"/>
      <c r="K287" s="104"/>
    </row>
    <row r="288" spans="1:11" x14ac:dyDescent="0.25">
      <c r="A288" s="6"/>
      <c r="B288" s="6"/>
      <c r="C288" s="102"/>
      <c r="D288" s="102"/>
      <c r="E288" s="103"/>
      <c r="F288" s="6"/>
      <c r="G288" s="103"/>
      <c r="H288" s="6"/>
      <c r="I288" s="104"/>
      <c r="J288" s="104"/>
      <c r="K288" s="104"/>
    </row>
    <row r="289" spans="1:11" x14ac:dyDescent="0.25">
      <c r="A289" s="6"/>
      <c r="B289" s="6"/>
      <c r="C289" s="102"/>
      <c r="D289" s="102"/>
      <c r="E289" s="103"/>
      <c r="F289" s="6"/>
      <c r="G289" s="103"/>
      <c r="H289" s="6"/>
      <c r="I289" s="104"/>
      <c r="J289" s="104"/>
      <c r="K289" s="104"/>
    </row>
    <row r="290" spans="1:11" x14ac:dyDescent="0.25">
      <c r="A290" s="6"/>
      <c r="B290" s="6"/>
      <c r="C290" s="102"/>
      <c r="D290" s="102"/>
      <c r="E290" s="103"/>
      <c r="F290" s="6"/>
      <c r="G290" s="103"/>
      <c r="H290" s="6"/>
      <c r="I290" s="104"/>
      <c r="J290" s="104"/>
      <c r="K290" s="104"/>
    </row>
    <row r="291" spans="1:11" x14ac:dyDescent="0.25">
      <c r="A291" s="6"/>
      <c r="B291" s="6"/>
      <c r="C291" s="102"/>
      <c r="D291" s="102"/>
      <c r="E291" s="103"/>
      <c r="F291" s="6"/>
      <c r="G291" s="103"/>
      <c r="H291" s="6"/>
      <c r="I291" s="104"/>
      <c r="J291" s="104"/>
      <c r="K291" s="104"/>
    </row>
    <row r="292" spans="1:11" x14ac:dyDescent="0.25">
      <c r="A292" s="6"/>
      <c r="B292" s="6"/>
      <c r="C292" s="102"/>
      <c r="D292" s="102"/>
      <c r="E292" s="103"/>
      <c r="F292" s="6"/>
      <c r="G292" s="103"/>
      <c r="H292" s="6"/>
      <c r="I292" s="104"/>
      <c r="J292" s="104"/>
      <c r="K292" s="104"/>
    </row>
    <row r="293" spans="1:11" x14ac:dyDescent="0.25">
      <c r="A293" s="6"/>
      <c r="B293" s="6"/>
      <c r="C293" s="102"/>
      <c r="D293" s="102"/>
      <c r="E293" s="103"/>
      <c r="F293" s="6"/>
      <c r="G293" s="103"/>
      <c r="H293" s="6"/>
      <c r="I293" s="104"/>
      <c r="J293" s="104"/>
      <c r="K293" s="104"/>
    </row>
    <row r="294" spans="1:11" x14ac:dyDescent="0.25">
      <c r="A294" s="6"/>
      <c r="B294" s="6"/>
      <c r="C294" s="102"/>
      <c r="D294" s="102"/>
      <c r="E294" s="103"/>
      <c r="F294" s="6"/>
      <c r="G294" s="103"/>
      <c r="H294" s="6"/>
      <c r="I294" s="104"/>
      <c r="J294" s="104"/>
      <c r="K294" s="104"/>
    </row>
    <row r="295" spans="1:11" x14ac:dyDescent="0.25">
      <c r="A295" s="6"/>
      <c r="B295" s="6"/>
      <c r="C295" s="102"/>
      <c r="D295" s="102"/>
      <c r="E295" s="103"/>
      <c r="F295" s="6"/>
      <c r="G295" s="103"/>
      <c r="H295" s="6"/>
      <c r="I295" s="104"/>
      <c r="J295" s="104"/>
      <c r="K295" s="104"/>
    </row>
    <row r="296" spans="1:11" x14ac:dyDescent="0.25">
      <c r="A296" s="6"/>
      <c r="B296" s="6"/>
      <c r="C296" s="102"/>
      <c r="D296" s="102"/>
      <c r="E296" s="103"/>
      <c r="F296" s="6"/>
      <c r="G296" s="103"/>
      <c r="H296" s="6"/>
      <c r="I296" s="104"/>
      <c r="J296" s="104"/>
      <c r="K296" s="104"/>
    </row>
    <row r="297" spans="1:11" x14ac:dyDescent="0.25">
      <c r="A297" s="6"/>
      <c r="B297" s="6"/>
      <c r="C297" s="102"/>
      <c r="D297" s="102"/>
      <c r="E297" s="103"/>
      <c r="F297" s="6"/>
      <c r="G297" s="103"/>
      <c r="H297" s="6"/>
      <c r="I297" s="104"/>
      <c r="J297" s="104"/>
      <c r="K297" s="104"/>
    </row>
    <row r="298" spans="1:11" x14ac:dyDescent="0.25">
      <c r="A298" s="6"/>
      <c r="B298" s="6"/>
      <c r="C298" s="102"/>
      <c r="D298" s="102"/>
      <c r="E298" s="103"/>
      <c r="F298" s="6"/>
      <c r="G298" s="103"/>
      <c r="H298" s="6"/>
      <c r="I298" s="104"/>
      <c r="J298" s="104"/>
      <c r="K298" s="104"/>
    </row>
    <row r="299" spans="1:11" x14ac:dyDescent="0.25">
      <c r="A299" s="6"/>
      <c r="B299" s="6"/>
      <c r="C299" s="102"/>
      <c r="D299" s="102"/>
      <c r="E299" s="103"/>
      <c r="F299" s="6"/>
      <c r="G299" s="103"/>
      <c r="H299" s="6"/>
      <c r="I299" s="104"/>
      <c r="J299" s="104"/>
      <c r="K299" s="104"/>
    </row>
    <row r="300" spans="1:11" x14ac:dyDescent="0.25">
      <c r="A300" s="6"/>
      <c r="B300" s="6"/>
      <c r="C300" s="102"/>
      <c r="D300" s="102"/>
      <c r="E300" s="103"/>
      <c r="F300" s="6"/>
      <c r="G300" s="103"/>
      <c r="H300" s="6"/>
      <c r="I300" s="104"/>
      <c r="J300" s="104"/>
      <c r="K300" s="104"/>
    </row>
    <row r="301" spans="1:11" x14ac:dyDescent="0.25">
      <c r="A301" s="6"/>
      <c r="B301" s="6"/>
      <c r="C301" s="102"/>
      <c r="D301" s="102"/>
      <c r="E301" s="103"/>
      <c r="F301" s="6"/>
      <c r="G301" s="103"/>
      <c r="H301" s="6"/>
      <c r="I301" s="104"/>
      <c r="J301" s="104"/>
      <c r="K301" s="104"/>
    </row>
    <row r="302" spans="1:11" x14ac:dyDescent="0.25">
      <c r="A302" s="6"/>
      <c r="B302" s="6"/>
      <c r="C302" s="102"/>
      <c r="D302" s="102"/>
      <c r="E302" s="103"/>
      <c r="F302" s="6"/>
      <c r="G302" s="103"/>
      <c r="H302" s="6"/>
      <c r="I302" s="104"/>
      <c r="J302" s="104"/>
      <c r="K302" s="104"/>
    </row>
    <row r="303" spans="1:11" x14ac:dyDescent="0.25">
      <c r="A303" s="6"/>
      <c r="B303" s="6"/>
      <c r="C303" s="102"/>
      <c r="D303" s="102"/>
      <c r="E303" s="103"/>
      <c r="F303" s="6"/>
      <c r="G303" s="103"/>
      <c r="H303" s="6"/>
      <c r="I303" s="104"/>
      <c r="J303" s="104"/>
      <c r="K303" s="104"/>
    </row>
    <row r="304" spans="1:11" x14ac:dyDescent="0.25">
      <c r="A304" s="6"/>
      <c r="B304" s="6"/>
      <c r="C304" s="102"/>
      <c r="D304" s="102"/>
      <c r="E304" s="103"/>
      <c r="F304" s="6"/>
      <c r="G304" s="103"/>
      <c r="H304" s="6"/>
      <c r="I304" s="104"/>
      <c r="J304" s="104"/>
      <c r="K304" s="104"/>
    </row>
    <row r="305" spans="1:11" x14ac:dyDescent="0.25">
      <c r="A305" s="6"/>
      <c r="B305" s="6"/>
      <c r="C305" s="102"/>
      <c r="D305" s="102"/>
      <c r="E305" s="103"/>
      <c r="F305" s="6"/>
      <c r="G305" s="103"/>
      <c r="H305" s="6"/>
      <c r="I305" s="104"/>
      <c r="J305" s="104"/>
      <c r="K305" s="104"/>
    </row>
    <row r="306" spans="1:11" x14ac:dyDescent="0.25">
      <c r="A306" s="6"/>
      <c r="B306" s="6"/>
      <c r="C306" s="102"/>
      <c r="D306" s="102"/>
      <c r="E306" s="103"/>
      <c r="F306" s="6"/>
      <c r="G306" s="103"/>
      <c r="H306" s="6"/>
      <c r="I306" s="104"/>
      <c r="J306" s="104"/>
      <c r="K306" s="104"/>
    </row>
    <row r="307" spans="1:11" x14ac:dyDescent="0.25">
      <c r="A307" s="6"/>
      <c r="B307" s="6"/>
      <c r="C307" s="102"/>
      <c r="D307" s="102"/>
      <c r="E307" s="103"/>
      <c r="F307" s="6"/>
      <c r="G307" s="103"/>
      <c r="H307" s="6"/>
      <c r="I307" s="104"/>
      <c r="J307" s="104"/>
      <c r="K307" s="104"/>
    </row>
    <row r="308" spans="1:11" x14ac:dyDescent="0.25">
      <c r="A308" s="6"/>
      <c r="B308" s="6"/>
      <c r="C308" s="102"/>
      <c r="D308" s="102"/>
      <c r="E308" s="103"/>
      <c r="F308" s="6"/>
      <c r="G308" s="103"/>
      <c r="H308" s="6"/>
      <c r="I308" s="104"/>
      <c r="J308" s="104"/>
      <c r="K308" s="104"/>
    </row>
    <row r="309" spans="1:11" x14ac:dyDescent="0.25">
      <c r="A309" s="6"/>
      <c r="B309" s="6"/>
      <c r="C309" s="102"/>
      <c r="D309" s="102"/>
      <c r="E309" s="103"/>
      <c r="F309" s="6"/>
      <c r="G309" s="103"/>
      <c r="H309" s="6"/>
      <c r="I309" s="104"/>
      <c r="J309" s="104"/>
      <c r="K309" s="104"/>
    </row>
    <row r="310" spans="1:11" x14ac:dyDescent="0.25">
      <c r="A310" s="6"/>
      <c r="B310" s="6"/>
      <c r="C310" s="102"/>
      <c r="D310" s="102"/>
      <c r="E310" s="103"/>
      <c r="F310" s="6"/>
      <c r="G310" s="103"/>
      <c r="H310" s="6"/>
      <c r="I310" s="104"/>
      <c r="J310" s="104"/>
      <c r="K310" s="104"/>
    </row>
    <row r="311" spans="1:11" x14ac:dyDescent="0.25">
      <c r="A311" s="6"/>
      <c r="B311" s="6"/>
      <c r="C311" s="102"/>
      <c r="D311" s="102"/>
      <c r="E311" s="103"/>
      <c r="F311" s="6"/>
      <c r="G311" s="103"/>
      <c r="H311" s="6"/>
      <c r="I311" s="104"/>
      <c r="J311" s="104"/>
      <c r="K311" s="104"/>
    </row>
    <row r="312" spans="1:11" x14ac:dyDescent="0.25">
      <c r="A312" s="6"/>
      <c r="B312" s="6"/>
      <c r="C312" s="102"/>
      <c r="D312" s="102"/>
      <c r="E312" s="103"/>
      <c r="F312" s="6"/>
      <c r="G312" s="103"/>
      <c r="H312" s="6"/>
      <c r="I312" s="104"/>
      <c r="J312" s="104"/>
      <c r="K312" s="104"/>
    </row>
    <row r="313" spans="1:11" x14ac:dyDescent="0.25">
      <c r="A313" s="6"/>
      <c r="B313" s="6"/>
      <c r="C313" s="102"/>
      <c r="D313" s="102"/>
      <c r="E313" s="103"/>
      <c r="F313" s="6"/>
      <c r="G313" s="103"/>
      <c r="H313" s="6"/>
      <c r="I313" s="104"/>
      <c r="J313" s="104"/>
      <c r="K313" s="104"/>
    </row>
    <row r="314" spans="1:11" x14ac:dyDescent="0.25">
      <c r="A314" s="6"/>
      <c r="B314" s="6"/>
      <c r="C314" s="102"/>
      <c r="D314" s="102"/>
      <c r="E314" s="103"/>
      <c r="F314" s="6"/>
      <c r="G314" s="103"/>
      <c r="H314" s="6"/>
      <c r="I314" s="104"/>
      <c r="J314" s="104"/>
      <c r="K314" s="104"/>
    </row>
    <row r="315" spans="1:11" x14ac:dyDescent="0.25">
      <c r="A315" s="6"/>
      <c r="B315" s="6"/>
      <c r="C315" s="102"/>
      <c r="D315" s="102"/>
      <c r="E315" s="103"/>
      <c r="F315" s="6"/>
      <c r="G315" s="103"/>
      <c r="H315" s="6"/>
      <c r="I315" s="104"/>
      <c r="J315" s="104"/>
      <c r="K315" s="104"/>
    </row>
    <row r="316" spans="1:11" x14ac:dyDescent="0.25">
      <c r="A316" s="6"/>
      <c r="B316" s="6"/>
      <c r="C316" s="102"/>
      <c r="D316" s="102"/>
      <c r="E316" s="103"/>
      <c r="F316" s="6"/>
      <c r="G316" s="103"/>
      <c r="H316" s="6"/>
      <c r="I316" s="104"/>
      <c r="J316" s="104"/>
      <c r="K316" s="104"/>
    </row>
    <row r="317" spans="1:11" x14ac:dyDescent="0.25">
      <c r="A317" s="6"/>
      <c r="B317" s="6"/>
      <c r="C317" s="102"/>
      <c r="D317" s="102"/>
      <c r="E317" s="103"/>
      <c r="F317" s="6"/>
      <c r="G317" s="103"/>
      <c r="H317" s="6"/>
      <c r="I317" s="104"/>
      <c r="J317" s="104"/>
      <c r="K317" s="104"/>
    </row>
    <row r="318" spans="1:11" x14ac:dyDescent="0.25">
      <c r="A318" s="6"/>
      <c r="B318" s="6"/>
      <c r="C318" s="102"/>
      <c r="D318" s="102"/>
      <c r="E318" s="103"/>
      <c r="F318" s="6"/>
      <c r="G318" s="103"/>
      <c r="H318" s="6"/>
      <c r="I318" s="104"/>
      <c r="J318" s="104"/>
      <c r="K318" s="104"/>
    </row>
    <row r="319" spans="1:11" x14ac:dyDescent="0.25">
      <c r="A319" s="6"/>
      <c r="B319" s="6"/>
      <c r="C319" s="102"/>
      <c r="D319" s="102"/>
      <c r="E319" s="103"/>
      <c r="F319" s="6"/>
      <c r="G319" s="103"/>
      <c r="H319" s="6"/>
      <c r="I319" s="104"/>
      <c r="J319" s="104"/>
      <c r="K319" s="104"/>
    </row>
    <row r="320" spans="1:11" x14ac:dyDescent="0.25">
      <c r="A320" s="6"/>
      <c r="B320" s="6"/>
      <c r="C320" s="102"/>
      <c r="D320" s="102"/>
      <c r="E320" s="103"/>
      <c r="F320" s="6"/>
      <c r="G320" s="103"/>
      <c r="H320" s="6"/>
      <c r="I320" s="104"/>
      <c r="J320" s="104"/>
      <c r="K320" s="104"/>
    </row>
    <row r="321" spans="1:11" x14ac:dyDescent="0.25">
      <c r="A321" s="6"/>
      <c r="B321" s="6"/>
      <c r="C321" s="102"/>
      <c r="D321" s="102"/>
      <c r="E321" s="103"/>
      <c r="F321" s="6"/>
      <c r="G321" s="103"/>
      <c r="H321" s="6"/>
      <c r="I321" s="104"/>
      <c r="J321" s="104"/>
      <c r="K321" s="104"/>
    </row>
    <row r="322" spans="1:11" x14ac:dyDescent="0.25">
      <c r="A322" s="6"/>
      <c r="B322" s="6"/>
      <c r="C322" s="102"/>
      <c r="D322" s="102"/>
      <c r="E322" s="103"/>
      <c r="F322" s="6"/>
      <c r="G322" s="103"/>
      <c r="H322" s="6"/>
      <c r="I322" s="104"/>
      <c r="J322" s="104"/>
      <c r="K322" s="104"/>
    </row>
    <row r="323" spans="1:11" x14ac:dyDescent="0.25">
      <c r="A323" s="6"/>
      <c r="B323" s="6"/>
      <c r="C323" s="102"/>
      <c r="D323" s="102"/>
      <c r="E323" s="103"/>
      <c r="F323" s="6"/>
      <c r="G323" s="103"/>
      <c r="H323" s="6"/>
      <c r="I323" s="104"/>
      <c r="J323" s="104"/>
      <c r="K323" s="104"/>
    </row>
    <row r="324" spans="1:11" x14ac:dyDescent="0.25">
      <c r="A324" s="6"/>
      <c r="B324" s="6"/>
      <c r="C324" s="102"/>
      <c r="D324" s="102"/>
      <c r="E324" s="103"/>
      <c r="F324" s="6"/>
      <c r="G324" s="103"/>
      <c r="H324" s="6"/>
      <c r="I324" s="104"/>
      <c r="J324" s="104"/>
      <c r="K324" s="104"/>
    </row>
    <row r="325" spans="1:11" x14ac:dyDescent="0.25">
      <c r="A325" s="6"/>
      <c r="B325" s="6"/>
      <c r="C325" s="102"/>
      <c r="D325" s="102"/>
      <c r="E325" s="103"/>
      <c r="F325" s="6"/>
      <c r="G325" s="103"/>
      <c r="H325" s="6"/>
      <c r="I325" s="104"/>
      <c r="J325" s="104"/>
      <c r="K325" s="104"/>
    </row>
    <row r="326" spans="1:11" x14ac:dyDescent="0.25">
      <c r="A326" s="6"/>
      <c r="B326" s="6"/>
      <c r="C326" s="102"/>
      <c r="D326" s="102"/>
      <c r="E326" s="103"/>
      <c r="F326" s="6"/>
      <c r="G326" s="103"/>
      <c r="H326" s="6"/>
      <c r="I326" s="104"/>
      <c r="J326" s="104"/>
      <c r="K326" s="104"/>
    </row>
    <row r="327" spans="1:11" x14ac:dyDescent="0.25">
      <c r="A327" s="6"/>
      <c r="B327" s="6"/>
      <c r="C327" s="102"/>
      <c r="D327" s="102"/>
      <c r="E327" s="103"/>
      <c r="F327" s="6"/>
      <c r="G327" s="103"/>
      <c r="H327" s="6"/>
      <c r="I327" s="104"/>
      <c r="J327" s="104"/>
      <c r="K327" s="104"/>
    </row>
    <row r="328" spans="1:11" x14ac:dyDescent="0.25">
      <c r="A328" s="6"/>
      <c r="B328" s="6"/>
      <c r="C328" s="102"/>
      <c r="D328" s="102"/>
      <c r="E328" s="103"/>
      <c r="F328" s="6"/>
      <c r="G328" s="103"/>
      <c r="H328" s="6"/>
      <c r="I328" s="104"/>
      <c r="J328" s="104"/>
      <c r="K328" s="104"/>
    </row>
    <row r="329" spans="1:11" x14ac:dyDescent="0.25">
      <c r="A329" s="6"/>
      <c r="B329" s="6"/>
      <c r="C329" s="102"/>
      <c r="D329" s="102"/>
      <c r="E329" s="103"/>
      <c r="F329" s="6"/>
      <c r="G329" s="103"/>
      <c r="H329" s="6"/>
      <c r="I329" s="104"/>
      <c r="J329" s="104"/>
      <c r="K329" s="104"/>
    </row>
    <row r="330" spans="1:11" x14ac:dyDescent="0.25">
      <c r="A330" s="6"/>
      <c r="B330" s="6"/>
      <c r="C330" s="102"/>
      <c r="D330" s="102"/>
      <c r="E330" s="103"/>
      <c r="F330" s="6"/>
      <c r="G330" s="103"/>
      <c r="H330" s="6"/>
      <c r="I330" s="104"/>
      <c r="J330" s="104"/>
      <c r="K330" s="104"/>
    </row>
    <row r="331" spans="1:11" x14ac:dyDescent="0.25">
      <c r="A331" s="6"/>
      <c r="B331" s="6"/>
      <c r="C331" s="102"/>
      <c r="D331" s="102"/>
      <c r="E331" s="103"/>
      <c r="F331" s="6"/>
      <c r="G331" s="103"/>
      <c r="H331" s="6"/>
      <c r="I331" s="104"/>
      <c r="J331" s="104"/>
      <c r="K331" s="104"/>
    </row>
    <row r="332" spans="1:11" x14ac:dyDescent="0.25">
      <c r="A332" s="6"/>
      <c r="B332" s="6"/>
      <c r="C332" s="102"/>
      <c r="D332" s="102"/>
      <c r="E332" s="103"/>
      <c r="F332" s="6"/>
      <c r="G332" s="103"/>
      <c r="H332" s="6"/>
      <c r="I332" s="104"/>
      <c r="J332" s="104"/>
      <c r="K332" s="104"/>
    </row>
    <row r="333" spans="1:11" x14ac:dyDescent="0.25">
      <c r="A333" s="6"/>
      <c r="B333" s="6"/>
      <c r="C333" s="102"/>
      <c r="D333" s="102"/>
      <c r="E333" s="103"/>
      <c r="F333" s="6"/>
      <c r="G333" s="103"/>
      <c r="H333" s="6"/>
      <c r="I333" s="104"/>
      <c r="J333" s="104"/>
      <c r="K333" s="104"/>
    </row>
    <row r="334" spans="1:11" x14ac:dyDescent="0.25">
      <c r="A334" s="6"/>
      <c r="B334" s="6"/>
      <c r="C334" s="102"/>
      <c r="D334" s="102"/>
      <c r="E334" s="103"/>
      <c r="F334" s="6"/>
      <c r="G334" s="103"/>
      <c r="H334" s="6"/>
      <c r="I334" s="104"/>
      <c r="J334" s="104"/>
      <c r="K334" s="104"/>
    </row>
    <row r="335" spans="1:11" x14ac:dyDescent="0.25">
      <c r="A335" s="6"/>
      <c r="B335" s="6"/>
      <c r="C335" s="102"/>
      <c r="D335" s="102"/>
      <c r="E335" s="103"/>
      <c r="F335" s="6"/>
      <c r="G335" s="103"/>
      <c r="H335" s="6"/>
      <c r="I335" s="104"/>
      <c r="J335" s="104"/>
      <c r="K335" s="104"/>
    </row>
    <row r="336" spans="1:11" x14ac:dyDescent="0.25">
      <c r="A336" s="6"/>
      <c r="B336" s="6"/>
      <c r="C336" s="102"/>
      <c r="D336" s="102"/>
      <c r="E336" s="103"/>
      <c r="F336" s="6"/>
      <c r="G336" s="103"/>
      <c r="H336" s="6"/>
      <c r="I336" s="104"/>
      <c r="J336" s="104"/>
      <c r="K336" s="104"/>
    </row>
    <row r="337" spans="1:11" x14ac:dyDescent="0.25">
      <c r="A337" s="6"/>
      <c r="B337" s="6"/>
      <c r="C337" s="102"/>
      <c r="D337" s="102"/>
      <c r="E337" s="103"/>
      <c r="F337" s="6"/>
      <c r="G337" s="103"/>
      <c r="H337" s="6"/>
      <c r="I337" s="104"/>
      <c r="J337" s="104"/>
      <c r="K337" s="104"/>
    </row>
    <row r="338" spans="1:11" x14ac:dyDescent="0.25">
      <c r="A338" s="6"/>
      <c r="B338" s="6"/>
      <c r="C338" s="102"/>
      <c r="D338" s="102"/>
      <c r="E338" s="103"/>
      <c r="F338" s="6"/>
      <c r="G338" s="103"/>
      <c r="H338" s="6"/>
      <c r="I338" s="104"/>
      <c r="J338" s="104"/>
      <c r="K338" s="104"/>
    </row>
    <row r="339" spans="1:11" x14ac:dyDescent="0.25">
      <c r="A339" s="6"/>
      <c r="B339" s="6"/>
      <c r="C339" s="102"/>
      <c r="D339" s="102"/>
      <c r="E339" s="103"/>
      <c r="F339" s="6"/>
      <c r="G339" s="103"/>
      <c r="H339" s="6"/>
      <c r="I339" s="104"/>
      <c r="J339" s="104"/>
      <c r="K339" s="104"/>
    </row>
    <row r="340" spans="1:11" x14ac:dyDescent="0.25">
      <c r="A340" s="6"/>
      <c r="B340" s="6"/>
      <c r="C340" s="102"/>
      <c r="D340" s="102"/>
      <c r="E340" s="103"/>
      <c r="F340" s="6"/>
      <c r="G340" s="103"/>
      <c r="H340" s="6"/>
      <c r="I340" s="104"/>
      <c r="J340" s="104"/>
      <c r="K340" s="104"/>
    </row>
    <row r="341" spans="1:11" x14ac:dyDescent="0.25">
      <c r="A341" s="6"/>
      <c r="B341" s="6"/>
      <c r="C341" s="102"/>
      <c r="D341" s="102"/>
      <c r="E341" s="103"/>
      <c r="F341" s="6"/>
      <c r="G341" s="103"/>
      <c r="H341" s="6"/>
      <c r="I341" s="104"/>
      <c r="J341" s="104"/>
      <c r="K341" s="104"/>
    </row>
    <row r="342" spans="1:11" x14ac:dyDescent="0.25">
      <c r="A342" s="6"/>
      <c r="B342" s="6"/>
      <c r="C342" s="102"/>
      <c r="D342" s="102"/>
      <c r="E342" s="103"/>
      <c r="F342" s="6"/>
      <c r="G342" s="103"/>
      <c r="H342" s="6"/>
      <c r="I342" s="104"/>
      <c r="J342" s="104"/>
      <c r="K342" s="104"/>
    </row>
    <row r="343" spans="1:11" x14ac:dyDescent="0.25">
      <c r="A343" s="6"/>
      <c r="B343" s="6"/>
      <c r="C343" s="102"/>
      <c r="D343" s="102"/>
      <c r="E343" s="103"/>
      <c r="F343" s="6"/>
      <c r="G343" s="103"/>
      <c r="H343" s="6"/>
      <c r="I343" s="104"/>
      <c r="J343" s="104"/>
      <c r="K343" s="104"/>
    </row>
    <row r="344" spans="1:11" x14ac:dyDescent="0.25">
      <c r="A344" s="6"/>
      <c r="B344" s="6"/>
      <c r="C344" s="102"/>
      <c r="D344" s="102"/>
      <c r="E344" s="103"/>
      <c r="F344" s="6"/>
      <c r="G344" s="103"/>
      <c r="H344" s="6"/>
      <c r="I344" s="104"/>
      <c r="J344" s="104"/>
      <c r="K344" s="104"/>
    </row>
    <row r="345" spans="1:11" x14ac:dyDescent="0.25">
      <c r="A345" s="6"/>
      <c r="B345" s="6"/>
      <c r="C345" s="102"/>
      <c r="D345" s="102"/>
      <c r="E345" s="103"/>
      <c r="F345" s="6"/>
      <c r="G345" s="103"/>
      <c r="H345" s="6"/>
      <c r="I345" s="104"/>
      <c r="J345" s="104"/>
      <c r="K345" s="104"/>
    </row>
    <row r="346" spans="1:11" x14ac:dyDescent="0.25">
      <c r="A346" s="6"/>
      <c r="B346" s="6"/>
      <c r="C346" s="102"/>
      <c r="D346" s="102"/>
      <c r="E346" s="103"/>
      <c r="F346" s="6"/>
      <c r="G346" s="103"/>
      <c r="H346" s="6"/>
      <c r="I346" s="104"/>
      <c r="J346" s="104"/>
      <c r="K346" s="104"/>
    </row>
    <row r="347" spans="1:11" x14ac:dyDescent="0.25">
      <c r="A347" s="6"/>
      <c r="B347" s="6"/>
      <c r="C347" s="102"/>
      <c r="D347" s="102"/>
      <c r="E347" s="103"/>
      <c r="F347" s="6"/>
      <c r="G347" s="103"/>
      <c r="H347" s="6"/>
      <c r="I347" s="104"/>
      <c r="J347" s="104"/>
      <c r="K347" s="104"/>
    </row>
    <row r="348" spans="1:11" x14ac:dyDescent="0.25">
      <c r="A348" s="6"/>
      <c r="B348" s="6"/>
      <c r="C348" s="102"/>
      <c r="D348" s="102"/>
      <c r="E348" s="103"/>
      <c r="F348" s="6"/>
      <c r="G348" s="103"/>
      <c r="H348" s="6"/>
      <c r="I348" s="104"/>
      <c r="J348" s="104"/>
      <c r="K348" s="104"/>
    </row>
    <row r="349" spans="1:11" x14ac:dyDescent="0.25">
      <c r="A349" s="6"/>
      <c r="B349" s="6"/>
      <c r="C349" s="102"/>
      <c r="D349" s="102"/>
      <c r="E349" s="103"/>
      <c r="F349" s="6"/>
      <c r="G349" s="103"/>
      <c r="H349" s="6"/>
      <c r="I349" s="104"/>
      <c r="J349" s="104"/>
      <c r="K349" s="104"/>
    </row>
    <row r="350" spans="1:11" x14ac:dyDescent="0.25">
      <c r="A350" s="6"/>
      <c r="B350" s="6"/>
      <c r="C350" s="102"/>
      <c r="D350" s="102"/>
      <c r="E350" s="103"/>
      <c r="F350" s="6"/>
      <c r="G350" s="103"/>
      <c r="H350" s="6"/>
      <c r="I350" s="104"/>
      <c r="J350" s="104"/>
      <c r="K350" s="104"/>
    </row>
    <row r="351" spans="1:11" x14ac:dyDescent="0.25">
      <c r="A351" s="6"/>
      <c r="B351" s="6"/>
      <c r="C351" s="102"/>
      <c r="D351" s="102"/>
      <c r="E351" s="103"/>
      <c r="F351" s="6"/>
      <c r="G351" s="103"/>
      <c r="H351" s="6"/>
      <c r="I351" s="104"/>
      <c r="J351" s="104"/>
      <c r="K351" s="104"/>
    </row>
    <row r="352" spans="1:11" x14ac:dyDescent="0.25">
      <c r="A352" s="6"/>
      <c r="B352" s="6"/>
      <c r="C352" s="102"/>
      <c r="D352" s="102"/>
      <c r="E352" s="103"/>
      <c r="F352" s="6"/>
      <c r="G352" s="103"/>
      <c r="H352" s="6"/>
      <c r="I352" s="104"/>
      <c r="J352" s="104"/>
      <c r="K352" s="104"/>
    </row>
    <row r="353" spans="1:11" x14ac:dyDescent="0.25">
      <c r="A353" s="6"/>
      <c r="B353" s="6"/>
      <c r="C353" s="102"/>
      <c r="D353" s="102"/>
      <c r="E353" s="103"/>
      <c r="F353" s="6"/>
      <c r="G353" s="103"/>
      <c r="H353" s="6"/>
      <c r="I353" s="104"/>
      <c r="J353" s="104"/>
      <c r="K353" s="104"/>
    </row>
    <row r="354" spans="1:11" x14ac:dyDescent="0.25">
      <c r="A354" s="6"/>
      <c r="B354" s="6"/>
      <c r="C354" s="102"/>
      <c r="D354" s="102"/>
      <c r="E354" s="103"/>
      <c r="F354" s="6"/>
      <c r="G354" s="103"/>
      <c r="H354" s="6"/>
      <c r="I354" s="104"/>
      <c r="J354" s="104"/>
      <c r="K354" s="104"/>
    </row>
    <row r="355" spans="1:11" x14ac:dyDescent="0.25">
      <c r="A355" s="6"/>
      <c r="B355" s="6"/>
      <c r="C355" s="102"/>
      <c r="D355" s="102"/>
      <c r="E355" s="103"/>
      <c r="F355" s="6"/>
      <c r="G355" s="103"/>
      <c r="H355" s="6"/>
      <c r="I355" s="104"/>
      <c r="J355" s="104"/>
      <c r="K355" s="104"/>
    </row>
    <row r="356" spans="1:11" x14ac:dyDescent="0.25">
      <c r="A356" s="6"/>
      <c r="B356" s="6"/>
      <c r="C356" s="102"/>
      <c r="D356" s="102"/>
      <c r="E356" s="103"/>
      <c r="F356" s="6"/>
      <c r="G356" s="103"/>
      <c r="H356" s="6"/>
      <c r="I356" s="104"/>
      <c r="J356" s="104"/>
      <c r="K356" s="104"/>
    </row>
    <row r="357" spans="1:11" x14ac:dyDescent="0.25">
      <c r="A357" s="6"/>
      <c r="B357" s="6"/>
      <c r="C357" s="102"/>
      <c r="D357" s="102"/>
      <c r="E357" s="103"/>
      <c r="F357" s="6"/>
      <c r="G357" s="103"/>
      <c r="H357" s="6"/>
      <c r="I357" s="104"/>
      <c r="J357" s="104"/>
      <c r="K357" s="104"/>
    </row>
    <row r="358" spans="1:11" x14ac:dyDescent="0.25">
      <c r="A358" s="6"/>
      <c r="B358" s="6"/>
      <c r="C358" s="102"/>
      <c r="D358" s="102"/>
      <c r="E358" s="103"/>
      <c r="F358" s="6"/>
      <c r="G358" s="103"/>
      <c r="H358" s="6"/>
      <c r="I358" s="104"/>
      <c r="J358" s="104"/>
      <c r="K358" s="104"/>
    </row>
    <row r="359" spans="1:11" x14ac:dyDescent="0.25">
      <c r="A359" s="6"/>
      <c r="B359" s="6"/>
      <c r="C359" s="102"/>
      <c r="D359" s="102"/>
      <c r="E359" s="103"/>
      <c r="F359" s="6"/>
      <c r="G359" s="103"/>
      <c r="H359" s="6"/>
      <c r="I359" s="104"/>
      <c r="J359" s="104"/>
      <c r="K359" s="104"/>
    </row>
    <row r="360" spans="1:11" x14ac:dyDescent="0.25">
      <c r="A360" s="6"/>
      <c r="B360" s="6"/>
      <c r="C360" s="102"/>
      <c r="D360" s="102"/>
      <c r="E360" s="103"/>
      <c r="F360" s="6"/>
      <c r="G360" s="103"/>
      <c r="H360" s="6"/>
      <c r="I360" s="104"/>
      <c r="J360" s="104"/>
      <c r="K360" s="104"/>
    </row>
    <row r="361" spans="1:11" x14ac:dyDescent="0.25">
      <c r="A361" s="6"/>
      <c r="B361" s="6"/>
      <c r="C361" s="102"/>
      <c r="D361" s="102"/>
      <c r="E361" s="103"/>
      <c r="F361" s="6"/>
      <c r="G361" s="103"/>
      <c r="H361" s="6"/>
      <c r="I361" s="104"/>
      <c r="J361" s="104"/>
      <c r="K361" s="104"/>
    </row>
    <row r="362" spans="1:11" x14ac:dyDescent="0.25">
      <c r="A362" s="6"/>
      <c r="B362" s="6"/>
      <c r="C362" s="102"/>
      <c r="D362" s="102"/>
      <c r="E362" s="103"/>
      <c r="F362" s="6"/>
      <c r="G362" s="103"/>
      <c r="H362" s="6"/>
      <c r="I362" s="104"/>
      <c r="J362" s="104"/>
      <c r="K362" s="104"/>
    </row>
    <row r="363" spans="1:11" x14ac:dyDescent="0.25">
      <c r="A363" s="6"/>
      <c r="B363" s="6"/>
      <c r="C363" s="102"/>
      <c r="D363" s="102"/>
      <c r="E363" s="103"/>
      <c r="F363" s="6"/>
      <c r="G363" s="103"/>
      <c r="H363" s="6"/>
      <c r="I363" s="104"/>
      <c r="J363" s="104"/>
      <c r="K363" s="104"/>
    </row>
    <row r="364" spans="1:11" x14ac:dyDescent="0.25">
      <c r="A364" s="6"/>
      <c r="B364" s="6"/>
      <c r="C364" s="102"/>
      <c r="D364" s="102"/>
      <c r="E364" s="103"/>
      <c r="F364" s="6"/>
      <c r="G364" s="103"/>
      <c r="H364" s="6"/>
      <c r="I364" s="104"/>
      <c r="J364" s="104"/>
      <c r="K364" s="104"/>
    </row>
    <row r="365" spans="1:11" x14ac:dyDescent="0.25">
      <c r="A365" s="6"/>
      <c r="B365" s="6"/>
      <c r="C365" s="102"/>
      <c r="D365" s="102"/>
      <c r="E365" s="103"/>
      <c r="F365" s="6"/>
      <c r="G365" s="103"/>
      <c r="H365" s="6"/>
      <c r="I365" s="104"/>
      <c r="J365" s="104"/>
      <c r="K365" s="104"/>
    </row>
    <row r="366" spans="1:11" x14ac:dyDescent="0.25">
      <c r="A366" s="6"/>
      <c r="B366" s="6"/>
      <c r="C366" s="102"/>
      <c r="D366" s="102"/>
      <c r="E366" s="103"/>
      <c r="F366" s="6"/>
      <c r="G366" s="103"/>
      <c r="H366" s="6"/>
      <c r="I366" s="104"/>
      <c r="J366" s="104"/>
      <c r="K366" s="104"/>
    </row>
    <row r="367" spans="1:11" x14ac:dyDescent="0.25">
      <c r="A367" s="6"/>
      <c r="B367" s="6"/>
      <c r="C367" s="102"/>
      <c r="D367" s="102"/>
      <c r="E367" s="103"/>
      <c r="F367" s="6"/>
      <c r="G367" s="103"/>
      <c r="H367" s="6"/>
      <c r="I367" s="104"/>
      <c r="J367" s="104"/>
      <c r="K367" s="104"/>
    </row>
    <row r="368" spans="1:11" x14ac:dyDescent="0.25">
      <c r="A368" s="6"/>
      <c r="B368" s="6"/>
      <c r="C368" s="102"/>
      <c r="D368" s="102"/>
      <c r="E368" s="103"/>
      <c r="F368" s="6"/>
      <c r="G368" s="103"/>
      <c r="H368" s="6"/>
      <c r="I368" s="104"/>
      <c r="J368" s="104"/>
      <c r="K368" s="104"/>
    </row>
    <row r="369" spans="1:11" x14ac:dyDescent="0.25">
      <c r="A369" s="6"/>
      <c r="B369" s="6"/>
      <c r="C369" s="102"/>
      <c r="D369" s="102"/>
      <c r="E369" s="103"/>
      <c r="F369" s="6"/>
      <c r="G369" s="103"/>
      <c r="H369" s="6"/>
      <c r="I369" s="104"/>
      <c r="J369" s="104"/>
      <c r="K369" s="104"/>
    </row>
    <row r="370" spans="1:11" x14ac:dyDescent="0.25">
      <c r="A370" s="6"/>
      <c r="B370" s="6"/>
      <c r="C370" s="102"/>
      <c r="D370" s="102"/>
      <c r="E370" s="103"/>
      <c r="F370" s="6"/>
      <c r="G370" s="103"/>
      <c r="H370" s="6"/>
      <c r="I370" s="104"/>
      <c r="J370" s="104"/>
      <c r="K370" s="104"/>
    </row>
    <row r="371" spans="1:11" x14ac:dyDescent="0.25">
      <c r="A371" s="6"/>
      <c r="B371" s="6"/>
      <c r="C371" s="102"/>
      <c r="D371" s="102"/>
      <c r="E371" s="103"/>
      <c r="F371" s="6"/>
      <c r="G371" s="103"/>
      <c r="H371" s="6"/>
      <c r="I371" s="104"/>
      <c r="J371" s="104"/>
      <c r="K371" s="104"/>
    </row>
    <row r="372" spans="1:11" x14ac:dyDescent="0.25">
      <c r="A372" s="6"/>
      <c r="B372" s="6"/>
      <c r="C372" s="102"/>
      <c r="D372" s="102"/>
      <c r="E372" s="103"/>
      <c r="F372" s="6"/>
      <c r="G372" s="103"/>
      <c r="H372" s="6"/>
      <c r="I372" s="104"/>
      <c r="J372" s="104"/>
      <c r="K372" s="104"/>
    </row>
    <row r="373" spans="1:11" x14ac:dyDescent="0.25">
      <c r="A373" s="6"/>
      <c r="B373" s="6"/>
      <c r="C373" s="102"/>
      <c r="D373" s="102"/>
      <c r="E373" s="103"/>
      <c r="F373" s="6"/>
      <c r="G373" s="103"/>
      <c r="H373" s="6"/>
      <c r="I373" s="104"/>
      <c r="J373" s="104"/>
      <c r="K373" s="104"/>
    </row>
    <row r="374" spans="1:11" x14ac:dyDescent="0.25">
      <c r="A374" s="6"/>
      <c r="B374" s="6"/>
      <c r="C374" s="102"/>
      <c r="D374" s="102"/>
      <c r="E374" s="103"/>
      <c r="F374" s="6"/>
      <c r="G374" s="103"/>
      <c r="H374" s="6"/>
      <c r="I374" s="104"/>
      <c r="J374" s="104"/>
      <c r="K374" s="104"/>
    </row>
    <row r="375" spans="1:11" x14ac:dyDescent="0.25">
      <c r="A375" s="6"/>
      <c r="B375" s="6"/>
      <c r="C375" s="102"/>
      <c r="D375" s="102"/>
      <c r="E375" s="103"/>
      <c r="F375" s="6"/>
      <c r="G375" s="103"/>
      <c r="H375" s="6"/>
      <c r="I375" s="104"/>
      <c r="J375" s="104"/>
      <c r="K375" s="104"/>
    </row>
    <row r="376" spans="1:11" x14ac:dyDescent="0.25">
      <c r="A376" s="6"/>
      <c r="B376" s="6"/>
      <c r="C376" s="102"/>
      <c r="D376" s="102"/>
      <c r="E376" s="103"/>
      <c r="F376" s="6"/>
      <c r="G376" s="103"/>
      <c r="H376" s="6"/>
      <c r="I376" s="104"/>
      <c r="J376" s="104"/>
      <c r="K376" s="104"/>
    </row>
    <row r="377" spans="1:11" x14ac:dyDescent="0.25">
      <c r="A377" s="6"/>
      <c r="B377" s="6"/>
      <c r="C377" s="102"/>
      <c r="D377" s="102"/>
      <c r="E377" s="103"/>
      <c r="F377" s="6"/>
      <c r="G377" s="103"/>
      <c r="H377" s="6"/>
      <c r="I377" s="104"/>
      <c r="J377" s="104"/>
      <c r="K377" s="104"/>
    </row>
    <row r="378" spans="1:11" x14ac:dyDescent="0.25">
      <c r="A378" s="6"/>
      <c r="B378" s="6"/>
      <c r="C378" s="102"/>
      <c r="D378" s="102"/>
      <c r="E378" s="103"/>
      <c r="F378" s="6"/>
      <c r="G378" s="103"/>
      <c r="H378" s="6"/>
      <c r="I378" s="104"/>
      <c r="J378" s="104"/>
      <c r="K378" s="104"/>
    </row>
    <row r="379" spans="1:11" x14ac:dyDescent="0.25">
      <c r="A379" s="6"/>
      <c r="B379" s="6"/>
      <c r="C379" s="102"/>
      <c r="D379" s="102"/>
      <c r="E379" s="103"/>
      <c r="F379" s="6"/>
      <c r="G379" s="103"/>
      <c r="H379" s="6"/>
      <c r="I379" s="104"/>
      <c r="J379" s="104"/>
      <c r="K379" s="104"/>
    </row>
    <row r="380" spans="1:11" x14ac:dyDescent="0.25">
      <c r="A380" s="6"/>
      <c r="B380" s="6"/>
      <c r="C380" s="102"/>
      <c r="D380" s="102"/>
      <c r="E380" s="103"/>
      <c r="F380" s="6"/>
      <c r="G380" s="103"/>
      <c r="H380" s="6"/>
      <c r="I380" s="104"/>
      <c r="J380" s="104"/>
      <c r="K380" s="104"/>
    </row>
    <row r="381" spans="1:11" x14ac:dyDescent="0.25">
      <c r="A381" s="6"/>
      <c r="B381" s="6"/>
      <c r="C381" s="102"/>
      <c r="D381" s="102"/>
      <c r="E381" s="103"/>
      <c r="F381" s="6"/>
      <c r="G381" s="103"/>
      <c r="H381" s="6"/>
      <c r="I381" s="104"/>
      <c r="J381" s="104"/>
      <c r="K381" s="104"/>
    </row>
    <row r="382" spans="1:11" x14ac:dyDescent="0.25">
      <c r="A382" s="6"/>
      <c r="B382" s="6"/>
      <c r="C382" s="102"/>
      <c r="D382" s="102"/>
      <c r="E382" s="103"/>
      <c r="F382" s="6"/>
      <c r="G382" s="103"/>
      <c r="H382" s="6"/>
      <c r="I382" s="104"/>
      <c r="J382" s="104"/>
      <c r="K382" s="104"/>
    </row>
    <row r="383" spans="1:11" x14ac:dyDescent="0.25">
      <c r="A383" s="6"/>
      <c r="B383" s="6"/>
      <c r="C383" s="102"/>
      <c r="D383" s="102"/>
      <c r="E383" s="103"/>
      <c r="F383" s="6"/>
      <c r="G383" s="103"/>
      <c r="H383" s="6"/>
      <c r="I383" s="104"/>
      <c r="J383" s="104"/>
      <c r="K383" s="104"/>
    </row>
    <row r="384" spans="1:11" x14ac:dyDescent="0.25">
      <c r="A384" s="6"/>
      <c r="B384" s="6"/>
      <c r="C384" s="102"/>
      <c r="D384" s="102"/>
      <c r="E384" s="103"/>
      <c r="F384" s="6"/>
      <c r="G384" s="103"/>
      <c r="H384" s="6"/>
      <c r="I384" s="104"/>
      <c r="J384" s="104"/>
      <c r="K384" s="104"/>
    </row>
    <row r="385" spans="1:11" x14ac:dyDescent="0.25">
      <c r="A385" s="6"/>
      <c r="B385" s="6"/>
      <c r="C385" s="102"/>
      <c r="D385" s="102"/>
      <c r="E385" s="103"/>
      <c r="F385" s="6"/>
      <c r="G385" s="103"/>
      <c r="H385" s="6"/>
      <c r="I385" s="104"/>
      <c r="J385" s="104"/>
      <c r="K385" s="104"/>
    </row>
    <row r="386" spans="1:11" x14ac:dyDescent="0.25">
      <c r="A386" s="6"/>
      <c r="B386" s="6"/>
      <c r="C386" s="102"/>
      <c r="D386" s="102"/>
      <c r="E386" s="103"/>
      <c r="F386" s="6"/>
      <c r="G386" s="103"/>
      <c r="H386" s="6"/>
      <c r="I386" s="104"/>
      <c r="J386" s="104"/>
      <c r="K386" s="104"/>
    </row>
    <row r="387" spans="1:11" x14ac:dyDescent="0.25">
      <c r="A387" s="6"/>
      <c r="B387" s="6"/>
      <c r="C387" s="102"/>
      <c r="D387" s="102"/>
      <c r="E387" s="103"/>
      <c r="F387" s="6"/>
      <c r="G387" s="103"/>
      <c r="H387" s="6"/>
      <c r="I387" s="104"/>
      <c r="J387" s="104"/>
      <c r="K387" s="104"/>
    </row>
    <row r="388" spans="1:11" x14ac:dyDescent="0.25">
      <c r="A388" s="6"/>
      <c r="B388" s="6"/>
      <c r="C388" s="102"/>
      <c r="D388" s="102"/>
      <c r="E388" s="103"/>
      <c r="F388" s="6"/>
      <c r="G388" s="103"/>
      <c r="H388" s="6"/>
      <c r="I388" s="104"/>
      <c r="J388" s="104"/>
      <c r="K388" s="104"/>
    </row>
    <row r="389" spans="1:11" x14ac:dyDescent="0.25">
      <c r="A389" s="6"/>
      <c r="B389" s="6"/>
      <c r="C389" s="102"/>
      <c r="D389" s="102"/>
      <c r="E389" s="103"/>
      <c r="F389" s="6"/>
      <c r="G389" s="103"/>
      <c r="H389" s="6"/>
      <c r="I389" s="104"/>
      <c r="J389" s="104"/>
      <c r="K389" s="104"/>
    </row>
    <row r="390" spans="1:11" x14ac:dyDescent="0.25">
      <c r="A390" s="6"/>
      <c r="B390" s="6"/>
      <c r="C390" s="102"/>
      <c r="D390" s="102"/>
      <c r="E390" s="103"/>
      <c r="F390" s="6"/>
      <c r="G390" s="103"/>
      <c r="H390" s="6"/>
      <c r="I390" s="104"/>
      <c r="J390" s="104"/>
      <c r="K390" s="104"/>
    </row>
    <row r="391" spans="1:11" x14ac:dyDescent="0.25">
      <c r="A391" s="6"/>
      <c r="B391" s="6"/>
      <c r="C391" s="102"/>
      <c r="D391" s="102"/>
      <c r="E391" s="103"/>
      <c r="F391" s="6"/>
      <c r="G391" s="103"/>
      <c r="H391" s="6"/>
      <c r="I391" s="104"/>
      <c r="J391" s="104"/>
      <c r="K391" s="104"/>
    </row>
    <row r="392" spans="1:11" x14ac:dyDescent="0.25">
      <c r="A392" s="6"/>
      <c r="B392" s="6"/>
      <c r="C392" s="102"/>
      <c r="D392" s="102"/>
      <c r="E392" s="103"/>
      <c r="F392" s="6"/>
      <c r="G392" s="103"/>
      <c r="H392" s="6"/>
      <c r="I392" s="104"/>
      <c r="J392" s="104"/>
      <c r="K392" s="104"/>
    </row>
    <row r="393" spans="1:11" x14ac:dyDescent="0.25">
      <c r="A393" s="6"/>
      <c r="B393" s="6"/>
      <c r="C393" s="102"/>
      <c r="D393" s="102"/>
      <c r="E393" s="103"/>
      <c r="F393" s="6"/>
      <c r="G393" s="103"/>
      <c r="H393" s="6"/>
      <c r="I393" s="104"/>
      <c r="J393" s="104"/>
      <c r="K393" s="104"/>
    </row>
    <row r="394" spans="1:11" x14ac:dyDescent="0.25">
      <c r="A394" s="6"/>
      <c r="B394" s="6"/>
      <c r="C394" s="102"/>
      <c r="D394" s="102"/>
      <c r="E394" s="103"/>
      <c r="F394" s="6"/>
      <c r="G394" s="103"/>
      <c r="H394" s="6"/>
      <c r="I394" s="104"/>
      <c r="J394" s="104"/>
      <c r="K394" s="104"/>
    </row>
    <row r="395" spans="1:11" x14ac:dyDescent="0.25">
      <c r="A395" s="6"/>
      <c r="B395" s="6"/>
      <c r="C395" s="102"/>
      <c r="D395" s="102"/>
      <c r="E395" s="103"/>
      <c r="F395" s="6"/>
      <c r="G395" s="103"/>
      <c r="H395" s="6"/>
      <c r="I395" s="104"/>
      <c r="J395" s="104"/>
      <c r="K395" s="104"/>
    </row>
    <row r="396" spans="1:11" x14ac:dyDescent="0.25">
      <c r="A396" s="6"/>
      <c r="B396" s="6"/>
      <c r="C396" s="102"/>
      <c r="D396" s="102"/>
      <c r="E396" s="103"/>
      <c r="F396" s="6"/>
      <c r="G396" s="103"/>
      <c r="H396" s="6"/>
      <c r="I396" s="104"/>
      <c r="J396" s="104"/>
      <c r="K396" s="104"/>
    </row>
    <row r="397" spans="1:11" x14ac:dyDescent="0.25">
      <c r="A397" s="6"/>
      <c r="B397" s="6"/>
      <c r="C397" s="102"/>
      <c r="D397" s="102"/>
      <c r="E397" s="103"/>
      <c r="F397" s="6"/>
      <c r="G397" s="103"/>
      <c r="H397" s="6"/>
      <c r="I397" s="104"/>
      <c r="J397" s="104"/>
      <c r="K397" s="104"/>
    </row>
    <row r="398" spans="1:11" x14ac:dyDescent="0.25">
      <c r="A398" s="6"/>
      <c r="B398" s="6"/>
      <c r="C398" s="102"/>
      <c r="D398" s="102"/>
      <c r="E398" s="103"/>
      <c r="F398" s="6"/>
      <c r="G398" s="103"/>
      <c r="H398" s="6"/>
      <c r="I398" s="104"/>
      <c r="J398" s="104"/>
      <c r="K398" s="104"/>
    </row>
    <row r="399" spans="1:11" x14ac:dyDescent="0.25">
      <c r="A399" s="6"/>
      <c r="B399" s="6"/>
      <c r="C399" s="102"/>
      <c r="D399" s="102"/>
      <c r="E399" s="103"/>
      <c r="F399" s="6"/>
      <c r="G399" s="103"/>
      <c r="H399" s="6"/>
      <c r="I399" s="104"/>
      <c r="J399" s="104"/>
      <c r="K399" s="104"/>
    </row>
    <row r="400" spans="1:11" x14ac:dyDescent="0.25">
      <c r="A400" s="6"/>
      <c r="B400" s="6"/>
      <c r="C400" s="102"/>
      <c r="D400" s="102"/>
      <c r="E400" s="103"/>
      <c r="F400" s="6"/>
      <c r="G400" s="103"/>
      <c r="H400" s="6"/>
      <c r="I400" s="104"/>
      <c r="J400" s="104"/>
      <c r="K400" s="104"/>
    </row>
    <row r="401" spans="1:11" x14ac:dyDescent="0.25">
      <c r="A401" s="6"/>
      <c r="B401" s="6"/>
      <c r="C401" s="102"/>
      <c r="D401" s="102"/>
      <c r="E401" s="103"/>
      <c r="F401" s="6"/>
      <c r="G401" s="103"/>
      <c r="H401" s="6"/>
      <c r="I401" s="104"/>
      <c r="J401" s="104"/>
      <c r="K401" s="104"/>
    </row>
    <row r="402" spans="1:11" x14ac:dyDescent="0.25">
      <c r="A402" s="6"/>
      <c r="B402" s="6"/>
      <c r="C402" s="102"/>
      <c r="D402" s="102"/>
      <c r="E402" s="103"/>
      <c r="F402" s="6"/>
      <c r="G402" s="103"/>
      <c r="H402" s="6"/>
      <c r="I402" s="104"/>
      <c r="J402" s="104"/>
      <c r="K402" s="104"/>
    </row>
    <row r="403" spans="1:11" x14ac:dyDescent="0.25">
      <c r="A403" s="6"/>
      <c r="B403" s="6"/>
      <c r="C403" s="102"/>
      <c r="D403" s="102"/>
      <c r="E403" s="103"/>
      <c r="F403" s="6"/>
      <c r="G403" s="103"/>
      <c r="H403" s="6"/>
      <c r="I403" s="104"/>
      <c r="J403" s="104"/>
      <c r="K403" s="104"/>
    </row>
    <row r="404" spans="1:11" x14ac:dyDescent="0.25">
      <c r="A404" s="6"/>
      <c r="B404" s="6"/>
      <c r="C404" s="102"/>
      <c r="D404" s="102"/>
      <c r="E404" s="103"/>
      <c r="F404" s="6"/>
      <c r="G404" s="103"/>
      <c r="H404" s="6"/>
      <c r="I404" s="104"/>
      <c r="J404" s="104"/>
      <c r="K404" s="104"/>
    </row>
    <row r="405" spans="1:11" x14ac:dyDescent="0.25">
      <c r="A405" s="6"/>
      <c r="B405" s="6"/>
      <c r="C405" s="102"/>
      <c r="D405" s="102"/>
      <c r="E405" s="103"/>
      <c r="F405" s="6"/>
      <c r="G405" s="103"/>
      <c r="H405" s="6"/>
      <c r="I405" s="104"/>
      <c r="J405" s="104"/>
      <c r="K405" s="104"/>
    </row>
    <row r="406" spans="1:11" x14ac:dyDescent="0.25">
      <c r="A406" s="6"/>
      <c r="B406" s="6"/>
      <c r="C406" s="102"/>
      <c r="D406" s="102"/>
      <c r="E406" s="103"/>
      <c r="F406" s="6"/>
      <c r="G406" s="103"/>
      <c r="H406" s="6"/>
      <c r="I406" s="104"/>
      <c r="J406" s="104"/>
      <c r="K406" s="104"/>
    </row>
    <row r="407" spans="1:11" x14ac:dyDescent="0.25">
      <c r="A407" s="6"/>
      <c r="B407" s="6"/>
      <c r="C407" s="102"/>
      <c r="D407" s="102"/>
      <c r="E407" s="103"/>
      <c r="F407" s="6"/>
      <c r="G407" s="103"/>
      <c r="H407" s="6"/>
      <c r="I407" s="104"/>
      <c r="J407" s="104"/>
      <c r="K407" s="104"/>
    </row>
    <row r="408" spans="1:11" x14ac:dyDescent="0.25">
      <c r="A408" s="6"/>
      <c r="B408" s="6"/>
      <c r="C408" s="102"/>
      <c r="D408" s="102"/>
      <c r="E408" s="103"/>
      <c r="F408" s="6"/>
      <c r="G408" s="103"/>
      <c r="H408" s="6"/>
      <c r="I408" s="104"/>
      <c r="J408" s="104"/>
      <c r="K408" s="104"/>
    </row>
    <row r="409" spans="1:11" x14ac:dyDescent="0.25">
      <c r="A409" s="6"/>
      <c r="B409" s="6"/>
      <c r="C409" s="102"/>
      <c r="D409" s="102"/>
      <c r="E409" s="103"/>
      <c r="F409" s="6"/>
      <c r="G409" s="103"/>
      <c r="H409" s="6"/>
      <c r="I409" s="104"/>
      <c r="J409" s="104"/>
      <c r="K409" s="104"/>
    </row>
    <row r="410" spans="1:11" x14ac:dyDescent="0.25">
      <c r="A410" s="6"/>
      <c r="B410" s="6"/>
      <c r="C410" s="102"/>
      <c r="D410" s="102"/>
      <c r="E410" s="103"/>
      <c r="F410" s="6"/>
      <c r="G410" s="103"/>
      <c r="H410" s="6"/>
      <c r="I410" s="104"/>
      <c r="J410" s="104"/>
      <c r="K410" s="104"/>
    </row>
    <row r="411" spans="1:11" x14ac:dyDescent="0.25">
      <c r="A411" s="6"/>
      <c r="B411" s="6"/>
      <c r="C411" s="102"/>
      <c r="D411" s="102"/>
      <c r="E411" s="103"/>
      <c r="F411" s="6"/>
      <c r="G411" s="103"/>
      <c r="H411" s="6"/>
      <c r="I411" s="104"/>
      <c r="J411" s="104"/>
      <c r="K411" s="104"/>
    </row>
    <row r="412" spans="1:11" x14ac:dyDescent="0.25">
      <c r="A412" s="6"/>
      <c r="B412" s="6"/>
      <c r="C412" s="102"/>
      <c r="D412" s="102"/>
      <c r="E412" s="103"/>
      <c r="F412" s="6"/>
      <c r="G412" s="103"/>
      <c r="H412" s="6"/>
      <c r="I412" s="104"/>
      <c r="J412" s="104"/>
      <c r="K412" s="104"/>
    </row>
    <row r="413" spans="1:11" x14ac:dyDescent="0.25">
      <c r="A413" s="6"/>
      <c r="B413" s="6"/>
      <c r="C413" s="102"/>
      <c r="D413" s="102"/>
      <c r="E413" s="103"/>
      <c r="F413" s="6"/>
      <c r="G413" s="103"/>
      <c r="H413" s="6"/>
      <c r="I413" s="104"/>
      <c r="J413" s="104"/>
      <c r="K413" s="104"/>
    </row>
    <row r="414" spans="1:11" x14ac:dyDescent="0.25">
      <c r="A414" s="6"/>
      <c r="B414" s="6"/>
      <c r="C414" s="102"/>
      <c r="D414" s="102"/>
      <c r="E414" s="103"/>
      <c r="F414" s="6"/>
      <c r="G414" s="103"/>
      <c r="H414" s="6"/>
      <c r="I414" s="104"/>
      <c r="J414" s="104"/>
      <c r="K414" s="104"/>
    </row>
    <row r="415" spans="1:11" x14ac:dyDescent="0.25">
      <c r="A415" s="6"/>
      <c r="B415" s="6"/>
      <c r="C415" s="102"/>
      <c r="D415" s="102"/>
      <c r="E415" s="103"/>
      <c r="F415" s="6"/>
      <c r="G415" s="103"/>
      <c r="H415" s="6"/>
      <c r="I415" s="104"/>
      <c r="J415" s="104"/>
      <c r="K415" s="104"/>
    </row>
    <row r="416" spans="1:11" x14ac:dyDescent="0.25">
      <c r="A416" s="6"/>
      <c r="B416" s="6"/>
      <c r="C416" s="102"/>
      <c r="D416" s="102"/>
      <c r="E416" s="103"/>
      <c r="F416" s="6"/>
      <c r="G416" s="103"/>
      <c r="H416" s="6"/>
      <c r="I416" s="104"/>
      <c r="J416" s="104"/>
      <c r="K416" s="104"/>
    </row>
    <row r="417" spans="1:11" x14ac:dyDescent="0.25">
      <c r="A417" s="6"/>
      <c r="B417" s="6"/>
      <c r="C417" s="102"/>
      <c r="D417" s="102"/>
      <c r="E417" s="103"/>
      <c r="F417" s="6"/>
      <c r="G417" s="103"/>
      <c r="H417" s="6"/>
      <c r="I417" s="104"/>
      <c r="J417" s="104"/>
      <c r="K417" s="104"/>
    </row>
    <row r="418" spans="1:11" x14ac:dyDescent="0.25">
      <c r="A418" s="6"/>
      <c r="B418" s="6"/>
      <c r="C418" s="102"/>
      <c r="D418" s="102"/>
      <c r="E418" s="103"/>
      <c r="F418" s="6"/>
      <c r="G418" s="103"/>
      <c r="H418" s="6"/>
      <c r="I418" s="104"/>
      <c r="J418" s="104"/>
      <c r="K418" s="104"/>
    </row>
    <row r="419" spans="1:11" x14ac:dyDescent="0.25">
      <c r="A419" s="6"/>
      <c r="B419" s="6"/>
      <c r="C419" s="102"/>
      <c r="D419" s="102"/>
      <c r="E419" s="103"/>
      <c r="F419" s="6"/>
      <c r="G419" s="103"/>
      <c r="H419" s="6"/>
      <c r="I419" s="104"/>
      <c r="J419" s="104"/>
      <c r="K419" s="104"/>
    </row>
    <row r="420" spans="1:11" x14ac:dyDescent="0.25">
      <c r="A420" s="6"/>
      <c r="B420" s="6"/>
      <c r="C420" s="102"/>
      <c r="D420" s="102"/>
      <c r="E420" s="103"/>
      <c r="F420" s="6"/>
      <c r="G420" s="103"/>
      <c r="H420" s="6"/>
      <c r="I420" s="104"/>
      <c r="J420" s="104"/>
      <c r="K420" s="104"/>
    </row>
    <row r="421" spans="1:11" x14ac:dyDescent="0.25">
      <c r="A421" s="6"/>
      <c r="B421" s="6"/>
      <c r="C421" s="102"/>
      <c r="D421" s="102"/>
      <c r="E421" s="103"/>
      <c r="F421" s="6"/>
      <c r="G421" s="103"/>
      <c r="H421" s="6"/>
      <c r="I421" s="104"/>
      <c r="J421" s="104"/>
      <c r="K421" s="104"/>
    </row>
    <row r="422" spans="1:11" x14ac:dyDescent="0.25">
      <c r="A422" s="6"/>
      <c r="B422" s="6"/>
      <c r="C422" s="102"/>
      <c r="D422" s="102"/>
      <c r="E422" s="103"/>
      <c r="F422" s="6"/>
      <c r="G422" s="103"/>
      <c r="H422" s="6"/>
      <c r="I422" s="104"/>
      <c r="J422" s="104"/>
      <c r="K422" s="104"/>
    </row>
    <row r="423" spans="1:11" x14ac:dyDescent="0.25">
      <c r="A423" s="6"/>
      <c r="B423" s="6"/>
      <c r="C423" s="102"/>
      <c r="D423" s="102"/>
      <c r="E423" s="103"/>
      <c r="F423" s="6"/>
      <c r="G423" s="103"/>
      <c r="H423" s="6"/>
      <c r="I423" s="104"/>
      <c r="J423" s="104"/>
      <c r="K423" s="104"/>
    </row>
    <row r="424" spans="1:11" x14ac:dyDescent="0.25">
      <c r="A424" s="6"/>
      <c r="B424" s="6"/>
      <c r="C424" s="102"/>
      <c r="D424" s="102"/>
      <c r="E424" s="103"/>
      <c r="F424" s="6"/>
      <c r="G424" s="103"/>
      <c r="H424" s="6"/>
      <c r="I424" s="104"/>
      <c r="J424" s="104"/>
      <c r="K424" s="104"/>
    </row>
    <row r="425" spans="1:11" x14ac:dyDescent="0.25">
      <c r="A425" s="6"/>
      <c r="B425" s="6"/>
      <c r="C425" s="102"/>
      <c r="D425" s="102"/>
      <c r="E425" s="103"/>
      <c r="F425" s="6"/>
      <c r="G425" s="103"/>
      <c r="H425" s="6"/>
      <c r="I425" s="104"/>
      <c r="J425" s="104"/>
      <c r="K425" s="104"/>
    </row>
    <row r="426" spans="1:11" x14ac:dyDescent="0.25">
      <c r="A426" s="6"/>
      <c r="B426" s="6"/>
      <c r="C426" s="102"/>
      <c r="D426" s="102"/>
      <c r="E426" s="103"/>
      <c r="F426" s="6"/>
      <c r="G426" s="103"/>
      <c r="H426" s="6"/>
      <c r="I426" s="104"/>
      <c r="J426" s="104"/>
      <c r="K426" s="104"/>
    </row>
    <row r="427" spans="1:11" x14ac:dyDescent="0.25">
      <c r="A427" s="6"/>
      <c r="B427" s="6"/>
      <c r="C427" s="102"/>
      <c r="D427" s="102"/>
      <c r="E427" s="103"/>
      <c r="F427" s="6"/>
      <c r="G427" s="103"/>
      <c r="H427" s="6"/>
      <c r="I427" s="104"/>
      <c r="J427" s="104"/>
      <c r="K427" s="104"/>
    </row>
    <row r="428" spans="1:11" x14ac:dyDescent="0.25">
      <c r="A428" s="6"/>
      <c r="B428" s="6"/>
      <c r="C428" s="102"/>
      <c r="D428" s="102"/>
      <c r="E428" s="103"/>
      <c r="F428" s="6"/>
      <c r="G428" s="103"/>
      <c r="H428" s="6"/>
      <c r="I428" s="104"/>
      <c r="J428" s="104"/>
      <c r="K428" s="104"/>
    </row>
    <row r="429" spans="1:11" x14ac:dyDescent="0.25">
      <c r="A429" s="6"/>
      <c r="B429" s="6"/>
      <c r="C429" s="102"/>
      <c r="D429" s="102"/>
      <c r="E429" s="103"/>
      <c r="F429" s="6"/>
      <c r="G429" s="103"/>
      <c r="H429" s="6"/>
      <c r="I429" s="104"/>
      <c r="J429" s="104"/>
      <c r="K429" s="104"/>
    </row>
    <row r="430" spans="1:11" x14ac:dyDescent="0.25">
      <c r="A430" s="6"/>
      <c r="B430" s="6"/>
      <c r="C430" s="102"/>
      <c r="D430" s="102"/>
      <c r="E430" s="103"/>
      <c r="F430" s="6"/>
      <c r="G430" s="103"/>
      <c r="H430" s="6"/>
      <c r="I430" s="104"/>
      <c r="J430" s="104"/>
      <c r="K430" s="104"/>
    </row>
    <row r="431" spans="1:11" x14ac:dyDescent="0.25">
      <c r="A431" s="6"/>
      <c r="B431" s="6"/>
      <c r="C431" s="102"/>
      <c r="D431" s="102"/>
      <c r="E431" s="103"/>
      <c r="F431" s="6"/>
      <c r="G431" s="103"/>
      <c r="H431" s="6"/>
      <c r="I431" s="104"/>
      <c r="J431" s="104"/>
      <c r="K431" s="104"/>
    </row>
    <row r="432" spans="1:11" x14ac:dyDescent="0.25">
      <c r="A432" s="6"/>
      <c r="B432" s="6"/>
      <c r="C432" s="102"/>
      <c r="D432" s="102"/>
      <c r="E432" s="103"/>
      <c r="F432" s="6"/>
      <c r="G432" s="103"/>
      <c r="H432" s="6"/>
      <c r="I432" s="104"/>
      <c r="J432" s="104"/>
      <c r="K432" s="104"/>
    </row>
    <row r="433" spans="1:11" x14ac:dyDescent="0.25">
      <c r="A433" s="6"/>
      <c r="B433" s="6"/>
      <c r="C433" s="102"/>
      <c r="D433" s="102"/>
      <c r="E433" s="103"/>
      <c r="F433" s="6"/>
      <c r="G433" s="103"/>
      <c r="H433" s="6"/>
      <c r="I433" s="104"/>
      <c r="J433" s="104"/>
      <c r="K433" s="104"/>
    </row>
    <row r="434" spans="1:11" x14ac:dyDescent="0.25">
      <c r="A434" s="6"/>
      <c r="B434" s="6"/>
      <c r="C434" s="102"/>
      <c r="D434" s="102"/>
      <c r="E434" s="103"/>
      <c r="F434" s="6"/>
      <c r="G434" s="103"/>
      <c r="H434" s="6"/>
      <c r="I434" s="104"/>
      <c r="J434" s="104"/>
      <c r="K434" s="104"/>
    </row>
    <row r="435" spans="1:11" x14ac:dyDescent="0.25">
      <c r="A435" s="6"/>
      <c r="B435" s="6"/>
      <c r="C435" s="102"/>
      <c r="D435" s="102"/>
      <c r="E435" s="103"/>
      <c r="F435" s="6"/>
      <c r="G435" s="103"/>
      <c r="H435" s="6"/>
      <c r="I435" s="104"/>
      <c r="J435" s="104"/>
      <c r="K435" s="104"/>
    </row>
    <row r="436" spans="1:11" x14ac:dyDescent="0.25">
      <c r="A436" s="6"/>
      <c r="B436" s="6"/>
      <c r="C436" s="102"/>
      <c r="D436" s="102"/>
      <c r="E436" s="103"/>
      <c r="F436" s="6"/>
      <c r="G436" s="103"/>
      <c r="H436" s="6"/>
      <c r="I436" s="104"/>
      <c r="J436" s="104"/>
      <c r="K436" s="104"/>
    </row>
    <row r="437" spans="1:11" x14ac:dyDescent="0.25">
      <c r="A437" s="6"/>
      <c r="B437" s="6"/>
      <c r="C437" s="102"/>
      <c r="D437" s="102"/>
      <c r="E437" s="103"/>
      <c r="F437" s="6"/>
      <c r="G437" s="103"/>
      <c r="H437" s="6"/>
      <c r="I437" s="104"/>
      <c r="J437" s="104"/>
      <c r="K437" s="104"/>
    </row>
    <row r="438" spans="1:11" x14ac:dyDescent="0.25">
      <c r="A438" s="6"/>
      <c r="B438" s="6"/>
      <c r="C438" s="102"/>
      <c r="D438" s="102"/>
      <c r="E438" s="103"/>
      <c r="F438" s="6"/>
      <c r="G438" s="103"/>
      <c r="H438" s="6"/>
      <c r="I438" s="104"/>
      <c r="J438" s="104"/>
      <c r="K438" s="104"/>
    </row>
    <row r="439" spans="1:11" x14ac:dyDescent="0.25">
      <c r="A439" s="6"/>
      <c r="B439" s="6"/>
      <c r="C439" s="102"/>
      <c r="D439" s="102"/>
      <c r="E439" s="103"/>
      <c r="F439" s="6"/>
      <c r="G439" s="103"/>
      <c r="H439" s="6"/>
      <c r="I439" s="104"/>
      <c r="J439" s="104"/>
      <c r="K439" s="104"/>
    </row>
    <row r="440" spans="1:11" x14ac:dyDescent="0.25">
      <c r="A440" s="6"/>
      <c r="B440" s="6"/>
      <c r="C440" s="102"/>
      <c r="D440" s="102"/>
      <c r="E440" s="103"/>
      <c r="F440" s="6"/>
      <c r="G440" s="103"/>
      <c r="H440" s="6"/>
      <c r="I440" s="104"/>
      <c r="J440" s="104"/>
      <c r="K440" s="104"/>
    </row>
    <row r="441" spans="1:11" x14ac:dyDescent="0.25">
      <c r="A441" s="6"/>
      <c r="B441" s="6"/>
      <c r="C441" s="102"/>
      <c r="D441" s="102"/>
      <c r="E441" s="103"/>
      <c r="F441" s="6"/>
      <c r="G441" s="103"/>
      <c r="H441" s="6"/>
      <c r="I441" s="104"/>
      <c r="J441" s="104"/>
      <c r="K441" s="104"/>
    </row>
    <row r="442" spans="1:11" x14ac:dyDescent="0.25">
      <c r="A442" s="6"/>
      <c r="B442" s="6"/>
      <c r="C442" s="102"/>
      <c r="D442" s="102"/>
      <c r="E442" s="103"/>
      <c r="F442" s="6"/>
      <c r="G442" s="103"/>
      <c r="H442" s="6"/>
      <c r="I442" s="104"/>
      <c r="J442" s="104"/>
      <c r="K442" s="104"/>
    </row>
    <row r="443" spans="1:11" x14ac:dyDescent="0.25">
      <c r="A443" s="6"/>
      <c r="B443" s="6"/>
      <c r="C443" s="102"/>
      <c r="D443" s="102"/>
      <c r="E443" s="103"/>
      <c r="F443" s="6"/>
      <c r="G443" s="103"/>
      <c r="H443" s="6"/>
      <c r="I443" s="104"/>
      <c r="J443" s="104"/>
      <c r="K443" s="104"/>
    </row>
    <row r="444" spans="1:11" x14ac:dyDescent="0.25">
      <c r="A444" s="6"/>
      <c r="B444" s="6"/>
      <c r="C444" s="102"/>
      <c r="D444" s="102"/>
      <c r="E444" s="103"/>
      <c r="F444" s="6"/>
      <c r="G444" s="103"/>
      <c r="H444" s="6"/>
      <c r="I444" s="104"/>
      <c r="J444" s="104"/>
      <c r="K444" s="104"/>
    </row>
    <row r="445" spans="1:11" x14ac:dyDescent="0.25">
      <c r="A445" s="6"/>
      <c r="B445" s="6"/>
      <c r="C445" s="102"/>
      <c r="D445" s="102"/>
      <c r="E445" s="103"/>
      <c r="F445" s="6"/>
      <c r="G445" s="103"/>
      <c r="H445" s="6"/>
      <c r="I445" s="104"/>
      <c r="J445" s="104"/>
      <c r="K445" s="104"/>
    </row>
    <row r="446" spans="1:11" x14ac:dyDescent="0.25">
      <c r="A446" s="6"/>
      <c r="B446" s="6"/>
      <c r="C446" s="102"/>
      <c r="D446" s="102"/>
      <c r="E446" s="103"/>
      <c r="F446" s="6"/>
      <c r="G446" s="103"/>
      <c r="H446" s="6"/>
      <c r="I446" s="104"/>
      <c r="J446" s="104"/>
      <c r="K446" s="104"/>
    </row>
    <row r="447" spans="1:11" x14ac:dyDescent="0.25">
      <c r="A447" s="6"/>
      <c r="B447" s="6"/>
      <c r="C447" s="102"/>
      <c r="D447" s="102"/>
      <c r="E447" s="103"/>
      <c r="F447" s="6"/>
      <c r="G447" s="103"/>
      <c r="H447" s="6"/>
      <c r="I447" s="104"/>
      <c r="J447" s="104"/>
      <c r="K447" s="104"/>
    </row>
    <row r="448" spans="1:11" x14ac:dyDescent="0.25">
      <c r="A448" s="6"/>
      <c r="B448" s="6"/>
      <c r="C448" s="102"/>
      <c r="D448" s="102"/>
      <c r="E448" s="103"/>
      <c r="F448" s="6"/>
      <c r="G448" s="103"/>
      <c r="H448" s="6"/>
      <c r="I448" s="104"/>
      <c r="J448" s="104"/>
      <c r="K448" s="104"/>
    </row>
    <row r="449" spans="1:11" x14ac:dyDescent="0.25">
      <c r="A449" s="6"/>
      <c r="B449" s="6"/>
      <c r="C449" s="102"/>
      <c r="D449" s="102"/>
      <c r="E449" s="103"/>
      <c r="F449" s="6"/>
      <c r="G449" s="103"/>
      <c r="H449" s="6"/>
      <c r="I449" s="104"/>
      <c r="J449" s="104"/>
      <c r="K449" s="104"/>
    </row>
    <row r="450" spans="1:11" x14ac:dyDescent="0.25">
      <c r="A450" s="6"/>
      <c r="B450" s="6"/>
      <c r="C450" s="102"/>
      <c r="D450" s="102"/>
      <c r="E450" s="103"/>
      <c r="F450" s="6"/>
      <c r="G450" s="103"/>
      <c r="H450" s="6"/>
      <c r="I450" s="104"/>
      <c r="J450" s="104"/>
      <c r="K450" s="104"/>
    </row>
    <row r="451" spans="1:11" x14ac:dyDescent="0.25">
      <c r="A451" s="6"/>
      <c r="B451" s="6"/>
      <c r="C451" s="102"/>
      <c r="D451" s="102"/>
      <c r="E451" s="103"/>
      <c r="F451" s="6"/>
      <c r="G451" s="103"/>
      <c r="H451" s="6"/>
      <c r="I451" s="104"/>
      <c r="J451" s="104"/>
      <c r="K451" s="104"/>
    </row>
    <row r="452" spans="1:11" x14ac:dyDescent="0.25">
      <c r="A452" s="6"/>
      <c r="B452" s="6"/>
      <c r="C452" s="102"/>
      <c r="D452" s="102"/>
      <c r="E452" s="103"/>
      <c r="F452" s="6"/>
      <c r="G452" s="103"/>
      <c r="H452" s="6"/>
      <c r="I452" s="104"/>
      <c r="J452" s="104"/>
      <c r="K452" s="104"/>
    </row>
    <row r="453" spans="1:11" x14ac:dyDescent="0.25">
      <c r="A453" s="6"/>
      <c r="B453" s="6"/>
      <c r="C453" s="102"/>
      <c r="D453" s="102"/>
      <c r="E453" s="103"/>
      <c r="F453" s="6"/>
      <c r="G453" s="103"/>
      <c r="H453" s="6"/>
      <c r="I453" s="104"/>
      <c r="J453" s="104"/>
      <c r="K453" s="104"/>
    </row>
    <row r="454" spans="1:11" x14ac:dyDescent="0.25">
      <c r="A454" s="6"/>
      <c r="B454" s="6"/>
      <c r="C454" s="102"/>
      <c r="D454" s="102"/>
      <c r="E454" s="103"/>
      <c r="F454" s="6"/>
      <c r="G454" s="103"/>
      <c r="H454" s="6"/>
      <c r="I454" s="104"/>
      <c r="J454" s="104"/>
      <c r="K454" s="104"/>
    </row>
    <row r="455" spans="1:11" x14ac:dyDescent="0.25">
      <c r="A455" s="6"/>
      <c r="B455" s="6"/>
      <c r="C455" s="102"/>
      <c r="D455" s="102"/>
      <c r="E455" s="103"/>
      <c r="F455" s="6"/>
      <c r="G455" s="103"/>
      <c r="H455" s="6"/>
      <c r="I455" s="104"/>
      <c r="J455" s="104"/>
      <c r="K455" s="104"/>
    </row>
    <row r="456" spans="1:11" x14ac:dyDescent="0.25">
      <c r="A456" s="6"/>
      <c r="B456" s="6"/>
      <c r="C456" s="102"/>
      <c r="D456" s="102"/>
      <c r="E456" s="103"/>
      <c r="F456" s="6"/>
      <c r="G456" s="103"/>
      <c r="H456" s="6"/>
      <c r="I456" s="104"/>
      <c r="J456" s="104"/>
      <c r="K456" s="104"/>
    </row>
    <row r="457" spans="1:11" x14ac:dyDescent="0.25">
      <c r="A457" s="6"/>
      <c r="B457" s="6"/>
      <c r="C457" s="102"/>
      <c r="D457" s="102"/>
      <c r="E457" s="103"/>
      <c r="F457" s="6"/>
      <c r="G457" s="103"/>
      <c r="H457" s="6"/>
      <c r="I457" s="104"/>
      <c r="J457" s="104"/>
      <c r="K457" s="104"/>
    </row>
    <row r="458" spans="1:11" x14ac:dyDescent="0.25">
      <c r="A458" s="6"/>
      <c r="B458" s="6"/>
      <c r="C458" s="102"/>
      <c r="D458" s="102"/>
      <c r="E458" s="103"/>
      <c r="F458" s="6"/>
      <c r="G458" s="103"/>
      <c r="H458" s="6"/>
      <c r="I458" s="104"/>
      <c r="J458" s="104"/>
      <c r="K458" s="104"/>
    </row>
    <row r="459" spans="1:11" x14ac:dyDescent="0.25">
      <c r="A459" s="6"/>
      <c r="B459" s="6"/>
      <c r="C459" s="102"/>
      <c r="D459" s="102"/>
      <c r="E459" s="103"/>
      <c r="F459" s="6"/>
      <c r="G459" s="103"/>
      <c r="H459" s="6"/>
      <c r="I459" s="104"/>
      <c r="J459" s="104"/>
      <c r="K459" s="104"/>
    </row>
    <row r="460" spans="1:11" x14ac:dyDescent="0.25">
      <c r="A460" s="6"/>
      <c r="B460" s="6"/>
      <c r="C460" s="102"/>
      <c r="D460" s="102"/>
      <c r="E460" s="103"/>
      <c r="F460" s="6"/>
      <c r="G460" s="103"/>
      <c r="H460" s="6"/>
      <c r="I460" s="104"/>
      <c r="J460" s="104"/>
      <c r="K460" s="104"/>
    </row>
    <row r="461" spans="1:11" x14ac:dyDescent="0.25">
      <c r="A461" s="6"/>
      <c r="B461" s="6"/>
      <c r="C461" s="102"/>
      <c r="D461" s="102"/>
      <c r="E461" s="103"/>
      <c r="F461" s="6"/>
      <c r="G461" s="103"/>
      <c r="H461" s="6"/>
      <c r="I461" s="104"/>
      <c r="J461" s="104"/>
      <c r="K461" s="104"/>
    </row>
    <row r="462" spans="1:11" x14ac:dyDescent="0.25">
      <c r="A462" s="6"/>
      <c r="B462" s="6"/>
      <c r="C462" s="102"/>
      <c r="D462" s="102"/>
      <c r="E462" s="103"/>
      <c r="F462" s="6"/>
      <c r="G462" s="103"/>
      <c r="H462" s="6"/>
      <c r="I462" s="104"/>
      <c r="J462" s="104"/>
      <c r="K462" s="104"/>
    </row>
    <row r="463" spans="1:11" x14ac:dyDescent="0.25">
      <c r="A463" s="6"/>
      <c r="B463" s="6"/>
      <c r="C463" s="102"/>
      <c r="D463" s="102"/>
      <c r="E463" s="103"/>
      <c r="F463" s="6"/>
      <c r="G463" s="103"/>
      <c r="H463" s="6"/>
      <c r="I463" s="104"/>
      <c r="J463" s="104"/>
      <c r="K463" s="104"/>
    </row>
    <row r="464" spans="1:11" x14ac:dyDescent="0.25">
      <c r="A464" s="6"/>
      <c r="B464" s="6"/>
      <c r="C464" s="102"/>
      <c r="D464" s="102"/>
      <c r="E464" s="103"/>
      <c r="F464" s="6"/>
      <c r="G464" s="103"/>
      <c r="H464" s="6"/>
      <c r="I464" s="104"/>
      <c r="J464" s="104"/>
      <c r="K464" s="104"/>
    </row>
    <row r="465" spans="1:11" x14ac:dyDescent="0.25">
      <c r="A465" s="6"/>
      <c r="B465" s="6"/>
      <c r="C465" s="102"/>
      <c r="D465" s="102"/>
      <c r="E465" s="103"/>
      <c r="F465" s="6"/>
      <c r="G465" s="103"/>
      <c r="H465" s="6"/>
      <c r="I465" s="104"/>
      <c r="J465" s="104"/>
      <c r="K465" s="104"/>
    </row>
    <row r="466" spans="1:11" x14ac:dyDescent="0.25">
      <c r="A466" s="6"/>
      <c r="B466" s="6"/>
      <c r="C466" s="102"/>
      <c r="D466" s="102"/>
      <c r="E466" s="103"/>
      <c r="F466" s="6"/>
      <c r="G466" s="103"/>
      <c r="H466" s="6"/>
      <c r="I466" s="104"/>
      <c r="J466" s="104"/>
      <c r="K466" s="104"/>
    </row>
    <row r="467" spans="1:11" x14ac:dyDescent="0.25">
      <c r="A467" s="6"/>
      <c r="B467" s="6"/>
      <c r="C467" s="102"/>
      <c r="D467" s="102"/>
      <c r="E467" s="103"/>
      <c r="F467" s="6"/>
      <c r="G467" s="103"/>
      <c r="H467" s="6"/>
      <c r="I467" s="104"/>
      <c r="J467" s="104"/>
      <c r="K467" s="104"/>
    </row>
    <row r="468" spans="1:11" x14ac:dyDescent="0.25">
      <c r="A468" s="6"/>
      <c r="B468" s="6"/>
      <c r="C468" s="102"/>
      <c r="D468" s="102"/>
      <c r="E468" s="103"/>
      <c r="F468" s="6"/>
      <c r="G468" s="103"/>
      <c r="H468" s="6"/>
      <c r="I468" s="104"/>
      <c r="J468" s="104"/>
      <c r="K468" s="104"/>
    </row>
    <row r="469" spans="1:11" x14ac:dyDescent="0.25">
      <c r="A469" s="6"/>
      <c r="B469" s="6"/>
      <c r="C469" s="102"/>
      <c r="D469" s="102"/>
      <c r="E469" s="103"/>
      <c r="F469" s="6"/>
      <c r="G469" s="103"/>
      <c r="H469" s="6"/>
      <c r="I469" s="104"/>
      <c r="J469" s="104"/>
      <c r="K469" s="104"/>
    </row>
    <row r="470" spans="1:11" x14ac:dyDescent="0.25">
      <c r="A470" s="6"/>
      <c r="B470" s="6"/>
      <c r="C470" s="102"/>
      <c r="D470" s="102"/>
      <c r="E470" s="103"/>
      <c r="F470" s="6"/>
      <c r="G470" s="103"/>
      <c r="H470" s="6"/>
      <c r="I470" s="104"/>
      <c r="J470" s="104"/>
      <c r="K470" s="104"/>
    </row>
    <row r="471" spans="1:11" x14ac:dyDescent="0.25">
      <c r="A471" s="6"/>
      <c r="B471" s="6"/>
      <c r="C471" s="102"/>
      <c r="D471" s="102"/>
      <c r="E471" s="103"/>
      <c r="F471" s="6"/>
      <c r="G471" s="103"/>
      <c r="H471" s="6"/>
      <c r="I471" s="104"/>
      <c r="J471" s="104"/>
      <c r="K471" s="104"/>
    </row>
    <row r="472" spans="1:11" x14ac:dyDescent="0.25">
      <c r="A472" s="6"/>
      <c r="B472" s="6"/>
      <c r="C472" s="102"/>
      <c r="D472" s="102"/>
      <c r="E472" s="103"/>
      <c r="F472" s="6"/>
      <c r="G472" s="103"/>
      <c r="H472" s="6"/>
      <c r="I472" s="104"/>
      <c r="J472" s="104"/>
      <c r="K472" s="104"/>
    </row>
    <row r="473" spans="1:11" x14ac:dyDescent="0.25">
      <c r="A473" s="6"/>
      <c r="B473" s="6"/>
      <c r="C473" s="102"/>
      <c r="D473" s="102"/>
      <c r="E473" s="103"/>
      <c r="F473" s="6"/>
      <c r="G473" s="103"/>
      <c r="H473" s="6"/>
      <c r="I473" s="104"/>
      <c r="J473" s="104"/>
      <c r="K473" s="104"/>
    </row>
    <row r="474" spans="1:11" x14ac:dyDescent="0.25">
      <c r="A474" s="6"/>
      <c r="B474" s="6"/>
      <c r="C474" s="102"/>
      <c r="D474" s="102"/>
      <c r="E474" s="103"/>
      <c r="F474" s="6"/>
      <c r="G474" s="103"/>
      <c r="H474" s="6"/>
      <c r="I474" s="104"/>
      <c r="J474" s="104"/>
      <c r="K474" s="104"/>
    </row>
    <row r="475" spans="1:11" x14ac:dyDescent="0.25">
      <c r="A475" s="6"/>
      <c r="B475" s="6"/>
      <c r="C475" s="102"/>
      <c r="D475" s="102"/>
      <c r="E475" s="103"/>
      <c r="F475" s="6"/>
      <c r="G475" s="103"/>
      <c r="H475" s="6"/>
      <c r="I475" s="104"/>
      <c r="J475" s="104"/>
      <c r="K475" s="104"/>
    </row>
    <row r="476" spans="1:11" x14ac:dyDescent="0.25">
      <c r="A476" s="6"/>
      <c r="B476" s="6"/>
      <c r="C476" s="102"/>
      <c r="D476" s="102"/>
      <c r="E476" s="103"/>
      <c r="F476" s="6"/>
      <c r="G476" s="103"/>
      <c r="H476" s="6"/>
      <c r="I476" s="104"/>
      <c r="J476" s="104"/>
      <c r="K476" s="104"/>
    </row>
    <row r="477" spans="1:11" x14ac:dyDescent="0.25">
      <c r="A477" s="6"/>
      <c r="B477" s="6"/>
      <c r="C477" s="102"/>
      <c r="D477" s="102"/>
      <c r="E477" s="103"/>
      <c r="F477" s="6"/>
      <c r="G477" s="103"/>
      <c r="H477" s="6"/>
      <c r="I477" s="104"/>
      <c r="J477" s="104"/>
      <c r="K477" s="104"/>
    </row>
    <row r="478" spans="1:11" x14ac:dyDescent="0.25">
      <c r="A478" s="6"/>
      <c r="B478" s="6"/>
      <c r="C478" s="102"/>
      <c r="D478" s="102"/>
      <c r="E478" s="103"/>
      <c r="F478" s="6"/>
      <c r="G478" s="103"/>
      <c r="H478" s="6"/>
      <c r="I478" s="104"/>
      <c r="J478" s="104"/>
      <c r="K478" s="104"/>
    </row>
    <row r="479" spans="1:11" x14ac:dyDescent="0.25">
      <c r="A479" s="6"/>
      <c r="B479" s="6"/>
      <c r="C479" s="102"/>
      <c r="D479" s="102"/>
      <c r="E479" s="103"/>
      <c r="F479" s="6"/>
      <c r="G479" s="103"/>
      <c r="H479" s="6"/>
      <c r="I479" s="104"/>
      <c r="J479" s="104"/>
      <c r="K479" s="104"/>
    </row>
    <row r="480" spans="1:11" x14ac:dyDescent="0.25">
      <c r="A480" s="6"/>
      <c r="B480" s="6"/>
      <c r="C480" s="102"/>
      <c r="D480" s="102"/>
      <c r="E480" s="103"/>
      <c r="F480" s="6"/>
      <c r="G480" s="103"/>
      <c r="H480" s="6"/>
      <c r="I480" s="104"/>
      <c r="J480" s="104"/>
      <c r="K480" s="104"/>
    </row>
    <row r="481" spans="1:11" x14ac:dyDescent="0.25">
      <c r="A481" s="6"/>
      <c r="B481" s="6"/>
      <c r="C481" s="102"/>
      <c r="D481" s="102"/>
      <c r="E481" s="103"/>
      <c r="F481" s="6"/>
      <c r="G481" s="103"/>
      <c r="H481" s="6"/>
      <c r="I481" s="104"/>
      <c r="J481" s="104"/>
      <c r="K481" s="104"/>
    </row>
    <row r="482" spans="1:11" x14ac:dyDescent="0.25">
      <c r="A482" s="6"/>
      <c r="B482" s="6"/>
      <c r="C482" s="102"/>
      <c r="D482" s="102"/>
      <c r="E482" s="103"/>
      <c r="F482" s="6"/>
      <c r="G482" s="103"/>
      <c r="H482" s="6"/>
      <c r="I482" s="104"/>
      <c r="J482" s="104"/>
      <c r="K482" s="104"/>
    </row>
    <row r="483" spans="1:11" x14ac:dyDescent="0.25">
      <c r="A483" s="6"/>
      <c r="B483" s="6"/>
      <c r="C483" s="102"/>
      <c r="D483" s="102"/>
      <c r="E483" s="103"/>
      <c r="F483" s="6"/>
      <c r="G483" s="103"/>
      <c r="H483" s="6"/>
      <c r="I483" s="104"/>
      <c r="J483" s="104"/>
      <c r="K483" s="104"/>
    </row>
    <row r="484" spans="1:11" x14ac:dyDescent="0.25">
      <c r="A484" s="6"/>
      <c r="B484" s="6"/>
      <c r="C484" s="102"/>
      <c r="D484" s="102"/>
      <c r="E484" s="103"/>
      <c r="F484" s="6"/>
      <c r="G484" s="103"/>
      <c r="H484" s="6"/>
      <c r="I484" s="104"/>
      <c r="J484" s="104"/>
      <c r="K484" s="104"/>
    </row>
    <row r="485" spans="1:11" x14ac:dyDescent="0.25">
      <c r="A485" s="6"/>
      <c r="B485" s="6"/>
      <c r="C485" s="102"/>
      <c r="D485" s="102"/>
      <c r="E485" s="103"/>
      <c r="F485" s="6"/>
      <c r="G485" s="103"/>
      <c r="H485" s="6"/>
      <c r="I485" s="104"/>
      <c r="J485" s="104"/>
      <c r="K485" s="104"/>
    </row>
    <row r="486" spans="1:11" x14ac:dyDescent="0.25">
      <c r="A486" s="6"/>
      <c r="B486" s="6"/>
      <c r="C486" s="102"/>
      <c r="D486" s="102"/>
      <c r="E486" s="103"/>
      <c r="F486" s="6"/>
      <c r="G486" s="103"/>
      <c r="H486" s="6"/>
      <c r="I486" s="104"/>
      <c r="J486" s="104"/>
      <c r="K486" s="104"/>
    </row>
    <row r="487" spans="1:11" x14ac:dyDescent="0.25">
      <c r="A487" s="6"/>
      <c r="B487" s="6"/>
      <c r="C487" s="102"/>
      <c r="D487" s="102"/>
      <c r="E487" s="103"/>
      <c r="F487" s="6"/>
      <c r="G487" s="103"/>
      <c r="H487" s="6"/>
      <c r="I487" s="104"/>
      <c r="J487" s="104"/>
      <c r="K487" s="104"/>
    </row>
    <row r="488" spans="1:11" x14ac:dyDescent="0.25">
      <c r="A488" s="6"/>
      <c r="B488" s="6"/>
      <c r="C488" s="102"/>
      <c r="D488" s="102"/>
      <c r="E488" s="103"/>
      <c r="F488" s="6"/>
      <c r="G488" s="103"/>
      <c r="H488" s="6"/>
      <c r="I488" s="104"/>
      <c r="J488" s="104"/>
      <c r="K488" s="104"/>
    </row>
    <row r="489" spans="1:11" x14ac:dyDescent="0.25">
      <c r="A489" s="6"/>
      <c r="B489" s="6"/>
      <c r="C489" s="102"/>
      <c r="D489" s="102"/>
      <c r="E489" s="103"/>
      <c r="F489" s="6"/>
      <c r="G489" s="103"/>
      <c r="H489" s="6"/>
      <c r="I489" s="104"/>
      <c r="J489" s="104"/>
      <c r="K489" s="104"/>
    </row>
    <row r="490" spans="1:11" x14ac:dyDescent="0.25">
      <c r="A490" s="6"/>
      <c r="B490" s="6"/>
      <c r="C490" s="102"/>
      <c r="D490" s="102"/>
      <c r="E490" s="103"/>
      <c r="F490" s="6"/>
      <c r="G490" s="103"/>
      <c r="H490" s="6"/>
      <c r="I490" s="104"/>
      <c r="J490" s="104"/>
      <c r="K490" s="104"/>
    </row>
    <row r="491" spans="1:11" x14ac:dyDescent="0.25">
      <c r="A491" s="6"/>
      <c r="B491" s="6"/>
      <c r="C491" s="102"/>
      <c r="D491" s="102"/>
      <c r="E491" s="103"/>
      <c r="F491" s="6"/>
      <c r="G491" s="103"/>
      <c r="H491" s="6"/>
      <c r="I491" s="104"/>
      <c r="J491" s="104"/>
      <c r="K491" s="104"/>
    </row>
    <row r="492" spans="1:11" x14ac:dyDescent="0.25">
      <c r="A492" s="6"/>
      <c r="B492" s="6"/>
      <c r="C492" s="102"/>
      <c r="D492" s="102"/>
      <c r="E492" s="103"/>
      <c r="F492" s="6"/>
      <c r="G492" s="103"/>
      <c r="H492" s="6"/>
      <c r="I492" s="104"/>
      <c r="J492" s="104"/>
      <c r="K492" s="104"/>
    </row>
    <row r="493" spans="1:11" x14ac:dyDescent="0.25">
      <c r="A493" s="6"/>
      <c r="B493" s="6"/>
      <c r="C493" s="102"/>
      <c r="D493" s="102"/>
      <c r="E493" s="103"/>
      <c r="F493" s="6"/>
      <c r="G493" s="103"/>
      <c r="H493" s="6"/>
      <c r="I493" s="104"/>
      <c r="J493" s="104"/>
      <c r="K493" s="104"/>
    </row>
    <row r="494" spans="1:11" x14ac:dyDescent="0.25">
      <c r="A494" s="6"/>
      <c r="B494" s="6"/>
      <c r="C494" s="102"/>
      <c r="D494" s="102"/>
      <c r="E494" s="103"/>
      <c r="F494" s="6"/>
      <c r="G494" s="103"/>
      <c r="H494" s="6"/>
      <c r="I494" s="104"/>
      <c r="J494" s="104"/>
      <c r="K494" s="104"/>
    </row>
    <row r="495" spans="1:11" x14ac:dyDescent="0.25">
      <c r="A495" s="6"/>
      <c r="B495" s="6"/>
      <c r="C495" s="102"/>
      <c r="D495" s="102"/>
      <c r="E495" s="103"/>
      <c r="F495" s="6"/>
      <c r="G495" s="103"/>
      <c r="H495" s="6"/>
      <c r="I495" s="104"/>
      <c r="J495" s="104"/>
      <c r="K495" s="104"/>
    </row>
    <row r="496" spans="1:11" x14ac:dyDescent="0.25">
      <c r="A496" s="6"/>
      <c r="B496" s="6"/>
      <c r="C496" s="102"/>
      <c r="D496" s="102"/>
      <c r="E496" s="103"/>
      <c r="F496" s="6"/>
      <c r="G496" s="103"/>
      <c r="H496" s="6"/>
      <c r="I496" s="104"/>
      <c r="J496" s="104"/>
      <c r="K496" s="104"/>
    </row>
    <row r="497" spans="1:11" x14ac:dyDescent="0.25">
      <c r="A497" s="6"/>
      <c r="B497" s="6"/>
      <c r="C497" s="102"/>
      <c r="D497" s="102"/>
      <c r="E497" s="103"/>
      <c r="F497" s="6"/>
      <c r="G497" s="103"/>
      <c r="H497" s="6"/>
      <c r="I497" s="104"/>
      <c r="J497" s="104"/>
      <c r="K497" s="104"/>
    </row>
    <row r="498" spans="1:11" x14ac:dyDescent="0.25">
      <c r="A498" s="6"/>
      <c r="B498" s="6"/>
      <c r="C498" s="102"/>
      <c r="D498" s="102"/>
      <c r="E498" s="103"/>
      <c r="F498" s="6"/>
      <c r="G498" s="103"/>
      <c r="H498" s="6"/>
      <c r="I498" s="104"/>
      <c r="J498" s="104"/>
      <c r="K498" s="104"/>
    </row>
    <row r="499" spans="1:11" x14ac:dyDescent="0.25">
      <c r="A499" s="6"/>
      <c r="B499" s="6"/>
      <c r="C499" s="102"/>
      <c r="D499" s="102"/>
      <c r="E499" s="103"/>
      <c r="F499" s="6"/>
      <c r="G499" s="103"/>
      <c r="H499" s="6"/>
      <c r="I499" s="104"/>
      <c r="J499" s="104"/>
      <c r="K499" s="104"/>
    </row>
    <row r="500" spans="1:11" x14ac:dyDescent="0.25">
      <c r="A500" s="6"/>
      <c r="B500" s="6"/>
      <c r="C500" s="102"/>
      <c r="D500" s="102"/>
      <c r="E500" s="103"/>
      <c r="F500" s="6"/>
      <c r="G500" s="103"/>
      <c r="H500" s="6"/>
      <c r="I500" s="104"/>
      <c r="J500" s="104"/>
      <c r="K500" s="104"/>
    </row>
    <row r="501" spans="1:11" x14ac:dyDescent="0.25">
      <c r="A501" s="6"/>
      <c r="B501" s="6"/>
      <c r="C501" s="102"/>
      <c r="D501" s="102"/>
      <c r="E501" s="103"/>
      <c r="F501" s="6"/>
      <c r="G501" s="103"/>
      <c r="H501" s="6"/>
      <c r="I501" s="104"/>
      <c r="J501" s="104"/>
      <c r="K501" s="104"/>
    </row>
    <row r="502" spans="1:11" x14ac:dyDescent="0.25">
      <c r="A502" s="6"/>
      <c r="B502" s="6"/>
      <c r="C502" s="102"/>
      <c r="D502" s="102"/>
      <c r="E502" s="103"/>
      <c r="F502" s="6"/>
      <c r="G502" s="103"/>
      <c r="H502" s="6"/>
      <c r="I502" s="104"/>
      <c r="J502" s="104"/>
      <c r="K502" s="104"/>
    </row>
    <row r="503" spans="1:11" x14ac:dyDescent="0.25">
      <c r="A503" s="6"/>
      <c r="B503" s="6"/>
      <c r="C503" s="102"/>
      <c r="D503" s="102"/>
      <c r="E503" s="103"/>
      <c r="F503" s="6"/>
      <c r="G503" s="103"/>
      <c r="H503" s="6"/>
      <c r="I503" s="104"/>
      <c r="J503" s="104"/>
      <c r="K503" s="104"/>
    </row>
    <row r="504" spans="1:11" x14ac:dyDescent="0.25">
      <c r="A504" s="6"/>
      <c r="B504" s="6"/>
      <c r="C504" s="102"/>
      <c r="D504" s="102"/>
      <c r="E504" s="103"/>
      <c r="F504" s="6"/>
      <c r="G504" s="103"/>
      <c r="H504" s="6"/>
      <c r="I504" s="104"/>
      <c r="J504" s="104"/>
      <c r="K504" s="104"/>
    </row>
    <row r="505" spans="1:11" x14ac:dyDescent="0.25">
      <c r="A505" s="6"/>
      <c r="B505" s="6"/>
      <c r="C505" s="102"/>
      <c r="D505" s="102"/>
      <c r="E505" s="103"/>
      <c r="F505" s="6"/>
      <c r="G505" s="103"/>
      <c r="H505" s="6"/>
      <c r="I505" s="104"/>
      <c r="J505" s="104"/>
      <c r="K505" s="104"/>
    </row>
    <row r="506" spans="1:11" x14ac:dyDescent="0.25">
      <c r="A506" s="6"/>
      <c r="B506" s="6"/>
      <c r="C506" s="102"/>
      <c r="D506" s="102"/>
      <c r="E506" s="103"/>
      <c r="F506" s="6"/>
      <c r="G506" s="103"/>
      <c r="H506" s="6"/>
      <c r="I506" s="104"/>
      <c r="J506" s="104"/>
      <c r="K506" s="104"/>
    </row>
    <row r="507" spans="1:11" x14ac:dyDescent="0.25">
      <c r="A507" s="6"/>
      <c r="B507" s="6"/>
      <c r="C507" s="102"/>
      <c r="D507" s="102"/>
      <c r="E507" s="103"/>
      <c r="F507" s="6"/>
      <c r="G507" s="103"/>
      <c r="H507" s="6"/>
      <c r="I507" s="104"/>
      <c r="J507" s="104"/>
      <c r="K507" s="104"/>
    </row>
    <row r="508" spans="1:11" x14ac:dyDescent="0.25">
      <c r="A508" s="6"/>
      <c r="B508" s="6"/>
      <c r="C508" s="102"/>
      <c r="D508" s="102"/>
      <c r="E508" s="103"/>
      <c r="F508" s="6"/>
      <c r="G508" s="103"/>
      <c r="H508" s="6"/>
      <c r="I508" s="104"/>
      <c r="J508" s="104"/>
      <c r="K508" s="104"/>
    </row>
    <row r="509" spans="1:11" x14ac:dyDescent="0.25">
      <c r="A509" s="6"/>
      <c r="B509" s="6"/>
      <c r="C509" s="102"/>
      <c r="D509" s="102"/>
      <c r="E509" s="103"/>
      <c r="F509" s="6"/>
      <c r="G509" s="103"/>
      <c r="H509" s="6"/>
      <c r="I509" s="104"/>
      <c r="J509" s="104"/>
      <c r="K509" s="104"/>
    </row>
    <row r="510" spans="1:11" x14ac:dyDescent="0.25">
      <c r="A510" s="6"/>
      <c r="B510" s="6"/>
      <c r="C510" s="102"/>
      <c r="D510" s="102"/>
      <c r="E510" s="103"/>
      <c r="F510" s="6"/>
      <c r="G510" s="103"/>
      <c r="H510" s="6"/>
      <c r="I510" s="104"/>
      <c r="J510" s="104"/>
      <c r="K510" s="104"/>
    </row>
    <row r="511" spans="1:11" x14ac:dyDescent="0.25">
      <c r="A511" s="6"/>
      <c r="B511" s="6"/>
      <c r="C511" s="102"/>
      <c r="D511" s="102"/>
      <c r="E511" s="103"/>
      <c r="F511" s="6"/>
      <c r="G511" s="103"/>
      <c r="H511" s="6"/>
      <c r="I511" s="104"/>
      <c r="J511" s="104"/>
      <c r="K511" s="104"/>
    </row>
    <row r="512" spans="1:11" x14ac:dyDescent="0.25">
      <c r="A512" s="6"/>
      <c r="B512" s="6"/>
      <c r="C512" s="102"/>
      <c r="D512" s="102"/>
      <c r="E512" s="103"/>
      <c r="F512" s="6"/>
      <c r="G512" s="103"/>
      <c r="H512" s="6"/>
      <c r="I512" s="104"/>
      <c r="J512" s="104"/>
      <c r="K512" s="104"/>
    </row>
    <row r="513" spans="1:11" x14ac:dyDescent="0.25">
      <c r="A513" s="6"/>
      <c r="B513" s="6"/>
      <c r="C513" s="102"/>
      <c r="D513" s="102"/>
      <c r="E513" s="103"/>
      <c r="F513" s="6"/>
      <c r="G513" s="103"/>
      <c r="H513" s="6"/>
      <c r="I513" s="104"/>
      <c r="J513" s="104"/>
      <c r="K513" s="104"/>
    </row>
    <row r="514" spans="1:11" x14ac:dyDescent="0.25">
      <c r="A514" s="6"/>
      <c r="B514" s="6"/>
      <c r="C514" s="102"/>
      <c r="D514" s="102"/>
      <c r="E514" s="103"/>
      <c r="F514" s="6"/>
      <c r="G514" s="103"/>
      <c r="H514" s="6"/>
      <c r="I514" s="104"/>
      <c r="J514" s="104"/>
      <c r="K514" s="104"/>
    </row>
    <row r="515" spans="1:11" x14ac:dyDescent="0.25">
      <c r="A515" s="6"/>
      <c r="B515" s="6"/>
      <c r="C515" s="102"/>
      <c r="D515" s="102"/>
      <c r="E515" s="103"/>
      <c r="F515" s="6"/>
      <c r="G515" s="103"/>
      <c r="H515" s="6"/>
      <c r="I515" s="104"/>
      <c r="J515" s="104"/>
      <c r="K515" s="104"/>
    </row>
    <row r="516" spans="1:11" x14ac:dyDescent="0.25">
      <c r="A516" s="6"/>
      <c r="B516" s="6"/>
      <c r="C516" s="102"/>
      <c r="D516" s="102"/>
      <c r="E516" s="103"/>
      <c r="F516" s="6"/>
      <c r="G516" s="103"/>
      <c r="H516" s="6"/>
      <c r="I516" s="104"/>
      <c r="J516" s="104"/>
      <c r="K516" s="104"/>
    </row>
    <row r="517" spans="1:11" x14ac:dyDescent="0.25">
      <c r="A517" s="6"/>
      <c r="B517" s="6"/>
      <c r="C517" s="102"/>
      <c r="D517" s="102"/>
      <c r="E517" s="103"/>
      <c r="F517" s="6"/>
      <c r="G517" s="103"/>
      <c r="H517" s="6"/>
      <c r="I517" s="104"/>
      <c r="J517" s="104"/>
      <c r="K517" s="104"/>
    </row>
    <row r="518" spans="1:11" x14ac:dyDescent="0.25">
      <c r="A518" s="6"/>
      <c r="B518" s="6"/>
      <c r="C518" s="102"/>
      <c r="D518" s="102"/>
      <c r="E518" s="103"/>
      <c r="F518" s="6"/>
      <c r="G518" s="103"/>
      <c r="H518" s="6"/>
      <c r="I518" s="104"/>
      <c r="J518" s="104"/>
      <c r="K518" s="104"/>
    </row>
    <row r="519" spans="1:11" x14ac:dyDescent="0.25">
      <c r="A519" s="6"/>
      <c r="B519" s="6"/>
      <c r="C519" s="102"/>
      <c r="D519" s="102"/>
      <c r="E519" s="103"/>
      <c r="F519" s="6"/>
      <c r="G519" s="103"/>
      <c r="H519" s="6"/>
      <c r="I519" s="104"/>
      <c r="J519" s="104"/>
      <c r="K519" s="104"/>
    </row>
    <row r="520" spans="1:11" x14ac:dyDescent="0.25">
      <c r="A520" s="6"/>
      <c r="B520" s="6"/>
      <c r="C520" s="102"/>
      <c r="D520" s="102"/>
      <c r="E520" s="103"/>
      <c r="F520" s="6"/>
      <c r="G520" s="103"/>
      <c r="H520" s="6"/>
      <c r="I520" s="104"/>
      <c r="J520" s="104"/>
      <c r="K520" s="104"/>
    </row>
    <row r="521" spans="1:11" x14ac:dyDescent="0.25">
      <c r="A521" s="6"/>
      <c r="B521" s="6"/>
      <c r="C521" s="102"/>
      <c r="D521" s="102"/>
      <c r="E521" s="103"/>
      <c r="F521" s="6"/>
      <c r="G521" s="103"/>
      <c r="H521" s="6"/>
      <c r="I521" s="104"/>
      <c r="J521" s="104"/>
      <c r="K521" s="104"/>
    </row>
    <row r="522" spans="1:11" x14ac:dyDescent="0.25">
      <c r="A522" s="6"/>
      <c r="B522" s="6"/>
      <c r="C522" s="102"/>
      <c r="D522" s="102"/>
      <c r="E522" s="103"/>
      <c r="F522" s="6"/>
      <c r="G522" s="103"/>
      <c r="H522" s="6"/>
      <c r="I522" s="104"/>
      <c r="J522" s="104"/>
      <c r="K522" s="104"/>
    </row>
    <row r="523" spans="1:11" x14ac:dyDescent="0.25">
      <c r="A523" s="6"/>
      <c r="B523" s="6"/>
      <c r="C523" s="102"/>
      <c r="D523" s="102"/>
      <c r="E523" s="103"/>
      <c r="F523" s="6"/>
      <c r="G523" s="103"/>
      <c r="H523" s="6"/>
      <c r="I523" s="104"/>
      <c r="J523" s="104"/>
      <c r="K523" s="104"/>
    </row>
    <row r="524" spans="1:11" x14ac:dyDescent="0.25">
      <c r="A524" s="6"/>
      <c r="B524" s="6"/>
      <c r="C524" s="102"/>
      <c r="D524" s="102"/>
      <c r="E524" s="103"/>
      <c r="F524" s="6"/>
      <c r="G524" s="103"/>
      <c r="H524" s="6"/>
      <c r="I524" s="104"/>
      <c r="J524" s="104"/>
      <c r="K524" s="104"/>
    </row>
    <row r="525" spans="1:11" x14ac:dyDescent="0.25">
      <c r="A525" s="6"/>
      <c r="B525" s="6"/>
      <c r="C525" s="102"/>
      <c r="D525" s="102"/>
      <c r="E525" s="103"/>
      <c r="F525" s="6"/>
      <c r="G525" s="103"/>
      <c r="H525" s="6"/>
      <c r="I525" s="104"/>
      <c r="J525" s="104"/>
      <c r="K525" s="104"/>
    </row>
    <row r="526" spans="1:11" x14ac:dyDescent="0.25">
      <c r="A526" s="6"/>
      <c r="B526" s="6"/>
      <c r="C526" s="102"/>
      <c r="D526" s="102"/>
      <c r="E526" s="103"/>
      <c r="F526" s="6"/>
      <c r="G526" s="103"/>
      <c r="H526" s="6"/>
      <c r="I526" s="104"/>
      <c r="J526" s="104"/>
      <c r="K526" s="104"/>
    </row>
    <row r="527" spans="1:11" x14ac:dyDescent="0.25">
      <c r="A527" s="6"/>
      <c r="B527" s="6"/>
      <c r="C527" s="102"/>
      <c r="D527" s="102"/>
      <c r="E527" s="103"/>
      <c r="F527" s="6"/>
      <c r="G527" s="103"/>
      <c r="H527" s="6"/>
      <c r="I527" s="104"/>
      <c r="J527" s="104"/>
      <c r="K527" s="104"/>
    </row>
    <row r="528" spans="1:11" x14ac:dyDescent="0.25">
      <c r="A528" s="6"/>
      <c r="B528" s="6"/>
      <c r="C528" s="102"/>
      <c r="D528" s="102"/>
      <c r="E528" s="103"/>
      <c r="F528" s="6"/>
      <c r="G528" s="103"/>
      <c r="H528" s="6"/>
      <c r="I528" s="104"/>
      <c r="J528" s="104"/>
      <c r="K528" s="104"/>
    </row>
    <row r="529" spans="1:11" x14ac:dyDescent="0.25">
      <c r="A529" s="6"/>
      <c r="B529" s="6"/>
      <c r="C529" s="102"/>
      <c r="D529" s="102"/>
      <c r="E529" s="103"/>
      <c r="F529" s="6"/>
      <c r="G529" s="103"/>
      <c r="H529" s="6"/>
      <c r="I529" s="104"/>
      <c r="J529" s="104"/>
      <c r="K529" s="104"/>
    </row>
    <row r="530" spans="1:11" x14ac:dyDescent="0.25">
      <c r="A530" s="6"/>
      <c r="B530" s="6"/>
      <c r="C530" s="102"/>
      <c r="D530" s="102"/>
      <c r="E530" s="103"/>
      <c r="F530" s="6"/>
      <c r="G530" s="103"/>
      <c r="H530" s="6"/>
      <c r="I530" s="104"/>
      <c r="J530" s="104"/>
      <c r="K530" s="104"/>
    </row>
    <row r="531" spans="1:11" x14ac:dyDescent="0.25">
      <c r="A531" s="6"/>
      <c r="B531" s="6"/>
      <c r="C531" s="102"/>
      <c r="D531" s="102"/>
      <c r="E531" s="103"/>
      <c r="F531" s="6"/>
      <c r="G531" s="103"/>
      <c r="H531" s="6"/>
      <c r="I531" s="104"/>
      <c r="J531" s="104"/>
      <c r="K531" s="104"/>
    </row>
    <row r="532" spans="1:11" x14ac:dyDescent="0.25">
      <c r="A532" s="6"/>
      <c r="B532" s="6"/>
      <c r="C532" s="102"/>
      <c r="D532" s="102"/>
      <c r="E532" s="103"/>
      <c r="F532" s="6"/>
      <c r="G532" s="103"/>
      <c r="H532" s="6"/>
      <c r="I532" s="104"/>
      <c r="J532" s="104"/>
      <c r="K532" s="104"/>
    </row>
    <row r="533" spans="1:11" x14ac:dyDescent="0.25">
      <c r="A533" s="6"/>
      <c r="B533" s="6"/>
      <c r="C533" s="102"/>
      <c r="D533" s="102"/>
      <c r="E533" s="103"/>
      <c r="F533" s="6"/>
      <c r="G533" s="103"/>
      <c r="H533" s="6"/>
      <c r="I533" s="104"/>
      <c r="J533" s="104"/>
      <c r="K533" s="104"/>
    </row>
    <row r="534" spans="1:11" x14ac:dyDescent="0.25">
      <c r="A534" s="6"/>
      <c r="B534" s="6"/>
      <c r="C534" s="102"/>
      <c r="D534" s="102"/>
      <c r="E534" s="103"/>
      <c r="F534" s="6"/>
      <c r="G534" s="103"/>
      <c r="H534" s="6"/>
      <c r="I534" s="104"/>
      <c r="J534" s="104"/>
      <c r="K534" s="104"/>
    </row>
    <row r="535" spans="1:11" x14ac:dyDescent="0.25">
      <c r="A535" s="6"/>
      <c r="B535" s="6"/>
      <c r="C535" s="102"/>
      <c r="D535" s="102"/>
      <c r="E535" s="103"/>
      <c r="F535" s="6"/>
      <c r="G535" s="103"/>
      <c r="H535" s="6"/>
      <c r="I535" s="104"/>
      <c r="J535" s="104"/>
      <c r="K535" s="104"/>
    </row>
    <row r="536" spans="1:11" x14ac:dyDescent="0.25">
      <c r="A536" s="6"/>
      <c r="B536" s="6"/>
      <c r="C536" s="102"/>
      <c r="D536" s="102"/>
      <c r="E536" s="103"/>
      <c r="F536" s="6"/>
      <c r="G536" s="103"/>
      <c r="H536" s="6"/>
      <c r="I536" s="104"/>
      <c r="J536" s="104"/>
      <c r="K536" s="104"/>
    </row>
    <row r="537" spans="1:11" x14ac:dyDescent="0.25">
      <c r="A537" s="6"/>
      <c r="B537" s="6"/>
      <c r="C537" s="102"/>
      <c r="D537" s="102"/>
      <c r="E537" s="103"/>
      <c r="F537" s="6"/>
      <c r="G537" s="103"/>
      <c r="H537" s="6"/>
      <c r="I537" s="104"/>
      <c r="J537" s="104"/>
      <c r="K537" s="104"/>
    </row>
    <row r="538" spans="1:11" x14ac:dyDescent="0.25">
      <c r="A538" s="6"/>
      <c r="B538" s="6"/>
      <c r="C538" s="102"/>
      <c r="D538" s="102"/>
      <c r="E538" s="103"/>
      <c r="F538" s="6"/>
      <c r="G538" s="103"/>
      <c r="H538" s="6"/>
      <c r="I538" s="104"/>
      <c r="J538" s="104"/>
      <c r="K538" s="104"/>
    </row>
    <row r="539" spans="1:11" x14ac:dyDescent="0.25">
      <c r="A539" s="6"/>
      <c r="B539" s="6"/>
      <c r="C539" s="102"/>
      <c r="D539" s="102"/>
      <c r="E539" s="103"/>
      <c r="F539" s="6"/>
      <c r="G539" s="103"/>
      <c r="H539" s="6"/>
      <c r="I539" s="104"/>
      <c r="J539" s="104"/>
      <c r="K539" s="104"/>
    </row>
    <row r="540" spans="1:11" x14ac:dyDescent="0.25">
      <c r="A540" s="6"/>
      <c r="B540" s="6"/>
      <c r="C540" s="102"/>
      <c r="D540" s="102"/>
      <c r="E540" s="103"/>
      <c r="F540" s="6"/>
      <c r="G540" s="103"/>
      <c r="H540" s="6"/>
      <c r="I540" s="104"/>
      <c r="J540" s="104"/>
      <c r="K540" s="104"/>
    </row>
    <row r="541" spans="1:11" x14ac:dyDescent="0.25">
      <c r="A541" s="6"/>
      <c r="B541" s="6"/>
      <c r="C541" s="102"/>
      <c r="D541" s="102"/>
      <c r="E541" s="103"/>
      <c r="F541" s="6"/>
      <c r="G541" s="103"/>
      <c r="H541" s="6"/>
      <c r="I541" s="104"/>
      <c r="J541" s="104"/>
      <c r="K541" s="104"/>
    </row>
    <row r="542" spans="1:11" x14ac:dyDescent="0.25">
      <c r="A542" s="6"/>
      <c r="B542" s="6"/>
      <c r="C542" s="102"/>
      <c r="D542" s="102"/>
      <c r="E542" s="103"/>
      <c r="F542" s="6"/>
      <c r="G542" s="103"/>
      <c r="H542" s="6"/>
      <c r="I542" s="104"/>
      <c r="J542" s="104"/>
      <c r="K542" s="104"/>
    </row>
    <row r="543" spans="1:11" x14ac:dyDescent="0.25">
      <c r="A543" s="6"/>
      <c r="B543" s="6"/>
      <c r="C543" s="102"/>
      <c r="D543" s="102"/>
      <c r="E543" s="103"/>
      <c r="F543" s="6"/>
      <c r="G543" s="103"/>
      <c r="H543" s="6"/>
      <c r="I543" s="104"/>
      <c r="J543" s="104"/>
      <c r="K543" s="104"/>
    </row>
    <row r="544" spans="1:11" x14ac:dyDescent="0.25">
      <c r="A544" s="6"/>
      <c r="B544" s="6"/>
      <c r="C544" s="102"/>
      <c r="D544" s="102"/>
      <c r="E544" s="103"/>
      <c r="F544" s="6"/>
      <c r="G544" s="103"/>
      <c r="H544" s="6"/>
      <c r="I544" s="104"/>
      <c r="J544" s="104"/>
      <c r="K544" s="104"/>
    </row>
    <row r="545" spans="1:11" x14ac:dyDescent="0.25">
      <c r="A545" s="6"/>
      <c r="B545" s="6"/>
      <c r="C545" s="102"/>
      <c r="D545" s="102"/>
      <c r="E545" s="103"/>
      <c r="F545" s="6"/>
      <c r="G545" s="103"/>
      <c r="H545" s="6"/>
      <c r="I545" s="104"/>
      <c r="J545" s="104"/>
      <c r="K545" s="104"/>
    </row>
    <row r="546" spans="1:11" x14ac:dyDescent="0.25">
      <c r="A546" s="6"/>
      <c r="B546" s="6"/>
      <c r="C546" s="102"/>
      <c r="D546" s="102"/>
      <c r="E546" s="103"/>
      <c r="F546" s="6"/>
      <c r="G546" s="103"/>
      <c r="H546" s="6"/>
      <c r="I546" s="104"/>
      <c r="J546" s="104"/>
      <c r="K546" s="104"/>
    </row>
    <row r="547" spans="1:11" x14ac:dyDescent="0.25">
      <c r="A547" s="6"/>
      <c r="B547" s="6"/>
      <c r="C547" s="102"/>
      <c r="D547" s="102"/>
      <c r="E547" s="103"/>
      <c r="F547" s="6"/>
      <c r="G547" s="103"/>
      <c r="H547" s="6"/>
      <c r="I547" s="104"/>
      <c r="J547" s="104"/>
      <c r="K547" s="104"/>
    </row>
    <row r="548" spans="1:11" x14ac:dyDescent="0.25">
      <c r="A548" s="6"/>
      <c r="B548" s="6"/>
      <c r="C548" s="102"/>
      <c r="D548" s="102"/>
      <c r="E548" s="103"/>
      <c r="F548" s="6"/>
      <c r="G548" s="103"/>
      <c r="H548" s="6"/>
      <c r="I548" s="104"/>
      <c r="J548" s="104"/>
      <c r="K548" s="104"/>
    </row>
    <row r="549" spans="1:11" x14ac:dyDescent="0.25">
      <c r="A549" s="6"/>
      <c r="B549" s="6"/>
      <c r="C549" s="102"/>
      <c r="D549" s="102"/>
      <c r="E549" s="103"/>
      <c r="F549" s="6"/>
      <c r="G549" s="103"/>
      <c r="H549" s="6"/>
      <c r="I549" s="104"/>
      <c r="J549" s="104"/>
      <c r="K549" s="104"/>
    </row>
    <row r="550" spans="1:11" x14ac:dyDescent="0.25">
      <c r="A550" s="6"/>
      <c r="B550" s="6"/>
      <c r="C550" s="102"/>
      <c r="D550" s="102"/>
      <c r="E550" s="103"/>
      <c r="F550" s="6"/>
      <c r="G550" s="103"/>
      <c r="H550" s="6"/>
      <c r="I550" s="104"/>
      <c r="J550" s="104"/>
      <c r="K550" s="104"/>
    </row>
    <row r="551" spans="1:11" x14ac:dyDescent="0.25">
      <c r="A551" s="6"/>
      <c r="B551" s="6"/>
      <c r="C551" s="102"/>
      <c r="D551" s="102"/>
      <c r="E551" s="103"/>
      <c r="F551" s="6"/>
      <c r="G551" s="103"/>
      <c r="H551" s="6"/>
      <c r="I551" s="104"/>
      <c r="J551" s="104"/>
      <c r="K551" s="104"/>
    </row>
    <row r="552" spans="1:11" x14ac:dyDescent="0.25">
      <c r="A552" s="6"/>
      <c r="B552" s="6"/>
      <c r="C552" s="102"/>
      <c r="D552" s="102"/>
      <c r="E552" s="103"/>
      <c r="F552" s="6"/>
      <c r="G552" s="103"/>
      <c r="H552" s="6"/>
      <c r="I552" s="104"/>
      <c r="J552" s="104"/>
      <c r="K552" s="104"/>
    </row>
    <row r="553" spans="1:11" x14ac:dyDescent="0.25">
      <c r="A553" s="6"/>
      <c r="B553" s="6"/>
      <c r="C553" s="102"/>
      <c r="D553" s="102"/>
      <c r="E553" s="103"/>
      <c r="F553" s="6"/>
      <c r="G553" s="103"/>
      <c r="H553" s="6"/>
      <c r="I553" s="104"/>
      <c r="J553" s="104"/>
      <c r="K553" s="104"/>
    </row>
    <row r="554" spans="1:11" x14ac:dyDescent="0.25">
      <c r="A554" s="6"/>
      <c r="B554" s="6"/>
      <c r="C554" s="102"/>
      <c r="D554" s="102"/>
      <c r="E554" s="103"/>
      <c r="F554" s="6"/>
      <c r="G554" s="103"/>
      <c r="H554" s="6"/>
      <c r="I554" s="104"/>
      <c r="J554" s="104"/>
      <c r="K554" s="104"/>
    </row>
    <row r="555" spans="1:11" x14ac:dyDescent="0.25">
      <c r="A555" s="6"/>
      <c r="B555" s="6"/>
      <c r="C555" s="102"/>
      <c r="D555" s="102"/>
      <c r="E555" s="103"/>
      <c r="F555" s="6"/>
      <c r="G555" s="103"/>
      <c r="H555" s="6"/>
      <c r="I555" s="104"/>
      <c r="J555" s="104"/>
      <c r="K555" s="104"/>
    </row>
    <row r="556" spans="1:11" x14ac:dyDescent="0.25">
      <c r="A556" s="6"/>
      <c r="B556" s="6"/>
      <c r="C556" s="102"/>
      <c r="D556" s="102"/>
      <c r="E556" s="103"/>
      <c r="F556" s="6"/>
      <c r="G556" s="103"/>
      <c r="H556" s="6"/>
      <c r="I556" s="104"/>
      <c r="J556" s="104"/>
      <c r="K556" s="104"/>
    </row>
    <row r="557" spans="1:11" x14ac:dyDescent="0.25">
      <c r="A557" s="6"/>
      <c r="B557" s="6"/>
      <c r="C557" s="102"/>
      <c r="D557" s="102"/>
      <c r="E557" s="103"/>
      <c r="F557" s="6"/>
      <c r="G557" s="103"/>
      <c r="H557" s="6"/>
      <c r="I557" s="104"/>
      <c r="J557" s="104"/>
      <c r="K557" s="104"/>
    </row>
    <row r="558" spans="1:11" x14ac:dyDescent="0.25">
      <c r="A558" s="6"/>
      <c r="B558" s="6"/>
      <c r="C558" s="102"/>
      <c r="D558" s="102"/>
      <c r="E558" s="103"/>
      <c r="F558" s="6"/>
      <c r="G558" s="103"/>
      <c r="H558" s="6"/>
      <c r="I558" s="104"/>
      <c r="J558" s="104"/>
      <c r="K558" s="104"/>
    </row>
    <row r="559" spans="1:11" x14ac:dyDescent="0.25">
      <c r="A559" s="6"/>
      <c r="B559" s="6"/>
      <c r="C559" s="102"/>
      <c r="D559" s="102"/>
      <c r="E559" s="103"/>
      <c r="F559" s="6"/>
      <c r="G559" s="103"/>
      <c r="H559" s="6"/>
      <c r="I559" s="104"/>
      <c r="J559" s="104"/>
      <c r="K559" s="104"/>
    </row>
    <row r="560" spans="1:11" x14ac:dyDescent="0.25">
      <c r="A560" s="6"/>
      <c r="B560" s="6"/>
      <c r="C560" s="102"/>
      <c r="D560" s="102"/>
      <c r="E560" s="103"/>
      <c r="F560" s="6"/>
      <c r="G560" s="103"/>
      <c r="H560" s="6"/>
      <c r="I560" s="104"/>
      <c r="J560" s="104"/>
      <c r="K560" s="104"/>
    </row>
    <row r="561" spans="1:11" x14ac:dyDescent="0.25">
      <c r="A561" s="6"/>
      <c r="B561" s="6"/>
      <c r="C561" s="102"/>
      <c r="D561" s="102"/>
      <c r="E561" s="103"/>
      <c r="F561" s="6"/>
      <c r="G561" s="103"/>
      <c r="H561" s="6"/>
      <c r="I561" s="104"/>
      <c r="J561" s="104"/>
      <c r="K561" s="104"/>
    </row>
    <row r="562" spans="1:11" x14ac:dyDescent="0.25">
      <c r="A562" s="6"/>
      <c r="B562" s="6"/>
      <c r="C562" s="102"/>
      <c r="D562" s="102"/>
      <c r="E562" s="103"/>
      <c r="F562" s="6"/>
      <c r="G562" s="103"/>
      <c r="H562" s="6"/>
      <c r="I562" s="104"/>
      <c r="J562" s="104"/>
      <c r="K562" s="104"/>
    </row>
    <row r="563" spans="1:11" x14ac:dyDescent="0.25">
      <c r="A563" s="6"/>
      <c r="B563" s="6"/>
      <c r="C563" s="102"/>
      <c r="D563" s="102"/>
      <c r="E563" s="103"/>
      <c r="F563" s="6"/>
      <c r="G563" s="103"/>
      <c r="H563" s="6"/>
      <c r="I563" s="104"/>
      <c r="J563" s="104"/>
      <c r="K563" s="104"/>
    </row>
    <row r="564" spans="1:11" x14ac:dyDescent="0.25">
      <c r="A564" s="6"/>
      <c r="B564" s="6"/>
      <c r="C564" s="102"/>
      <c r="D564" s="102"/>
      <c r="E564" s="103"/>
      <c r="F564" s="6"/>
      <c r="G564" s="103"/>
      <c r="H564" s="6"/>
      <c r="I564" s="104"/>
      <c r="J564" s="104"/>
      <c r="K564" s="104"/>
    </row>
    <row r="565" spans="1:11" x14ac:dyDescent="0.25">
      <c r="A565" s="6"/>
      <c r="B565" s="6"/>
      <c r="C565" s="102"/>
      <c r="D565" s="102"/>
      <c r="E565" s="103"/>
      <c r="F565" s="6"/>
      <c r="G565" s="103"/>
      <c r="H565" s="6"/>
      <c r="I565" s="104"/>
      <c r="J565" s="104"/>
      <c r="K565" s="104"/>
    </row>
    <row r="566" spans="1:11" x14ac:dyDescent="0.25">
      <c r="A566" s="6"/>
      <c r="B566" s="6"/>
      <c r="C566" s="102"/>
      <c r="D566" s="102"/>
      <c r="E566" s="103"/>
      <c r="F566" s="6"/>
      <c r="G566" s="103"/>
      <c r="H566" s="6"/>
      <c r="I566" s="104"/>
      <c r="J566" s="104"/>
      <c r="K566" s="104"/>
    </row>
    <row r="567" spans="1:11" x14ac:dyDescent="0.25">
      <c r="A567" s="6"/>
      <c r="B567" s="6"/>
      <c r="C567" s="102"/>
      <c r="D567" s="102"/>
      <c r="E567" s="103"/>
      <c r="F567" s="6"/>
      <c r="G567" s="103"/>
      <c r="H567" s="6"/>
      <c r="I567" s="104"/>
      <c r="J567" s="104"/>
      <c r="K567" s="104"/>
    </row>
    <row r="568" spans="1:11" x14ac:dyDescent="0.25">
      <c r="A568" s="6"/>
      <c r="B568" s="6"/>
      <c r="C568" s="102"/>
      <c r="D568" s="102"/>
      <c r="E568" s="103"/>
      <c r="F568" s="6"/>
      <c r="G568" s="103"/>
      <c r="H568" s="6"/>
      <c r="I568" s="104"/>
      <c r="J568" s="104"/>
      <c r="K568" s="104"/>
    </row>
    <row r="569" spans="1:11" x14ac:dyDescent="0.25">
      <c r="A569" s="6"/>
      <c r="B569" s="6"/>
      <c r="C569" s="102"/>
      <c r="D569" s="102"/>
      <c r="E569" s="103"/>
      <c r="F569" s="6"/>
      <c r="G569" s="103"/>
      <c r="H569" s="6"/>
      <c r="I569" s="104"/>
      <c r="J569" s="104"/>
      <c r="K569" s="104"/>
    </row>
    <row r="570" spans="1:11" x14ac:dyDescent="0.25">
      <c r="A570" s="6"/>
      <c r="B570" s="6"/>
      <c r="C570" s="102"/>
      <c r="D570" s="102"/>
      <c r="E570" s="103"/>
      <c r="F570" s="6"/>
      <c r="G570" s="103"/>
      <c r="H570" s="6"/>
      <c r="I570" s="104"/>
      <c r="J570" s="104"/>
      <c r="K570" s="104"/>
    </row>
    <row r="571" spans="1:11" x14ac:dyDescent="0.25">
      <c r="A571" s="6"/>
      <c r="B571" s="6"/>
      <c r="C571" s="102"/>
      <c r="D571" s="102"/>
      <c r="E571" s="103"/>
      <c r="F571" s="6"/>
      <c r="G571" s="103"/>
      <c r="H571" s="6"/>
      <c r="I571" s="104"/>
      <c r="J571" s="104"/>
      <c r="K571" s="104"/>
    </row>
    <row r="572" spans="1:11" x14ac:dyDescent="0.25">
      <c r="A572" s="6"/>
      <c r="B572" s="6"/>
      <c r="C572" s="102"/>
      <c r="D572" s="102"/>
      <c r="E572" s="103"/>
      <c r="F572" s="6"/>
      <c r="G572" s="103"/>
      <c r="H572" s="6"/>
      <c r="I572" s="104"/>
      <c r="J572" s="104"/>
      <c r="K572" s="104"/>
    </row>
    <row r="573" spans="1:11" x14ac:dyDescent="0.25">
      <c r="A573" s="6"/>
      <c r="B573" s="6"/>
      <c r="C573" s="102"/>
      <c r="D573" s="102"/>
      <c r="E573" s="103"/>
      <c r="F573" s="6"/>
      <c r="G573" s="103"/>
      <c r="H573" s="6"/>
      <c r="I573" s="104"/>
      <c r="J573" s="104"/>
      <c r="K573" s="104"/>
    </row>
    <row r="574" spans="1:11" x14ac:dyDescent="0.25">
      <c r="A574" s="6"/>
      <c r="B574" s="6"/>
      <c r="C574" s="102"/>
      <c r="D574" s="102"/>
      <c r="E574" s="103"/>
      <c r="F574" s="6"/>
      <c r="G574" s="103"/>
      <c r="H574" s="6"/>
      <c r="I574" s="104"/>
      <c r="J574" s="104"/>
      <c r="K574" s="104"/>
    </row>
    <row r="575" spans="1:11" x14ac:dyDescent="0.25">
      <c r="A575" s="6"/>
      <c r="B575" s="6"/>
      <c r="C575" s="102"/>
      <c r="D575" s="102"/>
      <c r="E575" s="103"/>
      <c r="F575" s="6"/>
      <c r="G575" s="103"/>
      <c r="H575" s="6"/>
      <c r="I575" s="104"/>
      <c r="J575" s="104"/>
      <c r="K575" s="104"/>
    </row>
    <row r="576" spans="1:11" x14ac:dyDescent="0.25">
      <c r="A576" s="6"/>
      <c r="B576" s="6"/>
      <c r="C576" s="102"/>
      <c r="D576" s="102"/>
      <c r="E576" s="103"/>
      <c r="F576" s="6"/>
      <c r="G576" s="103"/>
      <c r="H576" s="6"/>
      <c r="I576" s="104"/>
      <c r="J576" s="104"/>
      <c r="K576" s="104"/>
    </row>
    <row r="577" spans="1:11" x14ac:dyDescent="0.25">
      <c r="A577" s="6"/>
      <c r="B577" s="6"/>
      <c r="C577" s="102"/>
      <c r="D577" s="102"/>
      <c r="E577" s="103"/>
      <c r="F577" s="6"/>
      <c r="G577" s="103"/>
      <c r="H577" s="6"/>
      <c r="I577" s="104"/>
      <c r="J577" s="104"/>
      <c r="K577" s="104"/>
    </row>
    <row r="578" spans="1:11" x14ac:dyDescent="0.25">
      <c r="A578" s="6"/>
      <c r="B578" s="6"/>
      <c r="C578" s="102"/>
      <c r="D578" s="102"/>
      <c r="E578" s="103"/>
      <c r="F578" s="6"/>
      <c r="G578" s="103"/>
      <c r="H578" s="6"/>
      <c r="I578" s="104"/>
      <c r="J578" s="104"/>
      <c r="K578" s="104"/>
    </row>
    <row r="579" spans="1:11" x14ac:dyDescent="0.25">
      <c r="A579" s="6"/>
      <c r="B579" s="6"/>
      <c r="C579" s="102"/>
      <c r="D579" s="102"/>
      <c r="E579" s="103"/>
      <c r="F579" s="6"/>
      <c r="G579" s="103"/>
      <c r="H579" s="6"/>
      <c r="I579" s="104"/>
      <c r="J579" s="104"/>
      <c r="K579" s="104"/>
    </row>
    <row r="580" spans="1:11" x14ac:dyDescent="0.25">
      <c r="A580" s="6"/>
      <c r="B580" s="6"/>
      <c r="C580" s="102"/>
      <c r="D580" s="102"/>
      <c r="E580" s="103"/>
      <c r="F580" s="6"/>
      <c r="G580" s="103"/>
      <c r="H580" s="6"/>
      <c r="I580" s="104"/>
      <c r="J580" s="104"/>
      <c r="K580" s="104"/>
    </row>
    <row r="581" spans="1:11" x14ac:dyDescent="0.25">
      <c r="A581" s="6"/>
      <c r="B581" s="6"/>
      <c r="C581" s="102"/>
      <c r="D581" s="102"/>
      <c r="E581" s="103"/>
      <c r="F581" s="6"/>
      <c r="G581" s="103"/>
      <c r="H581" s="6"/>
      <c r="I581" s="104"/>
      <c r="J581" s="104"/>
      <c r="K581" s="104"/>
    </row>
    <row r="582" spans="1:11" x14ac:dyDescent="0.25">
      <c r="A582" s="6"/>
      <c r="B582" s="6"/>
      <c r="C582" s="102"/>
      <c r="D582" s="102"/>
      <c r="E582" s="103"/>
      <c r="F582" s="6"/>
      <c r="G582" s="103"/>
      <c r="H582" s="6"/>
      <c r="I582" s="104"/>
      <c r="J582" s="104"/>
      <c r="K582" s="104"/>
    </row>
    <row r="583" spans="1:11" x14ac:dyDescent="0.25">
      <c r="A583" s="6"/>
      <c r="B583" s="6"/>
      <c r="C583" s="102"/>
      <c r="D583" s="102"/>
      <c r="E583" s="103"/>
      <c r="F583" s="6"/>
      <c r="G583" s="103"/>
      <c r="H583" s="6"/>
      <c r="I583" s="104"/>
      <c r="J583" s="104"/>
      <c r="K583" s="104"/>
    </row>
    <row r="584" spans="1:11" x14ac:dyDescent="0.25">
      <c r="A584" s="6"/>
      <c r="B584" s="6"/>
      <c r="C584" s="102"/>
      <c r="D584" s="102"/>
      <c r="E584" s="103"/>
      <c r="F584" s="6"/>
      <c r="G584" s="103"/>
      <c r="H584" s="6"/>
      <c r="I584" s="104"/>
      <c r="J584" s="104"/>
      <c r="K584" s="104"/>
    </row>
    <row r="585" spans="1:11" x14ac:dyDescent="0.25">
      <c r="A585" s="6"/>
      <c r="B585" s="6"/>
      <c r="C585" s="102"/>
      <c r="D585" s="102"/>
      <c r="E585" s="103"/>
      <c r="F585" s="6"/>
      <c r="G585" s="103"/>
      <c r="H585" s="6"/>
      <c r="I585" s="104"/>
      <c r="J585" s="104"/>
      <c r="K585" s="104"/>
    </row>
    <row r="586" spans="1:11" x14ac:dyDescent="0.25">
      <c r="A586" s="6"/>
      <c r="B586" s="6"/>
      <c r="C586" s="102"/>
      <c r="D586" s="102"/>
      <c r="E586" s="103"/>
      <c r="F586" s="6"/>
      <c r="G586" s="103"/>
      <c r="H586" s="6"/>
      <c r="I586" s="104"/>
      <c r="J586" s="104"/>
      <c r="K586" s="104"/>
    </row>
    <row r="587" spans="1:11" x14ac:dyDescent="0.25">
      <c r="A587" s="6"/>
      <c r="B587" s="6"/>
      <c r="C587" s="102"/>
      <c r="D587" s="102"/>
      <c r="E587" s="103"/>
      <c r="F587" s="6"/>
      <c r="G587" s="103"/>
      <c r="H587" s="6"/>
      <c r="I587" s="104"/>
      <c r="J587" s="104"/>
      <c r="K587" s="104"/>
    </row>
    <row r="588" spans="1:11" x14ac:dyDescent="0.25">
      <c r="A588" s="6"/>
      <c r="B588" s="6"/>
      <c r="C588" s="102"/>
      <c r="D588" s="102"/>
      <c r="E588" s="103"/>
      <c r="F588" s="6"/>
      <c r="G588" s="103"/>
      <c r="H588" s="6"/>
      <c r="I588" s="104"/>
      <c r="J588" s="104"/>
      <c r="K588" s="104"/>
    </row>
    <row r="589" spans="1:11" x14ac:dyDescent="0.25">
      <c r="A589" s="6"/>
      <c r="B589" s="6"/>
      <c r="C589" s="102"/>
      <c r="D589" s="102"/>
      <c r="E589" s="103"/>
      <c r="F589" s="6"/>
      <c r="G589" s="103"/>
      <c r="H589" s="6"/>
      <c r="I589" s="104"/>
      <c r="J589" s="104"/>
      <c r="K589" s="104"/>
    </row>
    <row r="590" spans="1:11" x14ac:dyDescent="0.25">
      <c r="A590" s="6"/>
      <c r="B590" s="6"/>
      <c r="C590" s="102"/>
      <c r="D590" s="102"/>
      <c r="E590" s="103"/>
      <c r="F590" s="6"/>
      <c r="G590" s="103"/>
      <c r="H590" s="6"/>
      <c r="I590" s="104"/>
      <c r="J590" s="104"/>
      <c r="K590" s="104"/>
    </row>
    <row r="591" spans="1:11" x14ac:dyDescent="0.25">
      <c r="A591" s="6"/>
      <c r="B591" s="6"/>
      <c r="C591" s="102"/>
      <c r="D591" s="102"/>
      <c r="E591" s="103"/>
      <c r="F591" s="6"/>
      <c r="G591" s="103"/>
      <c r="H591" s="6"/>
      <c r="I591" s="104"/>
      <c r="J591" s="104"/>
      <c r="K591" s="104"/>
    </row>
    <row r="592" spans="1:11" x14ac:dyDescent="0.25">
      <c r="A592" s="6"/>
      <c r="B592" s="6"/>
      <c r="C592" s="102"/>
      <c r="D592" s="102"/>
      <c r="E592" s="103"/>
      <c r="F592" s="6"/>
      <c r="G592" s="103"/>
      <c r="H592" s="6"/>
      <c r="I592" s="104"/>
      <c r="J592" s="104"/>
      <c r="K592" s="104"/>
    </row>
    <row r="593" spans="1:11" x14ac:dyDescent="0.25">
      <c r="A593" s="6"/>
      <c r="B593" s="6"/>
      <c r="C593" s="102"/>
      <c r="D593" s="102"/>
      <c r="E593" s="103"/>
      <c r="F593" s="6"/>
      <c r="G593" s="103"/>
      <c r="H593" s="6"/>
      <c r="I593" s="104"/>
      <c r="J593" s="104"/>
      <c r="K593" s="104"/>
    </row>
    <row r="594" spans="1:11" x14ac:dyDescent="0.25">
      <c r="A594" s="6"/>
      <c r="B594" s="6"/>
      <c r="C594" s="102"/>
      <c r="D594" s="102"/>
      <c r="E594" s="103"/>
      <c r="F594" s="6"/>
      <c r="G594" s="103"/>
      <c r="H594" s="6"/>
      <c r="I594" s="104"/>
      <c r="J594" s="104"/>
      <c r="K594" s="104"/>
    </row>
    <row r="595" spans="1:11" x14ac:dyDescent="0.25">
      <c r="A595" s="6"/>
      <c r="B595" s="6"/>
      <c r="C595" s="102"/>
      <c r="D595" s="102"/>
      <c r="E595" s="103"/>
      <c r="F595" s="6"/>
      <c r="G595" s="103"/>
      <c r="H595" s="6"/>
      <c r="I595" s="104"/>
      <c r="J595" s="104"/>
      <c r="K595" s="104"/>
    </row>
    <row r="596" spans="1:11" x14ac:dyDescent="0.25">
      <c r="A596" s="6"/>
      <c r="B596" s="6"/>
      <c r="C596" s="102"/>
      <c r="D596" s="102"/>
      <c r="E596" s="103"/>
      <c r="F596" s="6"/>
      <c r="G596" s="103"/>
      <c r="H596" s="6"/>
      <c r="I596" s="104"/>
      <c r="J596" s="104"/>
      <c r="K596" s="104"/>
    </row>
    <row r="597" spans="1:11" x14ac:dyDescent="0.25">
      <c r="A597" s="6"/>
      <c r="B597" s="6"/>
      <c r="C597" s="102"/>
      <c r="D597" s="102"/>
      <c r="E597" s="103"/>
      <c r="F597" s="6"/>
      <c r="G597" s="103"/>
      <c r="H597" s="6"/>
      <c r="I597" s="104"/>
      <c r="J597" s="104"/>
      <c r="K597" s="104"/>
    </row>
    <row r="598" spans="1:11" x14ac:dyDescent="0.25">
      <c r="A598" s="6"/>
      <c r="B598" s="6"/>
      <c r="C598" s="102"/>
      <c r="D598" s="102"/>
      <c r="E598" s="103"/>
      <c r="F598" s="6"/>
      <c r="G598" s="103"/>
      <c r="H598" s="6"/>
      <c r="I598" s="104"/>
      <c r="J598" s="104"/>
      <c r="K598" s="104"/>
    </row>
    <row r="599" spans="1:11" x14ac:dyDescent="0.25">
      <c r="A599" s="6"/>
      <c r="B599" s="6"/>
      <c r="C599" s="102"/>
      <c r="D599" s="102"/>
      <c r="E599" s="103"/>
      <c r="F599" s="6"/>
      <c r="G599" s="103"/>
      <c r="H599" s="6"/>
      <c r="I599" s="104"/>
      <c r="J599" s="104"/>
      <c r="K599" s="104"/>
    </row>
    <row r="600" spans="1:11" x14ac:dyDescent="0.25">
      <c r="A600" s="6"/>
      <c r="B600" s="6"/>
      <c r="C600" s="102"/>
      <c r="D600" s="102"/>
      <c r="E600" s="103"/>
      <c r="F600" s="6"/>
      <c r="G600" s="103"/>
      <c r="H600" s="6"/>
      <c r="I600" s="104"/>
      <c r="J600" s="104"/>
      <c r="K600" s="104"/>
    </row>
    <row r="601" spans="1:11" x14ac:dyDescent="0.25">
      <c r="A601" s="6"/>
      <c r="B601" s="6"/>
      <c r="C601" s="102"/>
      <c r="D601" s="102"/>
      <c r="E601" s="103"/>
      <c r="F601" s="6"/>
      <c r="G601" s="103"/>
      <c r="H601" s="6"/>
      <c r="I601" s="104"/>
      <c r="J601" s="104"/>
      <c r="K601" s="104"/>
    </row>
    <row r="602" spans="1:11" x14ac:dyDescent="0.25">
      <c r="A602" s="6"/>
      <c r="B602" s="6"/>
      <c r="C602" s="102"/>
      <c r="D602" s="102"/>
      <c r="E602" s="103"/>
      <c r="F602" s="6"/>
      <c r="G602" s="103"/>
      <c r="H602" s="6"/>
      <c r="I602" s="104"/>
      <c r="J602" s="104"/>
      <c r="K602" s="104"/>
    </row>
    <row r="603" spans="1:11" x14ac:dyDescent="0.25">
      <c r="A603" s="6"/>
      <c r="B603" s="6"/>
      <c r="C603" s="102"/>
      <c r="D603" s="102"/>
      <c r="E603" s="103"/>
      <c r="F603" s="6"/>
      <c r="G603" s="103"/>
      <c r="H603" s="6"/>
      <c r="I603" s="104"/>
      <c r="J603" s="104"/>
      <c r="K603" s="104"/>
    </row>
    <row r="604" spans="1:11" x14ac:dyDescent="0.25">
      <c r="A604" s="6"/>
      <c r="B604" s="6"/>
      <c r="C604" s="102"/>
      <c r="D604" s="102"/>
      <c r="E604" s="103"/>
      <c r="F604" s="6"/>
      <c r="G604" s="103"/>
      <c r="H604" s="6"/>
      <c r="I604" s="104"/>
      <c r="J604" s="104"/>
      <c r="K604" s="104"/>
    </row>
    <row r="605" spans="1:11" x14ac:dyDescent="0.25">
      <c r="A605" s="6"/>
      <c r="B605" s="6"/>
      <c r="C605" s="102"/>
      <c r="D605" s="102"/>
      <c r="E605" s="103"/>
      <c r="F605" s="6"/>
      <c r="G605" s="103"/>
      <c r="H605" s="6"/>
      <c r="I605" s="104"/>
      <c r="J605" s="104"/>
      <c r="K605" s="104"/>
    </row>
    <row r="606" spans="1:11" x14ac:dyDescent="0.25">
      <c r="A606" s="6"/>
      <c r="B606" s="6"/>
      <c r="C606" s="102"/>
      <c r="D606" s="102"/>
      <c r="E606" s="103"/>
      <c r="F606" s="6"/>
      <c r="G606" s="103"/>
      <c r="H606" s="6"/>
      <c r="I606" s="104"/>
      <c r="J606" s="104"/>
      <c r="K606" s="104"/>
    </row>
    <row r="607" spans="1:11" x14ac:dyDescent="0.25">
      <c r="A607" s="6"/>
      <c r="B607" s="6"/>
      <c r="C607" s="102"/>
      <c r="D607" s="102"/>
      <c r="E607" s="103"/>
      <c r="F607" s="6"/>
      <c r="G607" s="103"/>
      <c r="H607" s="6"/>
      <c r="I607" s="104"/>
      <c r="J607" s="104"/>
      <c r="K607" s="104"/>
    </row>
    <row r="608" spans="1:11" x14ac:dyDescent="0.25">
      <c r="A608" s="6"/>
      <c r="B608" s="6"/>
      <c r="C608" s="102"/>
      <c r="D608" s="102"/>
      <c r="E608" s="103"/>
      <c r="F608" s="6"/>
      <c r="G608" s="103"/>
      <c r="H608" s="6"/>
      <c r="I608" s="104"/>
      <c r="J608" s="104"/>
      <c r="K608" s="104"/>
    </row>
    <row r="609" spans="1:11" x14ac:dyDescent="0.25">
      <c r="A609" s="6"/>
      <c r="B609" s="6"/>
      <c r="C609" s="102"/>
      <c r="D609" s="102"/>
      <c r="E609" s="103"/>
      <c r="F609" s="6"/>
      <c r="G609" s="103"/>
      <c r="H609" s="6"/>
      <c r="I609" s="104"/>
      <c r="J609" s="104"/>
      <c r="K609" s="104"/>
    </row>
    <row r="610" spans="1:11" x14ac:dyDescent="0.25">
      <c r="A610" s="6"/>
      <c r="B610" s="6"/>
      <c r="C610" s="102"/>
      <c r="D610" s="102"/>
      <c r="E610" s="103"/>
      <c r="F610" s="6"/>
      <c r="G610" s="103"/>
      <c r="H610" s="6"/>
      <c r="I610" s="104"/>
      <c r="J610" s="104"/>
      <c r="K610" s="104"/>
    </row>
    <row r="611" spans="1:11" x14ac:dyDescent="0.25">
      <c r="A611" s="6"/>
      <c r="B611" s="6"/>
      <c r="C611" s="102"/>
      <c r="D611" s="102"/>
      <c r="E611" s="103"/>
      <c r="F611" s="6"/>
      <c r="G611" s="103"/>
      <c r="H611" s="6"/>
      <c r="I611" s="104"/>
      <c r="J611" s="104"/>
      <c r="K611" s="104"/>
    </row>
    <row r="612" spans="1:11" x14ac:dyDescent="0.25">
      <c r="A612" s="6"/>
      <c r="B612" s="6"/>
      <c r="C612" s="102"/>
      <c r="D612" s="102"/>
      <c r="E612" s="103"/>
      <c r="F612" s="6"/>
      <c r="G612" s="103"/>
      <c r="H612" s="6"/>
      <c r="I612" s="104"/>
      <c r="J612" s="104"/>
      <c r="K612" s="104"/>
    </row>
    <row r="613" spans="1:11" x14ac:dyDescent="0.25">
      <c r="A613" s="6"/>
      <c r="B613" s="6"/>
      <c r="C613" s="102"/>
      <c r="D613" s="102"/>
      <c r="E613" s="103"/>
      <c r="F613" s="6"/>
      <c r="G613" s="103"/>
      <c r="H613" s="6"/>
      <c r="I613" s="104"/>
      <c r="J613" s="104"/>
      <c r="K613" s="104"/>
    </row>
    <row r="614" spans="1:11" x14ac:dyDescent="0.25">
      <c r="A614" s="6"/>
      <c r="B614" s="6"/>
      <c r="C614" s="102"/>
      <c r="D614" s="102"/>
      <c r="E614" s="103"/>
      <c r="F614" s="6"/>
      <c r="G614" s="103"/>
      <c r="H614" s="6"/>
      <c r="I614" s="104"/>
      <c r="J614" s="104"/>
      <c r="K614" s="104"/>
    </row>
    <row r="615" spans="1:11" x14ac:dyDescent="0.25">
      <c r="A615" s="6"/>
      <c r="B615" s="6"/>
      <c r="C615" s="102"/>
      <c r="D615" s="102"/>
      <c r="E615" s="103"/>
      <c r="F615" s="6"/>
      <c r="G615" s="103"/>
      <c r="H615" s="6"/>
      <c r="I615" s="104"/>
      <c r="J615" s="104"/>
      <c r="K615" s="104"/>
    </row>
    <row r="616" spans="1:11" x14ac:dyDescent="0.25">
      <c r="A616" s="6"/>
      <c r="B616" s="6"/>
      <c r="C616" s="102"/>
      <c r="D616" s="102"/>
      <c r="E616" s="103"/>
      <c r="F616" s="6"/>
      <c r="G616" s="103"/>
      <c r="H616" s="6"/>
      <c r="I616" s="104"/>
      <c r="J616" s="104"/>
      <c r="K616" s="104"/>
    </row>
    <row r="617" spans="1:11" x14ac:dyDescent="0.25">
      <c r="A617" s="6"/>
      <c r="B617" s="6"/>
      <c r="C617" s="102"/>
      <c r="D617" s="102"/>
      <c r="E617" s="103"/>
      <c r="F617" s="6"/>
      <c r="G617" s="103"/>
      <c r="H617" s="6"/>
      <c r="I617" s="104"/>
      <c r="J617" s="104"/>
      <c r="K617" s="104"/>
    </row>
    <row r="618" spans="1:11" x14ac:dyDescent="0.25">
      <c r="A618" s="6"/>
      <c r="B618" s="6"/>
      <c r="C618" s="102"/>
      <c r="D618" s="102"/>
      <c r="E618" s="103"/>
      <c r="F618" s="6"/>
      <c r="G618" s="103"/>
      <c r="H618" s="6"/>
      <c r="I618" s="104"/>
      <c r="J618" s="104"/>
      <c r="K618" s="104"/>
    </row>
    <row r="619" spans="1:11" x14ac:dyDescent="0.25">
      <c r="A619" s="6"/>
      <c r="B619" s="6"/>
      <c r="C619" s="102"/>
      <c r="D619" s="102"/>
      <c r="E619" s="103"/>
      <c r="F619" s="6"/>
      <c r="G619" s="103"/>
      <c r="H619" s="6"/>
      <c r="I619" s="104"/>
      <c r="J619" s="104"/>
      <c r="K619" s="104"/>
    </row>
    <row r="620" spans="1:11" x14ac:dyDescent="0.25">
      <c r="A620" s="6"/>
      <c r="B620" s="6"/>
      <c r="C620" s="102"/>
      <c r="D620" s="102"/>
      <c r="E620" s="103"/>
      <c r="F620" s="6"/>
      <c r="G620" s="103"/>
      <c r="H620" s="6"/>
      <c r="I620" s="104"/>
      <c r="J620" s="104"/>
      <c r="K620" s="104"/>
    </row>
    <row r="621" spans="1:11" x14ac:dyDescent="0.25">
      <c r="A621" s="6"/>
      <c r="B621" s="6"/>
      <c r="C621" s="102"/>
      <c r="D621" s="102"/>
      <c r="E621" s="103"/>
      <c r="F621" s="6"/>
      <c r="G621" s="103"/>
      <c r="H621" s="6"/>
      <c r="I621" s="104"/>
      <c r="J621" s="104"/>
      <c r="K621" s="104"/>
    </row>
    <row r="622" spans="1:11" x14ac:dyDescent="0.25">
      <c r="A622" s="6"/>
      <c r="B622" s="6"/>
      <c r="C622" s="102"/>
      <c r="D622" s="102"/>
      <c r="E622" s="103"/>
      <c r="F622" s="6"/>
      <c r="G622" s="103"/>
      <c r="H622" s="6"/>
      <c r="I622" s="104"/>
      <c r="J622" s="104"/>
      <c r="K622" s="104"/>
    </row>
    <row r="623" spans="1:11" x14ac:dyDescent="0.25">
      <c r="A623" s="6"/>
      <c r="B623" s="6"/>
      <c r="C623" s="102"/>
      <c r="D623" s="102"/>
      <c r="E623" s="103"/>
      <c r="F623" s="6"/>
      <c r="G623" s="103"/>
      <c r="H623" s="6"/>
      <c r="I623" s="104"/>
      <c r="J623" s="104"/>
      <c r="K623" s="104"/>
    </row>
    <row r="624" spans="1:11" x14ac:dyDescent="0.25">
      <c r="A624" s="6"/>
      <c r="B624" s="6"/>
      <c r="C624" s="102"/>
      <c r="D624" s="102"/>
      <c r="E624" s="103"/>
      <c r="F624" s="6"/>
      <c r="G624" s="103"/>
      <c r="H624" s="6"/>
      <c r="I624" s="104"/>
      <c r="J624" s="104"/>
      <c r="K624" s="104"/>
    </row>
    <row r="625" spans="1:11" x14ac:dyDescent="0.25">
      <c r="A625" s="6"/>
      <c r="B625" s="6"/>
      <c r="C625" s="102"/>
      <c r="D625" s="102"/>
      <c r="E625" s="103"/>
      <c r="F625" s="6"/>
      <c r="G625" s="103"/>
      <c r="H625" s="6"/>
      <c r="I625" s="104"/>
      <c r="J625" s="104"/>
      <c r="K625" s="104"/>
    </row>
    <row r="626" spans="1:11" x14ac:dyDescent="0.25">
      <c r="A626" s="6"/>
      <c r="B626" s="6"/>
      <c r="C626" s="102"/>
      <c r="D626" s="102"/>
      <c r="E626" s="103"/>
      <c r="F626" s="6"/>
      <c r="G626" s="103"/>
      <c r="H626" s="6"/>
      <c r="I626" s="104"/>
      <c r="J626" s="104"/>
      <c r="K626" s="104"/>
    </row>
    <row r="627" spans="1:11" x14ac:dyDescent="0.25">
      <c r="A627" s="6"/>
      <c r="B627" s="6"/>
      <c r="C627" s="102"/>
      <c r="D627" s="102"/>
      <c r="E627" s="103"/>
      <c r="F627" s="6"/>
      <c r="G627" s="103"/>
      <c r="H627" s="6"/>
      <c r="I627" s="104"/>
      <c r="J627" s="104"/>
      <c r="K627" s="104"/>
    </row>
    <row r="628" spans="1:11" x14ac:dyDescent="0.25">
      <c r="A628" s="6"/>
      <c r="B628" s="6"/>
      <c r="C628" s="102"/>
      <c r="D628" s="102"/>
      <c r="E628" s="103"/>
      <c r="F628" s="6"/>
      <c r="G628" s="103"/>
      <c r="H628" s="6"/>
      <c r="I628" s="104"/>
      <c r="J628" s="104"/>
      <c r="K628" s="104"/>
    </row>
    <row r="629" spans="1:11" x14ac:dyDescent="0.25">
      <c r="A629" s="6"/>
      <c r="B629" s="6"/>
      <c r="C629" s="102"/>
      <c r="D629" s="102"/>
      <c r="E629" s="103"/>
      <c r="F629" s="6"/>
      <c r="G629" s="103"/>
      <c r="H629" s="6"/>
      <c r="I629" s="104"/>
      <c r="J629" s="104"/>
      <c r="K629" s="104"/>
    </row>
    <row r="630" spans="1:11" x14ac:dyDescent="0.25">
      <c r="A630" s="6"/>
      <c r="B630" s="6"/>
      <c r="C630" s="102"/>
      <c r="D630" s="102"/>
      <c r="E630" s="103"/>
      <c r="F630" s="6"/>
      <c r="G630" s="103"/>
      <c r="H630" s="6"/>
      <c r="I630" s="104"/>
      <c r="J630" s="104"/>
      <c r="K630" s="104"/>
    </row>
    <row r="631" spans="1:11" x14ac:dyDescent="0.25">
      <c r="A631" s="6"/>
      <c r="B631" s="6"/>
      <c r="C631" s="102"/>
      <c r="D631" s="102"/>
      <c r="E631" s="103"/>
      <c r="F631" s="6"/>
      <c r="G631" s="103"/>
      <c r="H631" s="6"/>
      <c r="I631" s="104"/>
      <c r="J631" s="104"/>
      <c r="K631" s="104"/>
    </row>
    <row r="632" spans="1:11" x14ac:dyDescent="0.25">
      <c r="A632" s="6"/>
      <c r="B632" s="6"/>
      <c r="C632" s="102"/>
      <c r="D632" s="102"/>
      <c r="E632" s="103"/>
      <c r="F632" s="6"/>
      <c r="G632" s="103"/>
      <c r="H632" s="6"/>
      <c r="I632" s="104"/>
      <c r="J632" s="104"/>
      <c r="K632" s="104"/>
    </row>
    <row r="633" spans="1:11" x14ac:dyDescent="0.25">
      <c r="A633" s="6"/>
      <c r="B633" s="6"/>
      <c r="C633" s="102"/>
      <c r="D633" s="102"/>
      <c r="E633" s="103"/>
      <c r="F633" s="6"/>
      <c r="G633" s="103"/>
      <c r="H633" s="6"/>
      <c r="I633" s="104"/>
      <c r="J633" s="104"/>
      <c r="K633" s="104"/>
    </row>
    <row r="634" spans="1:11" x14ac:dyDescent="0.25">
      <c r="A634" s="6"/>
      <c r="B634" s="6"/>
      <c r="C634" s="102"/>
      <c r="D634" s="102"/>
      <c r="E634" s="103"/>
      <c r="F634" s="6"/>
      <c r="G634" s="103"/>
      <c r="H634" s="6"/>
      <c r="I634" s="104"/>
      <c r="J634" s="104"/>
      <c r="K634" s="104"/>
    </row>
    <row r="635" spans="1:11" x14ac:dyDescent="0.25">
      <c r="A635" s="6"/>
      <c r="B635" s="6"/>
      <c r="C635" s="102"/>
      <c r="D635" s="102"/>
      <c r="E635" s="103"/>
      <c r="F635" s="6"/>
      <c r="G635" s="103"/>
      <c r="H635" s="6"/>
      <c r="I635" s="104"/>
      <c r="J635" s="104"/>
      <c r="K635" s="104"/>
    </row>
    <row r="636" spans="1:11" x14ac:dyDescent="0.25">
      <c r="A636" s="6"/>
      <c r="B636" s="6"/>
      <c r="C636" s="102"/>
      <c r="D636" s="102"/>
      <c r="E636" s="103"/>
      <c r="F636" s="6"/>
      <c r="G636" s="103"/>
      <c r="H636" s="6"/>
      <c r="I636" s="104"/>
      <c r="J636" s="104"/>
      <c r="K636" s="104"/>
    </row>
    <row r="637" spans="1:11" x14ac:dyDescent="0.25">
      <c r="A637" s="6"/>
      <c r="B637" s="6"/>
      <c r="C637" s="102"/>
      <c r="D637" s="102"/>
      <c r="E637" s="103"/>
      <c r="F637" s="6"/>
      <c r="G637" s="103"/>
      <c r="H637" s="6"/>
      <c r="I637" s="104"/>
      <c r="J637" s="104"/>
      <c r="K637" s="104"/>
    </row>
    <row r="638" spans="1:11" x14ac:dyDescent="0.25">
      <c r="A638" s="6"/>
      <c r="B638" s="6"/>
      <c r="C638" s="102"/>
      <c r="D638" s="102"/>
      <c r="E638" s="103"/>
      <c r="F638" s="6"/>
      <c r="G638" s="103"/>
      <c r="H638" s="6"/>
      <c r="I638" s="104"/>
      <c r="J638" s="104"/>
      <c r="K638" s="104"/>
    </row>
    <row r="639" spans="1:11" x14ac:dyDescent="0.25">
      <c r="A639" s="6"/>
      <c r="B639" s="6"/>
      <c r="C639" s="102"/>
      <c r="D639" s="102"/>
      <c r="E639" s="103"/>
      <c r="F639" s="6"/>
      <c r="G639" s="103"/>
      <c r="H639" s="6"/>
      <c r="I639" s="104"/>
      <c r="J639" s="104"/>
      <c r="K639" s="104"/>
    </row>
    <row r="640" spans="1:11" x14ac:dyDescent="0.25">
      <c r="A640" s="6"/>
      <c r="B640" s="6"/>
      <c r="C640" s="102"/>
      <c r="D640" s="102"/>
      <c r="E640" s="103"/>
      <c r="F640" s="6"/>
      <c r="G640" s="103"/>
      <c r="H640" s="6"/>
      <c r="I640" s="104"/>
      <c r="J640" s="104"/>
      <c r="K640" s="104"/>
    </row>
    <row r="641" spans="1:11" x14ac:dyDescent="0.25">
      <c r="A641" s="6"/>
      <c r="B641" s="6"/>
      <c r="C641" s="102"/>
      <c r="D641" s="102"/>
      <c r="E641" s="103"/>
      <c r="F641" s="6"/>
      <c r="G641" s="103"/>
      <c r="H641" s="6"/>
      <c r="I641" s="104"/>
      <c r="J641" s="104"/>
      <c r="K641" s="104"/>
    </row>
    <row r="642" spans="1:11" x14ac:dyDescent="0.25">
      <c r="A642" s="6"/>
      <c r="B642" s="6"/>
      <c r="C642" s="102"/>
      <c r="D642" s="102"/>
      <c r="E642" s="103"/>
      <c r="F642" s="6"/>
      <c r="G642" s="103"/>
      <c r="H642" s="6"/>
      <c r="I642" s="104"/>
      <c r="J642" s="104"/>
      <c r="K642" s="104"/>
    </row>
    <row r="643" spans="1:11" x14ac:dyDescent="0.25">
      <c r="A643" s="6"/>
      <c r="B643" s="6"/>
      <c r="C643" s="102"/>
      <c r="D643" s="102"/>
      <c r="E643" s="103"/>
      <c r="F643" s="6"/>
      <c r="G643" s="103"/>
      <c r="H643" s="6"/>
      <c r="I643" s="104"/>
      <c r="J643" s="104"/>
      <c r="K643" s="104"/>
    </row>
    <row r="644" spans="1:11" x14ac:dyDescent="0.25">
      <c r="A644" s="6"/>
      <c r="B644" s="6"/>
      <c r="C644" s="102"/>
      <c r="D644" s="102"/>
      <c r="E644" s="103"/>
      <c r="F644" s="6"/>
      <c r="G644" s="103"/>
      <c r="H644" s="6"/>
      <c r="I644" s="104"/>
      <c r="J644" s="104"/>
      <c r="K644" s="104"/>
    </row>
    <row r="645" spans="1:11" x14ac:dyDescent="0.25">
      <c r="A645" s="6"/>
      <c r="B645" s="6"/>
      <c r="C645" s="102"/>
      <c r="D645" s="102"/>
      <c r="E645" s="103"/>
      <c r="F645" s="6"/>
      <c r="G645" s="103"/>
      <c r="H645" s="6"/>
      <c r="I645" s="104"/>
      <c r="J645" s="104"/>
      <c r="K645" s="104"/>
    </row>
    <row r="646" spans="1:11" x14ac:dyDescent="0.25">
      <c r="A646" s="6"/>
      <c r="B646" s="6"/>
      <c r="C646" s="102"/>
      <c r="D646" s="102"/>
      <c r="E646" s="103"/>
      <c r="F646" s="6"/>
      <c r="G646" s="103"/>
      <c r="H646" s="6"/>
      <c r="I646" s="104"/>
      <c r="J646" s="104"/>
      <c r="K646" s="104"/>
    </row>
    <row r="647" spans="1:11" x14ac:dyDescent="0.25">
      <c r="A647" s="6"/>
      <c r="B647" s="6"/>
      <c r="C647" s="102"/>
      <c r="D647" s="102"/>
      <c r="E647" s="103"/>
      <c r="F647" s="6"/>
      <c r="G647" s="103"/>
      <c r="H647" s="6"/>
      <c r="I647" s="104"/>
      <c r="J647" s="104"/>
      <c r="K647" s="104"/>
    </row>
    <row r="648" spans="1:11" x14ac:dyDescent="0.25">
      <c r="A648" s="6"/>
      <c r="B648" s="6"/>
      <c r="C648" s="102"/>
      <c r="D648" s="102"/>
      <c r="E648" s="103"/>
      <c r="F648" s="6"/>
      <c r="G648" s="103"/>
      <c r="H648" s="6"/>
      <c r="I648" s="104"/>
      <c r="J648" s="104"/>
      <c r="K648" s="104"/>
    </row>
    <row r="649" spans="1:11" x14ac:dyDescent="0.25">
      <c r="A649" s="6"/>
      <c r="B649" s="6"/>
      <c r="C649" s="102"/>
      <c r="D649" s="102"/>
      <c r="E649" s="103"/>
      <c r="F649" s="6"/>
      <c r="G649" s="103"/>
      <c r="H649" s="6"/>
      <c r="I649" s="104"/>
      <c r="J649" s="104"/>
      <c r="K649" s="104"/>
    </row>
    <row r="650" spans="1:11" x14ac:dyDescent="0.25">
      <c r="A650" s="6"/>
      <c r="B650" s="6"/>
      <c r="C650" s="102"/>
      <c r="D650" s="102"/>
      <c r="E650" s="103"/>
      <c r="F650" s="6"/>
      <c r="G650" s="103"/>
      <c r="H650" s="6"/>
      <c r="I650" s="104"/>
      <c r="J650" s="104"/>
      <c r="K650" s="104"/>
    </row>
    <row r="651" spans="1:11" x14ac:dyDescent="0.25">
      <c r="A651" s="6"/>
      <c r="B651" s="6"/>
      <c r="C651" s="102"/>
      <c r="D651" s="102"/>
      <c r="E651" s="103"/>
      <c r="F651" s="6"/>
      <c r="G651" s="103"/>
      <c r="H651" s="6"/>
      <c r="I651" s="104"/>
      <c r="J651" s="104"/>
      <c r="K651" s="104"/>
    </row>
    <row r="652" spans="1:11" x14ac:dyDescent="0.25">
      <c r="A652" s="6"/>
      <c r="B652" s="6"/>
      <c r="C652" s="102"/>
      <c r="D652" s="102"/>
      <c r="E652" s="103"/>
      <c r="F652" s="6"/>
      <c r="G652" s="103"/>
      <c r="H652" s="6"/>
      <c r="I652" s="104"/>
      <c r="J652" s="104"/>
      <c r="K652" s="104"/>
    </row>
    <row r="653" spans="1:11" x14ac:dyDescent="0.25">
      <c r="A653" s="6"/>
      <c r="B653" s="6"/>
      <c r="C653" s="102"/>
      <c r="D653" s="102"/>
      <c r="E653" s="103"/>
      <c r="F653" s="6"/>
      <c r="G653" s="103"/>
      <c r="H653" s="6"/>
      <c r="I653" s="104"/>
      <c r="J653" s="104"/>
      <c r="K653" s="104"/>
    </row>
    <row r="654" spans="1:11" x14ac:dyDescent="0.25">
      <c r="A654" s="6"/>
      <c r="B654" s="6"/>
      <c r="C654" s="102"/>
      <c r="D654" s="102"/>
      <c r="E654" s="103"/>
      <c r="F654" s="6"/>
      <c r="G654" s="103"/>
      <c r="H654" s="6"/>
      <c r="I654" s="104"/>
      <c r="J654" s="104"/>
      <c r="K654" s="104"/>
    </row>
    <row r="655" spans="1:11" x14ac:dyDescent="0.25">
      <c r="A655" s="6"/>
      <c r="B655" s="6"/>
      <c r="C655" s="102"/>
      <c r="D655" s="102"/>
      <c r="E655" s="103"/>
      <c r="F655" s="6"/>
      <c r="G655" s="103"/>
      <c r="H655" s="6"/>
      <c r="I655" s="104"/>
      <c r="J655" s="104"/>
      <c r="K655" s="104"/>
    </row>
    <row r="656" spans="1:11" x14ac:dyDescent="0.25">
      <c r="A656" s="6"/>
      <c r="B656" s="6"/>
      <c r="C656" s="102"/>
      <c r="D656" s="102"/>
      <c r="E656" s="103"/>
      <c r="F656" s="6"/>
      <c r="G656" s="103"/>
      <c r="H656" s="6"/>
      <c r="I656" s="104"/>
      <c r="J656" s="104"/>
      <c r="K656" s="104"/>
    </row>
    <row r="657" spans="1:11" x14ac:dyDescent="0.25">
      <c r="A657" s="6"/>
      <c r="B657" s="6"/>
      <c r="C657" s="102"/>
      <c r="D657" s="102"/>
      <c r="E657" s="103"/>
      <c r="F657" s="6"/>
      <c r="G657" s="103"/>
      <c r="H657" s="6"/>
      <c r="I657" s="104"/>
      <c r="J657" s="104"/>
      <c r="K657" s="104"/>
    </row>
    <row r="658" spans="1:11" x14ac:dyDescent="0.25">
      <c r="A658" s="6"/>
      <c r="B658" s="6"/>
      <c r="C658" s="102"/>
      <c r="D658" s="102"/>
      <c r="E658" s="103"/>
      <c r="F658" s="6"/>
      <c r="G658" s="103"/>
      <c r="H658" s="6"/>
      <c r="I658" s="104"/>
      <c r="J658" s="104"/>
      <c r="K658" s="104"/>
    </row>
    <row r="659" spans="1:11" x14ac:dyDescent="0.25">
      <c r="A659" s="6"/>
      <c r="B659" s="6"/>
      <c r="C659" s="102"/>
      <c r="D659" s="102"/>
      <c r="E659" s="103"/>
      <c r="F659" s="6"/>
      <c r="G659" s="103"/>
      <c r="H659" s="6"/>
      <c r="I659" s="104"/>
      <c r="J659" s="104"/>
      <c r="K659" s="104"/>
    </row>
    <row r="660" spans="1:11" x14ac:dyDescent="0.25">
      <c r="A660" s="6"/>
      <c r="B660" s="6"/>
      <c r="C660" s="102"/>
      <c r="D660" s="102"/>
      <c r="E660" s="103"/>
      <c r="F660" s="6"/>
      <c r="G660" s="103"/>
      <c r="H660" s="6"/>
      <c r="I660" s="104"/>
      <c r="J660" s="104"/>
      <c r="K660" s="104"/>
    </row>
    <row r="661" spans="1:11" x14ac:dyDescent="0.25">
      <c r="A661" s="6"/>
      <c r="B661" s="6"/>
      <c r="C661" s="102"/>
      <c r="D661" s="102"/>
      <c r="E661" s="103"/>
      <c r="F661" s="6"/>
      <c r="G661" s="103"/>
      <c r="H661" s="6"/>
      <c r="I661" s="104"/>
      <c r="J661" s="104"/>
      <c r="K661" s="104"/>
    </row>
    <row r="662" spans="1:11" x14ac:dyDescent="0.25">
      <c r="A662" s="6"/>
      <c r="B662" s="6"/>
      <c r="C662" s="102"/>
      <c r="D662" s="102"/>
      <c r="E662" s="103"/>
      <c r="F662" s="6"/>
      <c r="G662" s="103"/>
      <c r="H662" s="6"/>
      <c r="I662" s="104"/>
      <c r="J662" s="104"/>
      <c r="K662" s="104"/>
    </row>
    <row r="663" spans="1:11" x14ac:dyDescent="0.25">
      <c r="A663" s="6"/>
      <c r="B663" s="6"/>
      <c r="C663" s="102"/>
      <c r="D663" s="102"/>
      <c r="E663" s="103"/>
      <c r="F663" s="6"/>
      <c r="G663" s="103"/>
      <c r="H663" s="6"/>
      <c r="I663" s="104"/>
      <c r="J663" s="104"/>
      <c r="K663" s="104"/>
    </row>
    <row r="664" spans="1:11" x14ac:dyDescent="0.25">
      <c r="A664" s="6"/>
      <c r="B664" s="6"/>
      <c r="C664" s="102"/>
      <c r="D664" s="102"/>
      <c r="E664" s="103"/>
      <c r="F664" s="6"/>
      <c r="G664" s="103"/>
      <c r="H664" s="6"/>
      <c r="I664" s="104"/>
      <c r="J664" s="104"/>
      <c r="K664" s="104"/>
    </row>
    <row r="665" spans="1:11" x14ac:dyDescent="0.25">
      <c r="A665" s="6"/>
      <c r="B665" s="6"/>
      <c r="C665" s="102"/>
      <c r="D665" s="102"/>
      <c r="E665" s="103"/>
      <c r="F665" s="6"/>
      <c r="G665" s="103"/>
      <c r="H665" s="6"/>
      <c r="I665" s="104"/>
      <c r="J665" s="104"/>
      <c r="K665" s="104"/>
    </row>
    <row r="666" spans="1:11" x14ac:dyDescent="0.25">
      <c r="A666" s="6"/>
      <c r="B666" s="6"/>
      <c r="C666" s="102"/>
      <c r="D666" s="102"/>
      <c r="E666" s="103"/>
      <c r="F666" s="6"/>
      <c r="G666" s="103"/>
      <c r="H666" s="6"/>
      <c r="I666" s="104"/>
      <c r="J666" s="104"/>
      <c r="K666" s="104"/>
    </row>
    <row r="667" spans="1:11" x14ac:dyDescent="0.25">
      <c r="A667" s="6"/>
      <c r="B667" s="6"/>
      <c r="C667" s="102"/>
      <c r="D667" s="102"/>
      <c r="E667" s="103"/>
      <c r="F667" s="6"/>
      <c r="G667" s="103"/>
      <c r="H667" s="6"/>
      <c r="I667" s="104"/>
      <c r="J667" s="104"/>
      <c r="K667" s="104"/>
    </row>
    <row r="668" spans="1:11" x14ac:dyDescent="0.25">
      <c r="A668" s="6"/>
      <c r="B668" s="6"/>
      <c r="C668" s="102"/>
      <c r="D668" s="102"/>
      <c r="E668" s="103"/>
      <c r="F668" s="6"/>
      <c r="G668" s="103"/>
      <c r="H668" s="6"/>
      <c r="I668" s="104"/>
      <c r="J668" s="104"/>
      <c r="K668" s="104"/>
    </row>
    <row r="669" spans="1:11" x14ac:dyDescent="0.25">
      <c r="A669" s="6"/>
      <c r="B669" s="6"/>
      <c r="C669" s="102"/>
      <c r="D669" s="102"/>
      <c r="E669" s="103"/>
      <c r="F669" s="6"/>
      <c r="G669" s="103"/>
      <c r="H669" s="6"/>
      <c r="I669" s="104"/>
      <c r="J669" s="104"/>
      <c r="K669" s="104"/>
    </row>
    <row r="670" spans="1:11" x14ac:dyDescent="0.25">
      <c r="A670" s="6"/>
      <c r="B670" s="6"/>
      <c r="C670" s="102"/>
      <c r="D670" s="102"/>
      <c r="E670" s="103"/>
      <c r="F670" s="6"/>
      <c r="G670" s="103"/>
      <c r="H670" s="6"/>
      <c r="I670" s="104"/>
      <c r="J670" s="104"/>
      <c r="K670" s="104"/>
    </row>
    <row r="671" spans="1:11" x14ac:dyDescent="0.25">
      <c r="A671" s="6"/>
      <c r="B671" s="6"/>
      <c r="C671" s="102"/>
      <c r="D671" s="102"/>
      <c r="E671" s="103"/>
      <c r="F671" s="6"/>
      <c r="G671" s="103"/>
      <c r="H671" s="6"/>
      <c r="I671" s="104"/>
      <c r="J671" s="104"/>
      <c r="K671" s="104"/>
    </row>
    <row r="672" spans="1:11" x14ac:dyDescent="0.25">
      <c r="A672" s="6"/>
      <c r="B672" s="6"/>
      <c r="C672" s="102"/>
      <c r="D672" s="102"/>
      <c r="E672" s="103"/>
      <c r="F672" s="6"/>
      <c r="G672" s="103"/>
      <c r="H672" s="6"/>
      <c r="I672" s="104"/>
      <c r="J672" s="104"/>
      <c r="K672" s="104"/>
    </row>
    <row r="673" spans="1:11" x14ac:dyDescent="0.25">
      <c r="A673" s="6"/>
      <c r="B673" s="6"/>
      <c r="C673" s="102"/>
      <c r="D673" s="102"/>
      <c r="E673" s="103"/>
      <c r="F673" s="6"/>
      <c r="G673" s="103"/>
      <c r="H673" s="6"/>
      <c r="I673" s="104"/>
      <c r="J673" s="104"/>
      <c r="K673" s="104"/>
    </row>
    <row r="674" spans="1:11" x14ac:dyDescent="0.25">
      <c r="A674" s="6"/>
      <c r="B674" s="6"/>
      <c r="C674" s="102"/>
      <c r="D674" s="102"/>
      <c r="E674" s="103"/>
      <c r="F674" s="6"/>
      <c r="G674" s="103"/>
      <c r="H674" s="6"/>
      <c r="I674" s="104"/>
      <c r="J674" s="104"/>
      <c r="K674" s="104"/>
    </row>
    <row r="675" spans="1:11" x14ac:dyDescent="0.25">
      <c r="A675" s="6"/>
      <c r="B675" s="6"/>
      <c r="C675" s="102"/>
      <c r="D675" s="102"/>
      <c r="E675" s="103"/>
      <c r="F675" s="6"/>
      <c r="G675" s="103"/>
      <c r="H675" s="6"/>
      <c r="I675" s="104"/>
      <c r="J675" s="104"/>
      <c r="K675" s="104"/>
    </row>
    <row r="676" spans="1:11" x14ac:dyDescent="0.25">
      <c r="A676" s="6"/>
      <c r="B676" s="6"/>
      <c r="C676" s="102"/>
      <c r="D676" s="102"/>
      <c r="E676" s="103"/>
      <c r="F676" s="6"/>
      <c r="G676" s="103"/>
      <c r="H676" s="6"/>
      <c r="I676" s="104"/>
      <c r="J676" s="104"/>
      <c r="K676" s="104"/>
    </row>
    <row r="677" spans="1:11" x14ac:dyDescent="0.25">
      <c r="A677" s="6"/>
      <c r="B677" s="6"/>
      <c r="C677" s="102"/>
      <c r="D677" s="102"/>
      <c r="E677" s="103"/>
      <c r="F677" s="6"/>
      <c r="G677" s="103"/>
      <c r="H677" s="6"/>
      <c r="I677" s="104"/>
      <c r="J677" s="104"/>
      <c r="K677" s="104"/>
    </row>
    <row r="678" spans="1:11" x14ac:dyDescent="0.25">
      <c r="A678" s="6"/>
      <c r="B678" s="6"/>
      <c r="C678" s="102"/>
      <c r="D678" s="102"/>
      <c r="E678" s="103"/>
      <c r="F678" s="6"/>
      <c r="G678" s="103"/>
      <c r="H678" s="6"/>
      <c r="I678" s="104"/>
      <c r="J678" s="104"/>
      <c r="K678" s="104"/>
    </row>
    <row r="679" spans="1:11" x14ac:dyDescent="0.25">
      <c r="A679" s="6"/>
      <c r="B679" s="6"/>
      <c r="C679" s="102"/>
      <c r="D679" s="102"/>
      <c r="E679" s="103"/>
      <c r="F679" s="6"/>
      <c r="G679" s="103"/>
      <c r="H679" s="6"/>
      <c r="I679" s="104"/>
      <c r="J679" s="104"/>
      <c r="K679" s="104"/>
    </row>
    <row r="680" spans="1:11" x14ac:dyDescent="0.25">
      <c r="A680" s="6"/>
      <c r="B680" s="6"/>
      <c r="C680" s="102"/>
      <c r="D680" s="102"/>
      <c r="E680" s="103"/>
      <c r="F680" s="6"/>
      <c r="G680" s="103"/>
      <c r="H680" s="6"/>
      <c r="I680" s="104"/>
      <c r="J680" s="104"/>
      <c r="K680" s="104"/>
    </row>
    <row r="681" spans="1:11" x14ac:dyDescent="0.25">
      <c r="A681" s="6"/>
      <c r="B681" s="6"/>
      <c r="C681" s="102"/>
      <c r="D681" s="102"/>
      <c r="E681" s="103"/>
      <c r="F681" s="6"/>
      <c r="G681" s="103"/>
      <c r="H681" s="6"/>
      <c r="I681" s="104"/>
      <c r="J681" s="104"/>
      <c r="K681" s="104"/>
    </row>
    <row r="682" spans="1:11" x14ac:dyDescent="0.25">
      <c r="A682" s="6"/>
      <c r="B682" s="6"/>
      <c r="C682" s="102"/>
      <c r="D682" s="102"/>
      <c r="E682" s="103"/>
      <c r="F682" s="6"/>
      <c r="G682" s="103"/>
      <c r="H682" s="6"/>
      <c r="I682" s="104"/>
      <c r="J682" s="104"/>
      <c r="K682" s="104"/>
    </row>
    <row r="683" spans="1:11" x14ac:dyDescent="0.25">
      <c r="A683" s="6"/>
      <c r="B683" s="6"/>
      <c r="C683" s="102"/>
      <c r="D683" s="102"/>
      <c r="E683" s="103"/>
      <c r="F683" s="6"/>
      <c r="G683" s="103"/>
      <c r="H683" s="6"/>
      <c r="I683" s="104"/>
      <c r="J683" s="104"/>
      <c r="K683" s="104"/>
    </row>
    <row r="684" spans="1:11" x14ac:dyDescent="0.25">
      <c r="A684" s="6"/>
      <c r="B684" s="6"/>
      <c r="C684" s="102"/>
      <c r="D684" s="102"/>
      <c r="E684" s="103"/>
      <c r="F684" s="6"/>
      <c r="G684" s="103"/>
      <c r="H684" s="6"/>
      <c r="I684" s="104"/>
      <c r="J684" s="104"/>
      <c r="K684" s="104"/>
    </row>
    <row r="685" spans="1:11" x14ac:dyDescent="0.25">
      <c r="A685" s="6"/>
      <c r="B685" s="6"/>
      <c r="C685" s="102"/>
      <c r="D685" s="102"/>
      <c r="E685" s="103"/>
      <c r="F685" s="6"/>
      <c r="G685" s="103"/>
      <c r="H685" s="6"/>
      <c r="I685" s="104"/>
      <c r="J685" s="104"/>
      <c r="K685" s="104"/>
    </row>
    <row r="686" spans="1:11" x14ac:dyDescent="0.25">
      <c r="A686" s="6"/>
      <c r="B686" s="6"/>
      <c r="C686" s="102"/>
      <c r="D686" s="102"/>
      <c r="E686" s="103"/>
      <c r="F686" s="6"/>
      <c r="G686" s="103"/>
      <c r="H686" s="6"/>
      <c r="I686" s="104"/>
      <c r="J686" s="104"/>
      <c r="K686" s="104"/>
    </row>
    <row r="687" spans="1:11" x14ac:dyDescent="0.25">
      <c r="A687" s="6"/>
      <c r="B687" s="6"/>
      <c r="C687" s="102"/>
      <c r="D687" s="102"/>
      <c r="E687" s="103"/>
      <c r="F687" s="6"/>
      <c r="G687" s="103"/>
      <c r="H687" s="6"/>
      <c r="I687" s="104"/>
      <c r="J687" s="104"/>
      <c r="K687" s="104"/>
    </row>
    <row r="688" spans="1:11" x14ac:dyDescent="0.25">
      <c r="A688" s="6"/>
      <c r="B688" s="6"/>
      <c r="C688" s="102"/>
      <c r="D688" s="102"/>
      <c r="E688" s="103"/>
      <c r="F688" s="6"/>
      <c r="G688" s="103"/>
      <c r="H688" s="6"/>
      <c r="I688" s="104"/>
      <c r="J688" s="104"/>
      <c r="K688" s="104"/>
    </row>
    <row r="689" spans="1:11" x14ac:dyDescent="0.25">
      <c r="A689" s="6"/>
      <c r="B689" s="6"/>
      <c r="C689" s="102"/>
      <c r="D689" s="102"/>
      <c r="E689" s="103"/>
      <c r="F689" s="6"/>
      <c r="G689" s="103"/>
      <c r="H689" s="6"/>
      <c r="I689" s="104"/>
      <c r="J689" s="104"/>
      <c r="K689" s="104"/>
    </row>
    <row r="690" spans="1:11" x14ac:dyDescent="0.25">
      <c r="A690" s="6"/>
      <c r="B690" s="6"/>
      <c r="C690" s="102"/>
      <c r="D690" s="102"/>
      <c r="E690" s="103"/>
      <c r="F690" s="6"/>
      <c r="G690" s="103"/>
      <c r="H690" s="6"/>
      <c r="I690" s="104"/>
      <c r="J690" s="104"/>
      <c r="K690" s="104"/>
    </row>
    <row r="691" spans="1:11" x14ac:dyDescent="0.25">
      <c r="A691" s="6"/>
      <c r="B691" s="6"/>
      <c r="C691" s="102"/>
      <c r="D691" s="102"/>
      <c r="E691" s="103"/>
      <c r="F691" s="6"/>
      <c r="G691" s="103"/>
      <c r="H691" s="6"/>
      <c r="I691" s="104"/>
      <c r="J691" s="104"/>
      <c r="K691" s="104"/>
    </row>
    <row r="692" spans="1:11" x14ac:dyDescent="0.25">
      <c r="A692" s="6"/>
      <c r="B692" s="6"/>
      <c r="C692" s="102"/>
      <c r="D692" s="102"/>
      <c r="E692" s="103"/>
      <c r="F692" s="6"/>
      <c r="G692" s="103"/>
      <c r="H692" s="6"/>
      <c r="I692" s="104"/>
      <c r="J692" s="104"/>
      <c r="K692" s="104"/>
    </row>
    <row r="693" spans="1:11" x14ac:dyDescent="0.25">
      <c r="A693" s="6"/>
      <c r="B693" s="6"/>
      <c r="C693" s="102"/>
      <c r="D693" s="102"/>
      <c r="E693" s="103"/>
      <c r="F693" s="6"/>
      <c r="G693" s="103"/>
      <c r="H693" s="6"/>
      <c r="I693" s="104"/>
      <c r="J693" s="104"/>
      <c r="K693" s="104"/>
    </row>
    <row r="694" spans="1:11" x14ac:dyDescent="0.25">
      <c r="A694" s="6"/>
      <c r="B694" s="6"/>
      <c r="C694" s="102"/>
      <c r="D694" s="102"/>
      <c r="E694" s="103"/>
      <c r="F694" s="6"/>
      <c r="G694" s="103"/>
      <c r="H694" s="6"/>
      <c r="I694" s="104"/>
      <c r="J694" s="104"/>
      <c r="K694" s="104"/>
    </row>
    <row r="695" spans="1:11" x14ac:dyDescent="0.25">
      <c r="A695" s="6"/>
      <c r="B695" s="6"/>
      <c r="C695" s="102"/>
      <c r="D695" s="102"/>
      <c r="E695" s="103"/>
      <c r="F695" s="6"/>
      <c r="G695" s="103"/>
      <c r="H695" s="6"/>
      <c r="I695" s="104"/>
      <c r="J695" s="104"/>
      <c r="K695" s="104"/>
    </row>
    <row r="696" spans="1:11" x14ac:dyDescent="0.25">
      <c r="A696" s="6"/>
      <c r="B696" s="6"/>
      <c r="C696" s="102"/>
      <c r="D696" s="102"/>
      <c r="E696" s="103"/>
      <c r="F696" s="6"/>
      <c r="G696" s="103"/>
      <c r="H696" s="6"/>
      <c r="I696" s="104"/>
      <c r="J696" s="104"/>
      <c r="K696" s="104"/>
    </row>
    <row r="697" spans="1:11" x14ac:dyDescent="0.25">
      <c r="A697" s="6"/>
      <c r="B697" s="6"/>
      <c r="C697" s="102"/>
      <c r="D697" s="102"/>
      <c r="E697" s="103"/>
      <c r="F697" s="6"/>
      <c r="G697" s="103"/>
      <c r="H697" s="6"/>
      <c r="I697" s="104"/>
      <c r="J697" s="104"/>
      <c r="K697" s="104"/>
    </row>
    <row r="698" spans="1:11" x14ac:dyDescent="0.25">
      <c r="A698" s="6"/>
      <c r="B698" s="6"/>
      <c r="C698" s="102"/>
      <c r="D698" s="102"/>
      <c r="E698" s="103"/>
      <c r="F698" s="6"/>
      <c r="G698" s="103"/>
      <c r="H698" s="6"/>
      <c r="I698" s="104"/>
      <c r="J698" s="104"/>
      <c r="K698" s="104"/>
    </row>
    <row r="699" spans="1:11" x14ac:dyDescent="0.25">
      <c r="A699" s="6"/>
      <c r="B699" s="6"/>
      <c r="C699" s="102"/>
      <c r="D699" s="102"/>
      <c r="E699" s="103"/>
      <c r="F699" s="6"/>
      <c r="G699" s="103"/>
      <c r="H699" s="6"/>
      <c r="I699" s="104"/>
      <c r="J699" s="104"/>
      <c r="K699" s="104"/>
    </row>
    <row r="700" spans="1:11" x14ac:dyDescent="0.25">
      <c r="A700" s="6"/>
      <c r="B700" s="6"/>
      <c r="C700" s="102"/>
      <c r="D700" s="102"/>
      <c r="E700" s="103"/>
      <c r="F700" s="6"/>
      <c r="G700" s="103"/>
      <c r="H700" s="6"/>
      <c r="I700" s="104"/>
      <c r="J700" s="104"/>
      <c r="K700" s="104"/>
    </row>
    <row r="701" spans="1:11" x14ac:dyDescent="0.25">
      <c r="A701" s="6"/>
      <c r="B701" s="6"/>
      <c r="C701" s="102"/>
      <c r="D701" s="102"/>
      <c r="E701" s="103"/>
      <c r="F701" s="6"/>
      <c r="G701" s="103"/>
      <c r="H701" s="6"/>
      <c r="I701" s="104"/>
      <c r="J701" s="104"/>
      <c r="K701" s="104"/>
    </row>
    <row r="702" spans="1:11" x14ac:dyDescent="0.25">
      <c r="A702" s="6"/>
      <c r="B702" s="6"/>
      <c r="C702" s="102"/>
      <c r="D702" s="102"/>
      <c r="E702" s="103"/>
      <c r="F702" s="6"/>
      <c r="G702" s="103"/>
      <c r="H702" s="6"/>
      <c r="I702" s="104"/>
      <c r="J702" s="104"/>
      <c r="K702" s="104"/>
    </row>
    <row r="703" spans="1:11" x14ac:dyDescent="0.25">
      <c r="A703" s="6"/>
      <c r="B703" s="6"/>
      <c r="C703" s="102"/>
      <c r="D703" s="102"/>
      <c r="E703" s="103"/>
      <c r="F703" s="6"/>
      <c r="G703" s="103"/>
      <c r="H703" s="6"/>
      <c r="I703" s="104"/>
      <c r="J703" s="104"/>
      <c r="K703" s="104"/>
    </row>
    <row r="704" spans="1:11" x14ac:dyDescent="0.25">
      <c r="A704" s="6"/>
      <c r="B704" s="6"/>
      <c r="C704" s="102"/>
      <c r="D704" s="102"/>
      <c r="E704" s="103"/>
      <c r="F704" s="6"/>
      <c r="G704" s="103"/>
      <c r="H704" s="6"/>
      <c r="I704" s="104"/>
      <c r="J704" s="104"/>
      <c r="K704" s="104"/>
    </row>
    <row r="705" spans="1:11" x14ac:dyDescent="0.25">
      <c r="A705" s="6"/>
      <c r="B705" s="6"/>
      <c r="C705" s="102"/>
      <c r="D705" s="102"/>
      <c r="E705" s="103"/>
      <c r="F705" s="6"/>
      <c r="G705" s="103"/>
      <c r="H705" s="6"/>
      <c r="I705" s="104"/>
      <c r="J705" s="104"/>
      <c r="K705" s="104"/>
    </row>
    <row r="706" spans="1:11" x14ac:dyDescent="0.25">
      <c r="A706" s="6"/>
      <c r="B706" s="6"/>
      <c r="C706" s="102"/>
      <c r="D706" s="102"/>
      <c r="E706" s="103"/>
      <c r="F706" s="6"/>
      <c r="G706" s="103"/>
      <c r="H706" s="6"/>
      <c r="I706" s="104"/>
      <c r="J706" s="104"/>
      <c r="K706" s="104"/>
    </row>
    <row r="707" spans="1:11" x14ac:dyDescent="0.25">
      <c r="A707" s="6"/>
      <c r="B707" s="6"/>
      <c r="C707" s="102"/>
      <c r="D707" s="102"/>
      <c r="E707" s="103"/>
      <c r="F707" s="6"/>
      <c r="G707" s="103"/>
      <c r="H707" s="6"/>
      <c r="I707" s="104"/>
      <c r="J707" s="104"/>
      <c r="K707" s="104"/>
    </row>
    <row r="708" spans="1:11" x14ac:dyDescent="0.25">
      <c r="A708" s="6"/>
      <c r="B708" s="6"/>
      <c r="C708" s="102"/>
      <c r="D708" s="102"/>
      <c r="E708" s="103"/>
      <c r="F708" s="6"/>
      <c r="G708" s="103"/>
      <c r="H708" s="6"/>
      <c r="I708" s="104"/>
      <c r="J708" s="104"/>
      <c r="K708" s="104"/>
    </row>
    <row r="709" spans="1:11" x14ac:dyDescent="0.25">
      <c r="A709" s="6"/>
      <c r="B709" s="6"/>
      <c r="C709" s="102"/>
      <c r="D709" s="102"/>
      <c r="E709" s="103"/>
      <c r="F709" s="6"/>
      <c r="G709" s="103"/>
      <c r="H709" s="6"/>
      <c r="I709" s="104"/>
      <c r="J709" s="104"/>
      <c r="K709" s="104"/>
    </row>
    <row r="710" spans="1:11" x14ac:dyDescent="0.25">
      <c r="A710" s="6"/>
      <c r="B710" s="6"/>
      <c r="C710" s="102"/>
      <c r="D710" s="102"/>
      <c r="E710" s="103"/>
      <c r="F710" s="6"/>
      <c r="G710" s="103"/>
      <c r="H710" s="6"/>
      <c r="I710" s="104"/>
      <c r="J710" s="104"/>
      <c r="K710" s="104"/>
    </row>
    <row r="711" spans="1:11" x14ac:dyDescent="0.25">
      <c r="A711" s="6"/>
      <c r="B711" s="6"/>
      <c r="C711" s="102"/>
      <c r="D711" s="102"/>
      <c r="E711" s="103"/>
      <c r="F711" s="6"/>
      <c r="G711" s="103"/>
      <c r="H711" s="6"/>
      <c r="I711" s="104"/>
      <c r="J711" s="104"/>
      <c r="K711" s="104"/>
    </row>
    <row r="712" spans="1:11" x14ac:dyDescent="0.25">
      <c r="A712" s="6"/>
      <c r="B712" s="6"/>
      <c r="C712" s="102"/>
      <c r="D712" s="102"/>
      <c r="E712" s="103"/>
      <c r="F712" s="6"/>
      <c r="G712" s="103"/>
      <c r="H712" s="6"/>
      <c r="I712" s="104"/>
      <c r="J712" s="104"/>
      <c r="K712" s="104"/>
    </row>
    <row r="713" spans="1:11" x14ac:dyDescent="0.25">
      <c r="A713" s="6"/>
      <c r="B713" s="6"/>
      <c r="C713" s="102"/>
      <c r="D713" s="102"/>
      <c r="E713" s="103"/>
      <c r="F713" s="6"/>
      <c r="G713" s="103"/>
      <c r="H713" s="6"/>
      <c r="I713" s="104"/>
      <c r="J713" s="104"/>
      <c r="K713" s="104"/>
    </row>
    <row r="714" spans="1:11" x14ac:dyDescent="0.25">
      <c r="A714" s="6"/>
      <c r="B714" s="6"/>
      <c r="C714" s="102"/>
      <c r="D714" s="102"/>
      <c r="E714" s="103"/>
      <c r="F714" s="6"/>
      <c r="G714" s="103"/>
      <c r="H714" s="6"/>
      <c r="I714" s="104"/>
      <c r="J714" s="104"/>
      <c r="K714" s="104"/>
    </row>
    <row r="715" spans="1:11" x14ac:dyDescent="0.25">
      <c r="A715" s="6"/>
      <c r="B715" s="6"/>
      <c r="C715" s="102"/>
      <c r="D715" s="102"/>
      <c r="E715" s="103"/>
      <c r="F715" s="6"/>
      <c r="G715" s="103"/>
      <c r="H715" s="6"/>
      <c r="I715" s="104"/>
      <c r="J715" s="104"/>
      <c r="K715" s="104"/>
    </row>
    <row r="716" spans="1:11" x14ac:dyDescent="0.25">
      <c r="A716" s="6"/>
      <c r="B716" s="6"/>
      <c r="C716" s="102"/>
      <c r="D716" s="102"/>
      <c r="E716" s="103"/>
      <c r="F716" s="6"/>
      <c r="G716" s="103"/>
      <c r="H716" s="6"/>
      <c r="I716" s="104"/>
      <c r="J716" s="104"/>
      <c r="K716" s="104"/>
    </row>
    <row r="717" spans="1:11" x14ac:dyDescent="0.25">
      <c r="A717" s="6"/>
      <c r="B717" s="6"/>
      <c r="C717" s="102"/>
      <c r="D717" s="102"/>
      <c r="E717" s="103"/>
      <c r="F717" s="6"/>
      <c r="G717" s="103"/>
      <c r="H717" s="6"/>
      <c r="I717" s="104"/>
      <c r="J717" s="104"/>
      <c r="K717" s="104"/>
    </row>
    <row r="718" spans="1:11" x14ac:dyDescent="0.25">
      <c r="A718" s="6"/>
      <c r="B718" s="6"/>
      <c r="C718" s="102"/>
      <c r="D718" s="102"/>
      <c r="E718" s="103"/>
      <c r="F718" s="6"/>
      <c r="G718" s="103"/>
      <c r="H718" s="6"/>
      <c r="I718" s="104"/>
      <c r="J718" s="104"/>
      <c r="K718" s="104"/>
    </row>
    <row r="719" spans="1:11" x14ac:dyDescent="0.25">
      <c r="A719" s="6"/>
      <c r="B719" s="6"/>
      <c r="C719" s="102"/>
      <c r="D719" s="102"/>
      <c r="E719" s="103"/>
      <c r="F719" s="6"/>
      <c r="G719" s="103"/>
      <c r="H719" s="6"/>
      <c r="I719" s="104"/>
      <c r="J719" s="104"/>
      <c r="K719" s="104"/>
    </row>
    <row r="720" spans="1:11" x14ac:dyDescent="0.25">
      <c r="A720" s="6"/>
      <c r="B720" s="6"/>
      <c r="C720" s="102"/>
      <c r="D720" s="102"/>
      <c r="E720" s="103"/>
      <c r="F720" s="6"/>
      <c r="G720" s="103"/>
      <c r="H720" s="6"/>
      <c r="I720" s="104"/>
      <c r="J720" s="104"/>
      <c r="K720" s="104"/>
    </row>
    <row r="721" spans="1:11" x14ac:dyDescent="0.25">
      <c r="A721" s="6"/>
      <c r="B721" s="6"/>
      <c r="C721" s="102"/>
      <c r="D721" s="102"/>
      <c r="E721" s="103"/>
      <c r="F721" s="6"/>
      <c r="G721" s="103"/>
      <c r="H721" s="6"/>
      <c r="I721" s="104"/>
      <c r="J721" s="104"/>
      <c r="K721" s="104"/>
    </row>
    <row r="722" spans="1:11" x14ac:dyDescent="0.25">
      <c r="A722" s="6"/>
      <c r="B722" s="6"/>
      <c r="C722" s="102"/>
      <c r="D722" s="102"/>
      <c r="E722" s="103"/>
      <c r="F722" s="6"/>
      <c r="G722" s="103"/>
      <c r="H722" s="6"/>
      <c r="I722" s="104"/>
      <c r="J722" s="104"/>
      <c r="K722" s="104"/>
    </row>
    <row r="723" spans="1:11" x14ac:dyDescent="0.25">
      <c r="A723" s="6"/>
      <c r="B723" s="6"/>
      <c r="C723" s="102"/>
      <c r="D723" s="102"/>
      <c r="E723" s="103"/>
      <c r="F723" s="6"/>
      <c r="G723" s="103"/>
      <c r="H723" s="6"/>
      <c r="I723" s="104"/>
      <c r="J723" s="104"/>
      <c r="K723" s="104"/>
    </row>
    <row r="724" spans="1:11" x14ac:dyDescent="0.25">
      <c r="A724" s="6"/>
      <c r="B724" s="6"/>
      <c r="C724" s="102"/>
      <c r="D724" s="102"/>
      <c r="E724" s="103"/>
      <c r="F724" s="6"/>
      <c r="G724" s="103"/>
      <c r="H724" s="6"/>
      <c r="I724" s="104"/>
      <c r="J724" s="104"/>
      <c r="K724" s="104"/>
    </row>
    <row r="725" spans="1:11" x14ac:dyDescent="0.25">
      <c r="A725" s="6"/>
      <c r="B725" s="6"/>
      <c r="C725" s="102"/>
      <c r="D725" s="102"/>
      <c r="E725" s="103"/>
      <c r="F725" s="6"/>
      <c r="G725" s="103"/>
      <c r="H725" s="6"/>
      <c r="I725" s="104"/>
      <c r="J725" s="104"/>
      <c r="K725" s="104"/>
    </row>
    <row r="726" spans="1:11" x14ac:dyDescent="0.25">
      <c r="A726" s="6"/>
      <c r="B726" s="6"/>
      <c r="C726" s="102"/>
      <c r="D726" s="102"/>
      <c r="E726" s="103"/>
      <c r="F726" s="6"/>
      <c r="G726" s="103"/>
      <c r="H726" s="6"/>
      <c r="I726" s="104"/>
      <c r="J726" s="104"/>
      <c r="K726" s="104"/>
    </row>
    <row r="727" spans="1:11" x14ac:dyDescent="0.25">
      <c r="A727" s="6"/>
      <c r="B727" s="6"/>
      <c r="C727" s="102"/>
      <c r="D727" s="102"/>
      <c r="E727" s="103"/>
      <c r="F727" s="6"/>
      <c r="G727" s="103"/>
      <c r="H727" s="6"/>
      <c r="I727" s="104"/>
      <c r="J727" s="104"/>
      <c r="K727" s="104"/>
    </row>
    <row r="728" spans="1:11" x14ac:dyDescent="0.25">
      <c r="A728" s="6"/>
      <c r="B728" s="6"/>
      <c r="C728" s="102"/>
      <c r="D728" s="102"/>
      <c r="E728" s="103"/>
      <c r="F728" s="6"/>
      <c r="G728" s="103"/>
      <c r="H728" s="6"/>
      <c r="I728" s="104"/>
      <c r="J728" s="104"/>
      <c r="K728" s="104"/>
    </row>
    <row r="729" spans="1:11" x14ac:dyDescent="0.25">
      <c r="A729" s="6"/>
      <c r="B729" s="6"/>
      <c r="C729" s="102"/>
      <c r="D729" s="102"/>
      <c r="E729" s="103"/>
      <c r="F729" s="6"/>
      <c r="G729" s="103"/>
      <c r="H729" s="6"/>
      <c r="I729" s="104"/>
      <c r="J729" s="104"/>
      <c r="K729" s="104"/>
    </row>
    <row r="730" spans="1:11" x14ac:dyDescent="0.25">
      <c r="A730" s="6"/>
      <c r="B730" s="6"/>
      <c r="C730" s="102"/>
      <c r="D730" s="102"/>
      <c r="E730" s="103"/>
      <c r="F730" s="6"/>
      <c r="G730" s="103"/>
      <c r="H730" s="6"/>
      <c r="I730" s="104"/>
      <c r="J730" s="104"/>
      <c r="K730" s="104"/>
    </row>
    <row r="731" spans="1:11" x14ac:dyDescent="0.25">
      <c r="A731" s="6"/>
      <c r="B731" s="6"/>
      <c r="C731" s="102"/>
      <c r="D731" s="102"/>
      <c r="E731" s="103"/>
      <c r="F731" s="6"/>
      <c r="G731" s="103"/>
      <c r="H731" s="6"/>
      <c r="I731" s="104"/>
      <c r="J731" s="104"/>
      <c r="K731" s="104"/>
    </row>
    <row r="732" spans="1:11" x14ac:dyDescent="0.25">
      <c r="A732" s="6"/>
      <c r="B732" s="6"/>
      <c r="C732" s="102"/>
      <c r="D732" s="102"/>
      <c r="E732" s="103"/>
      <c r="F732" s="6"/>
      <c r="G732" s="103"/>
      <c r="H732" s="6"/>
      <c r="I732" s="104"/>
      <c r="J732" s="104"/>
      <c r="K732" s="104"/>
    </row>
    <row r="733" spans="1:11" x14ac:dyDescent="0.25">
      <c r="A733" s="6"/>
      <c r="B733" s="6"/>
      <c r="C733" s="102"/>
      <c r="D733" s="102"/>
      <c r="E733" s="103"/>
      <c r="F733" s="6"/>
      <c r="G733" s="103"/>
      <c r="H733" s="6"/>
      <c r="I733" s="104"/>
      <c r="J733" s="104"/>
      <c r="K733" s="104"/>
    </row>
    <row r="734" spans="1:11" x14ac:dyDescent="0.25">
      <c r="A734" s="6"/>
      <c r="B734" s="6"/>
      <c r="C734" s="102"/>
      <c r="D734" s="102"/>
      <c r="E734" s="103"/>
      <c r="F734" s="6"/>
      <c r="G734" s="103"/>
      <c r="H734" s="6"/>
      <c r="I734" s="104"/>
      <c r="J734" s="104"/>
      <c r="K734" s="104"/>
    </row>
    <row r="735" spans="1:11" x14ac:dyDescent="0.25">
      <c r="A735" s="6"/>
      <c r="B735" s="6"/>
      <c r="C735" s="102"/>
      <c r="D735" s="102"/>
      <c r="E735" s="103"/>
      <c r="F735" s="6"/>
      <c r="G735" s="103"/>
      <c r="H735" s="6"/>
      <c r="I735" s="104"/>
      <c r="J735" s="104"/>
      <c r="K735" s="104"/>
    </row>
    <row r="736" spans="1:11" x14ac:dyDescent="0.25">
      <c r="A736" s="6"/>
      <c r="B736" s="6"/>
      <c r="C736" s="102"/>
      <c r="D736" s="102"/>
      <c r="E736" s="103"/>
      <c r="F736" s="6"/>
      <c r="G736" s="103"/>
      <c r="H736" s="6"/>
      <c r="I736" s="104"/>
      <c r="J736" s="104"/>
      <c r="K736" s="104"/>
    </row>
    <row r="737" spans="1:11" x14ac:dyDescent="0.25">
      <c r="A737" s="6"/>
      <c r="B737" s="6"/>
      <c r="C737" s="102"/>
      <c r="D737" s="102"/>
      <c r="E737" s="103"/>
      <c r="F737" s="6"/>
      <c r="G737" s="103"/>
      <c r="H737" s="6"/>
      <c r="I737" s="104"/>
      <c r="J737" s="104"/>
      <c r="K737" s="104"/>
    </row>
    <row r="738" spans="1:11" x14ac:dyDescent="0.25">
      <c r="A738" s="6"/>
      <c r="B738" s="6"/>
      <c r="C738" s="102"/>
      <c r="D738" s="102"/>
      <c r="E738" s="103"/>
      <c r="F738" s="6"/>
      <c r="G738" s="103"/>
      <c r="H738" s="6"/>
      <c r="I738" s="104"/>
      <c r="J738" s="104"/>
      <c r="K738" s="104"/>
    </row>
    <row r="739" spans="1:11" x14ac:dyDescent="0.25">
      <c r="A739" s="6"/>
      <c r="B739" s="6"/>
      <c r="C739" s="102"/>
      <c r="D739" s="102"/>
      <c r="E739" s="103"/>
      <c r="F739" s="6"/>
      <c r="G739" s="103"/>
      <c r="H739" s="6"/>
      <c r="I739" s="104"/>
      <c r="J739" s="104"/>
      <c r="K739" s="104"/>
    </row>
    <row r="740" spans="1:11" x14ac:dyDescent="0.25">
      <c r="A740" s="6"/>
      <c r="B740" s="6"/>
      <c r="C740" s="102"/>
      <c r="D740" s="102"/>
      <c r="E740" s="103"/>
      <c r="F740" s="6"/>
      <c r="G740" s="103"/>
      <c r="H740" s="6"/>
      <c r="I740" s="104"/>
      <c r="J740" s="104"/>
      <c r="K740" s="104"/>
    </row>
    <row r="741" spans="1:11" x14ac:dyDescent="0.25">
      <c r="A741" s="6"/>
      <c r="B741" s="6"/>
      <c r="C741" s="102"/>
      <c r="D741" s="102"/>
      <c r="E741" s="103"/>
      <c r="F741" s="6"/>
      <c r="G741" s="103"/>
      <c r="H741" s="6"/>
      <c r="I741" s="104"/>
      <c r="J741" s="104"/>
      <c r="K741" s="104"/>
    </row>
    <row r="742" spans="1:11" x14ac:dyDescent="0.25">
      <c r="A742" s="6"/>
      <c r="B742" s="6"/>
      <c r="C742" s="102"/>
      <c r="D742" s="102"/>
      <c r="E742" s="103"/>
      <c r="F742" s="6"/>
      <c r="G742" s="103"/>
      <c r="H742" s="6"/>
      <c r="I742" s="104"/>
      <c r="J742" s="104"/>
      <c r="K742" s="104"/>
    </row>
    <row r="743" spans="1:11" x14ac:dyDescent="0.25">
      <c r="A743" s="6"/>
      <c r="B743" s="6"/>
      <c r="C743" s="102"/>
      <c r="D743" s="102"/>
      <c r="E743" s="103"/>
      <c r="F743" s="6"/>
      <c r="G743" s="103"/>
      <c r="H743" s="6"/>
      <c r="I743" s="104"/>
      <c r="J743" s="104"/>
      <c r="K743" s="104"/>
    </row>
    <row r="744" spans="1:11" x14ac:dyDescent="0.25">
      <c r="A744" s="6"/>
      <c r="B744" s="6"/>
      <c r="C744" s="102"/>
      <c r="D744" s="102"/>
      <c r="E744" s="103"/>
      <c r="F744" s="6"/>
      <c r="G744" s="103"/>
      <c r="H744" s="6"/>
      <c r="I744" s="104"/>
      <c r="J744" s="104"/>
      <c r="K744" s="104"/>
    </row>
    <row r="745" spans="1:11" x14ac:dyDescent="0.25">
      <c r="A745" s="6"/>
      <c r="B745" s="6"/>
      <c r="C745" s="102"/>
      <c r="D745" s="102"/>
      <c r="E745" s="103"/>
      <c r="F745" s="6"/>
      <c r="G745" s="103"/>
      <c r="H745" s="6"/>
      <c r="I745" s="104"/>
      <c r="J745" s="104"/>
      <c r="K745" s="104"/>
    </row>
    <row r="746" spans="1:11" x14ac:dyDescent="0.25">
      <c r="A746" s="6"/>
      <c r="B746" s="6"/>
      <c r="C746" s="102"/>
      <c r="D746" s="102"/>
      <c r="E746" s="103"/>
      <c r="F746" s="6"/>
      <c r="G746" s="103"/>
      <c r="H746" s="6"/>
      <c r="I746" s="104"/>
      <c r="J746" s="104"/>
      <c r="K746" s="104"/>
    </row>
    <row r="747" spans="1:11" x14ac:dyDescent="0.25">
      <c r="A747" s="6"/>
      <c r="B747" s="6"/>
      <c r="C747" s="102"/>
      <c r="D747" s="102"/>
      <c r="E747" s="103"/>
      <c r="F747" s="6"/>
      <c r="G747" s="103"/>
      <c r="H747" s="6"/>
      <c r="I747" s="104"/>
      <c r="J747" s="104"/>
      <c r="K747" s="104"/>
    </row>
    <row r="748" spans="1:11" x14ac:dyDescent="0.25">
      <c r="A748" s="6"/>
      <c r="B748" s="6"/>
      <c r="C748" s="102"/>
      <c r="D748" s="102"/>
      <c r="E748" s="103"/>
      <c r="F748" s="6"/>
      <c r="G748" s="103"/>
      <c r="H748" s="6"/>
      <c r="I748" s="104"/>
      <c r="J748" s="104"/>
      <c r="K748" s="104"/>
    </row>
    <row r="749" spans="1:11" x14ac:dyDescent="0.25">
      <c r="A749" s="6"/>
      <c r="B749" s="6"/>
      <c r="C749" s="102"/>
      <c r="D749" s="102"/>
      <c r="E749" s="103"/>
      <c r="F749" s="6"/>
      <c r="G749" s="103"/>
      <c r="H749" s="6"/>
      <c r="I749" s="104"/>
      <c r="J749" s="104"/>
      <c r="K749" s="104"/>
    </row>
    <row r="750" spans="1:11" x14ac:dyDescent="0.25">
      <c r="A750" s="6"/>
      <c r="B750" s="6"/>
      <c r="C750" s="102"/>
      <c r="D750" s="102"/>
      <c r="E750" s="103"/>
      <c r="F750" s="6"/>
      <c r="G750" s="103"/>
      <c r="H750" s="6"/>
      <c r="I750" s="104"/>
      <c r="J750" s="104"/>
      <c r="K750" s="104"/>
    </row>
    <row r="751" spans="1:11" x14ac:dyDescent="0.25">
      <c r="A751" s="6"/>
      <c r="B751" s="6"/>
      <c r="C751" s="102"/>
      <c r="D751" s="102"/>
      <c r="E751" s="103"/>
      <c r="F751" s="6"/>
      <c r="G751" s="103"/>
      <c r="H751" s="6"/>
      <c r="I751" s="104"/>
      <c r="J751" s="104"/>
      <c r="K751" s="104"/>
    </row>
    <row r="752" spans="1:11" x14ac:dyDescent="0.25">
      <c r="A752" s="6"/>
      <c r="B752" s="6"/>
      <c r="C752" s="102"/>
      <c r="D752" s="102"/>
      <c r="E752" s="103"/>
      <c r="F752" s="6"/>
      <c r="G752" s="103"/>
      <c r="H752" s="6"/>
      <c r="I752" s="104"/>
      <c r="J752" s="104"/>
      <c r="K752" s="104"/>
    </row>
    <row r="753" spans="1:11" x14ac:dyDescent="0.25">
      <c r="A753" s="6"/>
      <c r="B753" s="6"/>
      <c r="C753" s="102"/>
      <c r="D753" s="102"/>
      <c r="E753" s="103"/>
      <c r="F753" s="6"/>
      <c r="G753" s="103"/>
      <c r="H753" s="6"/>
      <c r="I753" s="104"/>
      <c r="J753" s="104"/>
      <c r="K753" s="104"/>
    </row>
    <row r="754" spans="1:11" x14ac:dyDescent="0.25">
      <c r="A754" s="6"/>
      <c r="B754" s="6"/>
      <c r="C754" s="102"/>
      <c r="D754" s="102"/>
      <c r="E754" s="103"/>
      <c r="F754" s="6"/>
      <c r="G754" s="103"/>
      <c r="H754" s="6"/>
      <c r="I754" s="104"/>
      <c r="J754" s="104"/>
      <c r="K754" s="104"/>
    </row>
    <row r="755" spans="1:11" x14ac:dyDescent="0.25">
      <c r="A755" s="6"/>
      <c r="B755" s="6"/>
      <c r="C755" s="102"/>
      <c r="D755" s="102"/>
      <c r="E755" s="103"/>
      <c r="F755" s="6"/>
      <c r="G755" s="103"/>
      <c r="H755" s="6"/>
      <c r="I755" s="104"/>
      <c r="J755" s="104"/>
      <c r="K755" s="104"/>
    </row>
    <row r="756" spans="1:11" x14ac:dyDescent="0.25">
      <c r="A756" s="6"/>
      <c r="B756" s="6"/>
      <c r="C756" s="102"/>
      <c r="D756" s="102"/>
      <c r="E756" s="103"/>
      <c r="F756" s="6"/>
      <c r="G756" s="103"/>
      <c r="H756" s="6"/>
      <c r="I756" s="104"/>
      <c r="J756" s="104"/>
      <c r="K756" s="104"/>
    </row>
    <row r="757" spans="1:11" x14ac:dyDescent="0.25">
      <c r="A757" s="6"/>
      <c r="B757" s="6"/>
      <c r="C757" s="102"/>
      <c r="D757" s="102"/>
      <c r="E757" s="103"/>
      <c r="F757" s="6"/>
      <c r="G757" s="103"/>
      <c r="H757" s="6"/>
      <c r="I757" s="104"/>
      <c r="J757" s="104"/>
      <c r="K757" s="104"/>
    </row>
    <row r="758" spans="1:11" x14ac:dyDescent="0.25">
      <c r="A758" s="6"/>
      <c r="B758" s="6"/>
      <c r="C758" s="102"/>
      <c r="D758" s="102"/>
      <c r="E758" s="103"/>
      <c r="F758" s="6"/>
      <c r="G758" s="103"/>
      <c r="H758" s="6"/>
      <c r="I758" s="104"/>
      <c r="J758" s="104"/>
      <c r="K758" s="104"/>
    </row>
    <row r="759" spans="1:11" x14ac:dyDescent="0.25">
      <c r="A759" s="6"/>
      <c r="B759" s="6"/>
      <c r="C759" s="102"/>
      <c r="D759" s="102"/>
      <c r="E759" s="103"/>
      <c r="F759" s="6"/>
      <c r="G759" s="103"/>
      <c r="H759" s="6"/>
      <c r="I759" s="104"/>
      <c r="J759" s="104"/>
      <c r="K759" s="104"/>
    </row>
    <row r="760" spans="1:11" x14ac:dyDescent="0.25">
      <c r="A760" s="6"/>
      <c r="B760" s="6"/>
      <c r="C760" s="102"/>
      <c r="D760" s="102"/>
      <c r="E760" s="103"/>
      <c r="F760" s="6"/>
      <c r="G760" s="103"/>
      <c r="H760" s="6"/>
      <c r="I760" s="104"/>
      <c r="J760" s="104"/>
      <c r="K760" s="104"/>
    </row>
    <row r="761" spans="1:11" x14ac:dyDescent="0.25">
      <c r="A761" s="6"/>
      <c r="B761" s="6"/>
      <c r="C761" s="102"/>
      <c r="D761" s="102"/>
      <c r="E761" s="103"/>
      <c r="F761" s="6"/>
      <c r="G761" s="103"/>
      <c r="H761" s="6"/>
      <c r="I761" s="104"/>
      <c r="J761" s="104"/>
      <c r="K761" s="104"/>
    </row>
    <row r="762" spans="1:11" x14ac:dyDescent="0.25">
      <c r="A762" s="6"/>
      <c r="B762" s="6"/>
      <c r="C762" s="102"/>
      <c r="D762" s="102"/>
      <c r="E762" s="103"/>
      <c r="F762" s="6"/>
      <c r="G762" s="103"/>
      <c r="H762" s="6"/>
      <c r="I762" s="104"/>
      <c r="J762" s="104"/>
      <c r="K762" s="104"/>
    </row>
    <row r="763" spans="1:11" x14ac:dyDescent="0.25">
      <c r="A763" s="6"/>
      <c r="B763" s="6"/>
      <c r="C763" s="102"/>
      <c r="D763" s="102"/>
      <c r="E763" s="103"/>
      <c r="F763" s="6"/>
      <c r="G763" s="103"/>
      <c r="H763" s="6"/>
      <c r="I763" s="104"/>
      <c r="J763" s="104"/>
      <c r="K763" s="104"/>
    </row>
    <row r="764" spans="1:11" x14ac:dyDescent="0.25">
      <c r="A764" s="6"/>
      <c r="B764" s="6"/>
      <c r="C764" s="102"/>
      <c r="D764" s="102"/>
      <c r="E764" s="103"/>
      <c r="F764" s="6"/>
      <c r="G764" s="103"/>
      <c r="H764" s="6"/>
      <c r="I764" s="104"/>
      <c r="J764" s="104"/>
      <c r="K764" s="104"/>
    </row>
    <row r="765" spans="1:11" x14ac:dyDescent="0.25">
      <c r="A765" s="6"/>
      <c r="B765" s="6"/>
      <c r="C765" s="102"/>
      <c r="D765" s="102"/>
      <c r="E765" s="103"/>
      <c r="F765" s="6"/>
      <c r="G765" s="103"/>
      <c r="H765" s="6"/>
      <c r="I765" s="104"/>
      <c r="J765" s="104"/>
      <c r="K765" s="104"/>
    </row>
    <row r="766" spans="1:11" x14ac:dyDescent="0.25">
      <c r="A766" s="6"/>
      <c r="B766" s="6"/>
      <c r="C766" s="102"/>
      <c r="D766" s="102"/>
      <c r="E766" s="103"/>
      <c r="F766" s="6"/>
      <c r="G766" s="103"/>
      <c r="H766" s="6"/>
      <c r="I766" s="104"/>
      <c r="J766" s="104"/>
      <c r="K766" s="104"/>
    </row>
    <row r="767" spans="1:11" x14ac:dyDescent="0.25">
      <c r="A767" s="6"/>
      <c r="B767" s="6"/>
      <c r="C767" s="102"/>
      <c r="D767" s="102"/>
      <c r="E767" s="103"/>
      <c r="F767" s="6"/>
      <c r="G767" s="103"/>
      <c r="H767" s="6"/>
      <c r="I767" s="104"/>
      <c r="J767" s="104"/>
      <c r="K767" s="104"/>
    </row>
    <row r="768" spans="1:11" x14ac:dyDescent="0.25">
      <c r="A768" s="6"/>
      <c r="B768" s="6"/>
      <c r="C768" s="102"/>
      <c r="D768" s="102"/>
      <c r="E768" s="103"/>
      <c r="F768" s="6"/>
      <c r="G768" s="103"/>
      <c r="H768" s="6"/>
      <c r="I768" s="104"/>
      <c r="J768" s="104"/>
      <c r="K768" s="104"/>
    </row>
    <row r="769" spans="1:11" x14ac:dyDescent="0.25">
      <c r="A769" s="6"/>
      <c r="B769" s="6"/>
      <c r="C769" s="102"/>
      <c r="D769" s="102"/>
      <c r="E769" s="103"/>
      <c r="F769" s="6"/>
      <c r="G769" s="103"/>
      <c r="H769" s="6"/>
      <c r="I769" s="104"/>
      <c r="J769" s="104"/>
      <c r="K769" s="104"/>
    </row>
    <row r="770" spans="1:11" x14ac:dyDescent="0.25">
      <c r="A770" s="6"/>
      <c r="B770" s="6"/>
      <c r="C770" s="102"/>
      <c r="D770" s="102"/>
      <c r="E770" s="103"/>
      <c r="F770" s="6"/>
      <c r="G770" s="103"/>
      <c r="H770" s="6"/>
      <c r="I770" s="104"/>
      <c r="J770" s="104"/>
      <c r="K770" s="104"/>
    </row>
    <row r="771" spans="1:11" x14ac:dyDescent="0.25">
      <c r="A771" s="6"/>
      <c r="B771" s="6"/>
      <c r="C771" s="102"/>
      <c r="D771" s="102"/>
      <c r="E771" s="103"/>
      <c r="F771" s="6"/>
      <c r="G771" s="103"/>
      <c r="H771" s="6"/>
      <c r="I771" s="104"/>
      <c r="J771" s="104"/>
      <c r="K771" s="104"/>
    </row>
    <row r="772" spans="1:11" x14ac:dyDescent="0.25">
      <c r="A772" s="6"/>
      <c r="B772" s="6"/>
      <c r="C772" s="102"/>
      <c r="D772" s="102"/>
      <c r="E772" s="103"/>
      <c r="F772" s="6"/>
      <c r="G772" s="103"/>
      <c r="H772" s="6"/>
      <c r="I772" s="104"/>
      <c r="J772" s="104"/>
      <c r="K772" s="104"/>
    </row>
    <row r="773" spans="1:11" x14ac:dyDescent="0.25">
      <c r="A773" s="6"/>
      <c r="B773" s="6"/>
      <c r="C773" s="102"/>
      <c r="D773" s="102"/>
      <c r="E773" s="103"/>
      <c r="F773" s="6"/>
      <c r="G773" s="103"/>
      <c r="H773" s="6"/>
      <c r="I773" s="104"/>
      <c r="J773" s="104"/>
      <c r="K773" s="104"/>
    </row>
    <row r="774" spans="1:11" x14ac:dyDescent="0.25">
      <c r="A774" s="6"/>
      <c r="B774" s="6"/>
      <c r="C774" s="102"/>
      <c r="D774" s="102"/>
      <c r="E774" s="103"/>
      <c r="F774" s="6"/>
      <c r="G774" s="103"/>
      <c r="H774" s="6"/>
      <c r="I774" s="104"/>
      <c r="J774" s="104"/>
      <c r="K774" s="104"/>
    </row>
    <row r="775" spans="1:11" x14ac:dyDescent="0.25">
      <c r="A775" s="6"/>
      <c r="B775" s="6"/>
      <c r="C775" s="102"/>
      <c r="D775" s="102"/>
      <c r="E775" s="103"/>
      <c r="F775" s="6"/>
      <c r="G775" s="103"/>
      <c r="H775" s="6"/>
      <c r="I775" s="104"/>
      <c r="J775" s="104"/>
      <c r="K775" s="104"/>
    </row>
    <row r="776" spans="1:11" x14ac:dyDescent="0.25">
      <c r="A776" s="6"/>
      <c r="B776" s="6"/>
      <c r="C776" s="102"/>
      <c r="D776" s="102"/>
      <c r="E776" s="103"/>
      <c r="F776" s="6"/>
      <c r="G776" s="103"/>
      <c r="H776" s="6"/>
      <c r="I776" s="104"/>
      <c r="J776" s="104"/>
      <c r="K776" s="104"/>
    </row>
    <row r="777" spans="1:11" x14ac:dyDescent="0.25">
      <c r="A777" s="6"/>
      <c r="B777" s="6"/>
      <c r="C777" s="102"/>
      <c r="D777" s="102"/>
      <c r="E777" s="103"/>
      <c r="F777" s="6"/>
      <c r="G777" s="103"/>
      <c r="H777" s="6"/>
      <c r="I777" s="104"/>
      <c r="J777" s="104"/>
      <c r="K777" s="104"/>
    </row>
    <row r="778" spans="1:11" x14ac:dyDescent="0.25">
      <c r="A778" s="6"/>
      <c r="B778" s="6"/>
      <c r="C778" s="102"/>
      <c r="D778" s="102"/>
      <c r="E778" s="103"/>
      <c r="F778" s="6"/>
      <c r="G778" s="103"/>
      <c r="H778" s="6"/>
      <c r="I778" s="104"/>
      <c r="J778" s="104"/>
      <c r="K778" s="104"/>
    </row>
    <row r="779" spans="1:11" x14ac:dyDescent="0.25">
      <c r="A779" s="6"/>
      <c r="B779" s="6"/>
      <c r="C779" s="102"/>
      <c r="D779" s="102"/>
      <c r="E779" s="103"/>
      <c r="F779" s="6"/>
      <c r="G779" s="103"/>
      <c r="H779" s="6"/>
      <c r="I779" s="104"/>
      <c r="J779" s="104"/>
      <c r="K779" s="104"/>
    </row>
    <row r="780" spans="1:11" x14ac:dyDescent="0.25">
      <c r="A780" s="6"/>
      <c r="B780" s="6"/>
      <c r="C780" s="102"/>
      <c r="D780" s="102"/>
      <c r="E780" s="103"/>
      <c r="F780" s="6"/>
      <c r="G780" s="103"/>
      <c r="H780" s="6"/>
      <c r="I780" s="104"/>
      <c r="J780" s="104"/>
      <c r="K780" s="104"/>
    </row>
    <row r="781" spans="1:11" x14ac:dyDescent="0.25">
      <c r="A781" s="6"/>
      <c r="B781" s="6"/>
      <c r="C781" s="102"/>
      <c r="D781" s="102"/>
      <c r="E781" s="103"/>
      <c r="F781" s="6"/>
      <c r="G781" s="103"/>
      <c r="H781" s="6"/>
      <c r="I781" s="104"/>
      <c r="J781" s="104"/>
      <c r="K781" s="104"/>
    </row>
    <row r="782" spans="1:11" x14ac:dyDescent="0.25">
      <c r="A782" s="6"/>
      <c r="B782" s="6"/>
      <c r="C782" s="102"/>
      <c r="D782" s="102"/>
      <c r="E782" s="103"/>
      <c r="F782" s="6"/>
      <c r="G782" s="103"/>
      <c r="H782" s="6"/>
      <c r="I782" s="104"/>
      <c r="J782" s="104"/>
      <c r="K782" s="104"/>
    </row>
    <row r="783" spans="1:11" x14ac:dyDescent="0.25">
      <c r="A783" s="6"/>
      <c r="B783" s="6"/>
      <c r="C783" s="102"/>
      <c r="D783" s="102"/>
      <c r="E783" s="103"/>
      <c r="F783" s="6"/>
      <c r="G783" s="103"/>
      <c r="H783" s="6"/>
      <c r="I783" s="104"/>
      <c r="J783" s="104"/>
      <c r="K783" s="104"/>
    </row>
    <row r="784" spans="1:11" x14ac:dyDescent="0.25">
      <c r="A784" s="6"/>
      <c r="B784" s="6"/>
      <c r="C784" s="102"/>
      <c r="D784" s="102"/>
      <c r="E784" s="103"/>
      <c r="F784" s="6"/>
      <c r="G784" s="103"/>
      <c r="H784" s="6"/>
      <c r="I784" s="104"/>
      <c r="J784" s="104"/>
      <c r="K784" s="104"/>
    </row>
    <row r="785" spans="1:11" x14ac:dyDescent="0.25">
      <c r="A785" s="6"/>
      <c r="B785" s="6"/>
      <c r="C785" s="102"/>
      <c r="D785" s="102"/>
      <c r="E785" s="103"/>
      <c r="F785" s="6"/>
      <c r="G785" s="103"/>
      <c r="H785" s="6"/>
      <c r="I785" s="104"/>
      <c r="J785" s="104"/>
      <c r="K785" s="104"/>
    </row>
    <row r="786" spans="1:11" x14ac:dyDescent="0.25">
      <c r="A786" s="6"/>
      <c r="B786" s="6"/>
      <c r="C786" s="102"/>
      <c r="D786" s="102"/>
      <c r="E786" s="103"/>
      <c r="F786" s="6"/>
      <c r="G786" s="103"/>
      <c r="H786" s="6"/>
      <c r="I786" s="104"/>
      <c r="J786" s="104"/>
      <c r="K786" s="104"/>
    </row>
    <row r="787" spans="1:11" x14ac:dyDescent="0.25">
      <c r="A787" s="6"/>
      <c r="B787" s="6"/>
      <c r="C787" s="102"/>
      <c r="D787" s="102"/>
      <c r="E787" s="103"/>
      <c r="F787" s="6"/>
      <c r="G787" s="103"/>
      <c r="H787" s="6"/>
      <c r="I787" s="104"/>
      <c r="J787" s="104"/>
      <c r="K787" s="104"/>
    </row>
    <row r="788" spans="1:11" x14ac:dyDescent="0.25">
      <c r="A788" s="6"/>
      <c r="B788" s="6"/>
      <c r="C788" s="102"/>
      <c r="D788" s="102"/>
      <c r="E788" s="103"/>
      <c r="F788" s="6"/>
      <c r="G788" s="103"/>
      <c r="H788" s="6"/>
      <c r="I788" s="104"/>
      <c r="J788" s="104"/>
      <c r="K788" s="104"/>
    </row>
    <row r="789" spans="1:11" x14ac:dyDescent="0.25">
      <c r="A789" s="6"/>
      <c r="B789" s="6"/>
      <c r="C789" s="102"/>
      <c r="D789" s="102"/>
      <c r="E789" s="103"/>
      <c r="F789" s="6"/>
      <c r="G789" s="103"/>
      <c r="H789" s="6"/>
      <c r="I789" s="104"/>
      <c r="J789" s="104"/>
      <c r="K789" s="104"/>
    </row>
    <row r="790" spans="1:11" x14ac:dyDescent="0.25">
      <c r="A790" s="6"/>
      <c r="B790" s="6"/>
      <c r="C790" s="102"/>
      <c r="D790" s="102"/>
      <c r="E790" s="103"/>
      <c r="F790" s="6"/>
      <c r="G790" s="103"/>
      <c r="H790" s="6"/>
      <c r="I790" s="104"/>
      <c r="J790" s="104"/>
      <c r="K790" s="104"/>
    </row>
    <row r="791" spans="1:11" x14ac:dyDescent="0.25">
      <c r="A791" s="6"/>
      <c r="B791" s="6"/>
      <c r="C791" s="102"/>
      <c r="D791" s="102"/>
      <c r="E791" s="103"/>
      <c r="F791" s="6"/>
      <c r="G791" s="103"/>
      <c r="H791" s="6"/>
      <c r="I791" s="104"/>
      <c r="J791" s="104"/>
      <c r="K791" s="104"/>
    </row>
    <row r="792" spans="1:11" x14ac:dyDescent="0.25">
      <c r="A792" s="6"/>
      <c r="B792" s="6"/>
      <c r="C792" s="102"/>
      <c r="D792" s="102"/>
      <c r="E792" s="103"/>
      <c r="F792" s="6"/>
      <c r="G792" s="103"/>
      <c r="H792" s="6"/>
      <c r="I792" s="104"/>
      <c r="J792" s="104"/>
      <c r="K792" s="104"/>
    </row>
    <row r="793" spans="1:11" x14ac:dyDescent="0.25">
      <c r="A793" s="6"/>
      <c r="B793" s="6"/>
      <c r="C793" s="102"/>
      <c r="D793" s="102"/>
      <c r="E793" s="103"/>
      <c r="F793" s="6"/>
      <c r="G793" s="103"/>
      <c r="H793" s="6"/>
      <c r="I793" s="104"/>
      <c r="J793" s="104"/>
      <c r="K793" s="104"/>
    </row>
    <row r="794" spans="1:11" x14ac:dyDescent="0.25">
      <c r="A794" s="6"/>
      <c r="B794" s="6"/>
      <c r="C794" s="102"/>
      <c r="D794" s="102"/>
      <c r="E794" s="103"/>
      <c r="F794" s="6"/>
      <c r="G794" s="103"/>
      <c r="H794" s="6"/>
      <c r="I794" s="104"/>
      <c r="J794" s="104"/>
      <c r="K794" s="104"/>
    </row>
    <row r="795" spans="1:11" x14ac:dyDescent="0.25">
      <c r="A795" s="6"/>
      <c r="B795" s="6"/>
      <c r="C795" s="102"/>
      <c r="D795" s="102"/>
      <c r="E795" s="103"/>
      <c r="F795" s="6"/>
      <c r="G795" s="103"/>
      <c r="H795" s="6"/>
      <c r="I795" s="104"/>
      <c r="J795" s="104"/>
      <c r="K795" s="104"/>
    </row>
    <row r="796" spans="1:11" x14ac:dyDescent="0.25">
      <c r="A796" s="6"/>
      <c r="B796" s="6"/>
      <c r="C796" s="102"/>
      <c r="D796" s="102"/>
      <c r="E796" s="103"/>
      <c r="F796" s="6"/>
      <c r="G796" s="103"/>
      <c r="H796" s="6"/>
      <c r="I796" s="104"/>
      <c r="J796" s="104"/>
      <c r="K796" s="104"/>
    </row>
    <row r="797" spans="1:11" x14ac:dyDescent="0.25">
      <c r="A797" s="6"/>
      <c r="B797" s="6"/>
      <c r="C797" s="102"/>
      <c r="D797" s="102"/>
      <c r="E797" s="103"/>
      <c r="F797" s="6"/>
      <c r="G797" s="103"/>
      <c r="H797" s="6"/>
      <c r="I797" s="104"/>
      <c r="J797" s="104"/>
      <c r="K797" s="104"/>
    </row>
    <row r="798" spans="1:11" x14ac:dyDescent="0.25">
      <c r="A798" s="6"/>
      <c r="B798" s="6"/>
      <c r="C798" s="102"/>
      <c r="D798" s="102"/>
      <c r="E798" s="103"/>
      <c r="F798" s="6"/>
      <c r="G798" s="103"/>
      <c r="H798" s="6"/>
      <c r="I798" s="104"/>
      <c r="J798" s="104"/>
      <c r="K798" s="104"/>
    </row>
    <row r="799" spans="1:11" x14ac:dyDescent="0.25">
      <c r="A799" s="6"/>
      <c r="B799" s="6"/>
      <c r="C799" s="102"/>
      <c r="D799" s="102"/>
      <c r="E799" s="103"/>
      <c r="F799" s="6"/>
      <c r="G799" s="103"/>
      <c r="H799" s="6"/>
      <c r="I799" s="104"/>
      <c r="J799" s="104"/>
      <c r="K799" s="104"/>
    </row>
    <row r="800" spans="1:11" x14ac:dyDescent="0.25">
      <c r="A800" s="6"/>
      <c r="B800" s="6"/>
      <c r="C800" s="102"/>
      <c r="D800" s="102"/>
      <c r="E800" s="103"/>
      <c r="F800" s="6"/>
      <c r="G800" s="103"/>
      <c r="H800" s="6"/>
      <c r="I800" s="104"/>
      <c r="J800" s="104"/>
      <c r="K800" s="104"/>
    </row>
    <row r="801" spans="1:11" x14ac:dyDescent="0.25">
      <c r="A801" s="6"/>
      <c r="B801" s="6"/>
      <c r="C801" s="102"/>
      <c r="D801" s="102"/>
      <c r="E801" s="103"/>
      <c r="F801" s="6"/>
      <c r="G801" s="103"/>
      <c r="H801" s="6"/>
      <c r="I801" s="104"/>
      <c r="J801" s="104"/>
      <c r="K801" s="104"/>
    </row>
    <row r="802" spans="1:11" x14ac:dyDescent="0.25">
      <c r="A802" s="6"/>
      <c r="B802" s="6"/>
      <c r="C802" s="102"/>
      <c r="D802" s="102"/>
      <c r="E802" s="103"/>
      <c r="F802" s="6"/>
      <c r="G802" s="103"/>
      <c r="H802" s="6"/>
      <c r="I802" s="104"/>
      <c r="J802" s="104"/>
      <c r="K802" s="104"/>
    </row>
    <row r="803" spans="1:11" x14ac:dyDescent="0.25">
      <c r="A803" s="6"/>
      <c r="B803" s="6"/>
      <c r="C803" s="102"/>
      <c r="D803" s="102"/>
      <c r="E803" s="103"/>
      <c r="F803" s="6"/>
      <c r="G803" s="103"/>
      <c r="H803" s="6"/>
      <c r="I803" s="104"/>
      <c r="J803" s="104"/>
      <c r="K803" s="104"/>
    </row>
    <row r="804" spans="1:11" x14ac:dyDescent="0.25">
      <c r="A804" s="6"/>
      <c r="B804" s="6"/>
      <c r="C804" s="102"/>
      <c r="D804" s="102"/>
      <c r="E804" s="103"/>
      <c r="F804" s="6"/>
      <c r="G804" s="103"/>
      <c r="H804" s="6"/>
      <c r="I804" s="104"/>
      <c r="J804" s="104"/>
      <c r="K804" s="104"/>
    </row>
    <row r="805" spans="1:11" x14ac:dyDescent="0.25">
      <c r="A805" s="6"/>
      <c r="B805" s="6"/>
      <c r="C805" s="102"/>
      <c r="D805" s="102"/>
      <c r="E805" s="103"/>
      <c r="F805" s="6"/>
      <c r="G805" s="103"/>
      <c r="H805" s="6"/>
      <c r="I805" s="104"/>
      <c r="J805" s="104"/>
      <c r="K805" s="104"/>
    </row>
    <row r="806" spans="1:11" x14ac:dyDescent="0.25">
      <c r="A806" s="6"/>
      <c r="B806" s="6"/>
      <c r="C806" s="102"/>
      <c r="D806" s="102"/>
      <c r="E806" s="103"/>
      <c r="F806" s="6"/>
      <c r="G806" s="103"/>
      <c r="H806" s="6"/>
      <c r="I806" s="104"/>
      <c r="J806" s="104"/>
      <c r="K806" s="104"/>
    </row>
    <row r="807" spans="1:11" x14ac:dyDescent="0.25">
      <c r="A807" s="6"/>
      <c r="B807" s="6"/>
      <c r="C807" s="102"/>
      <c r="D807" s="102"/>
      <c r="E807" s="103"/>
      <c r="F807" s="6"/>
      <c r="G807" s="103"/>
      <c r="H807" s="6"/>
      <c r="I807" s="104"/>
      <c r="J807" s="104"/>
      <c r="K807" s="104"/>
    </row>
    <row r="808" spans="1:11" x14ac:dyDescent="0.25">
      <c r="A808" s="6"/>
      <c r="B808" s="6"/>
      <c r="C808" s="102"/>
      <c r="D808" s="102"/>
      <c r="E808" s="103"/>
      <c r="F808" s="6"/>
      <c r="G808" s="103"/>
      <c r="H808" s="6"/>
      <c r="I808" s="104"/>
      <c r="J808" s="104"/>
      <c r="K808" s="104"/>
    </row>
    <row r="809" spans="1:11" x14ac:dyDescent="0.25">
      <c r="A809" s="6"/>
      <c r="B809" s="6"/>
      <c r="C809" s="102"/>
      <c r="D809" s="102"/>
      <c r="E809" s="103"/>
      <c r="F809" s="6"/>
      <c r="G809" s="103"/>
      <c r="H809" s="6"/>
      <c r="I809" s="104"/>
      <c r="J809" s="104"/>
      <c r="K809" s="104"/>
    </row>
    <row r="810" spans="1:11" x14ac:dyDescent="0.25">
      <c r="A810" s="6"/>
      <c r="B810" s="6"/>
      <c r="C810" s="102"/>
      <c r="D810" s="102"/>
      <c r="E810" s="103"/>
      <c r="F810" s="6"/>
      <c r="G810" s="103"/>
      <c r="H810" s="6"/>
      <c r="I810" s="104"/>
      <c r="J810" s="104"/>
      <c r="K810" s="104"/>
    </row>
    <row r="811" spans="1:11" x14ac:dyDescent="0.25">
      <c r="A811" s="6"/>
      <c r="B811" s="6"/>
      <c r="C811" s="102"/>
      <c r="D811" s="102"/>
      <c r="E811" s="103"/>
      <c r="F811" s="6"/>
      <c r="G811" s="103"/>
      <c r="H811" s="6"/>
      <c r="I811" s="104"/>
      <c r="J811" s="104"/>
      <c r="K811" s="104"/>
    </row>
    <row r="812" spans="1:11" x14ac:dyDescent="0.25">
      <c r="A812" s="6"/>
      <c r="B812" s="6"/>
      <c r="C812" s="102"/>
      <c r="D812" s="102"/>
      <c r="E812" s="103"/>
      <c r="F812" s="6"/>
      <c r="G812" s="103"/>
      <c r="H812" s="6"/>
      <c r="I812" s="104"/>
      <c r="J812" s="104"/>
      <c r="K812" s="104"/>
    </row>
    <row r="813" spans="1:11" x14ac:dyDescent="0.25">
      <c r="A813" s="6"/>
      <c r="B813" s="6"/>
      <c r="C813" s="102"/>
      <c r="D813" s="102"/>
      <c r="E813" s="103"/>
      <c r="F813" s="6"/>
      <c r="G813" s="103"/>
      <c r="H813" s="6"/>
      <c r="I813" s="104"/>
      <c r="J813" s="104"/>
      <c r="K813" s="104"/>
    </row>
    <row r="814" spans="1:11" x14ac:dyDescent="0.25">
      <c r="A814" s="6"/>
      <c r="B814" s="6"/>
      <c r="C814" s="102"/>
      <c r="D814" s="102"/>
      <c r="E814" s="103"/>
      <c r="F814" s="6"/>
      <c r="G814" s="103"/>
      <c r="H814" s="6"/>
      <c r="I814" s="104"/>
      <c r="J814" s="104"/>
      <c r="K814" s="104"/>
    </row>
    <row r="815" spans="1:11" x14ac:dyDescent="0.25">
      <c r="A815" s="6"/>
      <c r="B815" s="6"/>
      <c r="C815" s="102"/>
      <c r="D815" s="102"/>
      <c r="E815" s="103"/>
      <c r="F815" s="6"/>
      <c r="G815" s="103"/>
      <c r="H815" s="6"/>
      <c r="I815" s="104"/>
      <c r="J815" s="104"/>
      <c r="K815" s="104"/>
    </row>
    <row r="816" spans="1:11" x14ac:dyDescent="0.25">
      <c r="A816" s="6"/>
      <c r="B816" s="6"/>
      <c r="C816" s="102"/>
      <c r="D816" s="102"/>
      <c r="E816" s="103"/>
      <c r="F816" s="6"/>
      <c r="G816" s="103"/>
      <c r="H816" s="6"/>
      <c r="I816" s="104"/>
      <c r="J816" s="104"/>
      <c r="K816" s="104"/>
    </row>
    <row r="817" spans="1:11" x14ac:dyDescent="0.25">
      <c r="A817" s="6"/>
      <c r="B817" s="6"/>
      <c r="C817" s="102"/>
      <c r="D817" s="102"/>
      <c r="E817" s="103"/>
      <c r="F817" s="6"/>
      <c r="G817" s="103"/>
      <c r="H817" s="6"/>
      <c r="I817" s="104"/>
      <c r="J817" s="104"/>
      <c r="K817" s="104"/>
    </row>
    <row r="818" spans="1:11" x14ac:dyDescent="0.25">
      <c r="A818" s="6"/>
      <c r="B818" s="6"/>
      <c r="C818" s="102"/>
      <c r="D818" s="102"/>
      <c r="E818" s="103"/>
      <c r="F818" s="6"/>
      <c r="G818" s="103"/>
      <c r="H818" s="6"/>
      <c r="I818" s="104"/>
      <c r="J818" s="104"/>
      <c r="K818" s="104"/>
    </row>
    <row r="819" spans="1:11" x14ac:dyDescent="0.25">
      <c r="A819" s="6"/>
      <c r="B819" s="6"/>
      <c r="C819" s="102"/>
      <c r="D819" s="102"/>
      <c r="E819" s="103"/>
      <c r="F819" s="6"/>
      <c r="G819" s="103"/>
      <c r="H819" s="6"/>
      <c r="I819" s="104"/>
      <c r="J819" s="104"/>
      <c r="K819" s="104"/>
    </row>
    <row r="820" spans="1:11" x14ac:dyDescent="0.25">
      <c r="A820" s="6"/>
      <c r="B820" s="6"/>
      <c r="C820" s="102"/>
      <c r="D820" s="102"/>
      <c r="E820" s="103"/>
      <c r="F820" s="6"/>
      <c r="G820" s="103"/>
      <c r="H820" s="6"/>
      <c r="I820" s="104"/>
      <c r="J820" s="104"/>
      <c r="K820" s="104"/>
    </row>
    <row r="821" spans="1:11" x14ac:dyDescent="0.25">
      <c r="A821" s="6"/>
      <c r="B821" s="6"/>
      <c r="C821" s="102"/>
      <c r="D821" s="102"/>
      <c r="E821" s="103"/>
      <c r="F821" s="6"/>
      <c r="G821" s="103"/>
      <c r="H821" s="6"/>
      <c r="I821" s="104"/>
      <c r="J821" s="104"/>
      <c r="K821" s="104"/>
    </row>
    <row r="822" spans="1:11" x14ac:dyDescent="0.25">
      <c r="A822" s="6"/>
      <c r="B822" s="6"/>
      <c r="C822" s="102"/>
      <c r="D822" s="102"/>
      <c r="E822" s="103"/>
      <c r="F822" s="6"/>
      <c r="G822" s="103"/>
      <c r="H822" s="6"/>
      <c r="I822" s="104"/>
      <c r="J822" s="104"/>
      <c r="K822" s="104"/>
    </row>
    <row r="823" spans="1:11" x14ac:dyDescent="0.25">
      <c r="A823" s="6"/>
      <c r="B823" s="6"/>
      <c r="C823" s="102"/>
      <c r="D823" s="102"/>
      <c r="E823" s="103"/>
      <c r="F823" s="6"/>
      <c r="G823" s="103"/>
      <c r="H823" s="6"/>
      <c r="I823" s="104"/>
      <c r="J823" s="104"/>
      <c r="K823" s="104"/>
    </row>
    <row r="824" spans="1:11" x14ac:dyDescent="0.25">
      <c r="A824" s="6"/>
      <c r="B824" s="6"/>
      <c r="C824" s="102"/>
      <c r="D824" s="102"/>
      <c r="E824" s="103"/>
      <c r="F824" s="6"/>
      <c r="G824" s="103"/>
      <c r="H824" s="6"/>
      <c r="I824" s="104"/>
      <c r="J824" s="104"/>
      <c r="K824" s="104"/>
    </row>
    <row r="825" spans="1:11" x14ac:dyDescent="0.25">
      <c r="A825" s="6"/>
      <c r="B825" s="6"/>
      <c r="C825" s="102"/>
      <c r="D825" s="102"/>
      <c r="E825" s="103"/>
      <c r="F825" s="6"/>
      <c r="G825" s="103"/>
      <c r="H825" s="6"/>
      <c r="I825" s="104"/>
      <c r="J825" s="104"/>
      <c r="K825" s="104"/>
    </row>
    <row r="826" spans="1:11" x14ac:dyDescent="0.25">
      <c r="A826" s="6"/>
      <c r="B826" s="6"/>
      <c r="C826" s="102"/>
      <c r="D826" s="102"/>
      <c r="E826" s="103"/>
      <c r="F826" s="6"/>
      <c r="G826" s="103"/>
      <c r="H826" s="6"/>
      <c r="I826" s="104"/>
      <c r="J826" s="104"/>
      <c r="K826" s="104"/>
    </row>
    <row r="827" spans="1:11" x14ac:dyDescent="0.25">
      <c r="A827" s="6"/>
      <c r="B827" s="6"/>
      <c r="C827" s="102"/>
      <c r="D827" s="102"/>
      <c r="E827" s="103"/>
      <c r="F827" s="6"/>
      <c r="G827" s="103"/>
      <c r="H827" s="6"/>
      <c r="I827" s="104"/>
      <c r="J827" s="104"/>
      <c r="K827" s="104"/>
    </row>
    <row r="828" spans="1:11" x14ac:dyDescent="0.25">
      <c r="A828" s="6"/>
      <c r="B828" s="6"/>
      <c r="C828" s="102"/>
      <c r="D828" s="102"/>
      <c r="E828" s="103"/>
      <c r="F828" s="6"/>
      <c r="G828" s="103"/>
      <c r="H828" s="6"/>
      <c r="I828" s="104"/>
      <c r="J828" s="104"/>
      <c r="K828" s="104"/>
    </row>
    <row r="829" spans="1:11" x14ac:dyDescent="0.25">
      <c r="A829" s="6"/>
      <c r="B829" s="6"/>
      <c r="C829" s="102"/>
      <c r="D829" s="102"/>
      <c r="E829" s="103"/>
      <c r="F829" s="6"/>
      <c r="G829" s="103"/>
      <c r="H829" s="6"/>
      <c r="I829" s="104"/>
      <c r="J829" s="104"/>
      <c r="K829" s="104"/>
    </row>
    <row r="830" spans="1:11" x14ac:dyDescent="0.25">
      <c r="A830" s="6"/>
      <c r="B830" s="6"/>
      <c r="C830" s="102"/>
      <c r="D830" s="102"/>
      <c r="E830" s="103"/>
      <c r="F830" s="6"/>
      <c r="G830" s="103"/>
      <c r="H830" s="6"/>
      <c r="I830" s="104"/>
      <c r="J830" s="104"/>
      <c r="K830" s="104"/>
    </row>
    <row r="831" spans="1:11" x14ac:dyDescent="0.25">
      <c r="A831" s="6"/>
      <c r="B831" s="6"/>
      <c r="C831" s="102"/>
      <c r="D831" s="102"/>
      <c r="E831" s="103"/>
      <c r="F831" s="6"/>
      <c r="G831" s="103"/>
      <c r="H831" s="6"/>
      <c r="I831" s="104"/>
      <c r="J831" s="104"/>
      <c r="K831" s="104"/>
    </row>
    <row r="832" spans="1:11" x14ac:dyDescent="0.25">
      <c r="A832" s="6"/>
      <c r="B832" s="6"/>
      <c r="C832" s="102"/>
      <c r="D832" s="102"/>
      <c r="E832" s="103"/>
      <c r="F832" s="6"/>
      <c r="G832" s="103"/>
      <c r="H832" s="6"/>
      <c r="I832" s="104"/>
      <c r="J832" s="104"/>
      <c r="K832" s="104"/>
    </row>
    <row r="833" spans="1:11" x14ac:dyDescent="0.25">
      <c r="A833" s="6"/>
      <c r="B833" s="6"/>
      <c r="C833" s="102"/>
      <c r="D833" s="102"/>
      <c r="E833" s="103"/>
      <c r="F833" s="6"/>
      <c r="G833" s="103"/>
      <c r="H833" s="6"/>
      <c r="I833" s="104"/>
      <c r="J833" s="104"/>
      <c r="K833" s="104"/>
    </row>
    <row r="834" spans="1:11" x14ac:dyDescent="0.25">
      <c r="A834" s="6"/>
      <c r="B834" s="6"/>
      <c r="C834" s="102"/>
      <c r="D834" s="102"/>
      <c r="E834" s="103"/>
      <c r="F834" s="6"/>
      <c r="G834" s="103"/>
      <c r="H834" s="6"/>
      <c r="I834" s="104"/>
      <c r="J834" s="104"/>
      <c r="K834" s="104"/>
    </row>
    <row r="835" spans="1:11" x14ac:dyDescent="0.25">
      <c r="A835" s="6"/>
      <c r="B835" s="6"/>
      <c r="C835" s="102"/>
      <c r="D835" s="102"/>
      <c r="E835" s="103"/>
      <c r="F835" s="6"/>
      <c r="G835" s="103"/>
      <c r="H835" s="6"/>
      <c r="I835" s="104"/>
      <c r="J835" s="104"/>
      <c r="K835" s="104"/>
    </row>
    <row r="836" spans="1:11" x14ac:dyDescent="0.25">
      <c r="A836" s="6"/>
      <c r="B836" s="6"/>
      <c r="C836" s="102"/>
      <c r="D836" s="102"/>
      <c r="E836" s="103"/>
      <c r="F836" s="6"/>
      <c r="G836" s="103"/>
      <c r="H836" s="6"/>
      <c r="I836" s="104"/>
      <c r="J836" s="104"/>
      <c r="K836" s="104"/>
    </row>
    <row r="837" spans="1:11" x14ac:dyDescent="0.25">
      <c r="A837" s="6"/>
      <c r="B837" s="6"/>
      <c r="C837" s="102"/>
      <c r="D837" s="102"/>
      <c r="E837" s="103"/>
      <c r="F837" s="6"/>
      <c r="G837" s="103"/>
      <c r="H837" s="6"/>
      <c r="I837" s="104"/>
      <c r="J837" s="104"/>
      <c r="K837" s="104"/>
    </row>
    <row r="838" spans="1:11" x14ac:dyDescent="0.25">
      <c r="A838" s="6"/>
      <c r="B838" s="6"/>
      <c r="C838" s="102"/>
      <c r="D838" s="102"/>
      <c r="E838" s="103"/>
      <c r="F838" s="6"/>
      <c r="G838" s="103"/>
      <c r="H838" s="6"/>
      <c r="I838" s="104"/>
      <c r="J838" s="104"/>
      <c r="K838" s="104"/>
    </row>
    <row r="839" spans="1:11" x14ac:dyDescent="0.25">
      <c r="A839" s="6"/>
      <c r="B839" s="6"/>
      <c r="C839" s="102"/>
      <c r="D839" s="102"/>
      <c r="E839" s="103"/>
      <c r="F839" s="6"/>
      <c r="G839" s="103"/>
      <c r="H839" s="6"/>
      <c r="I839" s="104"/>
      <c r="J839" s="104"/>
      <c r="K839" s="104"/>
    </row>
    <row r="840" spans="1:11" x14ac:dyDescent="0.25">
      <c r="A840" s="6"/>
      <c r="B840" s="6"/>
      <c r="C840" s="102"/>
      <c r="D840" s="102"/>
      <c r="E840" s="103"/>
      <c r="F840" s="6"/>
      <c r="G840" s="103"/>
      <c r="H840" s="6"/>
      <c r="I840" s="104"/>
      <c r="J840" s="104"/>
      <c r="K840" s="104"/>
    </row>
    <row r="841" spans="1:11" x14ac:dyDescent="0.25">
      <c r="A841" s="6"/>
      <c r="B841" s="6"/>
      <c r="C841" s="102"/>
      <c r="D841" s="102"/>
      <c r="E841" s="103"/>
      <c r="F841" s="6"/>
      <c r="G841" s="103"/>
      <c r="H841" s="6"/>
      <c r="I841" s="104"/>
      <c r="J841" s="104"/>
      <c r="K841" s="104"/>
    </row>
    <row r="842" spans="1:11" x14ac:dyDescent="0.25">
      <c r="A842" s="6"/>
      <c r="B842" s="6"/>
      <c r="C842" s="102"/>
      <c r="D842" s="102"/>
      <c r="E842" s="103"/>
      <c r="F842" s="6"/>
      <c r="G842" s="103"/>
      <c r="H842" s="6"/>
      <c r="I842" s="104"/>
      <c r="J842" s="104"/>
      <c r="K842" s="104"/>
    </row>
    <row r="843" spans="1:11" x14ac:dyDescent="0.25">
      <c r="A843" s="6"/>
      <c r="B843" s="6"/>
      <c r="C843" s="102"/>
      <c r="D843" s="102"/>
      <c r="E843" s="103"/>
      <c r="F843" s="6"/>
      <c r="G843" s="103"/>
      <c r="H843" s="6"/>
      <c r="I843" s="104"/>
      <c r="J843" s="104"/>
      <c r="K843" s="104"/>
    </row>
    <row r="844" spans="1:11" x14ac:dyDescent="0.25">
      <c r="A844" s="6"/>
      <c r="B844" s="6"/>
      <c r="C844" s="102"/>
      <c r="D844" s="102"/>
      <c r="E844" s="103"/>
      <c r="F844" s="6"/>
      <c r="G844" s="103"/>
      <c r="H844" s="6"/>
      <c r="I844" s="104"/>
      <c r="J844" s="104"/>
      <c r="K844" s="104"/>
    </row>
    <row r="845" spans="1:11" x14ac:dyDescent="0.25">
      <c r="A845" s="6"/>
      <c r="B845" s="6"/>
      <c r="C845" s="102"/>
      <c r="D845" s="102"/>
      <c r="E845" s="103"/>
      <c r="F845" s="6"/>
      <c r="G845" s="103"/>
      <c r="H845" s="6"/>
      <c r="I845" s="104"/>
      <c r="J845" s="104"/>
      <c r="K845" s="104"/>
    </row>
    <row r="846" spans="1:11" x14ac:dyDescent="0.25">
      <c r="A846" s="6"/>
      <c r="B846" s="6"/>
      <c r="C846" s="102"/>
      <c r="D846" s="102"/>
      <c r="E846" s="103"/>
      <c r="F846" s="6"/>
      <c r="G846" s="103"/>
      <c r="H846" s="6"/>
      <c r="I846" s="104"/>
      <c r="J846" s="104"/>
      <c r="K846" s="104"/>
    </row>
    <row r="847" spans="1:11" x14ac:dyDescent="0.25">
      <c r="A847" s="6"/>
      <c r="B847" s="6"/>
      <c r="C847" s="102"/>
      <c r="D847" s="102"/>
      <c r="E847" s="103"/>
      <c r="F847" s="6"/>
      <c r="G847" s="103"/>
      <c r="H847" s="6"/>
      <c r="I847" s="104"/>
      <c r="J847" s="104"/>
      <c r="K847" s="104"/>
    </row>
    <row r="848" spans="1:11" x14ac:dyDescent="0.25">
      <c r="A848" s="6"/>
      <c r="B848" s="6"/>
      <c r="C848" s="102"/>
      <c r="D848" s="102"/>
      <c r="E848" s="103"/>
      <c r="F848" s="6"/>
      <c r="G848" s="103"/>
      <c r="H848" s="6"/>
      <c r="I848" s="104"/>
      <c r="J848" s="104"/>
      <c r="K848" s="104"/>
    </row>
    <row r="849" spans="1:11" x14ac:dyDescent="0.25">
      <c r="A849" s="6"/>
      <c r="B849" s="6"/>
      <c r="C849" s="102"/>
      <c r="D849" s="102"/>
      <c r="E849" s="103"/>
      <c r="F849" s="6"/>
      <c r="G849" s="103"/>
      <c r="H849" s="6"/>
      <c r="I849" s="104"/>
      <c r="J849" s="104"/>
      <c r="K849" s="104"/>
    </row>
    <row r="850" spans="1:11" x14ac:dyDescent="0.25">
      <c r="A850" s="6"/>
      <c r="B850" s="6"/>
      <c r="C850" s="102"/>
      <c r="D850" s="102"/>
      <c r="E850" s="103"/>
      <c r="F850" s="6"/>
      <c r="G850" s="103"/>
      <c r="H850" s="6"/>
      <c r="I850" s="104"/>
      <c r="J850" s="104"/>
      <c r="K850" s="104"/>
    </row>
    <row r="851" spans="1:11" x14ac:dyDescent="0.25">
      <c r="A851" s="6"/>
      <c r="B851" s="6"/>
      <c r="C851" s="102"/>
      <c r="D851" s="102"/>
      <c r="E851" s="103"/>
      <c r="F851" s="6"/>
      <c r="G851" s="103"/>
      <c r="H851" s="6"/>
      <c r="I851" s="104"/>
      <c r="J851" s="104"/>
      <c r="K851" s="104"/>
    </row>
    <row r="852" spans="1:11" x14ac:dyDescent="0.25">
      <c r="A852" s="6"/>
      <c r="B852" s="6"/>
      <c r="C852" s="102"/>
      <c r="D852" s="102"/>
      <c r="E852" s="103"/>
      <c r="F852" s="6"/>
      <c r="G852" s="103"/>
      <c r="H852" s="6"/>
      <c r="I852" s="104"/>
      <c r="J852" s="104"/>
      <c r="K852" s="104"/>
    </row>
    <row r="853" spans="1:11" x14ac:dyDescent="0.25">
      <c r="A853" s="6"/>
      <c r="B853" s="6"/>
      <c r="C853" s="102"/>
      <c r="D853" s="102"/>
      <c r="E853" s="103"/>
      <c r="F853" s="6"/>
      <c r="G853" s="103"/>
      <c r="H853" s="6"/>
      <c r="I853" s="104"/>
      <c r="J853" s="104"/>
      <c r="K853" s="104"/>
    </row>
    <row r="854" spans="1:11" x14ac:dyDescent="0.25">
      <c r="A854" s="6"/>
      <c r="B854" s="6"/>
      <c r="C854" s="102"/>
      <c r="D854" s="102"/>
      <c r="E854" s="103"/>
      <c r="F854" s="6"/>
      <c r="G854" s="103"/>
      <c r="H854" s="6"/>
      <c r="I854" s="104"/>
      <c r="J854" s="104"/>
      <c r="K854" s="104"/>
    </row>
    <row r="855" spans="1:11" x14ac:dyDescent="0.25">
      <c r="A855" s="6"/>
      <c r="B855" s="6"/>
      <c r="C855" s="102"/>
      <c r="D855" s="102"/>
      <c r="E855" s="103"/>
      <c r="F855" s="6"/>
      <c r="G855" s="103"/>
      <c r="H855" s="6"/>
      <c r="I855" s="104"/>
      <c r="J855" s="104"/>
      <c r="K855" s="104"/>
    </row>
    <row r="856" spans="1:11" x14ac:dyDescent="0.25">
      <c r="A856" s="6"/>
      <c r="B856" s="6"/>
      <c r="C856" s="102"/>
      <c r="D856" s="102"/>
      <c r="E856" s="103"/>
      <c r="F856" s="6"/>
      <c r="G856" s="103"/>
      <c r="H856" s="6"/>
      <c r="I856" s="104"/>
      <c r="J856" s="104"/>
      <c r="K856" s="104"/>
    </row>
    <row r="857" spans="1:11" x14ac:dyDescent="0.25">
      <c r="A857" s="6"/>
      <c r="B857" s="6"/>
      <c r="C857" s="102"/>
      <c r="D857" s="102"/>
      <c r="E857" s="103"/>
      <c r="F857" s="6"/>
      <c r="G857" s="103"/>
      <c r="H857" s="6"/>
      <c r="I857" s="104"/>
      <c r="J857" s="104"/>
      <c r="K857" s="104"/>
    </row>
    <row r="858" spans="1:11" x14ac:dyDescent="0.25">
      <c r="A858" s="6"/>
      <c r="B858" s="6"/>
      <c r="C858" s="102"/>
      <c r="D858" s="102"/>
      <c r="E858" s="103"/>
      <c r="F858" s="6"/>
      <c r="G858" s="103"/>
      <c r="H858" s="6"/>
      <c r="I858" s="104"/>
      <c r="J858" s="104"/>
      <c r="K858" s="104"/>
    </row>
    <row r="859" spans="1:11" x14ac:dyDescent="0.25">
      <c r="A859" s="6"/>
      <c r="B859" s="6"/>
      <c r="C859" s="102"/>
      <c r="D859" s="102"/>
      <c r="E859" s="103"/>
      <c r="F859" s="6"/>
      <c r="G859" s="103"/>
      <c r="H859" s="6"/>
      <c r="I859" s="104"/>
      <c r="J859" s="104"/>
      <c r="K859" s="104"/>
    </row>
    <row r="860" spans="1:11" x14ac:dyDescent="0.25">
      <c r="A860" s="6"/>
      <c r="B860" s="6"/>
      <c r="C860" s="102"/>
      <c r="D860" s="102"/>
      <c r="E860" s="103"/>
      <c r="F860" s="6"/>
      <c r="G860" s="103"/>
      <c r="H860" s="6"/>
      <c r="I860" s="104"/>
      <c r="J860" s="104"/>
      <c r="K860" s="104"/>
    </row>
    <row r="861" spans="1:11" x14ac:dyDescent="0.25">
      <c r="A861" s="6"/>
      <c r="B861" s="6"/>
      <c r="C861" s="102"/>
      <c r="D861" s="102"/>
      <c r="E861" s="103"/>
      <c r="F861" s="6"/>
      <c r="G861" s="103"/>
      <c r="H861" s="6"/>
      <c r="I861" s="104"/>
      <c r="J861" s="104"/>
      <c r="K861" s="104"/>
    </row>
    <row r="862" spans="1:11" x14ac:dyDescent="0.25">
      <c r="A862" s="6"/>
      <c r="B862" s="6"/>
      <c r="C862" s="102"/>
      <c r="D862" s="102"/>
      <c r="E862" s="103"/>
      <c r="F862" s="6"/>
      <c r="G862" s="103"/>
      <c r="H862" s="6"/>
      <c r="I862" s="104"/>
      <c r="J862" s="104"/>
      <c r="K862" s="104"/>
    </row>
    <row r="863" spans="1:11" x14ac:dyDescent="0.25">
      <c r="A863" s="6"/>
      <c r="B863" s="6"/>
      <c r="C863" s="102"/>
      <c r="D863" s="102"/>
      <c r="E863" s="103"/>
      <c r="F863" s="6"/>
      <c r="G863" s="103"/>
      <c r="H863" s="6"/>
      <c r="I863" s="104"/>
      <c r="J863" s="104"/>
      <c r="K863" s="104"/>
    </row>
    <row r="864" spans="1:11" x14ac:dyDescent="0.25">
      <c r="A864" s="6"/>
      <c r="B864" s="6"/>
      <c r="C864" s="102"/>
      <c r="D864" s="102"/>
      <c r="E864" s="103"/>
      <c r="F864" s="6"/>
      <c r="G864" s="103"/>
      <c r="H864" s="6"/>
      <c r="I864" s="104"/>
      <c r="J864" s="104"/>
      <c r="K864" s="104"/>
    </row>
    <row r="865" spans="1:11" x14ac:dyDescent="0.25">
      <c r="A865" s="6"/>
      <c r="B865" s="6"/>
      <c r="C865" s="102"/>
      <c r="D865" s="102"/>
      <c r="E865" s="103"/>
      <c r="F865" s="6"/>
      <c r="G865" s="103"/>
      <c r="H865" s="6"/>
      <c r="I865" s="104"/>
      <c r="J865" s="104"/>
      <c r="K865" s="104"/>
    </row>
    <row r="866" spans="1:11" x14ac:dyDescent="0.25">
      <c r="A866" s="6"/>
      <c r="B866" s="6"/>
      <c r="C866" s="102"/>
      <c r="D866" s="102"/>
      <c r="E866" s="103"/>
      <c r="F866" s="6"/>
      <c r="G866" s="103"/>
      <c r="H866" s="6"/>
      <c r="I866" s="104"/>
      <c r="J866" s="104"/>
      <c r="K866" s="104"/>
    </row>
    <row r="867" spans="1:11" x14ac:dyDescent="0.25">
      <c r="A867" s="6"/>
      <c r="B867" s="6"/>
      <c r="C867" s="102"/>
      <c r="D867" s="102"/>
      <c r="E867" s="103"/>
      <c r="F867" s="6"/>
      <c r="G867" s="103"/>
      <c r="H867" s="6"/>
      <c r="I867" s="104"/>
      <c r="J867" s="104"/>
      <c r="K867" s="104"/>
    </row>
    <row r="868" spans="1:11" x14ac:dyDescent="0.25">
      <c r="A868" s="6"/>
      <c r="B868" s="6"/>
      <c r="C868" s="102"/>
      <c r="D868" s="102"/>
      <c r="E868" s="103"/>
      <c r="F868" s="6"/>
      <c r="G868" s="103"/>
      <c r="H868" s="6"/>
      <c r="I868" s="104"/>
      <c r="J868" s="104"/>
      <c r="K868" s="104"/>
    </row>
    <row r="869" spans="1:11" x14ac:dyDescent="0.25">
      <c r="A869" s="6"/>
      <c r="B869" s="6"/>
      <c r="C869" s="102"/>
      <c r="D869" s="102"/>
      <c r="E869" s="103"/>
      <c r="F869" s="6"/>
      <c r="G869" s="103"/>
      <c r="H869" s="6"/>
      <c r="I869" s="104"/>
      <c r="J869" s="104"/>
      <c r="K869" s="104"/>
    </row>
    <row r="870" spans="1:11" x14ac:dyDescent="0.25">
      <c r="A870" s="6"/>
      <c r="B870" s="6"/>
      <c r="C870" s="102"/>
      <c r="D870" s="102"/>
      <c r="E870" s="103"/>
      <c r="F870" s="6"/>
      <c r="G870" s="103"/>
      <c r="H870" s="6"/>
      <c r="I870" s="104"/>
      <c r="J870" s="104"/>
      <c r="K870" s="104"/>
    </row>
    <row r="871" spans="1:11" x14ac:dyDescent="0.25">
      <c r="A871" s="6"/>
      <c r="B871" s="6"/>
      <c r="C871" s="102"/>
      <c r="D871" s="102"/>
      <c r="E871" s="103"/>
      <c r="F871" s="6"/>
      <c r="G871" s="103"/>
      <c r="H871" s="6"/>
      <c r="I871" s="104"/>
      <c r="J871" s="104"/>
      <c r="K871" s="104"/>
    </row>
    <row r="872" spans="1:11" x14ac:dyDescent="0.25">
      <c r="A872" s="6"/>
      <c r="B872" s="6"/>
      <c r="C872" s="102"/>
      <c r="D872" s="102"/>
      <c r="E872" s="103"/>
      <c r="F872" s="6"/>
      <c r="G872" s="103"/>
      <c r="H872" s="6"/>
      <c r="I872" s="104"/>
      <c r="J872" s="104"/>
      <c r="K872" s="104"/>
    </row>
    <row r="873" spans="1:11" x14ac:dyDescent="0.25">
      <c r="A873" s="6"/>
      <c r="B873" s="6"/>
      <c r="C873" s="102"/>
      <c r="D873" s="102"/>
      <c r="E873" s="103"/>
      <c r="F873" s="6"/>
      <c r="G873" s="103"/>
      <c r="H873" s="6"/>
      <c r="I873" s="104"/>
      <c r="J873" s="104"/>
      <c r="K873" s="104"/>
    </row>
    <row r="874" spans="1:11" x14ac:dyDescent="0.25">
      <c r="A874" s="6"/>
      <c r="B874" s="6"/>
      <c r="C874" s="102"/>
      <c r="D874" s="102"/>
      <c r="E874" s="103"/>
      <c r="F874" s="6"/>
      <c r="G874" s="103"/>
      <c r="H874" s="6"/>
      <c r="I874" s="104"/>
      <c r="J874" s="104"/>
      <c r="K874" s="104"/>
    </row>
    <row r="875" spans="1:11" x14ac:dyDescent="0.25">
      <c r="A875" s="6"/>
      <c r="B875" s="6"/>
      <c r="C875" s="102"/>
      <c r="D875" s="102"/>
      <c r="E875" s="103"/>
      <c r="F875" s="6"/>
      <c r="G875" s="103"/>
      <c r="H875" s="6"/>
      <c r="I875" s="104"/>
      <c r="J875" s="104"/>
      <c r="K875" s="104"/>
    </row>
    <row r="876" spans="1:11" x14ac:dyDescent="0.25">
      <c r="A876" s="6"/>
      <c r="B876" s="6"/>
      <c r="C876" s="102"/>
      <c r="D876" s="102"/>
      <c r="E876" s="103"/>
      <c r="F876" s="6"/>
      <c r="G876" s="103"/>
      <c r="H876" s="6"/>
      <c r="I876" s="104"/>
      <c r="J876" s="104"/>
      <c r="K876" s="104"/>
    </row>
    <row r="877" spans="1:11" x14ac:dyDescent="0.25">
      <c r="A877" s="6"/>
      <c r="B877" s="6"/>
      <c r="C877" s="102"/>
      <c r="D877" s="102"/>
      <c r="E877" s="103"/>
      <c r="F877" s="6"/>
      <c r="G877" s="103"/>
      <c r="H877" s="6"/>
      <c r="I877" s="104"/>
      <c r="J877" s="104"/>
      <c r="K877" s="104"/>
    </row>
    <row r="878" spans="1:11" x14ac:dyDescent="0.25">
      <c r="A878" s="6"/>
      <c r="B878" s="6"/>
      <c r="C878" s="102"/>
      <c r="D878" s="102"/>
      <c r="E878" s="103"/>
      <c r="F878" s="6"/>
      <c r="G878" s="103"/>
      <c r="H878" s="6"/>
      <c r="I878" s="104"/>
      <c r="J878" s="104"/>
      <c r="K878" s="104"/>
    </row>
    <row r="879" spans="1:11" x14ac:dyDescent="0.25">
      <c r="A879" s="6"/>
      <c r="B879" s="6"/>
      <c r="C879" s="102"/>
      <c r="D879" s="102"/>
      <c r="E879" s="103"/>
      <c r="F879" s="6"/>
      <c r="G879" s="103"/>
      <c r="H879" s="6"/>
      <c r="I879" s="104"/>
      <c r="J879" s="104"/>
      <c r="K879" s="104"/>
    </row>
    <row r="880" spans="1:11" x14ac:dyDescent="0.25">
      <c r="A880" s="6"/>
      <c r="B880" s="6"/>
      <c r="C880" s="102"/>
      <c r="D880" s="102"/>
      <c r="E880" s="103"/>
      <c r="F880" s="6"/>
      <c r="G880" s="103"/>
      <c r="H880" s="6"/>
      <c r="I880" s="104"/>
      <c r="J880" s="104"/>
      <c r="K880" s="104"/>
    </row>
    <row r="881" spans="1:11" x14ac:dyDescent="0.25">
      <c r="A881" s="6"/>
      <c r="B881" s="6"/>
      <c r="C881" s="102"/>
      <c r="D881" s="102"/>
      <c r="E881" s="103"/>
      <c r="F881" s="6"/>
      <c r="G881" s="103"/>
      <c r="H881" s="6"/>
      <c r="I881" s="104"/>
      <c r="J881" s="104"/>
      <c r="K881" s="104"/>
    </row>
    <row r="882" spans="1:11" x14ac:dyDescent="0.25">
      <c r="A882" s="6"/>
      <c r="B882" s="6"/>
      <c r="C882" s="102"/>
      <c r="D882" s="102"/>
      <c r="E882" s="103"/>
      <c r="F882" s="6"/>
      <c r="G882" s="103"/>
      <c r="H882" s="6"/>
      <c r="I882" s="104"/>
      <c r="J882" s="104"/>
      <c r="K882" s="104"/>
    </row>
    <row r="883" spans="1:11" x14ac:dyDescent="0.25">
      <c r="A883" s="6"/>
      <c r="B883" s="6"/>
      <c r="C883" s="102"/>
      <c r="D883" s="102"/>
      <c r="E883" s="103"/>
      <c r="F883" s="6"/>
      <c r="G883" s="103"/>
      <c r="H883" s="6"/>
      <c r="I883" s="104"/>
      <c r="J883" s="104"/>
      <c r="K883" s="104"/>
    </row>
    <row r="884" spans="1:11" x14ac:dyDescent="0.25">
      <c r="A884" s="6"/>
      <c r="B884" s="6"/>
      <c r="C884" s="102"/>
      <c r="D884" s="102"/>
      <c r="E884" s="103"/>
      <c r="F884" s="6"/>
      <c r="G884" s="103"/>
      <c r="H884" s="6"/>
      <c r="I884" s="104"/>
      <c r="J884" s="104"/>
      <c r="K884" s="104"/>
    </row>
    <row r="885" spans="1:11" x14ac:dyDescent="0.25">
      <c r="A885" s="6"/>
      <c r="B885" s="6"/>
      <c r="C885" s="102"/>
      <c r="D885" s="102"/>
      <c r="E885" s="103"/>
      <c r="F885" s="6"/>
      <c r="G885" s="103"/>
      <c r="H885" s="6"/>
      <c r="I885" s="104"/>
      <c r="J885" s="104"/>
      <c r="K885" s="104"/>
    </row>
    <row r="886" spans="1:11" x14ac:dyDescent="0.25">
      <c r="A886" s="6"/>
      <c r="B886" s="6"/>
      <c r="C886" s="102"/>
      <c r="D886" s="102"/>
      <c r="E886" s="103"/>
      <c r="F886" s="6"/>
      <c r="G886" s="103"/>
      <c r="H886" s="6"/>
      <c r="I886" s="104"/>
      <c r="J886" s="104"/>
      <c r="K886" s="104"/>
    </row>
    <row r="887" spans="1:11" x14ac:dyDescent="0.25">
      <c r="A887" s="6"/>
      <c r="B887" s="6"/>
      <c r="C887" s="102"/>
      <c r="D887" s="102"/>
      <c r="E887" s="103"/>
      <c r="F887" s="6"/>
      <c r="G887" s="103"/>
      <c r="H887" s="6"/>
      <c r="I887" s="104"/>
      <c r="J887" s="104"/>
      <c r="K887" s="104"/>
    </row>
    <row r="888" spans="1:11" x14ac:dyDescent="0.25">
      <c r="A888" s="6"/>
      <c r="B888" s="6"/>
      <c r="C888" s="102"/>
      <c r="D888" s="102"/>
      <c r="E888" s="103"/>
      <c r="F888" s="6"/>
      <c r="G888" s="103"/>
      <c r="H888" s="6"/>
      <c r="I888" s="104"/>
      <c r="J888" s="104"/>
      <c r="K888" s="104"/>
    </row>
    <row r="889" spans="1:11" x14ac:dyDescent="0.25">
      <c r="A889" s="6"/>
      <c r="B889" s="6"/>
      <c r="C889" s="102"/>
      <c r="D889" s="102"/>
      <c r="E889" s="103"/>
      <c r="F889" s="6"/>
      <c r="G889" s="103"/>
      <c r="H889" s="6"/>
      <c r="I889" s="104"/>
      <c r="J889" s="104"/>
      <c r="K889" s="104"/>
    </row>
    <row r="890" spans="1:11" x14ac:dyDescent="0.25">
      <c r="A890" s="6"/>
      <c r="B890" s="6"/>
      <c r="C890" s="102"/>
      <c r="D890" s="102"/>
      <c r="E890" s="103"/>
      <c r="F890" s="6"/>
      <c r="G890" s="103"/>
      <c r="H890" s="6"/>
      <c r="I890" s="104"/>
      <c r="J890" s="104"/>
      <c r="K890" s="104"/>
    </row>
    <row r="891" spans="1:11" x14ac:dyDescent="0.25">
      <c r="A891" s="6"/>
      <c r="B891" s="6"/>
      <c r="C891" s="102"/>
      <c r="D891" s="102"/>
      <c r="E891" s="103"/>
      <c r="F891" s="6"/>
      <c r="G891" s="103"/>
      <c r="H891" s="6"/>
      <c r="I891" s="104"/>
      <c r="J891" s="104"/>
      <c r="K891" s="104"/>
    </row>
    <row r="892" spans="1:11" x14ac:dyDescent="0.25">
      <c r="A892" s="6"/>
      <c r="B892" s="6"/>
      <c r="C892" s="102"/>
      <c r="D892" s="102"/>
      <c r="E892" s="103"/>
      <c r="F892" s="6"/>
      <c r="G892" s="103"/>
      <c r="H892" s="6"/>
      <c r="I892" s="104"/>
      <c r="J892" s="104"/>
      <c r="K892" s="104"/>
    </row>
    <row r="893" spans="1:11" x14ac:dyDescent="0.25">
      <c r="A893" s="6"/>
      <c r="B893" s="6"/>
      <c r="C893" s="102"/>
      <c r="D893" s="102"/>
      <c r="E893" s="103"/>
      <c r="F893" s="6"/>
      <c r="G893" s="103"/>
      <c r="H893" s="6"/>
      <c r="I893" s="104"/>
      <c r="J893" s="104"/>
      <c r="K893" s="104"/>
    </row>
    <row r="894" spans="1:11" x14ac:dyDescent="0.25">
      <c r="A894" s="6"/>
      <c r="B894" s="6"/>
      <c r="C894" s="102"/>
      <c r="D894" s="102"/>
      <c r="E894" s="103"/>
      <c r="F894" s="6"/>
      <c r="G894" s="103"/>
      <c r="H894" s="6"/>
      <c r="I894" s="104"/>
      <c r="J894" s="104"/>
      <c r="K894" s="104"/>
    </row>
    <row r="895" spans="1:11" x14ac:dyDescent="0.25">
      <c r="A895" s="6"/>
      <c r="B895" s="6"/>
      <c r="C895" s="102"/>
      <c r="D895" s="102"/>
      <c r="E895" s="103"/>
      <c r="F895" s="6"/>
      <c r="G895" s="103"/>
      <c r="H895" s="6"/>
      <c r="I895" s="104"/>
      <c r="J895" s="104"/>
      <c r="K895" s="104"/>
    </row>
    <row r="896" spans="1:11" x14ac:dyDescent="0.25">
      <c r="A896" s="6"/>
      <c r="B896" s="6"/>
      <c r="C896" s="102"/>
      <c r="D896" s="102"/>
      <c r="E896" s="103"/>
      <c r="F896" s="6"/>
      <c r="G896" s="103"/>
      <c r="H896" s="6"/>
      <c r="I896" s="104"/>
      <c r="J896" s="104"/>
      <c r="K896" s="104"/>
    </row>
    <row r="897" spans="1:11" x14ac:dyDescent="0.25">
      <c r="A897" s="6"/>
      <c r="B897" s="6"/>
      <c r="C897" s="102"/>
      <c r="D897" s="102"/>
      <c r="E897" s="103"/>
      <c r="F897" s="6"/>
      <c r="G897" s="103"/>
      <c r="H897" s="6"/>
      <c r="I897" s="104"/>
      <c r="J897" s="104"/>
      <c r="K897" s="104"/>
    </row>
    <row r="898" spans="1:11" x14ac:dyDescent="0.25">
      <c r="A898" s="6"/>
      <c r="B898" s="6"/>
      <c r="C898" s="102"/>
      <c r="D898" s="102"/>
      <c r="E898" s="103"/>
      <c r="F898" s="6"/>
      <c r="G898" s="103"/>
      <c r="H898" s="6"/>
      <c r="I898" s="104"/>
      <c r="J898" s="104"/>
      <c r="K898" s="104"/>
    </row>
    <row r="899" spans="1:11" x14ac:dyDescent="0.25">
      <c r="A899" s="6"/>
      <c r="B899" s="6"/>
      <c r="C899" s="102"/>
      <c r="D899" s="102"/>
      <c r="E899" s="103"/>
      <c r="F899" s="6"/>
      <c r="G899" s="103"/>
      <c r="H899" s="6"/>
      <c r="I899" s="104"/>
      <c r="J899" s="104"/>
      <c r="K899" s="104"/>
    </row>
    <row r="900" spans="1:11" x14ac:dyDescent="0.25">
      <c r="A900" s="6"/>
      <c r="B900" s="6"/>
      <c r="C900" s="102"/>
      <c r="D900" s="102"/>
      <c r="E900" s="103"/>
      <c r="F900" s="6"/>
      <c r="G900" s="103"/>
      <c r="H900" s="6"/>
      <c r="I900" s="104"/>
      <c r="J900" s="104"/>
      <c r="K900" s="104"/>
    </row>
    <row r="901" spans="1:11" x14ac:dyDescent="0.25">
      <c r="A901" s="6"/>
      <c r="B901" s="6"/>
      <c r="C901" s="102"/>
      <c r="D901" s="102"/>
      <c r="E901" s="103"/>
      <c r="F901" s="6"/>
      <c r="G901" s="103"/>
      <c r="H901" s="6"/>
      <c r="I901" s="104"/>
      <c r="J901" s="104"/>
      <c r="K901" s="104"/>
    </row>
    <row r="902" spans="1:11" x14ac:dyDescent="0.25">
      <c r="A902" s="6"/>
      <c r="B902" s="6"/>
      <c r="C902" s="102"/>
      <c r="D902" s="102"/>
      <c r="E902" s="103"/>
      <c r="F902" s="6"/>
      <c r="G902" s="103"/>
      <c r="H902" s="6"/>
      <c r="I902" s="104"/>
      <c r="J902" s="104"/>
      <c r="K902" s="104"/>
    </row>
    <row r="903" spans="1:11" x14ac:dyDescent="0.25">
      <c r="A903" s="6"/>
      <c r="B903" s="6"/>
      <c r="C903" s="102"/>
      <c r="D903" s="102"/>
      <c r="E903" s="103"/>
      <c r="F903" s="6"/>
      <c r="G903" s="103"/>
      <c r="H903" s="6"/>
      <c r="I903" s="104"/>
      <c r="J903" s="104"/>
      <c r="K903" s="104"/>
    </row>
    <row r="904" spans="1:11" x14ac:dyDescent="0.25">
      <c r="A904" s="6"/>
      <c r="B904" s="6"/>
      <c r="C904" s="102"/>
      <c r="D904" s="102"/>
      <c r="E904" s="103"/>
      <c r="F904" s="6"/>
      <c r="G904" s="103"/>
      <c r="H904" s="6"/>
      <c r="I904" s="104"/>
      <c r="J904" s="104"/>
      <c r="K904" s="104"/>
    </row>
    <row r="905" spans="1:11" x14ac:dyDescent="0.25">
      <c r="A905" s="6"/>
      <c r="B905" s="6"/>
      <c r="C905" s="102"/>
      <c r="D905" s="102"/>
      <c r="E905" s="103"/>
      <c r="F905" s="6"/>
      <c r="G905" s="103"/>
      <c r="H905" s="6"/>
      <c r="I905" s="104"/>
      <c r="J905" s="104"/>
      <c r="K905" s="104"/>
    </row>
    <row r="906" spans="1:11" x14ac:dyDescent="0.25">
      <c r="A906" s="6"/>
      <c r="B906" s="6"/>
      <c r="C906" s="102"/>
      <c r="D906" s="102"/>
      <c r="E906" s="103"/>
      <c r="F906" s="6"/>
      <c r="G906" s="103"/>
      <c r="H906" s="6"/>
      <c r="I906" s="104"/>
      <c r="J906" s="104"/>
      <c r="K906" s="104"/>
    </row>
    <row r="907" spans="1:11" x14ac:dyDescent="0.25">
      <c r="A907" s="6"/>
      <c r="B907" s="6"/>
      <c r="C907" s="102"/>
      <c r="D907" s="102"/>
      <c r="E907" s="103"/>
      <c r="F907" s="6"/>
      <c r="G907" s="103"/>
      <c r="H907" s="6"/>
      <c r="I907" s="104"/>
      <c r="J907" s="104"/>
      <c r="K907" s="104"/>
    </row>
    <row r="908" spans="1:11" x14ac:dyDescent="0.25">
      <c r="A908" s="6"/>
      <c r="B908" s="6"/>
      <c r="C908" s="102"/>
      <c r="D908" s="102"/>
      <c r="E908" s="103"/>
      <c r="F908" s="6"/>
      <c r="G908" s="103"/>
      <c r="H908" s="6"/>
      <c r="I908" s="104"/>
      <c r="J908" s="104"/>
      <c r="K908" s="104"/>
    </row>
    <row r="909" spans="1:11" x14ac:dyDescent="0.25">
      <c r="A909" s="6"/>
      <c r="B909" s="6"/>
      <c r="C909" s="102"/>
      <c r="D909" s="102"/>
      <c r="E909" s="103"/>
      <c r="F909" s="6"/>
      <c r="G909" s="103"/>
      <c r="H909" s="6"/>
      <c r="I909" s="104"/>
      <c r="J909" s="104"/>
      <c r="K909" s="104"/>
    </row>
    <row r="910" spans="1:11" x14ac:dyDescent="0.25">
      <c r="A910" s="6"/>
      <c r="B910" s="6"/>
      <c r="C910" s="102"/>
      <c r="D910" s="102"/>
      <c r="E910" s="103"/>
      <c r="F910" s="6"/>
      <c r="G910" s="103"/>
      <c r="H910" s="6"/>
      <c r="I910" s="104"/>
      <c r="J910" s="104"/>
      <c r="K910" s="104"/>
    </row>
    <row r="911" spans="1:11" x14ac:dyDescent="0.25">
      <c r="A911" s="6"/>
      <c r="B911" s="6"/>
      <c r="C911" s="102"/>
      <c r="D911" s="102"/>
      <c r="E911" s="103"/>
      <c r="F911" s="6"/>
      <c r="G911" s="103"/>
      <c r="H911" s="6"/>
      <c r="I911" s="104"/>
      <c r="J911" s="104"/>
      <c r="K911" s="104"/>
    </row>
    <row r="912" spans="1:11" x14ac:dyDescent="0.25">
      <c r="A912" s="6"/>
      <c r="B912" s="6"/>
      <c r="C912" s="102"/>
      <c r="D912" s="102"/>
      <c r="E912" s="103"/>
      <c r="F912" s="6"/>
      <c r="G912" s="103"/>
      <c r="H912" s="6"/>
      <c r="I912" s="104"/>
      <c r="J912" s="104"/>
      <c r="K912" s="104"/>
    </row>
    <row r="913" spans="1:11" x14ac:dyDescent="0.25">
      <c r="A913" s="6"/>
      <c r="B913" s="6"/>
      <c r="C913" s="102"/>
      <c r="D913" s="102"/>
      <c r="E913" s="103"/>
      <c r="F913" s="6"/>
      <c r="G913" s="103"/>
      <c r="H913" s="6"/>
      <c r="I913" s="104"/>
      <c r="J913" s="104"/>
      <c r="K913" s="104"/>
    </row>
    <row r="914" spans="1:11" x14ac:dyDescent="0.25">
      <c r="A914" s="6"/>
      <c r="B914" s="6"/>
      <c r="C914" s="102"/>
      <c r="D914" s="102"/>
      <c r="E914" s="103"/>
      <c r="F914" s="6"/>
      <c r="G914" s="103"/>
      <c r="H914" s="6"/>
      <c r="I914" s="104"/>
      <c r="J914" s="104"/>
      <c r="K914" s="104"/>
    </row>
    <row r="915" spans="1:11" x14ac:dyDescent="0.25">
      <c r="A915" s="6"/>
      <c r="B915" s="6"/>
      <c r="C915" s="102"/>
      <c r="D915" s="102"/>
      <c r="E915" s="103"/>
      <c r="F915" s="6"/>
      <c r="G915" s="103"/>
      <c r="H915" s="6"/>
      <c r="I915" s="104"/>
      <c r="J915" s="104"/>
      <c r="K915" s="104"/>
    </row>
    <row r="916" spans="1:11" x14ac:dyDescent="0.25">
      <c r="A916" s="6"/>
      <c r="B916" s="6"/>
      <c r="C916" s="102"/>
      <c r="D916" s="102"/>
      <c r="E916" s="103"/>
      <c r="F916" s="6"/>
      <c r="G916" s="103"/>
      <c r="H916" s="6"/>
      <c r="I916" s="104"/>
      <c r="J916" s="104"/>
      <c r="K916" s="104"/>
    </row>
    <row r="917" spans="1:11" x14ac:dyDescent="0.25">
      <c r="A917" s="6"/>
      <c r="B917" s="6"/>
      <c r="C917" s="102"/>
      <c r="D917" s="102"/>
      <c r="E917" s="103"/>
      <c r="F917" s="6"/>
      <c r="G917" s="103"/>
      <c r="H917" s="6"/>
      <c r="I917" s="104"/>
      <c r="J917" s="104"/>
      <c r="K917" s="104"/>
    </row>
    <row r="918" spans="1:11" x14ac:dyDescent="0.25">
      <c r="A918" s="6"/>
      <c r="B918" s="6"/>
      <c r="C918" s="102"/>
      <c r="D918" s="102"/>
      <c r="E918" s="103"/>
      <c r="F918" s="6"/>
      <c r="G918" s="103"/>
      <c r="H918" s="6"/>
      <c r="I918" s="104"/>
      <c r="J918" s="104"/>
      <c r="K918" s="104"/>
    </row>
    <row r="919" spans="1:11" x14ac:dyDescent="0.25">
      <c r="A919" s="6"/>
      <c r="B919" s="6"/>
      <c r="C919" s="102"/>
      <c r="D919" s="102"/>
      <c r="E919" s="103"/>
      <c r="F919" s="6"/>
      <c r="G919" s="103"/>
      <c r="H919" s="6"/>
      <c r="I919" s="104"/>
      <c r="J919" s="104"/>
      <c r="K919" s="104"/>
    </row>
    <row r="920" spans="1:11" x14ac:dyDescent="0.25">
      <c r="A920" s="6"/>
      <c r="B920" s="6"/>
      <c r="C920" s="102"/>
      <c r="D920" s="102"/>
      <c r="E920" s="103"/>
      <c r="F920" s="6"/>
      <c r="G920" s="103"/>
      <c r="H920" s="6"/>
      <c r="I920" s="104"/>
      <c r="J920" s="104"/>
      <c r="K920" s="104"/>
    </row>
    <row r="921" spans="1:11" x14ac:dyDescent="0.25">
      <c r="A921" s="6"/>
      <c r="B921" s="6"/>
      <c r="C921" s="102"/>
      <c r="D921" s="102"/>
      <c r="E921" s="103"/>
      <c r="F921" s="6"/>
      <c r="G921" s="103"/>
      <c r="H921" s="6"/>
      <c r="I921" s="104"/>
      <c r="J921" s="104"/>
      <c r="K921" s="104"/>
    </row>
    <row r="922" spans="1:11" x14ac:dyDescent="0.25">
      <c r="A922" s="6"/>
      <c r="B922" s="6"/>
      <c r="C922" s="102"/>
      <c r="D922" s="102"/>
      <c r="E922" s="103"/>
      <c r="F922" s="6"/>
      <c r="G922" s="103"/>
      <c r="H922" s="6"/>
      <c r="I922" s="104"/>
      <c r="J922" s="104"/>
      <c r="K922" s="104"/>
    </row>
    <row r="923" spans="1:11" x14ac:dyDescent="0.25">
      <c r="A923" s="6"/>
      <c r="B923" s="6"/>
      <c r="C923" s="102"/>
      <c r="D923" s="102"/>
      <c r="E923" s="103"/>
      <c r="F923" s="6"/>
      <c r="G923" s="103"/>
      <c r="H923" s="6"/>
      <c r="I923" s="104"/>
      <c r="J923" s="104"/>
      <c r="K923" s="104"/>
    </row>
    <row r="924" spans="1:11" x14ac:dyDescent="0.25">
      <c r="A924" s="6"/>
      <c r="B924" s="6"/>
      <c r="C924" s="102"/>
      <c r="D924" s="102"/>
      <c r="E924" s="103"/>
      <c r="F924" s="6"/>
      <c r="G924" s="103"/>
      <c r="H924" s="6"/>
      <c r="I924" s="104"/>
      <c r="J924" s="104"/>
      <c r="K924" s="104"/>
    </row>
    <row r="925" spans="1:11" x14ac:dyDescent="0.25">
      <c r="A925" s="6"/>
      <c r="B925" s="6"/>
      <c r="C925" s="102"/>
      <c r="D925" s="102"/>
      <c r="E925" s="103"/>
      <c r="F925" s="6"/>
      <c r="G925" s="103"/>
      <c r="H925" s="6"/>
      <c r="I925" s="104"/>
      <c r="J925" s="104"/>
      <c r="K925" s="104"/>
    </row>
    <row r="926" spans="1:11" x14ac:dyDescent="0.25">
      <c r="A926" s="6"/>
      <c r="B926" s="6"/>
      <c r="C926" s="102"/>
      <c r="D926" s="102"/>
      <c r="E926" s="103"/>
      <c r="F926" s="6"/>
      <c r="G926" s="103"/>
      <c r="H926" s="6"/>
      <c r="I926" s="104"/>
      <c r="J926" s="104"/>
      <c r="K926" s="104"/>
    </row>
    <row r="927" spans="1:11" x14ac:dyDescent="0.25">
      <c r="A927" s="6"/>
      <c r="B927" s="6"/>
      <c r="C927" s="102"/>
      <c r="D927" s="102"/>
      <c r="E927" s="103"/>
      <c r="F927" s="6"/>
      <c r="G927" s="103"/>
      <c r="H927" s="6"/>
      <c r="I927" s="104"/>
      <c r="J927" s="104"/>
      <c r="K927" s="104"/>
    </row>
    <row r="928" spans="1:11" x14ac:dyDescent="0.25">
      <c r="A928" s="6"/>
      <c r="B928" s="6"/>
      <c r="C928" s="102"/>
      <c r="D928" s="102"/>
      <c r="E928" s="103"/>
      <c r="F928" s="6"/>
      <c r="G928" s="103"/>
      <c r="H928" s="6"/>
      <c r="I928" s="104"/>
      <c r="J928" s="104"/>
      <c r="K928" s="104"/>
    </row>
    <row r="929" spans="1:11" x14ac:dyDescent="0.25">
      <c r="A929" s="6"/>
      <c r="B929" s="6"/>
      <c r="C929" s="102"/>
      <c r="D929" s="102"/>
      <c r="E929" s="103"/>
      <c r="F929" s="6"/>
      <c r="G929" s="103"/>
      <c r="H929" s="6"/>
      <c r="I929" s="104"/>
      <c r="J929" s="104"/>
      <c r="K929" s="104"/>
    </row>
    <row r="930" spans="1:11" x14ac:dyDescent="0.25">
      <c r="A930" s="6"/>
      <c r="B930" s="6"/>
      <c r="C930" s="102"/>
      <c r="D930" s="102"/>
      <c r="E930" s="103"/>
      <c r="F930" s="6"/>
      <c r="G930" s="103"/>
      <c r="H930" s="6"/>
      <c r="I930" s="104"/>
      <c r="J930" s="104"/>
      <c r="K930" s="104"/>
    </row>
    <row r="931" spans="1:11" x14ac:dyDescent="0.25">
      <c r="A931" s="6"/>
      <c r="B931" s="6"/>
      <c r="C931" s="102"/>
      <c r="D931" s="102"/>
      <c r="E931" s="103"/>
      <c r="F931" s="6"/>
      <c r="G931" s="103"/>
      <c r="H931" s="6"/>
      <c r="I931" s="104"/>
      <c r="J931" s="104"/>
      <c r="K931" s="104"/>
    </row>
    <row r="932" spans="1:11" x14ac:dyDescent="0.25">
      <c r="A932" s="6"/>
      <c r="B932" s="6"/>
      <c r="C932" s="102"/>
      <c r="D932" s="102"/>
      <c r="E932" s="103"/>
      <c r="F932" s="6"/>
      <c r="G932" s="103"/>
      <c r="H932" s="6"/>
      <c r="I932" s="104"/>
      <c r="J932" s="104"/>
      <c r="K932" s="104"/>
    </row>
    <row r="933" spans="1:11" x14ac:dyDescent="0.25">
      <c r="A933" s="6"/>
      <c r="B933" s="6"/>
      <c r="C933" s="102"/>
      <c r="D933" s="102"/>
      <c r="E933" s="103"/>
      <c r="F933" s="6"/>
      <c r="G933" s="103"/>
      <c r="H933" s="6"/>
      <c r="I933" s="104"/>
      <c r="J933" s="104"/>
      <c r="K933" s="104"/>
    </row>
    <row r="934" spans="1:11" x14ac:dyDescent="0.25">
      <c r="A934" s="6"/>
      <c r="B934" s="6"/>
      <c r="C934" s="102"/>
      <c r="D934" s="102"/>
      <c r="E934" s="103"/>
      <c r="F934" s="6"/>
      <c r="G934" s="103"/>
      <c r="H934" s="6"/>
      <c r="I934" s="104"/>
      <c r="J934" s="104"/>
      <c r="K934" s="104"/>
    </row>
    <row r="935" spans="1:11" x14ac:dyDescent="0.25">
      <c r="A935" s="6"/>
      <c r="B935" s="6"/>
      <c r="C935" s="102"/>
      <c r="D935" s="102"/>
      <c r="E935" s="103"/>
      <c r="F935" s="6"/>
      <c r="G935" s="103"/>
      <c r="H935" s="6"/>
      <c r="I935" s="104"/>
      <c r="J935" s="104"/>
      <c r="K935" s="104"/>
    </row>
    <row r="936" spans="1:11" x14ac:dyDescent="0.25">
      <c r="A936" s="6"/>
      <c r="B936" s="6"/>
      <c r="C936" s="102"/>
      <c r="D936" s="102"/>
      <c r="E936" s="103"/>
      <c r="F936" s="6"/>
      <c r="G936" s="103"/>
      <c r="H936" s="6"/>
      <c r="I936" s="104"/>
      <c r="J936" s="104"/>
      <c r="K936" s="104"/>
    </row>
    <row r="937" spans="1:11" x14ac:dyDescent="0.25">
      <c r="A937" s="6"/>
      <c r="B937" s="6"/>
      <c r="C937" s="102"/>
      <c r="D937" s="102"/>
      <c r="E937" s="103"/>
      <c r="F937" s="6"/>
      <c r="G937" s="103"/>
      <c r="H937" s="6"/>
      <c r="I937" s="104"/>
      <c r="J937" s="104"/>
      <c r="K937" s="104"/>
    </row>
    <row r="938" spans="1:11" x14ac:dyDescent="0.25">
      <c r="A938" s="6"/>
      <c r="B938" s="6"/>
      <c r="C938" s="102"/>
      <c r="D938" s="102"/>
      <c r="E938" s="103"/>
      <c r="F938" s="6"/>
      <c r="G938" s="103"/>
      <c r="H938" s="6"/>
      <c r="I938" s="104"/>
      <c r="J938" s="104"/>
      <c r="K938" s="104"/>
    </row>
    <row r="939" spans="1:11" x14ac:dyDescent="0.25">
      <c r="A939" s="6"/>
      <c r="B939" s="6"/>
      <c r="C939" s="102"/>
      <c r="D939" s="102"/>
      <c r="E939" s="103"/>
      <c r="F939" s="6"/>
      <c r="G939" s="103"/>
      <c r="H939" s="6"/>
      <c r="I939" s="104"/>
      <c r="J939" s="104"/>
      <c r="K939" s="104"/>
    </row>
    <row r="940" spans="1:11" x14ac:dyDescent="0.25">
      <c r="A940" s="6"/>
      <c r="B940" s="6"/>
      <c r="C940" s="102"/>
      <c r="D940" s="102"/>
      <c r="E940" s="103"/>
      <c r="F940" s="6"/>
      <c r="G940" s="103"/>
      <c r="H940" s="6"/>
      <c r="I940" s="104"/>
      <c r="J940" s="104"/>
      <c r="K940" s="104"/>
    </row>
    <row r="941" spans="1:11" x14ac:dyDescent="0.25">
      <c r="A941" s="6"/>
      <c r="B941" s="6"/>
      <c r="C941" s="102"/>
      <c r="D941" s="102"/>
      <c r="E941" s="103"/>
      <c r="F941" s="6"/>
      <c r="G941" s="103"/>
      <c r="H941" s="6"/>
      <c r="I941" s="104"/>
      <c r="J941" s="104"/>
      <c r="K941" s="104"/>
    </row>
    <row r="942" spans="1:11" x14ac:dyDescent="0.25">
      <c r="A942" s="6"/>
      <c r="B942" s="6"/>
      <c r="C942" s="102"/>
      <c r="D942" s="102"/>
      <c r="E942" s="103"/>
      <c r="F942" s="6"/>
      <c r="G942" s="103"/>
      <c r="H942" s="6"/>
      <c r="I942" s="104"/>
      <c r="J942" s="104"/>
      <c r="K942" s="104"/>
    </row>
    <row r="943" spans="1:11" x14ac:dyDescent="0.25">
      <c r="A943" s="6"/>
      <c r="B943" s="6"/>
      <c r="C943" s="102"/>
      <c r="D943" s="102"/>
      <c r="E943" s="103"/>
      <c r="F943" s="6"/>
      <c r="G943" s="103"/>
      <c r="H943" s="6"/>
      <c r="I943" s="104"/>
      <c r="J943" s="104"/>
      <c r="K943" s="104"/>
    </row>
    <row r="944" spans="1:11" x14ac:dyDescent="0.25">
      <c r="A944" s="6"/>
      <c r="B944" s="6"/>
      <c r="C944" s="102"/>
      <c r="D944" s="102"/>
      <c r="E944" s="103"/>
      <c r="F944" s="6"/>
      <c r="G944" s="103"/>
      <c r="H944" s="6"/>
      <c r="I944" s="104"/>
      <c r="J944" s="104"/>
      <c r="K944" s="104"/>
    </row>
    <row r="945" spans="1:11" x14ac:dyDescent="0.25">
      <c r="A945" s="6"/>
      <c r="B945" s="6"/>
      <c r="C945" s="102"/>
      <c r="D945" s="102"/>
      <c r="E945" s="103"/>
      <c r="F945" s="6"/>
      <c r="G945" s="103"/>
      <c r="H945" s="6"/>
      <c r="I945" s="104"/>
      <c r="J945" s="104"/>
      <c r="K945" s="104"/>
    </row>
    <row r="946" spans="1:11" x14ac:dyDescent="0.25">
      <c r="A946" s="6"/>
      <c r="B946" s="6"/>
      <c r="C946" s="102"/>
      <c r="D946" s="102"/>
      <c r="E946" s="103"/>
      <c r="F946" s="6"/>
      <c r="G946" s="103"/>
      <c r="H946" s="6"/>
      <c r="I946" s="104"/>
      <c r="J946" s="104"/>
      <c r="K946" s="104"/>
    </row>
    <row r="947" spans="1:11" x14ac:dyDescent="0.25">
      <c r="A947" s="6"/>
      <c r="B947" s="6"/>
      <c r="C947" s="102"/>
      <c r="D947" s="102"/>
      <c r="E947" s="103"/>
      <c r="F947" s="6"/>
      <c r="G947" s="103"/>
      <c r="H947" s="6"/>
      <c r="I947" s="104"/>
      <c r="J947" s="104"/>
      <c r="K947" s="104"/>
    </row>
    <row r="948" spans="1:11" x14ac:dyDescent="0.25">
      <c r="A948" s="6"/>
      <c r="B948" s="6"/>
      <c r="C948" s="102"/>
      <c r="D948" s="102"/>
      <c r="E948" s="103"/>
      <c r="F948" s="6"/>
      <c r="G948" s="103"/>
      <c r="H948" s="6"/>
      <c r="I948" s="104"/>
      <c r="J948" s="104"/>
      <c r="K948" s="104"/>
    </row>
    <row r="949" spans="1:11" x14ac:dyDescent="0.25">
      <c r="A949" s="6"/>
      <c r="B949" s="6"/>
      <c r="C949" s="102"/>
      <c r="D949" s="102"/>
      <c r="E949" s="103"/>
      <c r="F949" s="6"/>
      <c r="G949" s="103"/>
      <c r="H949" s="6"/>
      <c r="I949" s="104"/>
      <c r="J949" s="104"/>
      <c r="K949" s="104"/>
    </row>
    <row r="950" spans="1:11" x14ac:dyDescent="0.25">
      <c r="A950" s="6"/>
      <c r="B950" s="6"/>
      <c r="C950" s="102"/>
      <c r="D950" s="102"/>
      <c r="E950" s="103"/>
      <c r="F950" s="6"/>
      <c r="G950" s="103"/>
      <c r="H950" s="6"/>
      <c r="I950" s="104"/>
      <c r="J950" s="104"/>
      <c r="K950" s="104"/>
    </row>
    <row r="951" spans="1:11" x14ac:dyDescent="0.25">
      <c r="A951" s="6"/>
      <c r="B951" s="6"/>
      <c r="C951" s="102"/>
      <c r="D951" s="102"/>
      <c r="E951" s="103"/>
      <c r="F951" s="6"/>
      <c r="G951" s="103"/>
      <c r="H951" s="6"/>
      <c r="I951" s="104"/>
      <c r="J951" s="104"/>
      <c r="K951" s="104"/>
    </row>
    <row r="952" spans="1:11" x14ac:dyDescent="0.25">
      <c r="A952" s="6"/>
      <c r="B952" s="6"/>
      <c r="C952" s="102"/>
      <c r="D952" s="102"/>
      <c r="E952" s="103"/>
      <c r="F952" s="6"/>
      <c r="G952" s="103"/>
      <c r="H952" s="6"/>
      <c r="I952" s="104"/>
      <c r="J952" s="104"/>
      <c r="K952" s="104"/>
    </row>
    <row r="953" spans="1:11" x14ac:dyDescent="0.25">
      <c r="A953" s="6"/>
      <c r="B953" s="6"/>
      <c r="C953" s="102"/>
      <c r="D953" s="102"/>
      <c r="E953" s="103"/>
      <c r="F953" s="6"/>
      <c r="G953" s="103"/>
      <c r="H953" s="6"/>
      <c r="I953" s="104"/>
      <c r="J953" s="104"/>
      <c r="K953" s="104"/>
    </row>
    <row r="954" spans="1:11" x14ac:dyDescent="0.25">
      <c r="A954" s="6"/>
      <c r="B954" s="6"/>
      <c r="C954" s="102"/>
      <c r="D954" s="102"/>
      <c r="E954" s="103"/>
      <c r="F954" s="6"/>
      <c r="G954" s="103"/>
      <c r="H954" s="6"/>
      <c r="I954" s="104"/>
      <c r="J954" s="104"/>
      <c r="K954" s="104"/>
    </row>
    <row r="955" spans="1:11" x14ac:dyDescent="0.25">
      <c r="A955" s="6"/>
      <c r="B955" s="6"/>
      <c r="C955" s="102"/>
      <c r="D955" s="102"/>
      <c r="E955" s="103"/>
      <c r="F955" s="6"/>
      <c r="G955" s="103"/>
      <c r="H955" s="6"/>
      <c r="I955" s="104"/>
      <c r="J955" s="104"/>
      <c r="K955" s="104"/>
    </row>
    <row r="956" spans="1:11" x14ac:dyDescent="0.25">
      <c r="A956" s="6"/>
      <c r="B956" s="6"/>
      <c r="C956" s="102"/>
      <c r="D956" s="102"/>
      <c r="E956" s="103"/>
      <c r="F956" s="6"/>
      <c r="G956" s="103"/>
      <c r="H956" s="6"/>
      <c r="I956" s="104"/>
      <c r="J956" s="104"/>
      <c r="K956" s="104"/>
    </row>
    <row r="957" spans="1:11" x14ac:dyDescent="0.25">
      <c r="A957" s="6"/>
      <c r="B957" s="6"/>
      <c r="C957" s="102"/>
      <c r="D957" s="102"/>
      <c r="E957" s="103"/>
      <c r="F957" s="6"/>
      <c r="G957" s="103"/>
      <c r="H957" s="6"/>
      <c r="I957" s="104"/>
      <c r="J957" s="104"/>
      <c r="K957" s="104"/>
    </row>
    <row r="958" spans="1:11" x14ac:dyDescent="0.25">
      <c r="A958" s="6"/>
      <c r="B958" s="6"/>
      <c r="C958" s="102"/>
      <c r="D958" s="102"/>
      <c r="E958" s="103"/>
      <c r="F958" s="6"/>
      <c r="G958" s="103"/>
      <c r="H958" s="6"/>
      <c r="I958" s="104"/>
      <c r="J958" s="104"/>
      <c r="K958" s="104"/>
    </row>
    <row r="959" spans="1:11" x14ac:dyDescent="0.25">
      <c r="A959" s="6"/>
      <c r="B959" s="6"/>
      <c r="C959" s="102"/>
      <c r="D959" s="102"/>
      <c r="E959" s="103"/>
      <c r="F959" s="6"/>
      <c r="G959" s="103"/>
      <c r="H959" s="6"/>
      <c r="I959" s="104"/>
      <c r="J959" s="104"/>
      <c r="K959" s="104"/>
    </row>
    <row r="960" spans="1:11" x14ac:dyDescent="0.25">
      <c r="A960" s="6"/>
      <c r="B960" s="6"/>
      <c r="C960" s="102"/>
      <c r="D960" s="102"/>
      <c r="E960" s="103"/>
      <c r="F960" s="6"/>
      <c r="G960" s="103"/>
      <c r="H960" s="6"/>
      <c r="I960" s="104"/>
      <c r="J960" s="104"/>
      <c r="K960" s="104"/>
    </row>
    <row r="961" spans="1:11" x14ac:dyDescent="0.25">
      <c r="A961" s="6"/>
      <c r="B961" s="6"/>
      <c r="C961" s="102"/>
      <c r="D961" s="102"/>
      <c r="E961" s="103"/>
      <c r="F961" s="6"/>
      <c r="G961" s="103"/>
      <c r="H961" s="6"/>
      <c r="I961" s="104"/>
      <c r="J961" s="104"/>
      <c r="K961" s="104"/>
    </row>
    <row r="962" spans="1:11" x14ac:dyDescent="0.25">
      <c r="A962" s="6"/>
      <c r="B962" s="6"/>
      <c r="C962" s="102"/>
      <c r="D962" s="102"/>
      <c r="E962" s="103"/>
      <c r="F962" s="6"/>
      <c r="G962" s="103"/>
      <c r="H962" s="6"/>
      <c r="I962" s="104"/>
      <c r="J962" s="104"/>
      <c r="K962" s="104"/>
    </row>
    <row r="963" spans="1:11" x14ac:dyDescent="0.25">
      <c r="A963" s="6"/>
      <c r="B963" s="6"/>
      <c r="C963" s="102"/>
      <c r="D963" s="102"/>
      <c r="E963" s="103"/>
      <c r="F963" s="6"/>
      <c r="G963" s="103"/>
      <c r="H963" s="6"/>
      <c r="I963" s="104"/>
      <c r="J963" s="104"/>
      <c r="K963" s="104"/>
    </row>
    <row r="964" spans="1:11" x14ac:dyDescent="0.25">
      <c r="A964" s="6"/>
      <c r="B964" s="6"/>
      <c r="C964" s="102"/>
      <c r="D964" s="102"/>
      <c r="E964" s="103"/>
      <c r="F964" s="6"/>
      <c r="G964" s="103"/>
      <c r="H964" s="6"/>
      <c r="I964" s="104"/>
      <c r="J964" s="104"/>
      <c r="K964" s="104"/>
    </row>
    <row r="965" spans="1:11" x14ac:dyDescent="0.25">
      <c r="A965" s="6"/>
      <c r="B965" s="6"/>
      <c r="C965" s="102"/>
      <c r="D965" s="102"/>
      <c r="E965" s="103"/>
      <c r="F965" s="6"/>
      <c r="G965" s="103"/>
      <c r="H965" s="6"/>
      <c r="I965" s="104"/>
      <c r="J965" s="104"/>
      <c r="K965" s="104"/>
    </row>
    <row r="966" spans="1:11" x14ac:dyDescent="0.25">
      <c r="A966" s="6"/>
      <c r="B966" s="6"/>
      <c r="C966" s="102"/>
      <c r="D966" s="102"/>
      <c r="E966" s="103"/>
      <c r="F966" s="6"/>
      <c r="G966" s="103"/>
      <c r="H966" s="6"/>
      <c r="I966" s="104"/>
      <c r="J966" s="104"/>
      <c r="K966" s="104"/>
    </row>
    <row r="967" spans="1:11" x14ac:dyDescent="0.25">
      <c r="A967" s="6"/>
      <c r="B967" s="6"/>
      <c r="C967" s="102"/>
      <c r="D967" s="102"/>
      <c r="E967" s="103"/>
      <c r="F967" s="6"/>
      <c r="G967" s="103"/>
      <c r="H967" s="6"/>
      <c r="I967" s="104"/>
      <c r="J967" s="104"/>
      <c r="K967" s="104"/>
    </row>
    <row r="968" spans="1:11" x14ac:dyDescent="0.25">
      <c r="A968" s="6"/>
      <c r="B968" s="6"/>
      <c r="C968" s="102"/>
      <c r="D968" s="102"/>
      <c r="E968" s="103"/>
      <c r="F968" s="6"/>
      <c r="G968" s="103"/>
      <c r="H968" s="6"/>
      <c r="I968" s="104"/>
      <c r="J968" s="104"/>
      <c r="K968" s="104"/>
    </row>
    <row r="969" spans="1:11" x14ac:dyDescent="0.25">
      <c r="A969" s="6"/>
      <c r="B969" s="6"/>
      <c r="C969" s="102"/>
      <c r="D969" s="102"/>
      <c r="E969" s="103"/>
      <c r="F969" s="6"/>
      <c r="G969" s="103"/>
      <c r="H969" s="6"/>
      <c r="I969" s="104"/>
      <c r="J969" s="104"/>
      <c r="K969" s="104"/>
    </row>
    <row r="970" spans="1:11" x14ac:dyDescent="0.25">
      <c r="A970" s="6"/>
      <c r="B970" s="6"/>
      <c r="C970" s="102"/>
      <c r="D970" s="102"/>
      <c r="E970" s="103"/>
      <c r="F970" s="6"/>
      <c r="G970" s="103"/>
      <c r="H970" s="6"/>
      <c r="I970" s="104"/>
      <c r="J970" s="104"/>
      <c r="K970" s="104"/>
    </row>
    <row r="971" spans="1:11" x14ac:dyDescent="0.25">
      <c r="A971" s="6"/>
      <c r="B971" s="6"/>
      <c r="C971" s="102"/>
      <c r="D971" s="102"/>
      <c r="E971" s="103"/>
      <c r="F971" s="6"/>
      <c r="G971" s="103"/>
      <c r="H971" s="6"/>
      <c r="I971" s="104"/>
      <c r="J971" s="104"/>
      <c r="K971" s="104"/>
    </row>
    <row r="972" spans="1:11" x14ac:dyDescent="0.25">
      <c r="A972" s="6"/>
      <c r="B972" s="6"/>
      <c r="C972" s="102"/>
      <c r="D972" s="102"/>
      <c r="E972" s="103"/>
      <c r="F972" s="6"/>
      <c r="G972" s="103"/>
      <c r="H972" s="6"/>
      <c r="I972" s="104"/>
      <c r="J972" s="104"/>
      <c r="K972" s="104"/>
    </row>
    <row r="973" spans="1:11" x14ac:dyDescent="0.25">
      <c r="A973" s="6"/>
      <c r="B973" s="6"/>
      <c r="C973" s="102"/>
      <c r="D973" s="102"/>
      <c r="E973" s="103"/>
      <c r="F973" s="6"/>
      <c r="G973" s="103"/>
      <c r="H973" s="6"/>
      <c r="I973" s="104"/>
      <c r="J973" s="104"/>
      <c r="K973" s="104"/>
    </row>
    <row r="974" spans="1:11" x14ac:dyDescent="0.25">
      <c r="A974" s="6"/>
      <c r="B974" s="6"/>
      <c r="C974" s="102"/>
      <c r="D974" s="102"/>
      <c r="E974" s="103"/>
      <c r="F974" s="6"/>
      <c r="G974" s="103"/>
      <c r="H974" s="6"/>
      <c r="I974" s="104"/>
      <c r="J974" s="104"/>
      <c r="K974" s="104"/>
    </row>
    <row r="975" spans="1:11" x14ac:dyDescent="0.25">
      <c r="A975" s="6"/>
      <c r="B975" s="6"/>
      <c r="C975" s="102"/>
      <c r="D975" s="102"/>
      <c r="E975" s="103"/>
      <c r="F975" s="6"/>
      <c r="G975" s="103"/>
      <c r="H975" s="6"/>
      <c r="I975" s="104"/>
      <c r="J975" s="104"/>
      <c r="K975" s="104"/>
    </row>
    <row r="976" spans="1:11" x14ac:dyDescent="0.25">
      <c r="A976" s="6"/>
      <c r="B976" s="6"/>
      <c r="C976" s="102"/>
      <c r="D976" s="102"/>
      <c r="E976" s="103"/>
      <c r="F976" s="6"/>
      <c r="G976" s="103"/>
      <c r="H976" s="6"/>
      <c r="I976" s="104"/>
      <c r="J976" s="104"/>
      <c r="K976" s="104"/>
    </row>
    <row r="977" spans="1:11" x14ac:dyDescent="0.25">
      <c r="A977" s="6"/>
      <c r="B977" s="6"/>
      <c r="C977" s="102"/>
      <c r="D977" s="102"/>
      <c r="E977" s="103"/>
      <c r="F977" s="6"/>
      <c r="G977" s="103"/>
      <c r="H977" s="6"/>
      <c r="I977" s="104"/>
      <c r="J977" s="104"/>
      <c r="K977" s="104"/>
    </row>
    <row r="978" spans="1:11" x14ac:dyDescent="0.25">
      <c r="A978" s="6"/>
      <c r="B978" s="6"/>
      <c r="C978" s="102"/>
      <c r="D978" s="102"/>
      <c r="E978" s="103"/>
      <c r="F978" s="6"/>
      <c r="G978" s="103"/>
      <c r="H978" s="6"/>
      <c r="I978" s="104"/>
      <c r="J978" s="104"/>
      <c r="K978" s="104"/>
    </row>
    <row r="979" spans="1:11" x14ac:dyDescent="0.25">
      <c r="A979" s="6"/>
      <c r="B979" s="6"/>
      <c r="C979" s="102"/>
      <c r="D979" s="102"/>
      <c r="E979" s="103"/>
      <c r="F979" s="6"/>
      <c r="G979" s="103"/>
      <c r="H979" s="6"/>
      <c r="I979" s="104"/>
      <c r="J979" s="104"/>
      <c r="K979" s="104"/>
    </row>
    <row r="980" spans="1:11" x14ac:dyDescent="0.25">
      <c r="A980" s="6"/>
      <c r="B980" s="6"/>
      <c r="C980" s="102"/>
      <c r="D980" s="102"/>
      <c r="E980" s="103"/>
      <c r="F980" s="6"/>
      <c r="G980" s="103"/>
      <c r="H980" s="6"/>
      <c r="I980" s="104"/>
      <c r="J980" s="104"/>
      <c r="K980" s="104"/>
    </row>
    <row r="981" spans="1:11" x14ac:dyDescent="0.25">
      <c r="A981" s="6"/>
      <c r="B981" s="6"/>
      <c r="C981" s="102"/>
      <c r="D981" s="102"/>
      <c r="E981" s="103"/>
      <c r="F981" s="6"/>
      <c r="G981" s="103"/>
      <c r="H981" s="6"/>
      <c r="I981" s="104"/>
      <c r="J981" s="104"/>
      <c r="K981" s="104"/>
    </row>
    <row r="982" spans="1:11" x14ac:dyDescent="0.25">
      <c r="A982" s="6"/>
      <c r="B982" s="6"/>
      <c r="C982" s="102"/>
      <c r="D982" s="102"/>
      <c r="E982" s="103"/>
      <c r="F982" s="6"/>
      <c r="G982" s="103"/>
      <c r="H982" s="6"/>
      <c r="I982" s="104"/>
      <c r="J982" s="104"/>
      <c r="K982" s="104"/>
    </row>
    <row r="983" spans="1:11" x14ac:dyDescent="0.25">
      <c r="A983" s="6"/>
      <c r="B983" s="6"/>
      <c r="C983" s="102"/>
      <c r="D983" s="102"/>
      <c r="E983" s="103"/>
      <c r="F983" s="6"/>
      <c r="G983" s="103"/>
      <c r="H983" s="6"/>
      <c r="I983" s="104"/>
      <c r="J983" s="104"/>
      <c r="K983" s="104"/>
    </row>
    <row r="984" spans="1:11" x14ac:dyDescent="0.25">
      <c r="A984" s="6"/>
      <c r="B984" s="6"/>
      <c r="C984" s="102"/>
      <c r="D984" s="102"/>
      <c r="E984" s="103"/>
      <c r="F984" s="6"/>
      <c r="G984" s="103"/>
      <c r="H984" s="6"/>
      <c r="I984" s="104"/>
      <c r="J984" s="104"/>
      <c r="K984" s="104"/>
    </row>
    <row r="985" spans="1:11" x14ac:dyDescent="0.25">
      <c r="A985" s="6"/>
      <c r="B985" s="6"/>
      <c r="C985" s="102"/>
      <c r="D985" s="102"/>
      <c r="E985" s="103"/>
      <c r="F985" s="6"/>
      <c r="G985" s="103"/>
      <c r="H985" s="6"/>
      <c r="I985" s="104"/>
      <c r="J985" s="104"/>
      <c r="K985" s="104"/>
    </row>
    <row r="986" spans="1:11" x14ac:dyDescent="0.25">
      <c r="A986" s="6"/>
      <c r="B986" s="6"/>
      <c r="C986" s="102"/>
      <c r="D986" s="102"/>
      <c r="E986" s="103"/>
      <c r="F986" s="6"/>
      <c r="G986" s="103"/>
      <c r="H986" s="6"/>
      <c r="I986" s="104"/>
      <c r="J986" s="104"/>
      <c r="K986" s="104"/>
    </row>
    <row r="987" spans="1:11" x14ac:dyDescent="0.25">
      <c r="A987" s="6"/>
      <c r="B987" s="6"/>
      <c r="C987" s="102"/>
      <c r="D987" s="102"/>
      <c r="E987" s="103"/>
      <c r="F987" s="6"/>
      <c r="G987" s="103"/>
      <c r="H987" s="6"/>
      <c r="I987" s="104"/>
      <c r="J987" s="104"/>
      <c r="K987" s="104"/>
    </row>
    <row r="988" spans="1:11" x14ac:dyDescent="0.25">
      <c r="A988" s="6"/>
      <c r="B988" s="6"/>
      <c r="C988" s="102"/>
      <c r="D988" s="102"/>
      <c r="E988" s="103"/>
      <c r="F988" s="6"/>
      <c r="G988" s="103"/>
      <c r="H988" s="6"/>
      <c r="I988" s="104"/>
      <c r="J988" s="104"/>
      <c r="K988" s="104"/>
    </row>
    <row r="989" spans="1:11" x14ac:dyDescent="0.25">
      <c r="A989" s="6"/>
      <c r="B989" s="6"/>
      <c r="C989" s="102"/>
      <c r="D989" s="102"/>
      <c r="E989" s="103"/>
      <c r="F989" s="6"/>
      <c r="G989" s="103"/>
      <c r="H989" s="6"/>
      <c r="I989" s="104"/>
      <c r="J989" s="104"/>
      <c r="K989" s="104"/>
    </row>
    <row r="990" spans="1:11" x14ac:dyDescent="0.25">
      <c r="A990" s="6"/>
      <c r="B990" s="6"/>
      <c r="C990" s="102"/>
      <c r="D990" s="102"/>
      <c r="E990" s="103"/>
      <c r="F990" s="6"/>
      <c r="G990" s="103"/>
      <c r="H990" s="6"/>
      <c r="I990" s="104"/>
      <c r="J990" s="104"/>
      <c r="K990" s="104"/>
    </row>
    <row r="991" spans="1:11" x14ac:dyDescent="0.25">
      <c r="A991" s="6"/>
      <c r="B991" s="6"/>
      <c r="C991" s="102"/>
      <c r="D991" s="102"/>
      <c r="E991" s="103"/>
      <c r="F991" s="6"/>
      <c r="G991" s="103"/>
      <c r="H991" s="6"/>
      <c r="I991" s="104"/>
      <c r="J991" s="104"/>
      <c r="K991" s="104"/>
    </row>
    <row r="992" spans="1:11" x14ac:dyDescent="0.25">
      <c r="A992" s="6"/>
      <c r="B992" s="6"/>
      <c r="C992" s="102"/>
      <c r="D992" s="102"/>
      <c r="E992" s="103"/>
      <c r="F992" s="6"/>
      <c r="G992" s="103"/>
      <c r="H992" s="6"/>
      <c r="I992" s="104"/>
      <c r="J992" s="104"/>
      <c r="K992" s="104"/>
    </row>
    <row r="993" spans="1:11" x14ac:dyDescent="0.25">
      <c r="A993" s="6"/>
      <c r="B993" s="6"/>
      <c r="C993" s="102"/>
      <c r="D993" s="102"/>
      <c r="E993" s="103"/>
      <c r="F993" s="6"/>
      <c r="G993" s="103"/>
      <c r="H993" s="6"/>
      <c r="I993" s="104"/>
      <c r="J993" s="104"/>
      <c r="K993" s="104"/>
    </row>
    <row r="994" spans="1:11" x14ac:dyDescent="0.25">
      <c r="A994" s="6"/>
      <c r="B994" s="6"/>
      <c r="C994" s="102"/>
      <c r="D994" s="102"/>
      <c r="E994" s="103"/>
      <c r="F994" s="6"/>
      <c r="G994" s="103"/>
      <c r="H994" s="6"/>
      <c r="I994" s="104"/>
      <c r="J994" s="104"/>
      <c r="K994" s="104"/>
    </row>
    <row r="995" spans="1:11" x14ac:dyDescent="0.25">
      <c r="A995" s="6"/>
      <c r="B995" s="6"/>
      <c r="C995" s="102"/>
      <c r="D995" s="102"/>
      <c r="E995" s="103"/>
      <c r="F995" s="6"/>
      <c r="G995" s="103"/>
      <c r="H995" s="6"/>
      <c r="I995" s="104"/>
      <c r="J995" s="104"/>
      <c r="K995" s="104"/>
    </row>
    <row r="996" spans="1:11" x14ac:dyDescent="0.25">
      <c r="A996" s="6"/>
      <c r="B996" s="6"/>
      <c r="C996" s="102"/>
      <c r="D996" s="102"/>
      <c r="E996" s="103"/>
      <c r="F996" s="6"/>
      <c r="G996" s="103"/>
      <c r="H996" s="6"/>
      <c r="I996" s="104"/>
      <c r="J996" s="104"/>
      <c r="K996" s="104"/>
    </row>
    <row r="997" spans="1:11" x14ac:dyDescent="0.25">
      <c r="A997" s="6"/>
      <c r="B997" s="6"/>
      <c r="C997" s="102"/>
      <c r="D997" s="102"/>
      <c r="E997" s="103"/>
      <c r="F997" s="6"/>
      <c r="G997" s="103"/>
      <c r="H997" s="6"/>
      <c r="I997" s="104"/>
      <c r="J997" s="104"/>
      <c r="K997" s="104"/>
    </row>
    <row r="998" spans="1:11" x14ac:dyDescent="0.25">
      <c r="A998" s="6"/>
      <c r="B998" s="6"/>
      <c r="C998" s="102"/>
      <c r="D998" s="102"/>
      <c r="E998" s="103"/>
      <c r="F998" s="6"/>
      <c r="G998" s="103"/>
      <c r="H998" s="6"/>
      <c r="I998" s="104"/>
      <c r="J998" s="104"/>
      <c r="K998" s="104"/>
    </row>
    <row r="999" spans="1:11" x14ac:dyDescent="0.25">
      <c r="A999" s="6"/>
      <c r="B999" s="6"/>
      <c r="C999" s="102"/>
      <c r="D999" s="102"/>
      <c r="E999" s="103"/>
      <c r="F999" s="6"/>
      <c r="G999" s="103"/>
      <c r="H999" s="6"/>
      <c r="I999" s="104"/>
      <c r="J999" s="104"/>
      <c r="K999" s="104"/>
    </row>
    <row r="1000" spans="1:11" x14ac:dyDescent="0.25">
      <c r="A1000" s="6"/>
      <c r="B1000" s="6"/>
      <c r="C1000" s="102"/>
      <c r="D1000" s="102"/>
      <c r="E1000" s="103"/>
      <c r="F1000" s="6"/>
      <c r="G1000" s="103"/>
      <c r="H1000" s="6"/>
      <c r="I1000" s="104"/>
      <c r="J1000" s="104"/>
      <c r="K1000" s="104"/>
    </row>
    <row r="1001" spans="1:11" x14ac:dyDescent="0.25">
      <c r="A1001" s="6"/>
      <c r="B1001" s="6"/>
      <c r="C1001" s="102"/>
      <c r="D1001" s="102"/>
      <c r="E1001" s="103"/>
      <c r="F1001" s="6"/>
      <c r="G1001" s="103"/>
      <c r="H1001" s="6"/>
      <c r="I1001" s="104"/>
      <c r="J1001" s="104"/>
      <c r="K1001" s="104"/>
    </row>
    <row r="1002" spans="1:11" x14ac:dyDescent="0.25">
      <c r="A1002" s="6"/>
      <c r="B1002" s="6"/>
      <c r="C1002" s="102"/>
      <c r="D1002" s="102"/>
      <c r="E1002" s="103"/>
      <c r="F1002" s="6"/>
      <c r="G1002" s="103"/>
      <c r="H1002" s="6"/>
      <c r="I1002" s="104"/>
      <c r="J1002" s="104"/>
      <c r="K1002" s="104"/>
    </row>
    <row r="1003" spans="1:11" x14ac:dyDescent="0.25">
      <c r="A1003" s="6"/>
      <c r="B1003" s="6"/>
      <c r="C1003" s="102"/>
      <c r="D1003" s="102"/>
      <c r="E1003" s="103"/>
      <c r="F1003" s="6"/>
      <c r="G1003" s="103"/>
      <c r="H1003" s="6"/>
      <c r="I1003" s="104"/>
      <c r="J1003" s="104"/>
      <c r="K1003" s="104"/>
    </row>
    <row r="1004" spans="1:11" x14ac:dyDescent="0.25">
      <c r="A1004" s="6"/>
      <c r="B1004" s="6"/>
      <c r="C1004" s="102"/>
      <c r="D1004" s="102"/>
      <c r="E1004" s="103"/>
      <c r="F1004" s="6"/>
      <c r="G1004" s="103"/>
      <c r="H1004" s="6"/>
      <c r="I1004" s="104"/>
      <c r="J1004" s="104"/>
      <c r="K1004" s="104"/>
    </row>
    <row r="1005" spans="1:11" x14ac:dyDescent="0.25">
      <c r="A1005" s="6"/>
      <c r="B1005" s="6"/>
      <c r="C1005" s="102"/>
      <c r="D1005" s="102"/>
      <c r="E1005" s="103"/>
      <c r="F1005" s="6"/>
      <c r="G1005" s="103"/>
      <c r="H1005" s="6"/>
      <c r="I1005" s="104"/>
      <c r="J1005" s="104"/>
      <c r="K1005" s="104"/>
    </row>
    <row r="1006" spans="1:11" x14ac:dyDescent="0.25">
      <c r="A1006" s="6"/>
      <c r="B1006" s="6"/>
      <c r="C1006" s="102"/>
      <c r="D1006" s="102"/>
      <c r="E1006" s="103"/>
      <c r="F1006" s="6"/>
      <c r="G1006" s="103"/>
      <c r="H1006" s="6"/>
      <c r="I1006" s="104"/>
      <c r="J1006" s="104"/>
      <c r="K1006" s="104"/>
    </row>
    <row r="1007" spans="1:11" x14ac:dyDescent="0.25">
      <c r="A1007" s="6"/>
      <c r="B1007" s="6"/>
      <c r="C1007" s="102"/>
      <c r="D1007" s="102"/>
      <c r="E1007" s="103"/>
      <c r="F1007" s="6"/>
      <c r="G1007" s="103"/>
      <c r="H1007" s="6"/>
      <c r="I1007" s="104"/>
      <c r="J1007" s="104"/>
      <c r="K1007" s="104"/>
    </row>
    <row r="1008" spans="1:11" x14ac:dyDescent="0.25">
      <c r="A1008" s="6"/>
      <c r="B1008" s="6"/>
      <c r="C1008" s="102"/>
      <c r="D1008" s="102"/>
      <c r="E1008" s="103"/>
      <c r="F1008" s="6"/>
      <c r="G1008" s="103"/>
      <c r="H1008" s="6"/>
      <c r="I1008" s="104"/>
      <c r="J1008" s="104"/>
      <c r="K1008" s="104"/>
    </row>
    <row r="1009" spans="1:11" x14ac:dyDescent="0.25">
      <c r="A1009" s="6"/>
      <c r="B1009" s="6"/>
      <c r="C1009" s="102"/>
      <c r="D1009" s="102"/>
      <c r="E1009" s="103"/>
      <c r="F1009" s="6"/>
      <c r="G1009" s="103"/>
      <c r="H1009" s="6"/>
      <c r="I1009" s="104"/>
      <c r="J1009" s="104"/>
      <c r="K1009" s="104"/>
    </row>
    <row r="1010" spans="1:11" x14ac:dyDescent="0.25">
      <c r="A1010" s="6"/>
      <c r="B1010" s="6"/>
      <c r="C1010" s="102"/>
      <c r="D1010" s="102"/>
      <c r="E1010" s="103"/>
      <c r="F1010" s="6"/>
      <c r="G1010" s="103"/>
      <c r="H1010" s="6"/>
      <c r="I1010" s="104"/>
      <c r="J1010" s="104"/>
      <c r="K1010" s="104"/>
    </row>
    <row r="1011" spans="1:11" x14ac:dyDescent="0.25">
      <c r="A1011" s="6"/>
      <c r="B1011" s="6"/>
      <c r="C1011" s="102"/>
      <c r="D1011" s="102"/>
      <c r="E1011" s="103"/>
      <c r="F1011" s="6"/>
      <c r="G1011" s="103"/>
      <c r="H1011" s="6"/>
      <c r="I1011" s="104"/>
      <c r="J1011" s="104"/>
      <c r="K1011" s="104"/>
    </row>
    <row r="1012" spans="1:11" x14ac:dyDescent="0.25">
      <c r="A1012" s="6"/>
      <c r="B1012" s="6"/>
      <c r="C1012" s="102"/>
      <c r="D1012" s="102"/>
      <c r="E1012" s="103"/>
      <c r="F1012" s="6"/>
      <c r="G1012" s="103"/>
      <c r="H1012" s="6"/>
      <c r="I1012" s="104"/>
      <c r="J1012" s="104"/>
      <c r="K1012" s="104"/>
    </row>
    <row r="1013" spans="1:11" x14ac:dyDescent="0.25">
      <c r="A1013" s="6"/>
      <c r="B1013" s="6"/>
      <c r="C1013" s="102"/>
      <c r="D1013" s="102"/>
      <c r="E1013" s="103"/>
      <c r="F1013" s="6"/>
      <c r="G1013" s="103"/>
      <c r="H1013" s="6"/>
      <c r="I1013" s="104"/>
      <c r="J1013" s="104"/>
      <c r="K1013" s="104"/>
    </row>
    <row r="1014" spans="1:11" x14ac:dyDescent="0.25">
      <c r="A1014" s="6"/>
      <c r="B1014" s="6"/>
      <c r="C1014" s="102"/>
      <c r="D1014" s="102"/>
      <c r="E1014" s="103"/>
      <c r="F1014" s="6"/>
      <c r="G1014" s="103"/>
      <c r="H1014" s="6"/>
      <c r="I1014" s="104"/>
      <c r="J1014" s="104"/>
      <c r="K1014" s="104"/>
    </row>
    <row r="1015" spans="1:11" x14ac:dyDescent="0.25">
      <c r="A1015" s="6"/>
      <c r="B1015" s="6"/>
      <c r="C1015" s="102"/>
      <c r="D1015" s="102"/>
      <c r="E1015" s="103"/>
      <c r="F1015" s="6"/>
      <c r="G1015" s="103"/>
      <c r="H1015" s="6"/>
      <c r="I1015" s="104"/>
      <c r="J1015" s="104"/>
      <c r="K1015" s="104"/>
    </row>
    <row r="1016" spans="1:11" x14ac:dyDescent="0.25">
      <c r="A1016" s="6"/>
      <c r="B1016" s="6"/>
      <c r="C1016" s="102"/>
      <c r="D1016" s="102"/>
      <c r="E1016" s="103"/>
      <c r="F1016" s="6"/>
      <c r="G1016" s="103"/>
      <c r="H1016" s="6"/>
      <c r="I1016" s="104"/>
      <c r="J1016" s="104"/>
      <c r="K1016" s="104"/>
    </row>
    <row r="1017" spans="1:11" x14ac:dyDescent="0.25">
      <c r="A1017" s="6"/>
      <c r="B1017" s="6"/>
      <c r="C1017" s="102"/>
      <c r="D1017" s="102"/>
      <c r="E1017" s="103"/>
      <c r="F1017" s="6"/>
      <c r="G1017" s="103"/>
      <c r="H1017" s="6"/>
      <c r="I1017" s="104"/>
      <c r="J1017" s="104"/>
      <c r="K1017" s="104"/>
    </row>
    <row r="1018" spans="1:11" x14ac:dyDescent="0.25">
      <c r="A1018" s="6"/>
      <c r="B1018" s="6"/>
      <c r="C1018" s="102"/>
      <c r="D1018" s="102"/>
      <c r="E1018" s="103"/>
      <c r="F1018" s="6"/>
      <c r="G1018" s="103"/>
      <c r="H1018" s="6"/>
      <c r="I1018" s="104"/>
      <c r="J1018" s="104"/>
      <c r="K1018" s="104"/>
    </row>
    <row r="1019" spans="1:11" x14ac:dyDescent="0.25">
      <c r="A1019" s="6"/>
      <c r="B1019" s="6"/>
      <c r="C1019" s="102"/>
      <c r="D1019" s="102"/>
      <c r="E1019" s="103"/>
      <c r="F1019" s="6"/>
      <c r="G1019" s="103"/>
      <c r="H1019" s="6"/>
      <c r="I1019" s="104"/>
      <c r="J1019" s="104"/>
      <c r="K1019" s="104"/>
    </row>
    <row r="1020" spans="1:11" x14ac:dyDescent="0.25">
      <c r="A1020" s="6"/>
      <c r="B1020" s="6"/>
      <c r="C1020" s="102"/>
      <c r="D1020" s="102"/>
      <c r="E1020" s="103"/>
      <c r="F1020" s="6"/>
      <c r="G1020" s="103"/>
      <c r="H1020" s="6"/>
      <c r="I1020" s="104"/>
      <c r="J1020" s="104"/>
      <c r="K1020" s="104"/>
    </row>
    <row r="1021" spans="1:11" x14ac:dyDescent="0.25">
      <c r="A1021" s="6"/>
      <c r="B1021" s="6"/>
      <c r="C1021" s="102"/>
      <c r="D1021" s="102"/>
      <c r="E1021" s="103"/>
      <c r="F1021" s="6"/>
      <c r="G1021" s="103"/>
      <c r="H1021" s="6"/>
      <c r="I1021" s="104"/>
      <c r="J1021" s="104"/>
      <c r="K1021" s="104"/>
    </row>
    <row r="1022" spans="1:11" x14ac:dyDescent="0.25">
      <c r="A1022" s="6"/>
      <c r="B1022" s="6"/>
      <c r="C1022" s="102"/>
      <c r="D1022" s="102"/>
      <c r="E1022" s="103"/>
      <c r="F1022" s="6"/>
      <c r="G1022" s="103"/>
      <c r="H1022" s="6"/>
      <c r="I1022" s="104"/>
      <c r="J1022" s="104"/>
      <c r="K1022" s="104"/>
    </row>
    <row r="1023" spans="1:11" x14ac:dyDescent="0.25">
      <c r="A1023" s="6"/>
      <c r="B1023" s="6"/>
      <c r="C1023" s="102"/>
      <c r="D1023" s="102"/>
      <c r="E1023" s="103"/>
      <c r="F1023" s="6"/>
      <c r="G1023" s="103"/>
      <c r="H1023" s="6"/>
      <c r="I1023" s="104"/>
      <c r="J1023" s="104"/>
      <c r="K1023" s="104"/>
    </row>
    <row r="1024" spans="1:11" x14ac:dyDescent="0.25">
      <c r="A1024" s="6"/>
      <c r="B1024" s="6"/>
      <c r="C1024" s="102"/>
      <c r="D1024" s="102"/>
      <c r="E1024" s="103"/>
      <c r="F1024" s="6"/>
      <c r="G1024" s="103"/>
      <c r="H1024" s="6"/>
      <c r="I1024" s="104"/>
      <c r="J1024" s="104"/>
      <c r="K1024" s="104"/>
    </row>
    <row r="1025" spans="1:11" x14ac:dyDescent="0.25">
      <c r="A1025" s="6"/>
      <c r="B1025" s="6"/>
      <c r="C1025" s="102"/>
      <c r="D1025" s="102"/>
      <c r="E1025" s="103"/>
      <c r="F1025" s="6"/>
      <c r="G1025" s="103"/>
      <c r="H1025" s="6"/>
      <c r="I1025" s="104"/>
      <c r="J1025" s="104"/>
      <c r="K1025" s="104"/>
    </row>
    <row r="1026" spans="1:11" x14ac:dyDescent="0.25">
      <c r="A1026" s="6"/>
      <c r="B1026" s="6"/>
      <c r="C1026" s="102"/>
      <c r="D1026" s="102"/>
      <c r="E1026" s="103"/>
      <c r="F1026" s="6"/>
      <c r="G1026" s="103"/>
      <c r="H1026" s="6"/>
      <c r="I1026" s="104"/>
      <c r="J1026" s="104"/>
      <c r="K1026" s="104"/>
    </row>
    <row r="1027" spans="1:11" x14ac:dyDescent="0.25">
      <c r="A1027" s="6"/>
      <c r="B1027" s="6"/>
      <c r="C1027" s="102"/>
      <c r="D1027" s="102"/>
      <c r="E1027" s="103"/>
      <c r="F1027" s="6"/>
      <c r="G1027" s="103"/>
      <c r="H1027" s="6"/>
      <c r="I1027" s="104"/>
      <c r="J1027" s="104"/>
      <c r="K1027" s="104"/>
    </row>
    <row r="1028" spans="1:11" x14ac:dyDescent="0.25">
      <c r="A1028" s="6"/>
      <c r="B1028" s="6"/>
      <c r="C1028" s="102"/>
      <c r="D1028" s="102"/>
      <c r="E1028" s="103"/>
      <c r="F1028" s="6"/>
      <c r="G1028" s="103"/>
      <c r="H1028" s="6"/>
      <c r="I1028" s="104"/>
      <c r="J1028" s="104"/>
      <c r="K1028" s="104"/>
    </row>
    <row r="1029" spans="1:11" x14ac:dyDescent="0.25">
      <c r="A1029" s="6"/>
      <c r="B1029" s="6"/>
      <c r="C1029" s="102"/>
      <c r="D1029" s="102"/>
      <c r="E1029" s="103"/>
      <c r="F1029" s="6"/>
      <c r="G1029" s="103"/>
      <c r="H1029" s="6"/>
      <c r="I1029" s="104"/>
      <c r="J1029" s="104"/>
      <c r="K1029" s="104"/>
    </row>
    <row r="1030" spans="1:11" x14ac:dyDescent="0.25">
      <c r="A1030" s="6"/>
      <c r="B1030" s="6"/>
      <c r="C1030" s="102"/>
      <c r="D1030" s="102"/>
      <c r="E1030" s="103"/>
      <c r="F1030" s="6"/>
      <c r="G1030" s="103"/>
      <c r="H1030" s="6"/>
      <c r="I1030" s="104"/>
      <c r="J1030" s="104"/>
      <c r="K1030" s="104"/>
    </row>
    <row r="1031" spans="1:11" x14ac:dyDescent="0.25">
      <c r="A1031" s="6"/>
      <c r="B1031" s="6"/>
      <c r="C1031" s="102"/>
      <c r="D1031" s="102"/>
      <c r="E1031" s="103"/>
      <c r="F1031" s="6"/>
      <c r="G1031" s="103"/>
      <c r="H1031" s="6"/>
      <c r="I1031" s="104"/>
      <c r="J1031" s="104"/>
      <c r="K1031" s="104"/>
    </row>
    <row r="1032" spans="1:11" x14ac:dyDescent="0.25">
      <c r="A1032" s="6"/>
      <c r="B1032" s="6"/>
      <c r="C1032" s="102"/>
      <c r="D1032" s="102"/>
      <c r="E1032" s="103"/>
      <c r="F1032" s="6"/>
      <c r="G1032" s="103"/>
      <c r="H1032" s="6"/>
      <c r="I1032" s="104"/>
      <c r="J1032" s="104"/>
      <c r="K1032" s="104"/>
    </row>
    <row r="1033" spans="1:11" x14ac:dyDescent="0.25">
      <c r="A1033" s="6"/>
      <c r="B1033" s="6"/>
      <c r="C1033" s="102"/>
      <c r="D1033" s="102"/>
      <c r="E1033" s="103"/>
      <c r="F1033" s="6"/>
      <c r="G1033" s="103"/>
      <c r="H1033" s="6"/>
      <c r="I1033" s="104"/>
      <c r="J1033" s="104"/>
      <c r="K1033" s="104"/>
    </row>
    <row r="1034" spans="1:11" x14ac:dyDescent="0.25">
      <c r="A1034" s="6"/>
      <c r="B1034" s="6"/>
      <c r="C1034" s="102"/>
      <c r="D1034" s="102"/>
      <c r="E1034" s="103"/>
      <c r="F1034" s="6"/>
      <c r="G1034" s="103"/>
      <c r="H1034" s="6"/>
      <c r="I1034" s="104"/>
      <c r="J1034" s="104"/>
      <c r="K1034" s="104"/>
    </row>
    <row r="1035" spans="1:11" x14ac:dyDescent="0.25">
      <c r="A1035" s="6"/>
      <c r="B1035" s="6"/>
      <c r="C1035" s="102"/>
      <c r="D1035" s="102"/>
      <c r="E1035" s="103"/>
      <c r="F1035" s="6"/>
      <c r="G1035" s="103"/>
      <c r="H1035" s="6"/>
      <c r="I1035" s="104"/>
      <c r="J1035" s="104"/>
      <c r="K1035" s="104"/>
    </row>
    <row r="1036" spans="1:11" x14ac:dyDescent="0.25">
      <c r="A1036" s="6"/>
      <c r="B1036" s="6"/>
      <c r="C1036" s="102"/>
      <c r="D1036" s="102"/>
      <c r="E1036" s="103"/>
      <c r="F1036" s="6"/>
      <c r="G1036" s="103"/>
      <c r="H1036" s="6"/>
      <c r="I1036" s="104"/>
      <c r="J1036" s="104"/>
      <c r="K1036" s="104"/>
    </row>
    <row r="1037" spans="1:11" x14ac:dyDescent="0.25">
      <c r="A1037" s="6"/>
      <c r="B1037" s="6"/>
      <c r="C1037" s="102"/>
      <c r="D1037" s="102"/>
      <c r="E1037" s="103"/>
      <c r="F1037" s="6"/>
      <c r="G1037" s="103"/>
      <c r="H1037" s="6"/>
      <c r="I1037" s="104"/>
      <c r="J1037" s="104"/>
      <c r="K1037" s="104"/>
    </row>
    <row r="1038" spans="1:11" x14ac:dyDescent="0.25">
      <c r="A1038" s="6"/>
      <c r="B1038" s="6"/>
      <c r="C1038" s="102"/>
      <c r="D1038" s="102"/>
      <c r="E1038" s="103"/>
      <c r="F1038" s="6"/>
      <c r="G1038" s="103"/>
      <c r="H1038" s="6"/>
      <c r="I1038" s="104"/>
      <c r="J1038" s="104"/>
      <c r="K1038" s="104"/>
    </row>
    <row r="1039" spans="1:11" x14ac:dyDescent="0.25">
      <c r="A1039" s="6"/>
      <c r="B1039" s="6"/>
      <c r="C1039" s="102"/>
      <c r="D1039" s="102"/>
      <c r="E1039" s="103"/>
      <c r="F1039" s="6"/>
      <c r="G1039" s="103"/>
      <c r="H1039" s="6"/>
      <c r="I1039" s="104"/>
      <c r="J1039" s="104"/>
      <c r="K1039" s="104"/>
    </row>
    <row r="1040" spans="1:11" x14ac:dyDescent="0.25">
      <c r="A1040" s="6"/>
      <c r="B1040" s="6"/>
      <c r="C1040" s="102"/>
      <c r="D1040" s="102"/>
      <c r="E1040" s="103"/>
      <c r="F1040" s="6"/>
      <c r="G1040" s="103"/>
      <c r="H1040" s="6"/>
      <c r="I1040" s="104"/>
      <c r="J1040" s="104"/>
      <c r="K1040" s="104"/>
    </row>
    <row r="1041" spans="1:11" x14ac:dyDescent="0.25">
      <c r="A1041" s="6"/>
      <c r="B1041" s="6"/>
      <c r="C1041" s="102"/>
      <c r="D1041" s="102"/>
      <c r="E1041" s="103"/>
      <c r="F1041" s="6"/>
      <c r="G1041" s="103"/>
      <c r="H1041" s="6"/>
      <c r="I1041" s="104"/>
      <c r="J1041" s="104"/>
      <c r="K1041" s="104"/>
    </row>
    <row r="1042" spans="1:11" x14ac:dyDescent="0.25">
      <c r="A1042" s="6"/>
      <c r="B1042" s="6"/>
      <c r="C1042" s="102"/>
      <c r="D1042" s="102"/>
      <c r="E1042" s="103"/>
      <c r="F1042" s="6"/>
      <c r="G1042" s="103"/>
      <c r="H1042" s="6"/>
      <c r="I1042" s="104"/>
      <c r="J1042" s="104"/>
      <c r="K1042" s="104"/>
    </row>
    <row r="1043" spans="1:11" x14ac:dyDescent="0.25">
      <c r="A1043" s="6"/>
      <c r="B1043" s="6"/>
      <c r="C1043" s="102"/>
      <c r="D1043" s="102"/>
      <c r="E1043" s="103"/>
      <c r="F1043" s="6"/>
      <c r="G1043" s="103"/>
      <c r="H1043" s="6"/>
      <c r="I1043" s="104"/>
      <c r="J1043" s="104"/>
      <c r="K1043" s="104"/>
    </row>
    <row r="1044" spans="1:11" x14ac:dyDescent="0.25">
      <c r="A1044" s="6"/>
      <c r="B1044" s="6"/>
      <c r="C1044" s="102"/>
      <c r="D1044" s="102"/>
      <c r="E1044" s="103"/>
      <c r="F1044" s="6"/>
      <c r="G1044" s="103"/>
      <c r="H1044" s="6"/>
      <c r="I1044" s="104"/>
      <c r="J1044" s="104"/>
      <c r="K1044" s="104"/>
    </row>
    <row r="1045" spans="1:11" x14ac:dyDescent="0.25">
      <c r="A1045" s="6"/>
      <c r="B1045" s="6"/>
      <c r="C1045" s="102"/>
      <c r="D1045" s="102"/>
      <c r="E1045" s="103"/>
      <c r="F1045" s="6"/>
      <c r="G1045" s="103"/>
      <c r="H1045" s="6"/>
      <c r="I1045" s="104"/>
      <c r="J1045" s="104"/>
      <c r="K1045" s="104"/>
    </row>
    <row r="1046" spans="1:11" x14ac:dyDescent="0.25">
      <c r="A1046" s="6"/>
      <c r="B1046" s="6"/>
      <c r="C1046" s="102"/>
      <c r="D1046" s="102"/>
      <c r="E1046" s="103"/>
      <c r="F1046" s="6"/>
      <c r="G1046" s="103"/>
      <c r="H1046" s="6"/>
      <c r="I1046" s="104"/>
      <c r="J1046" s="104"/>
      <c r="K1046" s="104"/>
    </row>
    <row r="1047" spans="1:11" x14ac:dyDescent="0.25">
      <c r="A1047" s="6"/>
      <c r="B1047" s="6"/>
      <c r="C1047" s="102"/>
      <c r="D1047" s="102"/>
      <c r="E1047" s="103"/>
      <c r="F1047" s="6"/>
      <c r="G1047" s="103"/>
      <c r="H1047" s="6"/>
      <c r="I1047" s="104"/>
      <c r="J1047" s="104"/>
      <c r="K1047" s="104"/>
    </row>
    <row r="1048" spans="1:11" x14ac:dyDescent="0.25">
      <c r="A1048" s="6"/>
      <c r="B1048" s="6"/>
      <c r="C1048" s="102"/>
      <c r="D1048" s="102"/>
      <c r="E1048" s="103"/>
      <c r="F1048" s="6"/>
      <c r="G1048" s="103"/>
      <c r="H1048" s="6"/>
      <c r="I1048" s="104"/>
      <c r="J1048" s="104"/>
      <c r="K1048" s="104"/>
    </row>
    <row r="1049" spans="1:11" x14ac:dyDescent="0.25">
      <c r="A1049" s="6"/>
      <c r="B1049" s="6"/>
      <c r="C1049" s="102"/>
      <c r="D1049" s="102"/>
      <c r="E1049" s="103"/>
      <c r="F1049" s="6"/>
      <c r="G1049" s="103"/>
      <c r="H1049" s="6"/>
      <c r="I1049" s="104"/>
      <c r="J1049" s="104"/>
      <c r="K1049" s="104"/>
    </row>
    <row r="1050" spans="1:11" x14ac:dyDescent="0.25">
      <c r="A1050" s="6"/>
      <c r="B1050" s="6"/>
      <c r="C1050" s="102"/>
      <c r="D1050" s="102"/>
      <c r="E1050" s="103"/>
      <c r="F1050" s="6"/>
      <c r="G1050" s="103"/>
      <c r="H1050" s="6"/>
      <c r="I1050" s="104"/>
      <c r="J1050" s="104"/>
      <c r="K1050" s="104"/>
    </row>
    <row r="1051" spans="1:11" x14ac:dyDescent="0.25">
      <c r="A1051" s="6"/>
      <c r="B1051" s="6"/>
      <c r="C1051" s="102"/>
      <c r="D1051" s="102"/>
      <c r="E1051" s="103"/>
      <c r="F1051" s="6"/>
      <c r="G1051" s="103"/>
      <c r="H1051" s="6"/>
      <c r="I1051" s="104"/>
      <c r="J1051" s="104"/>
      <c r="K1051" s="104"/>
    </row>
    <row r="1052" spans="1:11" x14ac:dyDescent="0.25">
      <c r="A1052" s="6"/>
      <c r="B1052" s="6"/>
      <c r="C1052" s="102"/>
      <c r="D1052" s="102"/>
      <c r="E1052" s="103"/>
      <c r="F1052" s="6"/>
      <c r="G1052" s="103"/>
      <c r="H1052" s="6"/>
      <c r="I1052" s="104"/>
      <c r="J1052" s="104"/>
      <c r="K1052" s="104"/>
    </row>
    <row r="1053" spans="1:11" x14ac:dyDescent="0.25">
      <c r="A1053" s="6"/>
      <c r="B1053" s="6"/>
      <c r="C1053" s="102"/>
      <c r="D1053" s="102"/>
      <c r="E1053" s="103"/>
      <c r="F1053" s="6"/>
      <c r="G1053" s="103"/>
      <c r="H1053" s="6"/>
      <c r="I1053" s="104"/>
      <c r="J1053" s="104"/>
      <c r="K1053" s="104"/>
    </row>
    <row r="1054" spans="1:11" x14ac:dyDescent="0.25">
      <c r="A1054" s="6"/>
      <c r="B1054" s="6"/>
      <c r="C1054" s="102"/>
      <c r="D1054" s="102"/>
      <c r="E1054" s="103"/>
      <c r="F1054" s="6"/>
      <c r="G1054" s="103"/>
      <c r="H1054" s="6"/>
      <c r="I1054" s="104"/>
      <c r="J1054" s="104"/>
      <c r="K1054" s="104"/>
    </row>
    <row r="1055" spans="1:11" x14ac:dyDescent="0.25">
      <c r="A1055" s="6"/>
      <c r="B1055" s="6"/>
      <c r="C1055" s="102"/>
      <c r="D1055" s="102"/>
      <c r="E1055" s="103"/>
      <c r="F1055" s="6"/>
      <c r="G1055" s="103"/>
      <c r="H1055" s="6"/>
      <c r="I1055" s="104"/>
      <c r="J1055" s="104"/>
      <c r="K1055" s="104"/>
    </row>
    <row r="1056" spans="1:11" x14ac:dyDescent="0.25">
      <c r="A1056" s="6"/>
      <c r="B1056" s="6"/>
      <c r="C1056" s="102"/>
      <c r="D1056" s="102"/>
      <c r="E1056" s="103"/>
      <c r="F1056" s="6"/>
      <c r="G1056" s="103"/>
      <c r="H1056" s="6"/>
      <c r="I1056" s="104"/>
      <c r="J1056" s="104"/>
      <c r="K1056" s="104"/>
    </row>
    <row r="1057" spans="1:11" x14ac:dyDescent="0.25">
      <c r="A1057" s="6"/>
      <c r="B1057" s="6"/>
      <c r="C1057" s="102"/>
      <c r="D1057" s="102"/>
      <c r="E1057" s="103"/>
      <c r="F1057" s="6"/>
      <c r="G1057" s="103"/>
      <c r="H1057" s="6"/>
      <c r="I1057" s="104"/>
      <c r="J1057" s="104"/>
      <c r="K1057" s="104"/>
    </row>
    <row r="1058" spans="1:11" x14ac:dyDescent="0.25">
      <c r="A1058" s="6"/>
      <c r="B1058" s="6"/>
      <c r="C1058" s="102"/>
      <c r="D1058" s="102"/>
      <c r="E1058" s="103"/>
      <c r="F1058" s="6"/>
      <c r="G1058" s="103"/>
      <c r="H1058" s="6"/>
      <c r="I1058" s="104"/>
      <c r="J1058" s="104"/>
      <c r="K1058" s="104"/>
    </row>
    <row r="1059" spans="1:11" x14ac:dyDescent="0.25">
      <c r="A1059" s="6"/>
      <c r="B1059" s="6"/>
      <c r="C1059" s="102"/>
      <c r="D1059" s="102"/>
      <c r="E1059" s="103"/>
      <c r="F1059" s="6"/>
      <c r="G1059" s="103"/>
      <c r="H1059" s="6"/>
      <c r="I1059" s="104"/>
      <c r="J1059" s="104"/>
      <c r="K1059" s="104"/>
    </row>
    <row r="1060" spans="1:11" x14ac:dyDescent="0.25">
      <c r="A1060" s="6"/>
      <c r="B1060" s="6"/>
      <c r="C1060" s="102"/>
      <c r="D1060" s="102"/>
      <c r="E1060" s="103"/>
      <c r="F1060" s="6"/>
      <c r="G1060" s="103"/>
      <c r="H1060" s="6"/>
      <c r="I1060" s="104"/>
      <c r="J1060" s="104"/>
      <c r="K1060" s="104"/>
    </row>
    <row r="1061" spans="1:11" x14ac:dyDescent="0.25">
      <c r="A1061" s="6"/>
      <c r="B1061" s="6"/>
      <c r="C1061" s="102"/>
      <c r="D1061" s="102"/>
      <c r="E1061" s="103"/>
      <c r="F1061" s="6"/>
      <c r="G1061" s="103"/>
      <c r="H1061" s="6"/>
      <c r="I1061" s="104"/>
      <c r="J1061" s="104"/>
      <c r="K1061" s="104"/>
    </row>
    <row r="1062" spans="1:11" x14ac:dyDescent="0.25">
      <c r="A1062" s="6"/>
      <c r="B1062" s="6"/>
      <c r="C1062" s="102"/>
      <c r="D1062" s="102"/>
      <c r="E1062" s="103"/>
      <c r="F1062" s="6"/>
      <c r="G1062" s="103"/>
      <c r="H1062" s="6"/>
      <c r="I1062" s="104"/>
      <c r="J1062" s="104"/>
      <c r="K1062" s="104"/>
    </row>
    <row r="1063" spans="1:11" x14ac:dyDescent="0.25">
      <c r="A1063" s="6"/>
      <c r="B1063" s="6"/>
      <c r="C1063" s="102"/>
      <c r="D1063" s="102"/>
      <c r="E1063" s="103"/>
      <c r="F1063" s="6"/>
      <c r="G1063" s="103"/>
      <c r="H1063" s="6"/>
      <c r="I1063" s="104"/>
      <c r="J1063" s="104"/>
      <c r="K1063" s="104"/>
    </row>
    <row r="1064" spans="1:11" x14ac:dyDescent="0.25">
      <c r="A1064" s="6"/>
      <c r="B1064" s="6"/>
      <c r="C1064" s="102"/>
      <c r="D1064" s="102"/>
      <c r="E1064" s="103"/>
      <c r="F1064" s="6"/>
      <c r="G1064" s="103"/>
      <c r="H1064" s="6"/>
      <c r="I1064" s="104"/>
      <c r="J1064" s="104"/>
      <c r="K1064" s="104"/>
    </row>
    <row r="1065" spans="1:11" x14ac:dyDescent="0.25">
      <c r="A1065" s="6"/>
      <c r="B1065" s="6"/>
      <c r="C1065" s="102"/>
      <c r="D1065" s="102"/>
      <c r="E1065" s="103"/>
      <c r="F1065" s="6"/>
      <c r="G1065" s="103"/>
      <c r="H1065" s="6"/>
      <c r="I1065" s="104"/>
      <c r="J1065" s="104"/>
      <c r="K1065" s="104"/>
    </row>
    <row r="1066" spans="1:11" x14ac:dyDescent="0.25">
      <c r="A1066" s="6"/>
      <c r="B1066" s="6"/>
      <c r="C1066" s="102"/>
      <c r="D1066" s="102"/>
      <c r="E1066" s="103"/>
      <c r="F1066" s="6"/>
      <c r="G1066" s="103"/>
      <c r="H1066" s="6"/>
      <c r="I1066" s="104"/>
      <c r="J1066" s="104"/>
      <c r="K1066" s="104"/>
    </row>
    <row r="1067" spans="1:11" x14ac:dyDescent="0.25">
      <c r="A1067" s="6"/>
      <c r="B1067" s="6"/>
      <c r="C1067" s="102"/>
      <c r="D1067" s="102"/>
      <c r="E1067" s="103"/>
      <c r="F1067" s="6"/>
      <c r="G1067" s="103"/>
      <c r="H1067" s="6"/>
      <c r="I1067" s="104"/>
      <c r="J1067" s="104"/>
      <c r="K1067" s="104"/>
    </row>
    <row r="1068" spans="1:11" x14ac:dyDescent="0.25">
      <c r="A1068" s="6"/>
      <c r="B1068" s="6"/>
      <c r="C1068" s="102"/>
      <c r="D1068" s="102"/>
      <c r="E1068" s="103"/>
      <c r="F1068" s="6"/>
      <c r="G1068" s="103"/>
      <c r="H1068" s="6"/>
      <c r="I1068" s="104"/>
      <c r="J1068" s="104"/>
      <c r="K1068" s="104"/>
    </row>
    <row r="1069" spans="1:11" x14ac:dyDescent="0.25">
      <c r="A1069" s="6"/>
      <c r="B1069" s="6"/>
      <c r="C1069" s="102"/>
      <c r="D1069" s="102"/>
      <c r="E1069" s="103"/>
      <c r="F1069" s="6"/>
      <c r="G1069" s="103"/>
      <c r="H1069" s="6"/>
      <c r="I1069" s="104"/>
      <c r="J1069" s="104"/>
      <c r="K1069" s="104"/>
    </row>
    <row r="1070" spans="1:11" x14ac:dyDescent="0.25">
      <c r="A1070" s="6"/>
      <c r="B1070" s="6"/>
      <c r="C1070" s="102"/>
      <c r="D1070" s="102"/>
      <c r="E1070" s="103"/>
      <c r="F1070" s="6"/>
      <c r="G1070" s="103"/>
      <c r="H1070" s="6"/>
      <c r="I1070" s="104"/>
      <c r="J1070" s="104"/>
      <c r="K1070" s="104"/>
    </row>
    <row r="1071" spans="1:11" x14ac:dyDescent="0.25">
      <c r="A1071" s="6"/>
      <c r="B1071" s="6"/>
      <c r="C1071" s="102"/>
      <c r="D1071" s="102"/>
      <c r="E1071" s="103"/>
      <c r="F1071" s="6"/>
      <c r="G1071" s="103"/>
      <c r="H1071" s="6"/>
      <c r="I1071" s="104"/>
      <c r="J1071" s="104"/>
      <c r="K1071" s="104"/>
    </row>
    <row r="1072" spans="1:11" x14ac:dyDescent="0.25">
      <c r="A1072" s="6"/>
      <c r="B1072" s="6"/>
      <c r="C1072" s="102"/>
      <c r="D1072" s="102"/>
      <c r="E1072" s="103"/>
      <c r="F1072" s="6"/>
      <c r="G1072" s="103"/>
      <c r="H1072" s="6"/>
      <c r="I1072" s="104"/>
      <c r="J1072" s="104"/>
      <c r="K1072" s="104"/>
    </row>
    <row r="1073" spans="1:11" x14ac:dyDescent="0.25">
      <c r="A1073" s="6"/>
      <c r="B1073" s="6"/>
      <c r="C1073" s="102"/>
      <c r="D1073" s="102"/>
      <c r="E1073" s="103"/>
      <c r="F1073" s="6"/>
      <c r="G1073" s="103"/>
      <c r="H1073" s="6"/>
      <c r="I1073" s="104"/>
      <c r="J1073" s="104"/>
      <c r="K1073" s="104"/>
    </row>
    <row r="1074" spans="1:11" x14ac:dyDescent="0.25">
      <c r="A1074" s="6"/>
      <c r="B1074" s="6"/>
      <c r="C1074" s="102"/>
      <c r="D1074" s="102"/>
      <c r="E1074" s="103"/>
      <c r="F1074" s="6"/>
      <c r="G1074" s="103"/>
      <c r="H1074" s="6"/>
      <c r="I1074" s="104"/>
      <c r="J1074" s="104"/>
      <c r="K1074" s="104"/>
    </row>
    <row r="1075" spans="1:11" x14ac:dyDescent="0.25">
      <c r="A1075" s="6"/>
      <c r="B1075" s="6"/>
      <c r="C1075" s="102"/>
      <c r="D1075" s="102"/>
      <c r="E1075" s="103"/>
      <c r="F1075" s="6"/>
      <c r="G1075" s="103"/>
      <c r="H1075" s="6"/>
      <c r="I1075" s="104"/>
      <c r="J1075" s="104"/>
      <c r="K1075" s="104"/>
    </row>
    <row r="1076" spans="1:11" x14ac:dyDescent="0.25">
      <c r="A1076" s="6"/>
      <c r="B1076" s="6"/>
      <c r="C1076" s="102"/>
      <c r="D1076" s="102"/>
      <c r="E1076" s="103"/>
      <c r="F1076" s="6"/>
      <c r="G1076" s="103"/>
      <c r="H1076" s="6"/>
      <c r="I1076" s="104"/>
      <c r="J1076" s="104"/>
      <c r="K1076" s="104"/>
    </row>
    <row r="1077" spans="1:11" x14ac:dyDescent="0.25">
      <c r="A1077" s="6"/>
      <c r="B1077" s="6"/>
      <c r="C1077" s="102"/>
      <c r="D1077" s="102"/>
      <c r="E1077" s="103"/>
      <c r="F1077" s="6"/>
      <c r="G1077" s="103"/>
      <c r="H1077" s="6"/>
      <c r="I1077" s="104"/>
      <c r="J1077" s="104"/>
      <c r="K1077" s="104"/>
    </row>
    <row r="1078" spans="1:11" x14ac:dyDescent="0.25">
      <c r="A1078" s="6"/>
      <c r="B1078" s="6"/>
      <c r="C1078" s="102"/>
      <c r="D1078" s="102"/>
      <c r="E1078" s="103"/>
      <c r="F1078" s="6"/>
      <c r="G1078" s="103"/>
      <c r="H1078" s="6"/>
      <c r="I1078" s="104"/>
      <c r="J1078" s="104"/>
      <c r="K1078" s="104"/>
    </row>
    <row r="1079" spans="1:11" x14ac:dyDescent="0.25">
      <c r="A1079" s="6"/>
      <c r="B1079" s="6"/>
      <c r="C1079" s="102"/>
      <c r="D1079" s="102"/>
      <c r="E1079" s="103"/>
      <c r="F1079" s="6"/>
      <c r="G1079" s="103"/>
      <c r="H1079" s="6"/>
      <c r="I1079" s="104"/>
      <c r="J1079" s="104"/>
      <c r="K1079" s="104"/>
    </row>
    <row r="1080" spans="1:11" x14ac:dyDescent="0.25">
      <c r="A1080" s="6"/>
      <c r="B1080" s="6"/>
      <c r="C1080" s="102"/>
      <c r="D1080" s="102"/>
      <c r="E1080" s="103"/>
      <c r="F1080" s="6"/>
      <c r="G1080" s="103"/>
      <c r="H1080" s="6"/>
      <c r="I1080" s="104"/>
      <c r="J1080" s="104"/>
      <c r="K1080" s="104"/>
    </row>
    <row r="1081" spans="1:11" x14ac:dyDescent="0.25">
      <c r="A1081" s="6"/>
      <c r="B1081" s="6"/>
      <c r="C1081" s="102"/>
      <c r="D1081" s="102"/>
      <c r="E1081" s="103"/>
      <c r="F1081" s="6"/>
      <c r="G1081" s="103"/>
      <c r="H1081" s="6"/>
      <c r="I1081" s="104"/>
      <c r="J1081" s="104"/>
      <c r="K1081" s="104"/>
    </row>
    <row r="1082" spans="1:11" x14ac:dyDescent="0.25">
      <c r="A1082" s="6"/>
      <c r="B1082" s="6"/>
      <c r="C1082" s="102"/>
      <c r="D1082" s="102"/>
      <c r="E1082" s="103"/>
      <c r="F1082" s="6"/>
      <c r="G1082" s="103"/>
      <c r="H1082" s="6"/>
      <c r="I1082" s="104"/>
      <c r="J1082" s="104"/>
      <c r="K1082" s="104"/>
    </row>
    <row r="1083" spans="1:11" x14ac:dyDescent="0.25">
      <c r="A1083" s="6"/>
      <c r="B1083" s="6"/>
      <c r="C1083" s="102"/>
      <c r="D1083" s="102"/>
      <c r="E1083" s="103"/>
      <c r="F1083" s="6"/>
      <c r="G1083" s="103"/>
      <c r="H1083" s="6"/>
      <c r="I1083" s="104"/>
      <c r="J1083" s="104"/>
      <c r="K1083" s="104"/>
    </row>
    <row r="1084" spans="1:11" x14ac:dyDescent="0.25">
      <c r="A1084" s="6"/>
      <c r="B1084" s="6"/>
      <c r="C1084" s="102"/>
      <c r="D1084" s="102"/>
      <c r="E1084" s="103"/>
      <c r="F1084" s="6"/>
      <c r="G1084" s="103"/>
      <c r="H1084" s="6"/>
      <c r="I1084" s="104"/>
      <c r="J1084" s="104"/>
      <c r="K1084" s="104"/>
    </row>
    <row r="1085" spans="1:11" x14ac:dyDescent="0.25">
      <c r="A1085" s="6"/>
      <c r="B1085" s="6"/>
      <c r="C1085" s="102"/>
      <c r="D1085" s="102"/>
      <c r="E1085" s="103"/>
      <c r="F1085" s="6"/>
      <c r="G1085" s="103"/>
      <c r="H1085" s="6"/>
      <c r="I1085" s="104"/>
      <c r="J1085" s="104"/>
      <c r="K1085" s="104"/>
    </row>
    <row r="1086" spans="1:11" x14ac:dyDescent="0.25">
      <c r="A1086" s="6"/>
      <c r="B1086" s="6"/>
      <c r="C1086" s="102"/>
      <c r="D1086" s="102"/>
      <c r="E1086" s="103"/>
      <c r="F1086" s="6"/>
      <c r="G1086" s="103"/>
      <c r="H1086" s="6"/>
      <c r="I1086" s="104"/>
      <c r="J1086" s="104"/>
      <c r="K1086" s="104"/>
    </row>
    <row r="1087" spans="1:11" x14ac:dyDescent="0.25">
      <c r="A1087" s="6"/>
      <c r="B1087" s="6"/>
      <c r="C1087" s="102"/>
      <c r="D1087" s="102"/>
      <c r="E1087" s="103"/>
      <c r="F1087" s="6"/>
      <c r="G1087" s="103"/>
      <c r="H1087" s="6"/>
      <c r="I1087" s="104"/>
      <c r="J1087" s="104"/>
      <c r="K1087" s="104"/>
    </row>
    <row r="1088" spans="1:11" x14ac:dyDescent="0.25">
      <c r="A1088" s="6"/>
      <c r="B1088" s="6"/>
      <c r="C1088" s="102"/>
      <c r="D1088" s="102"/>
      <c r="E1088" s="103"/>
      <c r="F1088" s="6"/>
      <c r="G1088" s="103"/>
      <c r="H1088" s="6"/>
      <c r="I1088" s="104"/>
      <c r="J1088" s="104"/>
      <c r="K1088" s="104"/>
    </row>
    <row r="1089" spans="1:11" x14ac:dyDescent="0.25">
      <c r="A1089" s="6"/>
      <c r="B1089" s="6"/>
      <c r="C1089" s="102"/>
      <c r="D1089" s="102"/>
      <c r="E1089" s="103"/>
      <c r="F1089" s="6"/>
      <c r="G1089" s="103"/>
      <c r="H1089" s="6"/>
      <c r="I1089" s="104"/>
      <c r="J1089" s="104"/>
      <c r="K1089" s="104"/>
    </row>
    <row r="1090" spans="1:11" x14ac:dyDescent="0.25">
      <c r="A1090" s="6"/>
      <c r="B1090" s="6"/>
      <c r="C1090" s="102"/>
      <c r="D1090" s="102"/>
      <c r="E1090" s="103"/>
      <c r="F1090" s="6"/>
      <c r="G1090" s="103"/>
      <c r="H1090" s="6"/>
      <c r="I1090" s="104"/>
      <c r="J1090" s="104"/>
      <c r="K1090" s="104"/>
    </row>
    <row r="1091" spans="1:11" x14ac:dyDescent="0.25">
      <c r="A1091" s="6"/>
      <c r="B1091" s="6"/>
      <c r="C1091" s="102"/>
      <c r="D1091" s="102"/>
      <c r="E1091" s="103"/>
      <c r="F1091" s="6"/>
      <c r="G1091" s="103"/>
      <c r="H1091" s="6"/>
      <c r="I1091" s="104"/>
      <c r="J1091" s="104"/>
      <c r="K1091" s="104"/>
    </row>
    <row r="1092" spans="1:11" x14ac:dyDescent="0.25">
      <c r="A1092" s="6"/>
      <c r="B1092" s="6"/>
      <c r="C1092" s="102"/>
      <c r="D1092" s="102"/>
      <c r="E1092" s="103"/>
      <c r="F1092" s="6"/>
      <c r="G1092" s="103"/>
      <c r="H1092" s="6"/>
      <c r="I1092" s="104"/>
      <c r="J1092" s="104"/>
      <c r="K1092" s="104"/>
    </row>
    <row r="1093" spans="1:11" x14ac:dyDescent="0.25">
      <c r="A1093" s="6"/>
      <c r="B1093" s="6"/>
      <c r="C1093" s="102"/>
      <c r="D1093" s="102"/>
      <c r="E1093" s="103"/>
      <c r="F1093" s="6"/>
      <c r="G1093" s="103"/>
      <c r="H1093" s="6"/>
      <c r="I1093" s="104"/>
      <c r="J1093" s="104"/>
      <c r="K1093" s="104"/>
    </row>
    <row r="1094" spans="1:11" x14ac:dyDescent="0.25">
      <c r="A1094" s="6"/>
      <c r="B1094" s="6"/>
      <c r="C1094" s="102"/>
      <c r="D1094" s="102"/>
      <c r="E1094" s="103"/>
      <c r="F1094" s="6"/>
      <c r="G1094" s="103"/>
      <c r="H1094" s="6"/>
      <c r="I1094" s="104"/>
      <c r="J1094" s="104"/>
      <c r="K1094" s="104"/>
    </row>
    <row r="1095" spans="1:11" x14ac:dyDescent="0.25">
      <c r="A1095" s="6"/>
      <c r="B1095" s="6"/>
      <c r="C1095" s="102"/>
      <c r="D1095" s="102"/>
      <c r="E1095" s="103"/>
      <c r="F1095" s="6"/>
      <c r="G1095" s="103"/>
      <c r="H1095" s="6"/>
      <c r="I1095" s="104"/>
      <c r="J1095" s="104"/>
      <c r="K1095" s="104"/>
    </row>
    <row r="1096" spans="1:11" x14ac:dyDescent="0.25">
      <c r="A1096" s="6"/>
      <c r="B1096" s="6"/>
      <c r="C1096" s="102"/>
      <c r="D1096" s="102"/>
      <c r="E1096" s="103"/>
      <c r="F1096" s="6"/>
      <c r="G1096" s="103"/>
      <c r="H1096" s="6"/>
      <c r="I1096" s="104"/>
      <c r="J1096" s="104"/>
      <c r="K1096" s="104"/>
    </row>
    <row r="1097" spans="1:11" x14ac:dyDescent="0.25">
      <c r="A1097" s="6"/>
      <c r="B1097" s="6"/>
      <c r="C1097" s="102"/>
      <c r="D1097" s="102"/>
      <c r="E1097" s="103"/>
      <c r="F1097" s="6"/>
      <c r="G1097" s="103"/>
      <c r="H1097" s="6"/>
      <c r="I1097" s="104"/>
      <c r="J1097" s="104"/>
      <c r="K1097" s="104"/>
    </row>
    <row r="1098" spans="1:11" x14ac:dyDescent="0.25">
      <c r="A1098" s="6"/>
      <c r="B1098" s="6"/>
      <c r="C1098" s="102"/>
      <c r="D1098" s="102"/>
      <c r="E1098" s="103"/>
      <c r="F1098" s="6"/>
      <c r="G1098" s="103"/>
      <c r="H1098" s="6"/>
      <c r="I1098" s="104"/>
      <c r="J1098" s="104"/>
      <c r="K1098" s="104"/>
    </row>
    <row r="1099" spans="1:11" x14ac:dyDescent="0.25">
      <c r="A1099" s="6"/>
      <c r="B1099" s="6"/>
      <c r="C1099" s="102"/>
      <c r="D1099" s="102"/>
      <c r="E1099" s="103"/>
      <c r="F1099" s="6"/>
      <c r="G1099" s="103"/>
      <c r="H1099" s="6"/>
      <c r="I1099" s="104"/>
      <c r="J1099" s="104"/>
      <c r="K1099" s="104"/>
    </row>
    <row r="1100" spans="1:11" x14ac:dyDescent="0.25">
      <c r="A1100" s="6"/>
      <c r="B1100" s="6"/>
      <c r="C1100" s="102"/>
      <c r="D1100" s="102"/>
      <c r="E1100" s="103"/>
      <c r="F1100" s="6"/>
      <c r="G1100" s="103"/>
      <c r="H1100" s="6"/>
      <c r="I1100" s="104"/>
      <c r="J1100" s="104"/>
      <c r="K1100" s="104"/>
    </row>
    <row r="1101" spans="1:11" x14ac:dyDescent="0.25">
      <c r="A1101" s="6"/>
      <c r="B1101" s="6"/>
      <c r="C1101" s="102"/>
      <c r="D1101" s="102"/>
      <c r="E1101" s="103"/>
      <c r="F1101" s="6"/>
      <c r="G1101" s="103"/>
      <c r="H1101" s="6"/>
      <c r="I1101" s="104"/>
      <c r="J1101" s="104"/>
      <c r="K1101" s="104"/>
    </row>
    <row r="1102" spans="1:11" x14ac:dyDescent="0.25">
      <c r="A1102" s="6"/>
      <c r="B1102" s="6"/>
      <c r="C1102" s="102"/>
      <c r="D1102" s="102"/>
      <c r="E1102" s="103"/>
      <c r="F1102" s="6"/>
      <c r="G1102" s="103"/>
      <c r="H1102" s="6"/>
      <c r="I1102" s="104"/>
      <c r="J1102" s="104"/>
      <c r="K1102" s="104"/>
    </row>
    <row r="1103" spans="1:11" x14ac:dyDescent="0.25">
      <c r="A1103" s="6"/>
      <c r="B1103" s="6"/>
      <c r="C1103" s="102"/>
      <c r="D1103" s="102"/>
      <c r="E1103" s="103"/>
      <c r="F1103" s="6"/>
      <c r="G1103" s="103"/>
      <c r="H1103" s="6"/>
      <c r="I1103" s="104"/>
      <c r="J1103" s="104"/>
      <c r="K1103" s="104"/>
    </row>
    <row r="1104" spans="1:11" x14ac:dyDescent="0.25">
      <c r="A1104" s="6"/>
      <c r="B1104" s="6"/>
      <c r="C1104" s="102"/>
      <c r="D1104" s="102"/>
      <c r="E1104" s="103"/>
      <c r="F1104" s="6"/>
      <c r="G1104" s="103"/>
      <c r="H1104" s="6"/>
      <c r="I1104" s="104"/>
      <c r="J1104" s="104"/>
      <c r="K1104" s="104"/>
    </row>
    <row r="1105" spans="1:11" x14ac:dyDescent="0.25">
      <c r="A1105" s="6"/>
      <c r="B1105" s="6"/>
      <c r="C1105" s="102"/>
      <c r="D1105" s="102"/>
      <c r="E1105" s="103"/>
      <c r="F1105" s="6"/>
      <c r="G1105" s="103"/>
      <c r="H1105" s="6"/>
      <c r="I1105" s="104"/>
      <c r="J1105" s="104"/>
      <c r="K1105" s="104"/>
    </row>
    <row r="1106" spans="1:11" x14ac:dyDescent="0.25">
      <c r="A1106" s="6"/>
      <c r="B1106" s="6"/>
      <c r="C1106" s="102"/>
      <c r="D1106" s="102"/>
      <c r="E1106" s="103"/>
      <c r="F1106" s="6"/>
      <c r="G1106" s="103"/>
      <c r="H1106" s="6"/>
      <c r="I1106" s="104"/>
      <c r="J1106" s="104"/>
      <c r="K1106" s="104"/>
    </row>
    <row r="1107" spans="1:11" x14ac:dyDescent="0.25">
      <c r="A1107" s="6"/>
      <c r="B1107" s="6"/>
      <c r="C1107" s="102"/>
      <c r="D1107" s="102"/>
      <c r="E1107" s="103"/>
      <c r="F1107" s="6"/>
      <c r="G1107" s="103"/>
      <c r="H1107" s="6"/>
      <c r="I1107" s="104"/>
      <c r="J1107" s="104"/>
      <c r="K1107" s="104"/>
    </row>
    <row r="1108" spans="1:11" x14ac:dyDescent="0.25">
      <c r="A1108" s="6"/>
      <c r="B1108" s="6"/>
      <c r="C1108" s="102"/>
      <c r="D1108" s="102"/>
      <c r="E1108" s="103"/>
      <c r="F1108" s="6"/>
      <c r="G1108" s="103"/>
      <c r="H1108" s="6"/>
      <c r="I1108" s="104"/>
      <c r="J1108" s="104"/>
      <c r="K1108" s="104"/>
    </row>
    <row r="1109" spans="1:11" x14ac:dyDescent="0.25">
      <c r="A1109" s="6"/>
      <c r="B1109" s="6"/>
      <c r="C1109" s="102"/>
      <c r="D1109" s="102"/>
      <c r="E1109" s="103"/>
      <c r="F1109" s="6"/>
      <c r="G1109" s="103"/>
      <c r="H1109" s="6"/>
      <c r="I1109" s="104"/>
      <c r="J1109" s="104"/>
      <c r="K1109" s="104"/>
    </row>
    <row r="1110" spans="1:11" x14ac:dyDescent="0.25">
      <c r="A1110" s="6"/>
      <c r="B1110" s="6"/>
      <c r="C1110" s="102"/>
      <c r="D1110" s="102"/>
      <c r="E1110" s="103"/>
      <c r="F1110" s="6"/>
      <c r="G1110" s="103"/>
      <c r="H1110" s="6"/>
      <c r="I1110" s="104"/>
      <c r="J1110" s="104"/>
      <c r="K1110" s="104"/>
    </row>
    <row r="1111" spans="1:11" x14ac:dyDescent="0.25">
      <c r="A1111" s="6"/>
      <c r="B1111" s="6"/>
      <c r="C1111" s="102"/>
      <c r="D1111" s="102"/>
      <c r="E1111" s="103"/>
      <c r="F1111" s="6"/>
      <c r="G1111" s="103"/>
      <c r="H1111" s="6"/>
      <c r="I1111" s="104"/>
      <c r="J1111" s="104"/>
      <c r="K1111" s="104"/>
    </row>
    <row r="1112" spans="1:11" x14ac:dyDescent="0.25">
      <c r="A1112" s="6"/>
      <c r="B1112" s="6"/>
      <c r="C1112" s="102"/>
      <c r="D1112" s="102"/>
      <c r="E1112" s="103"/>
      <c r="F1112" s="6"/>
      <c r="G1112" s="103"/>
      <c r="H1112" s="6"/>
      <c r="I1112" s="104"/>
      <c r="J1112" s="104"/>
      <c r="K1112" s="104"/>
    </row>
    <row r="1113" spans="1:11" x14ac:dyDescent="0.25">
      <c r="A1113" s="6"/>
      <c r="B1113" s="6"/>
      <c r="C1113" s="102"/>
      <c r="D1113" s="102"/>
      <c r="E1113" s="103"/>
      <c r="F1113" s="6"/>
      <c r="G1113" s="103"/>
      <c r="H1113" s="6"/>
      <c r="I1113" s="104"/>
      <c r="J1113" s="104"/>
      <c r="K1113" s="104"/>
    </row>
    <row r="1114" spans="1:11" x14ac:dyDescent="0.25">
      <c r="A1114" s="6"/>
      <c r="B1114" s="6"/>
      <c r="C1114" s="102"/>
      <c r="D1114" s="102"/>
      <c r="E1114" s="103"/>
      <c r="F1114" s="6"/>
      <c r="G1114" s="103"/>
      <c r="H1114" s="6"/>
      <c r="I1114" s="104"/>
      <c r="J1114" s="104"/>
      <c r="K1114" s="104"/>
    </row>
    <row r="1115" spans="1:11" x14ac:dyDescent="0.25">
      <c r="A1115" s="6"/>
      <c r="B1115" s="6"/>
      <c r="C1115" s="102"/>
      <c r="D1115" s="102"/>
      <c r="E1115" s="103"/>
      <c r="F1115" s="6"/>
      <c r="G1115" s="103"/>
      <c r="H1115" s="6"/>
      <c r="I1115" s="104"/>
      <c r="J1115" s="104"/>
      <c r="K1115" s="104"/>
    </row>
    <row r="1116" spans="1:11" x14ac:dyDescent="0.25">
      <c r="A1116" s="6"/>
      <c r="B1116" s="6"/>
      <c r="C1116" s="102"/>
      <c r="D1116" s="102"/>
      <c r="E1116" s="103"/>
      <c r="F1116" s="6"/>
      <c r="G1116" s="103"/>
      <c r="H1116" s="6"/>
      <c r="I1116" s="104"/>
      <c r="J1116" s="104"/>
      <c r="K1116" s="104"/>
    </row>
    <row r="1117" spans="1:11" x14ac:dyDescent="0.25">
      <c r="A1117" s="6"/>
      <c r="B1117" s="6"/>
      <c r="C1117" s="102"/>
      <c r="D1117" s="102"/>
      <c r="E1117" s="103"/>
      <c r="F1117" s="6"/>
      <c r="G1117" s="103"/>
      <c r="H1117" s="6"/>
      <c r="I1117" s="104"/>
      <c r="J1117" s="104"/>
      <c r="K1117" s="104"/>
    </row>
    <row r="1118" spans="1:11" x14ac:dyDescent="0.25">
      <c r="A1118" s="6"/>
      <c r="B1118" s="6"/>
      <c r="C1118" s="102"/>
      <c r="D1118" s="102"/>
      <c r="E1118" s="103"/>
      <c r="F1118" s="6"/>
      <c r="G1118" s="103"/>
      <c r="H1118" s="6"/>
      <c r="I1118" s="104"/>
      <c r="J1118" s="104"/>
      <c r="K1118" s="104"/>
    </row>
    <row r="1119" spans="1:11" x14ac:dyDescent="0.25">
      <c r="A1119" s="6"/>
      <c r="B1119" s="6"/>
      <c r="C1119" s="102"/>
      <c r="D1119" s="102"/>
      <c r="E1119" s="103"/>
      <c r="F1119" s="6"/>
      <c r="G1119" s="103"/>
      <c r="H1119" s="6"/>
      <c r="I1119" s="104"/>
      <c r="J1119" s="104"/>
      <c r="K1119" s="104"/>
    </row>
    <row r="1120" spans="1:11" x14ac:dyDescent="0.25">
      <c r="A1120" s="6"/>
      <c r="B1120" s="6"/>
      <c r="C1120" s="102"/>
      <c r="D1120" s="102"/>
      <c r="E1120" s="103"/>
      <c r="F1120" s="6"/>
      <c r="G1120" s="103"/>
      <c r="H1120" s="6"/>
      <c r="I1120" s="104"/>
      <c r="J1120" s="104"/>
      <c r="K1120" s="104"/>
    </row>
    <row r="1121" spans="1:11" x14ac:dyDescent="0.25">
      <c r="A1121" s="6"/>
      <c r="B1121" s="6"/>
      <c r="C1121" s="102"/>
      <c r="D1121" s="102"/>
      <c r="E1121" s="103"/>
      <c r="F1121" s="6"/>
      <c r="G1121" s="103"/>
      <c r="H1121" s="6"/>
      <c r="I1121" s="104"/>
      <c r="J1121" s="104"/>
      <c r="K1121" s="104"/>
    </row>
    <row r="1122" spans="1:11" x14ac:dyDescent="0.25">
      <c r="A1122" s="6"/>
      <c r="B1122" s="6"/>
      <c r="C1122" s="102"/>
      <c r="D1122" s="102"/>
      <c r="E1122" s="103"/>
      <c r="F1122" s="6"/>
      <c r="G1122" s="103"/>
      <c r="H1122" s="6"/>
      <c r="I1122" s="104"/>
      <c r="J1122" s="104"/>
      <c r="K1122" s="104"/>
    </row>
    <row r="1123" spans="1:11" x14ac:dyDescent="0.25">
      <c r="A1123" s="6"/>
      <c r="B1123" s="6"/>
      <c r="C1123" s="102"/>
      <c r="D1123" s="102"/>
      <c r="E1123" s="103"/>
      <c r="F1123" s="6"/>
      <c r="G1123" s="103"/>
      <c r="H1123" s="6"/>
      <c r="I1123" s="104"/>
      <c r="J1123" s="104"/>
      <c r="K1123" s="104"/>
    </row>
    <row r="1124" spans="1:11" x14ac:dyDescent="0.25">
      <c r="A1124" s="6"/>
      <c r="B1124" s="6"/>
      <c r="C1124" s="102"/>
      <c r="D1124" s="102"/>
      <c r="E1124" s="103"/>
      <c r="F1124" s="6"/>
      <c r="G1124" s="103"/>
      <c r="H1124" s="6"/>
      <c r="I1124" s="104"/>
      <c r="J1124" s="104"/>
      <c r="K1124" s="104"/>
    </row>
    <row r="1125" spans="1:11" x14ac:dyDescent="0.25">
      <c r="A1125" s="6"/>
      <c r="B1125" s="6"/>
      <c r="C1125" s="102"/>
      <c r="D1125" s="102"/>
      <c r="E1125" s="103"/>
      <c r="F1125" s="6"/>
      <c r="G1125" s="103"/>
      <c r="H1125" s="6"/>
      <c r="I1125" s="104"/>
      <c r="J1125" s="104"/>
      <c r="K1125" s="104"/>
    </row>
    <row r="1126" spans="1:11" x14ac:dyDescent="0.25">
      <c r="A1126" s="6"/>
      <c r="B1126" s="6"/>
      <c r="C1126" s="102"/>
      <c r="D1126" s="102"/>
      <c r="E1126" s="103"/>
      <c r="F1126" s="6"/>
      <c r="G1126" s="103"/>
      <c r="H1126" s="6"/>
      <c r="I1126" s="104"/>
      <c r="J1126" s="104"/>
      <c r="K1126" s="104"/>
    </row>
    <row r="1127" spans="1:11" x14ac:dyDescent="0.25">
      <c r="A1127" s="6"/>
      <c r="B1127" s="6"/>
      <c r="C1127" s="102"/>
      <c r="D1127" s="102"/>
      <c r="E1127" s="103"/>
      <c r="F1127" s="6"/>
      <c r="G1127" s="103"/>
      <c r="H1127" s="6"/>
      <c r="I1127" s="104"/>
      <c r="J1127" s="104"/>
      <c r="K1127" s="104"/>
    </row>
    <row r="1128" spans="1:11" x14ac:dyDescent="0.25">
      <c r="A1128" s="6"/>
      <c r="B1128" s="6"/>
      <c r="C1128" s="102"/>
      <c r="D1128" s="102"/>
      <c r="E1128" s="103"/>
      <c r="F1128" s="6"/>
      <c r="G1128" s="103"/>
      <c r="H1128" s="6"/>
      <c r="I1128" s="104"/>
      <c r="J1128" s="104"/>
      <c r="K1128" s="104"/>
    </row>
    <row r="1129" spans="1:11" x14ac:dyDescent="0.25">
      <c r="A1129" s="6"/>
      <c r="B1129" s="6"/>
      <c r="C1129" s="102"/>
      <c r="D1129" s="102"/>
      <c r="E1129" s="103"/>
      <c r="F1129" s="6"/>
      <c r="G1129" s="103"/>
      <c r="H1129" s="6"/>
      <c r="I1129" s="104"/>
      <c r="J1129" s="104"/>
      <c r="K1129" s="104"/>
    </row>
    <row r="1130" spans="1:11" x14ac:dyDescent="0.25">
      <c r="A1130" s="6"/>
      <c r="B1130" s="6"/>
      <c r="C1130" s="102"/>
      <c r="D1130" s="102"/>
      <c r="E1130" s="103"/>
      <c r="F1130" s="6"/>
      <c r="G1130" s="103"/>
      <c r="H1130" s="6"/>
      <c r="I1130" s="104"/>
      <c r="J1130" s="104"/>
      <c r="K1130" s="104"/>
    </row>
    <row r="1131" spans="1:11" x14ac:dyDescent="0.25">
      <c r="A1131" s="6"/>
      <c r="B1131" s="6"/>
      <c r="C1131" s="102"/>
      <c r="D1131" s="102"/>
      <c r="E1131" s="103"/>
      <c r="F1131" s="6"/>
      <c r="G1131" s="103"/>
      <c r="H1131" s="6"/>
      <c r="I1131" s="104"/>
      <c r="J1131" s="104"/>
      <c r="K1131" s="104"/>
    </row>
    <row r="1132" spans="1:11" x14ac:dyDescent="0.25">
      <c r="A1132" s="6"/>
      <c r="B1132" s="6"/>
      <c r="C1132" s="102"/>
      <c r="D1132" s="102"/>
      <c r="E1132" s="103"/>
      <c r="F1132" s="6"/>
      <c r="G1132" s="103"/>
      <c r="H1132" s="6"/>
      <c r="I1132" s="104"/>
      <c r="J1132" s="104"/>
      <c r="K1132" s="104"/>
    </row>
    <row r="1133" spans="1:11" x14ac:dyDescent="0.25">
      <c r="A1133" s="6"/>
      <c r="B1133" s="6"/>
      <c r="C1133" s="102"/>
      <c r="D1133" s="102"/>
      <c r="E1133" s="103"/>
      <c r="F1133" s="6"/>
      <c r="G1133" s="103"/>
      <c r="H1133" s="6"/>
      <c r="I1133" s="104"/>
      <c r="J1133" s="104"/>
      <c r="K1133" s="104"/>
    </row>
    <row r="1134" spans="1:11" x14ac:dyDescent="0.25">
      <c r="A1134" s="6"/>
      <c r="B1134" s="6"/>
      <c r="C1134" s="102"/>
      <c r="D1134" s="102"/>
      <c r="E1134" s="103"/>
      <c r="F1134" s="6"/>
      <c r="G1134" s="103"/>
      <c r="H1134" s="6"/>
      <c r="I1134" s="104"/>
      <c r="J1134" s="104"/>
      <c r="K1134" s="104"/>
    </row>
    <row r="1135" spans="1:11" x14ac:dyDescent="0.25">
      <c r="A1135" s="6"/>
      <c r="B1135" s="6"/>
      <c r="C1135" s="102"/>
      <c r="D1135" s="102"/>
      <c r="E1135" s="103"/>
      <c r="F1135" s="6"/>
      <c r="G1135" s="103"/>
      <c r="H1135" s="6"/>
      <c r="I1135" s="104"/>
      <c r="J1135" s="104"/>
      <c r="K1135" s="104"/>
    </row>
    <row r="1136" spans="1:11" x14ac:dyDescent="0.25">
      <c r="A1136" s="6"/>
      <c r="B1136" s="6"/>
      <c r="C1136" s="102"/>
      <c r="D1136" s="102"/>
      <c r="E1136" s="103"/>
      <c r="F1136" s="6"/>
      <c r="G1136" s="103"/>
      <c r="H1136" s="6"/>
      <c r="I1136" s="104"/>
      <c r="J1136" s="104"/>
      <c r="K1136" s="104"/>
    </row>
    <row r="1137" spans="1:11" x14ac:dyDescent="0.25">
      <c r="A1137" s="6"/>
      <c r="B1137" s="6"/>
      <c r="C1137" s="102"/>
      <c r="D1137" s="102"/>
      <c r="E1137" s="103"/>
      <c r="F1137" s="6"/>
      <c r="G1137" s="103"/>
      <c r="H1137" s="6"/>
      <c r="I1137" s="104"/>
      <c r="J1137" s="104"/>
      <c r="K1137" s="104"/>
    </row>
    <row r="1138" spans="1:11" x14ac:dyDescent="0.25">
      <c r="A1138" s="6"/>
      <c r="B1138" s="6"/>
      <c r="C1138" s="102"/>
      <c r="D1138" s="102"/>
      <c r="E1138" s="103"/>
      <c r="F1138" s="6"/>
      <c r="G1138" s="103"/>
      <c r="H1138" s="6"/>
      <c r="I1138" s="104"/>
      <c r="J1138" s="104"/>
      <c r="K1138" s="104"/>
    </row>
    <row r="1139" spans="1:11" x14ac:dyDescent="0.25">
      <c r="A1139" s="6"/>
      <c r="B1139" s="6"/>
      <c r="C1139" s="102"/>
      <c r="D1139" s="102"/>
      <c r="E1139" s="103"/>
      <c r="F1139" s="6"/>
      <c r="G1139" s="103"/>
      <c r="H1139" s="6"/>
      <c r="I1139" s="104"/>
      <c r="J1139" s="104"/>
      <c r="K1139" s="104"/>
    </row>
    <row r="1140" spans="1:11" x14ac:dyDescent="0.25">
      <c r="A1140" s="6"/>
      <c r="B1140" s="6"/>
      <c r="C1140" s="102"/>
      <c r="D1140" s="102"/>
      <c r="E1140" s="103"/>
      <c r="F1140" s="6"/>
      <c r="G1140" s="103"/>
      <c r="H1140" s="6"/>
      <c r="I1140" s="104"/>
      <c r="J1140" s="104"/>
      <c r="K1140" s="104"/>
    </row>
    <row r="1141" spans="1:11" x14ac:dyDescent="0.25">
      <c r="A1141" s="6"/>
      <c r="B1141" s="6"/>
      <c r="C1141" s="102"/>
      <c r="D1141" s="102"/>
      <c r="E1141" s="103"/>
      <c r="F1141" s="6"/>
      <c r="G1141" s="103"/>
      <c r="H1141" s="6"/>
      <c r="I1141" s="104"/>
      <c r="J1141" s="104"/>
      <c r="K1141" s="104"/>
    </row>
    <row r="1142" spans="1:11" x14ac:dyDescent="0.25">
      <c r="A1142" s="6"/>
      <c r="B1142" s="6"/>
      <c r="C1142" s="102"/>
      <c r="D1142" s="102"/>
      <c r="E1142" s="103"/>
      <c r="F1142" s="6"/>
      <c r="G1142" s="103"/>
      <c r="H1142" s="6"/>
      <c r="I1142" s="104"/>
      <c r="J1142" s="104"/>
      <c r="K1142" s="104"/>
    </row>
    <row r="1143" spans="1:11" x14ac:dyDescent="0.25">
      <c r="A1143" s="6"/>
      <c r="B1143" s="6"/>
      <c r="C1143" s="102"/>
      <c r="D1143" s="102"/>
      <c r="E1143" s="103"/>
      <c r="F1143" s="6"/>
      <c r="G1143" s="103"/>
      <c r="H1143" s="6"/>
      <c r="I1143" s="104"/>
      <c r="J1143" s="104"/>
      <c r="K1143" s="104"/>
    </row>
    <row r="1144" spans="1:11" x14ac:dyDescent="0.25">
      <c r="A1144" s="6"/>
      <c r="B1144" s="6"/>
      <c r="C1144" s="102"/>
      <c r="D1144" s="102"/>
      <c r="E1144" s="103"/>
      <c r="F1144" s="6"/>
      <c r="G1144" s="103"/>
      <c r="H1144" s="6"/>
      <c r="I1144" s="104"/>
      <c r="J1144" s="104"/>
      <c r="K1144" s="104"/>
    </row>
    <row r="1145" spans="1:11" x14ac:dyDescent="0.25">
      <c r="A1145" s="6"/>
      <c r="B1145" s="6"/>
      <c r="C1145" s="102"/>
      <c r="D1145" s="102"/>
      <c r="E1145" s="103"/>
      <c r="F1145" s="6"/>
      <c r="G1145" s="103"/>
      <c r="H1145" s="6"/>
      <c r="I1145" s="104"/>
      <c r="J1145" s="104"/>
      <c r="K1145" s="104"/>
    </row>
    <row r="1146" spans="1:11" x14ac:dyDescent="0.25">
      <c r="A1146" s="6"/>
      <c r="B1146" s="6"/>
      <c r="C1146" s="102"/>
      <c r="D1146" s="102"/>
      <c r="E1146" s="103"/>
      <c r="F1146" s="6"/>
      <c r="G1146" s="103"/>
      <c r="H1146" s="6"/>
      <c r="I1146" s="104"/>
      <c r="J1146" s="104"/>
      <c r="K1146" s="104"/>
    </row>
    <row r="1147" spans="1:11" x14ac:dyDescent="0.25">
      <c r="A1147" s="6"/>
      <c r="B1147" s="6"/>
      <c r="C1147" s="102"/>
      <c r="D1147" s="102"/>
      <c r="E1147" s="103"/>
      <c r="F1147" s="6"/>
      <c r="G1147" s="103"/>
      <c r="H1147" s="6"/>
      <c r="I1147" s="104"/>
      <c r="J1147" s="104"/>
      <c r="K1147" s="104"/>
    </row>
    <row r="1148" spans="1:11" x14ac:dyDescent="0.25">
      <c r="A1148" s="6"/>
      <c r="B1148" s="6"/>
      <c r="C1148" s="102"/>
      <c r="D1148" s="102"/>
      <c r="E1148" s="103"/>
      <c r="F1148" s="6"/>
      <c r="G1148" s="103"/>
      <c r="H1148" s="6"/>
      <c r="I1148" s="104"/>
      <c r="J1148" s="104"/>
      <c r="K1148" s="104"/>
    </row>
    <row r="1149" spans="1:11" x14ac:dyDescent="0.25">
      <c r="A1149" s="6"/>
      <c r="B1149" s="6"/>
      <c r="C1149" s="102"/>
      <c r="D1149" s="102"/>
      <c r="E1149" s="103"/>
      <c r="F1149" s="6"/>
      <c r="G1149" s="103"/>
      <c r="H1149" s="6"/>
      <c r="I1149" s="104"/>
      <c r="J1149" s="104"/>
      <c r="K1149" s="104"/>
    </row>
    <row r="1150" spans="1:11" x14ac:dyDescent="0.25">
      <c r="A1150" s="6"/>
      <c r="B1150" s="6"/>
      <c r="C1150" s="102"/>
      <c r="D1150" s="102"/>
      <c r="E1150" s="103"/>
      <c r="F1150" s="6"/>
      <c r="G1150" s="103"/>
      <c r="H1150" s="6"/>
      <c r="I1150" s="104"/>
      <c r="J1150" s="104"/>
      <c r="K1150" s="104"/>
    </row>
    <row r="1151" spans="1:11" x14ac:dyDescent="0.25">
      <c r="A1151" s="6"/>
      <c r="B1151" s="6"/>
      <c r="C1151" s="102"/>
      <c r="D1151" s="102"/>
      <c r="E1151" s="103"/>
      <c r="F1151" s="6"/>
      <c r="G1151" s="103"/>
      <c r="H1151" s="6"/>
      <c r="I1151" s="104"/>
      <c r="J1151" s="104"/>
      <c r="K1151" s="104"/>
    </row>
    <row r="1152" spans="1:11" x14ac:dyDescent="0.25">
      <c r="A1152" s="6"/>
      <c r="B1152" s="6"/>
      <c r="C1152" s="102"/>
      <c r="D1152" s="102"/>
      <c r="E1152" s="103"/>
      <c r="F1152" s="6"/>
      <c r="G1152" s="103"/>
      <c r="H1152" s="6"/>
      <c r="I1152" s="104"/>
      <c r="J1152" s="104"/>
      <c r="K1152" s="104"/>
    </row>
    <row r="1153" spans="1:11" x14ac:dyDescent="0.25">
      <c r="A1153" s="6"/>
      <c r="B1153" s="6"/>
      <c r="C1153" s="102"/>
      <c r="D1153" s="102"/>
      <c r="E1153" s="103"/>
      <c r="F1153" s="6"/>
      <c r="G1153" s="103"/>
      <c r="H1153" s="6"/>
      <c r="I1153" s="104"/>
      <c r="J1153" s="104"/>
      <c r="K1153" s="104"/>
    </row>
    <row r="1154" spans="1:11" x14ac:dyDescent="0.25">
      <c r="A1154" s="6"/>
      <c r="B1154" s="6"/>
      <c r="C1154" s="102"/>
      <c r="D1154" s="102"/>
      <c r="E1154" s="103"/>
      <c r="F1154" s="6"/>
      <c r="G1154" s="103"/>
      <c r="H1154" s="6"/>
      <c r="I1154" s="104"/>
      <c r="J1154" s="104"/>
      <c r="K1154" s="104"/>
    </row>
    <row r="1155" spans="1:11" x14ac:dyDescent="0.25">
      <c r="A1155" s="6"/>
      <c r="B1155" s="6"/>
      <c r="C1155" s="102"/>
      <c r="D1155" s="102"/>
      <c r="E1155" s="103"/>
      <c r="F1155" s="6"/>
      <c r="G1155" s="103"/>
      <c r="H1155" s="6"/>
      <c r="I1155" s="104"/>
      <c r="J1155" s="104"/>
      <c r="K1155" s="104"/>
    </row>
    <row r="1156" spans="1:11" x14ac:dyDescent="0.25">
      <c r="A1156" s="6"/>
      <c r="B1156" s="6"/>
      <c r="C1156" s="102"/>
      <c r="D1156" s="102"/>
      <c r="E1156" s="103"/>
      <c r="F1156" s="6"/>
      <c r="G1156" s="103"/>
      <c r="H1156" s="6"/>
      <c r="I1156" s="104"/>
      <c r="J1156" s="104"/>
      <c r="K1156" s="104"/>
    </row>
    <row r="1157" spans="1:11" x14ac:dyDescent="0.25">
      <c r="A1157" s="6"/>
      <c r="B1157" s="6"/>
      <c r="C1157" s="102"/>
      <c r="D1157" s="102"/>
      <c r="E1157" s="103"/>
      <c r="F1157" s="6"/>
      <c r="G1157" s="103"/>
      <c r="H1157" s="6"/>
      <c r="I1157" s="104"/>
      <c r="J1157" s="104"/>
      <c r="K1157" s="104"/>
    </row>
    <row r="1158" spans="1:11" x14ac:dyDescent="0.25">
      <c r="A1158" s="6"/>
      <c r="B1158" s="6"/>
      <c r="C1158" s="102"/>
      <c r="D1158" s="102"/>
      <c r="E1158" s="103"/>
      <c r="F1158" s="6"/>
      <c r="G1158" s="103"/>
      <c r="H1158" s="6"/>
      <c r="I1158" s="104"/>
      <c r="J1158" s="104"/>
      <c r="K1158" s="104"/>
    </row>
    <row r="1159" spans="1:11" x14ac:dyDescent="0.25">
      <c r="A1159" s="6"/>
      <c r="B1159" s="6"/>
      <c r="C1159" s="102"/>
      <c r="D1159" s="102"/>
      <c r="E1159" s="103"/>
      <c r="F1159" s="6"/>
      <c r="G1159" s="103"/>
      <c r="H1159" s="6"/>
      <c r="I1159" s="104"/>
      <c r="J1159" s="104"/>
      <c r="K1159" s="104"/>
    </row>
    <row r="1160" spans="1:11" x14ac:dyDescent="0.25">
      <c r="A1160" s="6"/>
      <c r="B1160" s="6"/>
      <c r="C1160" s="102"/>
      <c r="D1160" s="102"/>
      <c r="E1160" s="103"/>
      <c r="F1160" s="6"/>
      <c r="G1160" s="103"/>
      <c r="H1160" s="6"/>
      <c r="I1160" s="104"/>
      <c r="J1160" s="104"/>
      <c r="K1160" s="104"/>
    </row>
    <row r="1161" spans="1:11" x14ac:dyDescent="0.25">
      <c r="A1161" s="6"/>
      <c r="B1161" s="6"/>
      <c r="C1161" s="102"/>
      <c r="D1161" s="102"/>
      <c r="E1161" s="103"/>
      <c r="F1161" s="6"/>
      <c r="G1161" s="103"/>
      <c r="H1161" s="6"/>
      <c r="I1161" s="104"/>
      <c r="J1161" s="104"/>
      <c r="K1161" s="104"/>
    </row>
    <row r="1162" spans="1:11" x14ac:dyDescent="0.25">
      <c r="A1162" s="6"/>
      <c r="B1162" s="6"/>
      <c r="C1162" s="102"/>
      <c r="D1162" s="102"/>
      <c r="E1162" s="103"/>
      <c r="F1162" s="6"/>
      <c r="G1162" s="103"/>
      <c r="H1162" s="6"/>
      <c r="I1162" s="104"/>
      <c r="J1162" s="104"/>
      <c r="K1162" s="104"/>
    </row>
    <row r="1163" spans="1:11" x14ac:dyDescent="0.25">
      <c r="A1163" s="6"/>
      <c r="B1163" s="6"/>
      <c r="C1163" s="102"/>
      <c r="D1163" s="102"/>
      <c r="E1163" s="103"/>
      <c r="F1163" s="6"/>
      <c r="G1163" s="103"/>
      <c r="H1163" s="6"/>
      <c r="I1163" s="104"/>
      <c r="J1163" s="104"/>
      <c r="K1163" s="104"/>
    </row>
    <row r="1164" spans="1:11" x14ac:dyDescent="0.25">
      <c r="A1164" s="6"/>
      <c r="B1164" s="6"/>
      <c r="C1164" s="102"/>
      <c r="D1164" s="102"/>
      <c r="E1164" s="103"/>
      <c r="F1164" s="6"/>
      <c r="G1164" s="103"/>
      <c r="H1164" s="6"/>
      <c r="I1164" s="104"/>
      <c r="J1164" s="104"/>
      <c r="K1164" s="104"/>
    </row>
    <row r="1165" spans="1:11" x14ac:dyDescent="0.25">
      <c r="A1165" s="6"/>
      <c r="B1165" s="6"/>
      <c r="C1165" s="102"/>
      <c r="D1165" s="102"/>
      <c r="E1165" s="103"/>
      <c r="F1165" s="6"/>
      <c r="G1165" s="103"/>
      <c r="H1165" s="6"/>
      <c r="I1165" s="104"/>
      <c r="J1165" s="104"/>
      <c r="K1165" s="104"/>
    </row>
    <row r="1166" spans="1:11" x14ac:dyDescent="0.25">
      <c r="A1166" s="6"/>
      <c r="B1166" s="6"/>
      <c r="C1166" s="102"/>
      <c r="D1166" s="102"/>
      <c r="E1166" s="103"/>
      <c r="F1166" s="6"/>
      <c r="G1166" s="103"/>
      <c r="H1166" s="6"/>
      <c r="I1166" s="104"/>
      <c r="J1166" s="104"/>
      <c r="K1166" s="104"/>
    </row>
    <row r="1167" spans="1:11" x14ac:dyDescent="0.25">
      <c r="A1167" s="6"/>
      <c r="B1167" s="6"/>
      <c r="C1167" s="102"/>
      <c r="D1167" s="102"/>
      <c r="E1167" s="103"/>
      <c r="F1167" s="6"/>
      <c r="G1167" s="103"/>
      <c r="H1167" s="6"/>
      <c r="I1167" s="104"/>
      <c r="J1167" s="104"/>
      <c r="K1167" s="104"/>
    </row>
    <row r="1168" spans="1:11" x14ac:dyDescent="0.25">
      <c r="A1168" s="6"/>
      <c r="B1168" s="6"/>
      <c r="C1168" s="102"/>
      <c r="D1168" s="102"/>
      <c r="E1168" s="103"/>
      <c r="F1168" s="6"/>
      <c r="G1168" s="103"/>
      <c r="H1168" s="6"/>
      <c r="I1168" s="104"/>
      <c r="J1168" s="104"/>
      <c r="K1168" s="104"/>
    </row>
    <row r="1169" spans="1:11" x14ac:dyDescent="0.25">
      <c r="A1169" s="6"/>
      <c r="B1169" s="6"/>
      <c r="C1169" s="102"/>
      <c r="D1169" s="102"/>
      <c r="E1169" s="103"/>
      <c r="F1169" s="6"/>
      <c r="G1169" s="103"/>
      <c r="H1169" s="6"/>
      <c r="I1169" s="104"/>
      <c r="J1169" s="104"/>
      <c r="K1169" s="104"/>
    </row>
    <row r="1170" spans="1:11" x14ac:dyDescent="0.25">
      <c r="A1170" s="6"/>
      <c r="B1170" s="6"/>
      <c r="C1170" s="102"/>
      <c r="D1170" s="102"/>
      <c r="E1170" s="103"/>
      <c r="F1170" s="6"/>
      <c r="G1170" s="103"/>
      <c r="H1170" s="6"/>
      <c r="I1170" s="104"/>
      <c r="J1170" s="104"/>
      <c r="K1170" s="104"/>
    </row>
    <row r="1171" spans="1:11" x14ac:dyDescent="0.25">
      <c r="A1171" s="6"/>
      <c r="B1171" s="6"/>
      <c r="C1171" s="102"/>
      <c r="D1171" s="102"/>
      <c r="E1171" s="103"/>
      <c r="F1171" s="6"/>
      <c r="G1171" s="103"/>
      <c r="H1171" s="6"/>
      <c r="I1171" s="104"/>
      <c r="J1171" s="104"/>
      <c r="K1171" s="104"/>
    </row>
    <row r="1172" spans="1:11" x14ac:dyDescent="0.25">
      <c r="A1172" s="6"/>
      <c r="B1172" s="6"/>
      <c r="C1172" s="102"/>
      <c r="D1172" s="102"/>
      <c r="E1172" s="103"/>
      <c r="F1172" s="6"/>
      <c r="G1172" s="103"/>
      <c r="H1172" s="6"/>
      <c r="I1172" s="104"/>
      <c r="J1172" s="104"/>
      <c r="K1172" s="104"/>
    </row>
    <row r="1173" spans="1:11" x14ac:dyDescent="0.25">
      <c r="A1173" s="6"/>
      <c r="B1173" s="6"/>
      <c r="C1173" s="102"/>
      <c r="D1173" s="102"/>
      <c r="E1173" s="103"/>
      <c r="F1173" s="6"/>
      <c r="G1173" s="103"/>
      <c r="H1173" s="6"/>
      <c r="I1173" s="104"/>
      <c r="J1173" s="104"/>
      <c r="K1173" s="104"/>
    </row>
    <row r="1174" spans="1:11" x14ac:dyDescent="0.25">
      <c r="A1174" s="6"/>
      <c r="B1174" s="6"/>
      <c r="C1174" s="102"/>
      <c r="D1174" s="102"/>
      <c r="E1174" s="103"/>
      <c r="F1174" s="6"/>
      <c r="G1174" s="103"/>
      <c r="H1174" s="6"/>
      <c r="I1174" s="104"/>
      <c r="J1174" s="104"/>
      <c r="K1174" s="104"/>
    </row>
    <row r="1175" spans="1:11" x14ac:dyDescent="0.25">
      <c r="A1175" s="6"/>
      <c r="B1175" s="6"/>
      <c r="C1175" s="102"/>
      <c r="D1175" s="102"/>
      <c r="E1175" s="103"/>
      <c r="F1175" s="6"/>
      <c r="G1175" s="103"/>
      <c r="H1175" s="6"/>
      <c r="I1175" s="104"/>
      <c r="J1175" s="104"/>
      <c r="K1175" s="104"/>
    </row>
    <row r="1176" spans="1:11" x14ac:dyDescent="0.25">
      <c r="A1176" s="6"/>
      <c r="B1176" s="6"/>
      <c r="C1176" s="102"/>
      <c r="D1176" s="102"/>
      <c r="E1176" s="103"/>
      <c r="F1176" s="6"/>
      <c r="G1176" s="103"/>
      <c r="H1176" s="6"/>
      <c r="I1176" s="104"/>
      <c r="J1176" s="104"/>
      <c r="K1176" s="104"/>
    </row>
    <row r="1177" spans="1:11" x14ac:dyDescent="0.25">
      <c r="A1177" s="6"/>
      <c r="B1177" s="6"/>
      <c r="C1177" s="102"/>
      <c r="D1177" s="102"/>
      <c r="E1177" s="103"/>
      <c r="F1177" s="6"/>
      <c r="G1177" s="103"/>
      <c r="H1177" s="6"/>
      <c r="I1177" s="104"/>
      <c r="J1177" s="104"/>
      <c r="K1177" s="104"/>
    </row>
    <row r="1178" spans="1:11" x14ac:dyDescent="0.25">
      <c r="A1178" s="6"/>
      <c r="B1178" s="6"/>
      <c r="C1178" s="102"/>
      <c r="D1178" s="102"/>
      <c r="E1178" s="103"/>
      <c r="F1178" s="6"/>
      <c r="G1178" s="103"/>
      <c r="H1178" s="6"/>
      <c r="I1178" s="104"/>
      <c r="J1178" s="104"/>
      <c r="K1178" s="104"/>
    </row>
    <row r="1179" spans="1:11" x14ac:dyDescent="0.25">
      <c r="A1179" s="6"/>
      <c r="B1179" s="6"/>
      <c r="C1179" s="102"/>
      <c r="D1179" s="102"/>
      <c r="E1179" s="103"/>
      <c r="F1179" s="6"/>
      <c r="G1179" s="103"/>
      <c r="H1179" s="6"/>
      <c r="I1179" s="104"/>
      <c r="J1179" s="104"/>
      <c r="K1179" s="104"/>
    </row>
    <row r="1180" spans="1:11" x14ac:dyDescent="0.25">
      <c r="A1180" s="6"/>
      <c r="B1180" s="6"/>
      <c r="C1180" s="102"/>
      <c r="D1180" s="102"/>
      <c r="E1180" s="103"/>
      <c r="F1180" s="6"/>
      <c r="G1180" s="103"/>
      <c r="H1180" s="6"/>
      <c r="I1180" s="104"/>
      <c r="J1180" s="104"/>
      <c r="K1180" s="104"/>
    </row>
    <row r="1181" spans="1:11" x14ac:dyDescent="0.25">
      <c r="A1181" s="6"/>
      <c r="B1181" s="6"/>
      <c r="C1181" s="102"/>
      <c r="D1181" s="102"/>
      <c r="E1181" s="103"/>
      <c r="F1181" s="6"/>
      <c r="G1181" s="103"/>
      <c r="H1181" s="6"/>
      <c r="I1181" s="104"/>
      <c r="J1181" s="104"/>
      <c r="K1181" s="104"/>
    </row>
    <row r="1182" spans="1:11" x14ac:dyDescent="0.25">
      <c r="A1182" s="6"/>
      <c r="B1182" s="6"/>
      <c r="C1182" s="102"/>
      <c r="D1182" s="102"/>
      <c r="E1182" s="103"/>
      <c r="F1182" s="6"/>
      <c r="G1182" s="103"/>
      <c r="H1182" s="6"/>
      <c r="I1182" s="104"/>
      <c r="J1182" s="104"/>
      <c r="K1182" s="104"/>
    </row>
    <row r="1183" spans="1:11" x14ac:dyDescent="0.25">
      <c r="A1183" s="6"/>
      <c r="B1183" s="6"/>
      <c r="C1183" s="102"/>
      <c r="D1183" s="102"/>
      <c r="E1183" s="103"/>
      <c r="F1183" s="6"/>
      <c r="G1183" s="103"/>
      <c r="H1183" s="6"/>
      <c r="I1183" s="104"/>
      <c r="J1183" s="104"/>
      <c r="K1183" s="104"/>
    </row>
    <row r="1184" spans="1:11" x14ac:dyDescent="0.25">
      <c r="A1184" s="6"/>
      <c r="B1184" s="6"/>
      <c r="C1184" s="102"/>
      <c r="D1184" s="102"/>
      <c r="E1184" s="103"/>
      <c r="F1184" s="6"/>
      <c r="G1184" s="103"/>
      <c r="H1184" s="6"/>
      <c r="I1184" s="104"/>
      <c r="J1184" s="104"/>
      <c r="K1184" s="104"/>
    </row>
    <row r="1185" spans="1:11" x14ac:dyDescent="0.25">
      <c r="A1185" s="6"/>
      <c r="B1185" s="6"/>
      <c r="C1185" s="102"/>
      <c r="D1185" s="102"/>
      <c r="E1185" s="103"/>
      <c r="F1185" s="6"/>
      <c r="G1185" s="103"/>
      <c r="H1185" s="6"/>
      <c r="I1185" s="104"/>
      <c r="J1185" s="104"/>
      <c r="K1185" s="104"/>
    </row>
    <row r="1186" spans="1:11" x14ac:dyDescent="0.25">
      <c r="A1186" s="6"/>
      <c r="B1186" s="6"/>
      <c r="C1186" s="102"/>
      <c r="D1186" s="102"/>
      <c r="E1186" s="103"/>
      <c r="F1186" s="6"/>
      <c r="G1186" s="103"/>
      <c r="H1186" s="6"/>
      <c r="I1186" s="104"/>
      <c r="J1186" s="104"/>
      <c r="K1186" s="104"/>
    </row>
    <row r="1187" spans="1:11" x14ac:dyDescent="0.25">
      <c r="A1187" s="6"/>
      <c r="B1187" s="6"/>
      <c r="C1187" s="102"/>
      <c r="D1187" s="102"/>
      <c r="E1187" s="103"/>
      <c r="F1187" s="6"/>
      <c r="G1187" s="103"/>
      <c r="H1187" s="6"/>
      <c r="I1187" s="104"/>
      <c r="J1187" s="104"/>
      <c r="K1187" s="104"/>
    </row>
    <row r="1188" spans="1:11" x14ac:dyDescent="0.25">
      <c r="A1188" s="6"/>
      <c r="B1188" s="6"/>
      <c r="C1188" s="102"/>
      <c r="D1188" s="102"/>
      <c r="E1188" s="103"/>
      <c r="F1188" s="6"/>
      <c r="G1188" s="103"/>
      <c r="H1188" s="6"/>
      <c r="I1188" s="104"/>
      <c r="J1188" s="104"/>
      <c r="K1188" s="104"/>
    </row>
    <row r="1189" spans="1:11" x14ac:dyDescent="0.25">
      <c r="A1189" s="6"/>
      <c r="B1189" s="6"/>
      <c r="C1189" s="102"/>
      <c r="D1189" s="102"/>
      <c r="E1189" s="103"/>
      <c r="F1189" s="6"/>
      <c r="G1189" s="103"/>
      <c r="H1189" s="6"/>
      <c r="I1189" s="104"/>
      <c r="J1189" s="104"/>
      <c r="K1189" s="104"/>
    </row>
    <row r="1190" spans="1:11" x14ac:dyDescent="0.25">
      <c r="A1190" s="6"/>
      <c r="B1190" s="6"/>
      <c r="C1190" s="102"/>
      <c r="D1190" s="102"/>
      <c r="E1190" s="103"/>
      <c r="F1190" s="6"/>
      <c r="G1190" s="103"/>
      <c r="H1190" s="6"/>
      <c r="I1190" s="104"/>
      <c r="J1190" s="104"/>
      <c r="K1190" s="104"/>
    </row>
    <row r="1191" spans="1:11" x14ac:dyDescent="0.25">
      <c r="A1191" s="6"/>
      <c r="B1191" s="6"/>
      <c r="C1191" s="102"/>
      <c r="D1191" s="102"/>
      <c r="E1191" s="103"/>
      <c r="F1191" s="6"/>
      <c r="G1191" s="103"/>
      <c r="H1191" s="6"/>
      <c r="I1191" s="104"/>
      <c r="J1191" s="104"/>
      <c r="K1191" s="104"/>
    </row>
    <row r="1192" spans="1:11" x14ac:dyDescent="0.25">
      <c r="A1192" s="6"/>
      <c r="B1192" s="6"/>
      <c r="C1192" s="102"/>
      <c r="D1192" s="102"/>
      <c r="E1192" s="103"/>
      <c r="F1192" s="6"/>
      <c r="G1192" s="103"/>
      <c r="H1192" s="6"/>
      <c r="I1192" s="104"/>
      <c r="J1192" s="104"/>
      <c r="K1192" s="104"/>
    </row>
    <row r="1193" spans="1:11" x14ac:dyDescent="0.25">
      <c r="A1193" s="6"/>
      <c r="B1193" s="6"/>
      <c r="C1193" s="102"/>
      <c r="D1193" s="102"/>
      <c r="E1193" s="103"/>
      <c r="F1193" s="6"/>
      <c r="G1193" s="103"/>
      <c r="H1193" s="6"/>
      <c r="I1193" s="104"/>
      <c r="J1193" s="104"/>
      <c r="K1193" s="104"/>
    </row>
    <row r="1194" spans="1:11" x14ac:dyDescent="0.25">
      <c r="A1194" s="6"/>
      <c r="B1194" s="6"/>
      <c r="C1194" s="102"/>
      <c r="D1194" s="102"/>
      <c r="E1194" s="103"/>
      <c r="F1194" s="6"/>
      <c r="G1194" s="103"/>
      <c r="H1194" s="6"/>
      <c r="I1194" s="104"/>
      <c r="J1194" s="104"/>
      <c r="K1194" s="104"/>
    </row>
    <row r="1195" spans="1:11" x14ac:dyDescent="0.25">
      <c r="A1195" s="6"/>
      <c r="B1195" s="6"/>
      <c r="C1195" s="102"/>
      <c r="D1195" s="102"/>
      <c r="E1195" s="103"/>
      <c r="F1195" s="6"/>
      <c r="G1195" s="103"/>
      <c r="H1195" s="6"/>
      <c r="I1195" s="104"/>
      <c r="J1195" s="104"/>
      <c r="K1195" s="104"/>
    </row>
    <row r="1196" spans="1:11" x14ac:dyDescent="0.25">
      <c r="A1196" s="6"/>
      <c r="B1196" s="6"/>
      <c r="C1196" s="102"/>
      <c r="D1196" s="102"/>
      <c r="E1196" s="103"/>
      <c r="F1196" s="6"/>
      <c r="G1196" s="103"/>
      <c r="H1196" s="6"/>
      <c r="I1196" s="104"/>
      <c r="J1196" s="104"/>
      <c r="K1196" s="104"/>
    </row>
    <row r="1197" spans="1:11" x14ac:dyDescent="0.25">
      <c r="A1197" s="6"/>
      <c r="B1197" s="6"/>
      <c r="C1197" s="102"/>
      <c r="D1197" s="102"/>
      <c r="E1197" s="103"/>
      <c r="F1197" s="6"/>
      <c r="G1197" s="103"/>
      <c r="H1197" s="6"/>
      <c r="I1197" s="104"/>
      <c r="J1197" s="104"/>
      <c r="K1197" s="104"/>
    </row>
    <row r="1198" spans="1:11" x14ac:dyDescent="0.25">
      <c r="A1198" s="6"/>
      <c r="B1198" s="6"/>
      <c r="C1198" s="102"/>
      <c r="D1198" s="102"/>
      <c r="E1198" s="103"/>
      <c r="F1198" s="6"/>
      <c r="G1198" s="103"/>
      <c r="H1198" s="6"/>
      <c r="I1198" s="104"/>
      <c r="J1198" s="104"/>
      <c r="K1198" s="104"/>
    </row>
    <row r="1199" spans="1:11" x14ac:dyDescent="0.25">
      <c r="A1199" s="6"/>
      <c r="B1199" s="6"/>
      <c r="C1199" s="102"/>
      <c r="D1199" s="102"/>
      <c r="E1199" s="103"/>
      <c r="F1199" s="6"/>
      <c r="G1199" s="103"/>
      <c r="H1199" s="6"/>
      <c r="I1199" s="104"/>
      <c r="J1199" s="104"/>
      <c r="K1199" s="104"/>
    </row>
    <row r="1200" spans="1:11" x14ac:dyDescent="0.25">
      <c r="A1200" s="6"/>
      <c r="B1200" s="6"/>
      <c r="C1200" s="102"/>
      <c r="D1200" s="102"/>
      <c r="E1200" s="103"/>
      <c r="F1200" s="6"/>
      <c r="G1200" s="103"/>
      <c r="H1200" s="6"/>
      <c r="I1200" s="104"/>
      <c r="J1200" s="104"/>
      <c r="K1200" s="104"/>
    </row>
    <row r="1201" spans="1:11" x14ac:dyDescent="0.25">
      <c r="A1201" s="6"/>
      <c r="B1201" s="6"/>
      <c r="C1201" s="102"/>
      <c r="D1201" s="102"/>
      <c r="E1201" s="103"/>
      <c r="F1201" s="6"/>
      <c r="G1201" s="103"/>
      <c r="H1201" s="6"/>
      <c r="I1201" s="104"/>
      <c r="J1201" s="104"/>
      <c r="K1201" s="104"/>
    </row>
    <row r="1202" spans="1:11" x14ac:dyDescent="0.25">
      <c r="A1202" s="6"/>
      <c r="B1202" s="6"/>
      <c r="C1202" s="102"/>
      <c r="D1202" s="102"/>
      <c r="E1202" s="103"/>
      <c r="F1202" s="6"/>
      <c r="G1202" s="103"/>
      <c r="H1202" s="6"/>
      <c r="I1202" s="104"/>
      <c r="J1202" s="104"/>
      <c r="K1202" s="104"/>
    </row>
    <row r="1203" spans="1:11" x14ac:dyDescent="0.25">
      <c r="A1203" s="6"/>
      <c r="B1203" s="6"/>
      <c r="C1203" s="102"/>
      <c r="D1203" s="102"/>
      <c r="E1203" s="103"/>
      <c r="F1203" s="6"/>
      <c r="G1203" s="103"/>
      <c r="H1203" s="6"/>
      <c r="I1203" s="104"/>
      <c r="J1203" s="104"/>
      <c r="K1203" s="104"/>
    </row>
    <row r="1204" spans="1:11" x14ac:dyDescent="0.25">
      <c r="A1204" s="6"/>
      <c r="B1204" s="6"/>
      <c r="C1204" s="102"/>
      <c r="D1204" s="102"/>
      <c r="E1204" s="103"/>
      <c r="F1204" s="6"/>
      <c r="G1204" s="103"/>
      <c r="H1204" s="6"/>
      <c r="I1204" s="104"/>
      <c r="J1204" s="104"/>
      <c r="K1204" s="104"/>
    </row>
    <row r="1205" spans="1:11" x14ac:dyDescent="0.25">
      <c r="A1205" s="6"/>
      <c r="B1205" s="6"/>
      <c r="C1205" s="102"/>
      <c r="D1205" s="102"/>
      <c r="E1205" s="103"/>
      <c r="F1205" s="6"/>
      <c r="G1205" s="103"/>
      <c r="H1205" s="6"/>
      <c r="I1205" s="104"/>
      <c r="J1205" s="104"/>
      <c r="K1205" s="104"/>
    </row>
    <row r="1206" spans="1:11" x14ac:dyDescent="0.25">
      <c r="A1206" s="6"/>
      <c r="B1206" s="6"/>
      <c r="C1206" s="102"/>
      <c r="D1206" s="102"/>
      <c r="E1206" s="103"/>
      <c r="F1206" s="6"/>
      <c r="G1206" s="103"/>
      <c r="H1206" s="6"/>
      <c r="I1206" s="104"/>
      <c r="J1206" s="104"/>
      <c r="K1206" s="104"/>
    </row>
    <row r="1207" spans="1:11" x14ac:dyDescent="0.25">
      <c r="A1207" s="6"/>
      <c r="B1207" s="6"/>
      <c r="C1207" s="102"/>
      <c r="D1207" s="102"/>
      <c r="E1207" s="103"/>
      <c r="F1207" s="6"/>
      <c r="G1207" s="103"/>
      <c r="H1207" s="6"/>
      <c r="I1207" s="104"/>
      <c r="J1207" s="104"/>
      <c r="K1207" s="104"/>
    </row>
    <row r="1208" spans="1:11" x14ac:dyDescent="0.25">
      <c r="A1208" s="6"/>
      <c r="B1208" s="6"/>
      <c r="C1208" s="102"/>
      <c r="D1208" s="102"/>
      <c r="E1208" s="103"/>
      <c r="F1208" s="6"/>
      <c r="G1208" s="103"/>
      <c r="H1208" s="6"/>
      <c r="I1208" s="104"/>
      <c r="J1208" s="104"/>
      <c r="K1208" s="104"/>
    </row>
    <row r="1209" spans="1:11" x14ac:dyDescent="0.25">
      <c r="A1209" s="6"/>
      <c r="B1209" s="6"/>
      <c r="C1209" s="102"/>
      <c r="D1209" s="102"/>
      <c r="E1209" s="103"/>
      <c r="F1209" s="6"/>
      <c r="G1209" s="103"/>
      <c r="H1209" s="6"/>
      <c r="I1209" s="104"/>
      <c r="J1209" s="104"/>
      <c r="K1209" s="104"/>
    </row>
    <row r="1210" spans="1:11" x14ac:dyDescent="0.25">
      <c r="A1210" s="6"/>
      <c r="B1210" s="6"/>
      <c r="C1210" s="102"/>
      <c r="D1210" s="102"/>
      <c r="E1210" s="103"/>
      <c r="F1210" s="6"/>
      <c r="G1210" s="103"/>
      <c r="H1210" s="6"/>
      <c r="I1210" s="104"/>
      <c r="J1210" s="104"/>
      <c r="K1210" s="104"/>
    </row>
    <row r="1211" spans="1:11" x14ac:dyDescent="0.25">
      <c r="A1211" s="6"/>
      <c r="B1211" s="6"/>
      <c r="C1211" s="102"/>
      <c r="D1211" s="102"/>
      <c r="E1211" s="103"/>
      <c r="F1211" s="6"/>
      <c r="G1211" s="103"/>
      <c r="H1211" s="6"/>
      <c r="I1211" s="104"/>
      <c r="J1211" s="104"/>
      <c r="K1211" s="104"/>
    </row>
    <row r="1212" spans="1:11" x14ac:dyDescent="0.25">
      <c r="A1212" s="6"/>
      <c r="B1212" s="6"/>
      <c r="C1212" s="102"/>
      <c r="D1212" s="102"/>
      <c r="E1212" s="103"/>
      <c r="F1212" s="6"/>
      <c r="G1212" s="103"/>
      <c r="H1212" s="6"/>
      <c r="I1212" s="104"/>
      <c r="J1212" s="104"/>
      <c r="K1212" s="104"/>
    </row>
    <row r="1213" spans="1:11" x14ac:dyDescent="0.25">
      <c r="A1213" s="6"/>
      <c r="B1213" s="6"/>
      <c r="C1213" s="102"/>
      <c r="D1213" s="102"/>
      <c r="E1213" s="103"/>
      <c r="F1213" s="6"/>
      <c r="G1213" s="103"/>
      <c r="H1213" s="6"/>
      <c r="I1213" s="104"/>
      <c r="J1213" s="104"/>
      <c r="K1213" s="104"/>
    </row>
    <row r="1214" spans="1:11" x14ac:dyDescent="0.25">
      <c r="A1214" s="6"/>
      <c r="B1214" s="6"/>
      <c r="C1214" s="102"/>
      <c r="D1214" s="102"/>
      <c r="E1214" s="103"/>
      <c r="F1214" s="6"/>
      <c r="G1214" s="103"/>
      <c r="H1214" s="6"/>
      <c r="I1214" s="104"/>
      <c r="J1214" s="104"/>
      <c r="K1214" s="104"/>
    </row>
    <row r="1215" spans="1:11" x14ac:dyDescent="0.25">
      <c r="A1215" s="6"/>
      <c r="B1215" s="6"/>
      <c r="C1215" s="102"/>
      <c r="D1215" s="102"/>
      <c r="E1215" s="103"/>
      <c r="F1215" s="6"/>
      <c r="G1215" s="103"/>
      <c r="H1215" s="6"/>
      <c r="I1215" s="104"/>
      <c r="J1215" s="104"/>
      <c r="K1215" s="104"/>
    </row>
    <row r="1216" spans="1:11" x14ac:dyDescent="0.25">
      <c r="A1216" s="6"/>
      <c r="B1216" s="6"/>
      <c r="C1216" s="102"/>
      <c r="D1216" s="102"/>
      <c r="E1216" s="103"/>
      <c r="F1216" s="6"/>
      <c r="G1216" s="103"/>
      <c r="H1216" s="6"/>
      <c r="I1216" s="104"/>
      <c r="J1216" s="104"/>
      <c r="K1216" s="104"/>
    </row>
    <row r="1217" spans="1:11" x14ac:dyDescent="0.25">
      <c r="A1217" s="6"/>
      <c r="B1217" s="6"/>
      <c r="C1217" s="102"/>
      <c r="D1217" s="102"/>
      <c r="E1217" s="103"/>
      <c r="F1217" s="6"/>
      <c r="G1217" s="103"/>
      <c r="H1217" s="6"/>
      <c r="I1217" s="104"/>
      <c r="J1217" s="104"/>
      <c r="K1217" s="104"/>
    </row>
    <row r="1218" spans="1:11" x14ac:dyDescent="0.25">
      <c r="A1218" s="6"/>
      <c r="B1218" s="6"/>
      <c r="C1218" s="102"/>
      <c r="D1218" s="102"/>
      <c r="E1218" s="103"/>
      <c r="F1218" s="6"/>
      <c r="G1218" s="103"/>
      <c r="H1218" s="6"/>
      <c r="I1218" s="104"/>
      <c r="J1218" s="104"/>
      <c r="K1218" s="104"/>
    </row>
    <row r="1219" spans="1:11" x14ac:dyDescent="0.25">
      <c r="A1219" s="6"/>
      <c r="B1219" s="6"/>
      <c r="C1219" s="102"/>
      <c r="D1219" s="102"/>
      <c r="E1219" s="103"/>
      <c r="F1219" s="6"/>
      <c r="G1219" s="103"/>
      <c r="H1219" s="6"/>
      <c r="I1219" s="104"/>
      <c r="J1219" s="104"/>
      <c r="K1219" s="104"/>
    </row>
    <row r="1220" spans="1:11" x14ac:dyDescent="0.25">
      <c r="A1220" s="6"/>
      <c r="B1220" s="6"/>
      <c r="C1220" s="102"/>
      <c r="D1220" s="102"/>
      <c r="E1220" s="103"/>
      <c r="F1220" s="6"/>
      <c r="G1220" s="103"/>
      <c r="H1220" s="6"/>
      <c r="I1220" s="104"/>
      <c r="J1220" s="104"/>
      <c r="K1220" s="104"/>
    </row>
    <row r="1221" spans="1:11" x14ac:dyDescent="0.25">
      <c r="A1221" s="6"/>
      <c r="B1221" s="6"/>
      <c r="C1221" s="102"/>
      <c r="D1221" s="102"/>
      <c r="E1221" s="103"/>
      <c r="F1221" s="6"/>
      <c r="G1221" s="103"/>
      <c r="H1221" s="6"/>
      <c r="I1221" s="104"/>
      <c r="J1221" s="104"/>
      <c r="K1221" s="104"/>
    </row>
    <row r="1222" spans="1:11" x14ac:dyDescent="0.25">
      <c r="A1222" s="6"/>
      <c r="B1222" s="6"/>
      <c r="C1222" s="102"/>
      <c r="D1222" s="102"/>
      <c r="E1222" s="103"/>
      <c r="F1222" s="6"/>
      <c r="G1222" s="103"/>
      <c r="H1222" s="6"/>
      <c r="I1222" s="104"/>
      <c r="J1222" s="104"/>
      <c r="K1222" s="104"/>
    </row>
    <row r="1223" spans="1:11" x14ac:dyDescent="0.25">
      <c r="A1223" s="6"/>
      <c r="B1223" s="6"/>
      <c r="C1223" s="102"/>
      <c r="D1223" s="102"/>
      <c r="E1223" s="103"/>
      <c r="F1223" s="6"/>
      <c r="G1223" s="103"/>
      <c r="H1223" s="6"/>
      <c r="I1223" s="104"/>
      <c r="J1223" s="104"/>
      <c r="K1223" s="104"/>
    </row>
    <row r="1224" spans="1:11" x14ac:dyDescent="0.25">
      <c r="A1224" s="6"/>
      <c r="B1224" s="6"/>
      <c r="C1224" s="102"/>
      <c r="D1224" s="102"/>
      <c r="E1224" s="103"/>
      <c r="F1224" s="6"/>
      <c r="G1224" s="103"/>
      <c r="H1224" s="6"/>
      <c r="I1224" s="104"/>
      <c r="J1224" s="104"/>
      <c r="K1224" s="104"/>
    </row>
    <row r="1225" spans="1:11" x14ac:dyDescent="0.25">
      <c r="A1225" s="6"/>
      <c r="B1225" s="6"/>
      <c r="C1225" s="102"/>
      <c r="D1225" s="102"/>
      <c r="E1225" s="103"/>
      <c r="F1225" s="6"/>
      <c r="G1225" s="103"/>
      <c r="H1225" s="6"/>
      <c r="I1225" s="104"/>
      <c r="J1225" s="104"/>
      <c r="K1225" s="104"/>
    </row>
    <row r="1226" spans="1:11" x14ac:dyDescent="0.25">
      <c r="A1226" s="6"/>
      <c r="B1226" s="6"/>
      <c r="C1226" s="102"/>
      <c r="D1226" s="102"/>
      <c r="E1226" s="103"/>
      <c r="F1226" s="6"/>
      <c r="G1226" s="103"/>
      <c r="H1226" s="6"/>
      <c r="I1226" s="104"/>
      <c r="J1226" s="104"/>
      <c r="K1226" s="104"/>
    </row>
    <row r="1227" spans="1:11" x14ac:dyDescent="0.25">
      <c r="A1227" s="6"/>
      <c r="B1227" s="6"/>
      <c r="C1227" s="102"/>
      <c r="D1227" s="102"/>
      <c r="E1227" s="103"/>
      <c r="F1227" s="6"/>
      <c r="G1227" s="103"/>
      <c r="H1227" s="6"/>
      <c r="I1227" s="104"/>
      <c r="J1227" s="104"/>
      <c r="K1227" s="104"/>
    </row>
    <row r="1228" spans="1:11" x14ac:dyDescent="0.25">
      <c r="A1228" s="6"/>
      <c r="B1228" s="6"/>
      <c r="C1228" s="102"/>
      <c r="D1228" s="102"/>
      <c r="E1228" s="103"/>
      <c r="F1228" s="6"/>
      <c r="G1228" s="103"/>
      <c r="H1228" s="6"/>
      <c r="I1228" s="104"/>
      <c r="J1228" s="104"/>
      <c r="K1228" s="104"/>
    </row>
    <row r="1229" spans="1:11" x14ac:dyDescent="0.25">
      <c r="A1229" s="6"/>
      <c r="B1229" s="6"/>
      <c r="C1229" s="102"/>
      <c r="D1229" s="102"/>
      <c r="E1229" s="103"/>
      <c r="F1229" s="6"/>
      <c r="G1229" s="103"/>
      <c r="H1229" s="6"/>
      <c r="I1229" s="104"/>
      <c r="J1229" s="104"/>
      <c r="K1229" s="104"/>
    </row>
    <row r="1230" spans="1:11" x14ac:dyDescent="0.25">
      <c r="A1230" s="6"/>
      <c r="B1230" s="6"/>
      <c r="C1230" s="102"/>
      <c r="D1230" s="102"/>
      <c r="E1230" s="103"/>
      <c r="F1230" s="6"/>
      <c r="G1230" s="103"/>
      <c r="H1230" s="6"/>
      <c r="I1230" s="104"/>
      <c r="J1230" s="104"/>
      <c r="K1230" s="104"/>
    </row>
    <row r="1231" spans="1:11" x14ac:dyDescent="0.25">
      <c r="A1231" s="6"/>
      <c r="B1231" s="6"/>
      <c r="C1231" s="102"/>
      <c r="D1231" s="102"/>
      <c r="E1231" s="103"/>
      <c r="F1231" s="6"/>
      <c r="G1231" s="103"/>
      <c r="H1231" s="6"/>
      <c r="I1231" s="104"/>
      <c r="J1231" s="104"/>
      <c r="K1231" s="104"/>
    </row>
    <row r="1232" spans="1:11" x14ac:dyDescent="0.25">
      <c r="A1232" s="6"/>
      <c r="B1232" s="6"/>
      <c r="C1232" s="102"/>
      <c r="D1232" s="102"/>
      <c r="E1232" s="103"/>
      <c r="F1232" s="6"/>
      <c r="G1232" s="103"/>
      <c r="H1232" s="6"/>
      <c r="I1232" s="104"/>
      <c r="J1232" s="104"/>
      <c r="K1232" s="104"/>
    </row>
    <row r="1233" spans="1:11" x14ac:dyDescent="0.25">
      <c r="A1233" s="6"/>
      <c r="B1233" s="6"/>
      <c r="C1233" s="102"/>
      <c r="D1233" s="102"/>
      <c r="E1233" s="103"/>
      <c r="F1233" s="6"/>
      <c r="G1233" s="103"/>
      <c r="H1233" s="6"/>
      <c r="I1233" s="104"/>
      <c r="J1233" s="104"/>
      <c r="K1233" s="104"/>
    </row>
    <row r="1234" spans="1:11" x14ac:dyDescent="0.25">
      <c r="A1234" s="6"/>
      <c r="B1234" s="6"/>
      <c r="C1234" s="102"/>
      <c r="D1234" s="102"/>
      <c r="E1234" s="103"/>
      <c r="F1234" s="6"/>
      <c r="G1234" s="103"/>
      <c r="H1234" s="6"/>
      <c r="I1234" s="104"/>
      <c r="J1234" s="104"/>
      <c r="K1234" s="104"/>
    </row>
    <row r="1235" spans="1:11" x14ac:dyDescent="0.25">
      <c r="A1235" s="6"/>
      <c r="B1235" s="6"/>
      <c r="C1235" s="102"/>
      <c r="D1235" s="102"/>
      <c r="E1235" s="103"/>
      <c r="F1235" s="6"/>
      <c r="G1235" s="103"/>
      <c r="H1235" s="6"/>
      <c r="I1235" s="104"/>
      <c r="J1235" s="104"/>
      <c r="K1235" s="104"/>
    </row>
    <row r="1236" spans="1:11" x14ac:dyDescent="0.25">
      <c r="A1236" s="6"/>
      <c r="B1236" s="6"/>
      <c r="C1236" s="102"/>
      <c r="D1236" s="102"/>
      <c r="E1236" s="103"/>
      <c r="F1236" s="6"/>
      <c r="G1236" s="103"/>
      <c r="H1236" s="6"/>
      <c r="I1236" s="104"/>
      <c r="J1236" s="104"/>
      <c r="K1236" s="104"/>
    </row>
    <row r="1237" spans="1:11" x14ac:dyDescent="0.25">
      <c r="A1237" s="6"/>
      <c r="B1237" s="6"/>
      <c r="C1237" s="102"/>
      <c r="D1237" s="102"/>
      <c r="E1237" s="103"/>
      <c r="F1237" s="6"/>
      <c r="G1237" s="103"/>
      <c r="H1237" s="6"/>
      <c r="I1237" s="104"/>
      <c r="J1237" s="104"/>
      <c r="K1237" s="104"/>
    </row>
    <row r="1238" spans="1:11" x14ac:dyDescent="0.25">
      <c r="A1238" s="6"/>
      <c r="B1238" s="6"/>
      <c r="C1238" s="102"/>
      <c r="D1238" s="102"/>
      <c r="E1238" s="103"/>
      <c r="F1238" s="6"/>
      <c r="G1238" s="103"/>
      <c r="H1238" s="6"/>
      <c r="I1238" s="104"/>
      <c r="J1238" s="104"/>
      <c r="K1238" s="104"/>
    </row>
    <row r="1239" spans="1:11" x14ac:dyDescent="0.25">
      <c r="A1239" s="6"/>
      <c r="B1239" s="6"/>
      <c r="C1239" s="102"/>
      <c r="D1239" s="102"/>
      <c r="E1239" s="103"/>
      <c r="F1239" s="6"/>
      <c r="G1239" s="103"/>
      <c r="H1239" s="6"/>
      <c r="I1239" s="104"/>
      <c r="J1239" s="104"/>
      <c r="K1239" s="104"/>
    </row>
    <row r="1240" spans="1:11" x14ac:dyDescent="0.25">
      <c r="A1240" s="6"/>
      <c r="B1240" s="6"/>
      <c r="C1240" s="102"/>
      <c r="D1240" s="102"/>
      <c r="E1240" s="103"/>
      <c r="F1240" s="6"/>
      <c r="G1240" s="103"/>
      <c r="H1240" s="6"/>
      <c r="I1240" s="104"/>
      <c r="J1240" s="104"/>
      <c r="K1240" s="104"/>
    </row>
    <row r="1241" spans="1:11" x14ac:dyDescent="0.25">
      <c r="A1241" s="6"/>
      <c r="B1241" s="6"/>
      <c r="C1241" s="102"/>
      <c r="D1241" s="102"/>
      <c r="E1241" s="103"/>
      <c r="F1241" s="6"/>
      <c r="G1241" s="103"/>
      <c r="H1241" s="6"/>
      <c r="I1241" s="104"/>
      <c r="J1241" s="104"/>
      <c r="K1241" s="104"/>
    </row>
    <row r="1242" spans="1:11" x14ac:dyDescent="0.25">
      <c r="A1242" s="6"/>
      <c r="B1242" s="6"/>
      <c r="C1242" s="102"/>
      <c r="D1242" s="102"/>
      <c r="E1242" s="103"/>
      <c r="F1242" s="6"/>
      <c r="G1242" s="103"/>
      <c r="H1242" s="6"/>
      <c r="I1242" s="104"/>
      <c r="J1242" s="104"/>
      <c r="K1242" s="104"/>
    </row>
    <row r="1243" spans="1:11" x14ac:dyDescent="0.25">
      <c r="A1243" s="6"/>
      <c r="B1243" s="6"/>
      <c r="C1243" s="102"/>
      <c r="D1243" s="102"/>
      <c r="E1243" s="103"/>
      <c r="F1243" s="6"/>
      <c r="G1243" s="103"/>
      <c r="H1243" s="6"/>
      <c r="I1243" s="104"/>
      <c r="J1243" s="104"/>
      <c r="K1243" s="104"/>
    </row>
    <row r="1244" spans="1:11" x14ac:dyDescent="0.25">
      <c r="A1244" s="6"/>
      <c r="B1244" s="6"/>
      <c r="C1244" s="102"/>
      <c r="D1244" s="102"/>
      <c r="E1244" s="103"/>
      <c r="F1244" s="6"/>
      <c r="G1244" s="103"/>
      <c r="H1244" s="6"/>
      <c r="I1244" s="104"/>
      <c r="J1244" s="104"/>
      <c r="K1244" s="104"/>
    </row>
    <row r="1245" spans="1:11" x14ac:dyDescent="0.25">
      <c r="A1245" s="6"/>
      <c r="B1245" s="6"/>
      <c r="C1245" s="102"/>
      <c r="D1245" s="102"/>
      <c r="E1245" s="103"/>
      <c r="F1245" s="6"/>
      <c r="G1245" s="103"/>
      <c r="H1245" s="6"/>
      <c r="I1245" s="104"/>
      <c r="J1245" s="104"/>
      <c r="K1245" s="104"/>
    </row>
    <row r="1246" spans="1:11" x14ac:dyDescent="0.25">
      <c r="A1246" s="6"/>
      <c r="B1246" s="6"/>
      <c r="C1246" s="102"/>
      <c r="D1246" s="102"/>
      <c r="E1246" s="103"/>
      <c r="F1246" s="6"/>
      <c r="G1246" s="103"/>
      <c r="H1246" s="6"/>
      <c r="I1246" s="104"/>
      <c r="J1246" s="104"/>
      <c r="K1246" s="104"/>
    </row>
    <row r="1247" spans="1:11" x14ac:dyDescent="0.25">
      <c r="A1247" s="6"/>
      <c r="B1247" s="6"/>
      <c r="C1247" s="102"/>
      <c r="D1247" s="102"/>
      <c r="E1247" s="103"/>
      <c r="F1247" s="6"/>
      <c r="G1247" s="103"/>
      <c r="H1247" s="6"/>
      <c r="I1247" s="104"/>
      <c r="J1247" s="104"/>
      <c r="K1247" s="104"/>
    </row>
    <row r="1248" spans="1:11" x14ac:dyDescent="0.25">
      <c r="A1248" s="6"/>
      <c r="B1248" s="6"/>
      <c r="C1248" s="102"/>
      <c r="D1248" s="102"/>
      <c r="E1248" s="103"/>
      <c r="F1248" s="6"/>
      <c r="G1248" s="103"/>
      <c r="H1248" s="6"/>
      <c r="I1248" s="104"/>
      <c r="J1248" s="104"/>
      <c r="K1248" s="104"/>
    </row>
    <row r="1249" spans="1:11" x14ac:dyDescent="0.25">
      <c r="A1249" s="6"/>
      <c r="B1249" s="6"/>
      <c r="C1249" s="102"/>
      <c r="D1249" s="102"/>
      <c r="E1249" s="103"/>
      <c r="F1249" s="6"/>
      <c r="G1249" s="103"/>
      <c r="H1249" s="6"/>
      <c r="I1249" s="104"/>
      <c r="J1249" s="104"/>
      <c r="K1249" s="104"/>
    </row>
    <row r="1250" spans="1:11" x14ac:dyDescent="0.25">
      <c r="A1250" s="6"/>
      <c r="B1250" s="6"/>
      <c r="C1250" s="102"/>
      <c r="D1250" s="102"/>
      <c r="E1250" s="103"/>
      <c r="F1250" s="6"/>
      <c r="G1250" s="103"/>
      <c r="H1250" s="6"/>
      <c r="I1250" s="104"/>
      <c r="J1250" s="104"/>
      <c r="K1250" s="104"/>
    </row>
    <row r="1251" spans="1:11" x14ac:dyDescent="0.25">
      <c r="A1251" s="6"/>
      <c r="B1251" s="6"/>
      <c r="C1251" s="102"/>
      <c r="D1251" s="102"/>
      <c r="E1251" s="103"/>
      <c r="F1251" s="6"/>
      <c r="G1251" s="103"/>
      <c r="H1251" s="6"/>
      <c r="I1251" s="104"/>
      <c r="J1251" s="104"/>
      <c r="K1251" s="104"/>
    </row>
    <row r="1252" spans="1:11" x14ac:dyDescent="0.25">
      <c r="A1252" s="6"/>
      <c r="B1252" s="6"/>
      <c r="C1252" s="102"/>
      <c r="D1252" s="102"/>
      <c r="E1252" s="103"/>
      <c r="F1252" s="6"/>
      <c r="G1252" s="103"/>
      <c r="H1252" s="6"/>
      <c r="I1252" s="104"/>
      <c r="J1252" s="104"/>
      <c r="K1252" s="104"/>
    </row>
    <row r="1253" spans="1:11" x14ac:dyDescent="0.25">
      <c r="A1253" s="6"/>
      <c r="B1253" s="6"/>
      <c r="C1253" s="102"/>
      <c r="D1253" s="102"/>
      <c r="E1253" s="103"/>
      <c r="F1253" s="6"/>
      <c r="G1253" s="103"/>
      <c r="H1253" s="6"/>
      <c r="I1253" s="104"/>
      <c r="J1253" s="104"/>
      <c r="K1253" s="104"/>
    </row>
    <row r="1254" spans="1:11" x14ac:dyDescent="0.25">
      <c r="A1254" s="6"/>
      <c r="B1254" s="6"/>
      <c r="C1254" s="102"/>
      <c r="D1254" s="102"/>
      <c r="E1254" s="103"/>
      <c r="F1254" s="6"/>
      <c r="G1254" s="103"/>
      <c r="H1254" s="6"/>
      <c r="I1254" s="104"/>
      <c r="J1254" s="104"/>
      <c r="K1254" s="104"/>
    </row>
    <row r="1255" spans="1:11" x14ac:dyDescent="0.25">
      <c r="A1255" s="6"/>
      <c r="B1255" s="6"/>
      <c r="C1255" s="102"/>
      <c r="D1255" s="102"/>
      <c r="E1255" s="103"/>
      <c r="F1255" s="6"/>
      <c r="G1255" s="103"/>
      <c r="H1255" s="6"/>
      <c r="I1255" s="104"/>
      <c r="J1255" s="104"/>
      <c r="K1255" s="104"/>
    </row>
    <row r="1256" spans="1:11" x14ac:dyDescent="0.25">
      <c r="A1256" s="6"/>
      <c r="B1256" s="6"/>
      <c r="C1256" s="102"/>
      <c r="D1256" s="102"/>
      <c r="E1256" s="103"/>
      <c r="F1256" s="6"/>
      <c r="G1256" s="103"/>
      <c r="H1256" s="6"/>
      <c r="I1256" s="104"/>
      <c r="J1256" s="104"/>
      <c r="K1256" s="104"/>
    </row>
    <row r="1257" spans="1:11" x14ac:dyDescent="0.25">
      <c r="A1257" s="6"/>
      <c r="B1257" s="6"/>
      <c r="C1257" s="102"/>
      <c r="D1257" s="102"/>
      <c r="E1257" s="103"/>
      <c r="F1257" s="6"/>
      <c r="G1257" s="103"/>
      <c r="H1257" s="6"/>
      <c r="I1257" s="104"/>
      <c r="J1257" s="104"/>
      <c r="K1257" s="104"/>
    </row>
    <row r="1258" spans="1:11" x14ac:dyDescent="0.25">
      <c r="A1258" s="6"/>
      <c r="B1258" s="6"/>
      <c r="C1258" s="102"/>
      <c r="D1258" s="102"/>
      <c r="E1258" s="103"/>
      <c r="F1258" s="6"/>
      <c r="G1258" s="103"/>
      <c r="H1258" s="6"/>
      <c r="I1258" s="104"/>
      <c r="J1258" s="104"/>
      <c r="K1258" s="104"/>
    </row>
    <row r="1259" spans="1:11" x14ac:dyDescent="0.25">
      <c r="A1259" s="6"/>
      <c r="B1259" s="6"/>
      <c r="C1259" s="102"/>
      <c r="D1259" s="102"/>
      <c r="E1259" s="103"/>
      <c r="F1259" s="6"/>
      <c r="G1259" s="103"/>
      <c r="H1259" s="6"/>
      <c r="I1259" s="104"/>
      <c r="J1259" s="104"/>
      <c r="K1259" s="104"/>
    </row>
    <row r="1260" spans="1:11" x14ac:dyDescent="0.25">
      <c r="A1260" s="6"/>
      <c r="B1260" s="6"/>
      <c r="C1260" s="102"/>
      <c r="D1260" s="102"/>
      <c r="E1260" s="103"/>
      <c r="F1260" s="6"/>
      <c r="G1260" s="103"/>
      <c r="H1260" s="6"/>
      <c r="I1260" s="104"/>
      <c r="J1260" s="104"/>
      <c r="K1260" s="104"/>
    </row>
    <row r="1261" spans="1:11" x14ac:dyDescent="0.25">
      <c r="A1261" s="6"/>
      <c r="B1261" s="6"/>
      <c r="C1261" s="102"/>
      <c r="D1261" s="102"/>
      <c r="E1261" s="103"/>
      <c r="F1261" s="6"/>
      <c r="G1261" s="103"/>
      <c r="H1261" s="6"/>
      <c r="I1261" s="104"/>
      <c r="J1261" s="104"/>
      <c r="K1261" s="104"/>
    </row>
    <row r="1262" spans="1:11" x14ac:dyDescent="0.25">
      <c r="A1262" s="6"/>
      <c r="B1262" s="6"/>
      <c r="C1262" s="102"/>
      <c r="D1262" s="102"/>
      <c r="E1262" s="103"/>
      <c r="F1262" s="6"/>
      <c r="G1262" s="103"/>
      <c r="H1262" s="6"/>
      <c r="I1262" s="104"/>
      <c r="J1262" s="104"/>
      <c r="K1262" s="104"/>
    </row>
    <row r="1263" spans="1:11" x14ac:dyDescent="0.25">
      <c r="A1263" s="6"/>
      <c r="B1263" s="6"/>
      <c r="C1263" s="102"/>
      <c r="D1263" s="102"/>
      <c r="E1263" s="103"/>
      <c r="F1263" s="6"/>
      <c r="G1263" s="103"/>
      <c r="H1263" s="6"/>
      <c r="I1263" s="104"/>
      <c r="J1263" s="104"/>
      <c r="K1263" s="104"/>
    </row>
    <row r="1264" spans="1:11" x14ac:dyDescent="0.25">
      <c r="A1264" s="6"/>
      <c r="B1264" s="6"/>
      <c r="C1264" s="102"/>
      <c r="D1264" s="102"/>
      <c r="E1264" s="103"/>
      <c r="F1264" s="6"/>
      <c r="G1264" s="103"/>
      <c r="H1264" s="6"/>
      <c r="I1264" s="104"/>
      <c r="J1264" s="104"/>
      <c r="K1264" s="104"/>
    </row>
    <row r="1265" spans="1:11" x14ac:dyDescent="0.25">
      <c r="A1265" s="6"/>
      <c r="B1265" s="6"/>
      <c r="C1265" s="102"/>
      <c r="D1265" s="102"/>
      <c r="E1265" s="103"/>
      <c r="F1265" s="6"/>
      <c r="G1265" s="103"/>
      <c r="H1265" s="6"/>
      <c r="I1265" s="104"/>
      <c r="J1265" s="104"/>
      <c r="K1265" s="104"/>
    </row>
    <row r="1266" spans="1:11" x14ac:dyDescent="0.25">
      <c r="A1266" s="6"/>
      <c r="B1266" s="6"/>
      <c r="C1266" s="102"/>
      <c r="D1266" s="102"/>
      <c r="E1266" s="103"/>
      <c r="F1266" s="6"/>
      <c r="G1266" s="103"/>
      <c r="H1266" s="6"/>
      <c r="I1266" s="104"/>
      <c r="J1266" s="104"/>
      <c r="K1266" s="104"/>
    </row>
    <row r="1267" spans="1:11" x14ac:dyDescent="0.25">
      <c r="A1267" s="6"/>
      <c r="B1267" s="6"/>
      <c r="C1267" s="102"/>
      <c r="D1267" s="102"/>
      <c r="E1267" s="103"/>
      <c r="F1267" s="6"/>
      <c r="G1267" s="103"/>
      <c r="H1267" s="6"/>
      <c r="I1267" s="104"/>
      <c r="J1267" s="104"/>
      <c r="K1267" s="104"/>
    </row>
    <row r="1268" spans="1:11" x14ac:dyDescent="0.25">
      <c r="A1268" s="6"/>
      <c r="B1268" s="6"/>
      <c r="C1268" s="102"/>
      <c r="D1268" s="102"/>
      <c r="E1268" s="103"/>
      <c r="F1268" s="6"/>
      <c r="G1268" s="103"/>
      <c r="H1268" s="6"/>
      <c r="I1268" s="104"/>
      <c r="J1268" s="104"/>
      <c r="K1268" s="104"/>
    </row>
    <row r="1269" spans="1:11" x14ac:dyDescent="0.25">
      <c r="A1269" s="6"/>
      <c r="B1269" s="6"/>
      <c r="C1269" s="102"/>
      <c r="D1269" s="102"/>
      <c r="E1269" s="103"/>
      <c r="F1269" s="6"/>
      <c r="G1269" s="103"/>
      <c r="H1269" s="6"/>
      <c r="I1269" s="104"/>
      <c r="J1269" s="104"/>
      <c r="K1269" s="104"/>
    </row>
    <row r="1270" spans="1:11" x14ac:dyDescent="0.25">
      <c r="A1270" s="6"/>
      <c r="B1270" s="6"/>
      <c r="C1270" s="102"/>
      <c r="D1270" s="102"/>
      <c r="E1270" s="103"/>
      <c r="F1270" s="6"/>
      <c r="G1270" s="103"/>
      <c r="H1270" s="6"/>
      <c r="I1270" s="104"/>
      <c r="J1270" s="104"/>
      <c r="K1270" s="104"/>
    </row>
    <row r="1271" spans="1:11" x14ac:dyDescent="0.25">
      <c r="A1271" s="6"/>
      <c r="B1271" s="6"/>
      <c r="C1271" s="102"/>
      <c r="D1271" s="102"/>
      <c r="E1271" s="103"/>
      <c r="F1271" s="6"/>
      <c r="G1271" s="103"/>
      <c r="H1271" s="6"/>
      <c r="I1271" s="104"/>
      <c r="J1271" s="104"/>
      <c r="K1271" s="104"/>
    </row>
    <row r="1272" spans="1:11" x14ac:dyDescent="0.25">
      <c r="A1272" s="6"/>
      <c r="B1272" s="6"/>
      <c r="C1272" s="102"/>
      <c r="D1272" s="102"/>
      <c r="E1272" s="103"/>
      <c r="F1272" s="6"/>
      <c r="G1272" s="103"/>
      <c r="H1272" s="6"/>
      <c r="I1272" s="104"/>
      <c r="J1272" s="104"/>
      <c r="K1272" s="104"/>
    </row>
    <row r="1273" spans="1:11" x14ac:dyDescent="0.25">
      <c r="A1273" s="6"/>
      <c r="B1273" s="6"/>
      <c r="C1273" s="102"/>
      <c r="D1273" s="102"/>
      <c r="E1273" s="103"/>
      <c r="F1273" s="6"/>
      <c r="G1273" s="103"/>
      <c r="H1273" s="6"/>
      <c r="I1273" s="104"/>
      <c r="J1273" s="104"/>
      <c r="K1273" s="104"/>
    </row>
    <row r="1274" spans="1:11" x14ac:dyDescent="0.25">
      <c r="A1274" s="6"/>
      <c r="B1274" s="6"/>
      <c r="C1274" s="102"/>
      <c r="D1274" s="102"/>
      <c r="E1274" s="103"/>
      <c r="F1274" s="6"/>
      <c r="G1274" s="103"/>
      <c r="H1274" s="6"/>
      <c r="I1274" s="104"/>
      <c r="J1274" s="104"/>
      <c r="K1274" s="104"/>
    </row>
    <row r="1275" spans="1:11" x14ac:dyDescent="0.25">
      <c r="A1275" s="6"/>
      <c r="B1275" s="6"/>
      <c r="C1275" s="102"/>
      <c r="D1275" s="102"/>
      <c r="E1275" s="103"/>
      <c r="F1275" s="6"/>
      <c r="G1275" s="103"/>
      <c r="H1275" s="6"/>
      <c r="I1275" s="104"/>
      <c r="J1275" s="104"/>
      <c r="K1275" s="104"/>
    </row>
    <row r="1276" spans="1:11" x14ac:dyDescent="0.25">
      <c r="A1276" s="6"/>
      <c r="B1276" s="6"/>
      <c r="C1276" s="102"/>
      <c r="D1276" s="102"/>
      <c r="E1276" s="103"/>
      <c r="F1276" s="6"/>
      <c r="G1276" s="103"/>
      <c r="H1276" s="6"/>
      <c r="I1276" s="104"/>
      <c r="J1276" s="104"/>
      <c r="K1276" s="104"/>
    </row>
    <row r="1277" spans="1:11" x14ac:dyDescent="0.25">
      <c r="A1277" s="6"/>
      <c r="B1277" s="6"/>
      <c r="C1277" s="102"/>
      <c r="D1277" s="102"/>
      <c r="E1277" s="103"/>
      <c r="F1277" s="6"/>
      <c r="G1277" s="103"/>
      <c r="H1277" s="6"/>
      <c r="I1277" s="104"/>
      <c r="J1277" s="104"/>
      <c r="K1277" s="104"/>
    </row>
    <row r="1278" spans="1:11" x14ac:dyDescent="0.25">
      <c r="A1278" s="6"/>
      <c r="B1278" s="6"/>
      <c r="C1278" s="102"/>
      <c r="D1278" s="102"/>
      <c r="E1278" s="103"/>
      <c r="F1278" s="6"/>
      <c r="G1278" s="103"/>
      <c r="H1278" s="6"/>
      <c r="I1278" s="104"/>
      <c r="J1278" s="104"/>
      <c r="K1278" s="104"/>
    </row>
    <row r="1279" spans="1:11" x14ac:dyDescent="0.25">
      <c r="A1279" s="6"/>
      <c r="B1279" s="6"/>
      <c r="C1279" s="102"/>
      <c r="D1279" s="102"/>
      <c r="E1279" s="103"/>
      <c r="F1279" s="6"/>
      <c r="G1279" s="103"/>
      <c r="H1279" s="6"/>
      <c r="I1279" s="104"/>
      <c r="J1279" s="104"/>
      <c r="K1279" s="104"/>
    </row>
    <row r="1280" spans="1:11" x14ac:dyDescent="0.25">
      <c r="A1280" s="6"/>
      <c r="B1280" s="6"/>
      <c r="C1280" s="102"/>
      <c r="D1280" s="102"/>
      <c r="E1280" s="103"/>
      <c r="F1280" s="6"/>
      <c r="G1280" s="103"/>
      <c r="H1280" s="6"/>
      <c r="I1280" s="104"/>
      <c r="J1280" s="104"/>
      <c r="K1280" s="104"/>
    </row>
    <row r="1281" spans="1:11" x14ac:dyDescent="0.25">
      <c r="A1281" s="6"/>
      <c r="B1281" s="6"/>
      <c r="C1281" s="102"/>
      <c r="D1281" s="102"/>
      <c r="E1281" s="103"/>
      <c r="F1281" s="6"/>
      <c r="G1281" s="103"/>
      <c r="H1281" s="6"/>
      <c r="I1281" s="104"/>
      <c r="J1281" s="104"/>
      <c r="K1281" s="104"/>
    </row>
    <row r="1282" spans="1:11" x14ac:dyDescent="0.25">
      <c r="A1282" s="6"/>
      <c r="B1282" s="6"/>
      <c r="C1282" s="102"/>
      <c r="D1282" s="102"/>
      <c r="E1282" s="103"/>
      <c r="F1282" s="6"/>
      <c r="G1282" s="103"/>
      <c r="H1282" s="6"/>
      <c r="I1282" s="104"/>
      <c r="J1282" s="104"/>
      <c r="K1282" s="104"/>
    </row>
    <row r="1283" spans="1:11" x14ac:dyDescent="0.25">
      <c r="A1283" s="6"/>
      <c r="B1283" s="6"/>
      <c r="C1283" s="102"/>
      <c r="D1283" s="102"/>
      <c r="E1283" s="103"/>
      <c r="F1283" s="6"/>
      <c r="G1283" s="103"/>
      <c r="H1283" s="6"/>
      <c r="I1283" s="104"/>
      <c r="J1283" s="104"/>
      <c r="K1283" s="104"/>
    </row>
    <row r="1284" spans="1:11" x14ac:dyDescent="0.25">
      <c r="A1284" s="6"/>
      <c r="B1284" s="6"/>
      <c r="C1284" s="102"/>
      <c r="D1284" s="102"/>
      <c r="E1284" s="103"/>
      <c r="F1284" s="6"/>
      <c r="G1284" s="103"/>
      <c r="H1284" s="6"/>
      <c r="I1284" s="104"/>
      <c r="J1284" s="104"/>
      <c r="K1284" s="104"/>
    </row>
    <row r="1285" spans="1:11" x14ac:dyDescent="0.25">
      <c r="A1285" s="6"/>
      <c r="B1285" s="6"/>
      <c r="C1285" s="102"/>
      <c r="D1285" s="102"/>
      <c r="E1285" s="103"/>
      <c r="F1285" s="6"/>
      <c r="G1285" s="103"/>
      <c r="H1285" s="6"/>
      <c r="I1285" s="104"/>
      <c r="J1285" s="104"/>
      <c r="K1285" s="104"/>
    </row>
    <row r="1286" spans="1:11" x14ac:dyDescent="0.25">
      <c r="A1286" s="6"/>
      <c r="B1286" s="6"/>
      <c r="C1286" s="102"/>
      <c r="D1286" s="102"/>
      <c r="E1286" s="103"/>
      <c r="F1286" s="6"/>
      <c r="G1286" s="103"/>
      <c r="H1286" s="6"/>
      <c r="I1286" s="104"/>
      <c r="J1286" s="104"/>
      <c r="K1286" s="104"/>
    </row>
    <row r="1287" spans="1:11" x14ac:dyDescent="0.25">
      <c r="A1287" s="6"/>
      <c r="B1287" s="6"/>
      <c r="C1287" s="102"/>
      <c r="D1287" s="102"/>
      <c r="E1287" s="103"/>
      <c r="F1287" s="6"/>
      <c r="G1287" s="103"/>
      <c r="H1287" s="6"/>
      <c r="I1287" s="104"/>
      <c r="J1287" s="104"/>
      <c r="K1287" s="104"/>
    </row>
    <row r="1288" spans="1:11" x14ac:dyDescent="0.25">
      <c r="A1288" s="6"/>
      <c r="B1288" s="6"/>
      <c r="C1288" s="102"/>
      <c r="D1288" s="102"/>
      <c r="E1288" s="103"/>
      <c r="F1288" s="6"/>
      <c r="G1288" s="103"/>
      <c r="H1288" s="6"/>
      <c r="I1288" s="104"/>
      <c r="J1288" s="104"/>
      <c r="K1288" s="104"/>
    </row>
    <row r="1289" spans="1:11" x14ac:dyDescent="0.25">
      <c r="A1289" s="6"/>
      <c r="B1289" s="6"/>
      <c r="C1289" s="102"/>
      <c r="D1289" s="102"/>
      <c r="E1289" s="103"/>
      <c r="F1289" s="6"/>
      <c r="G1289" s="103"/>
      <c r="H1289" s="6"/>
      <c r="I1289" s="104"/>
      <c r="J1289" s="104"/>
      <c r="K1289" s="104"/>
    </row>
    <row r="1290" spans="1:11" x14ac:dyDescent="0.25">
      <c r="A1290" s="6"/>
      <c r="B1290" s="6"/>
      <c r="C1290" s="102"/>
      <c r="D1290" s="102"/>
      <c r="E1290" s="103"/>
      <c r="F1290" s="6"/>
      <c r="G1290" s="103"/>
      <c r="H1290" s="6"/>
      <c r="I1290" s="104"/>
      <c r="J1290" s="104"/>
      <c r="K1290" s="104"/>
    </row>
    <row r="1291" spans="1:11" x14ac:dyDescent="0.25">
      <c r="A1291" s="6"/>
      <c r="B1291" s="6"/>
      <c r="C1291" s="102"/>
      <c r="D1291" s="102"/>
      <c r="E1291" s="103"/>
      <c r="F1291" s="6"/>
      <c r="G1291" s="103"/>
      <c r="H1291" s="6"/>
      <c r="I1291" s="104"/>
      <c r="J1291" s="104"/>
      <c r="K1291" s="104"/>
    </row>
    <row r="1292" spans="1:11" x14ac:dyDescent="0.25">
      <c r="A1292" s="6"/>
      <c r="B1292" s="6"/>
      <c r="C1292" s="102"/>
      <c r="D1292" s="102"/>
      <c r="E1292" s="103"/>
      <c r="F1292" s="6"/>
      <c r="G1292" s="103"/>
      <c r="H1292" s="6"/>
      <c r="I1292" s="104"/>
      <c r="J1292" s="104"/>
      <c r="K1292" s="104"/>
    </row>
    <row r="1293" spans="1:11" x14ac:dyDescent="0.25">
      <c r="A1293" s="6"/>
      <c r="B1293" s="6"/>
      <c r="C1293" s="102"/>
      <c r="D1293" s="102"/>
      <c r="E1293" s="103"/>
      <c r="F1293" s="6"/>
      <c r="G1293" s="103"/>
      <c r="H1293" s="6"/>
      <c r="I1293" s="104"/>
      <c r="J1293" s="104"/>
      <c r="K1293" s="104"/>
    </row>
    <row r="1294" spans="1:11" x14ac:dyDescent="0.25">
      <c r="A1294" s="6"/>
      <c r="B1294" s="6"/>
      <c r="C1294" s="102"/>
      <c r="D1294" s="102"/>
      <c r="E1294" s="103"/>
      <c r="F1294" s="6"/>
      <c r="G1294" s="103"/>
      <c r="H1294" s="6"/>
      <c r="I1294" s="104"/>
      <c r="J1294" s="104"/>
      <c r="K1294" s="104"/>
    </row>
    <row r="1295" spans="1:11" x14ac:dyDescent="0.25">
      <c r="A1295" s="6"/>
      <c r="B1295" s="6"/>
      <c r="C1295" s="102"/>
      <c r="D1295" s="102"/>
      <c r="E1295" s="103"/>
      <c r="F1295" s="6"/>
      <c r="G1295" s="103"/>
      <c r="H1295" s="6"/>
      <c r="I1295" s="104"/>
      <c r="J1295" s="104"/>
      <c r="K1295" s="104"/>
    </row>
    <row r="1296" spans="1:11" x14ac:dyDescent="0.25">
      <c r="A1296" s="6"/>
      <c r="B1296" s="6"/>
      <c r="C1296" s="102"/>
      <c r="D1296" s="102"/>
      <c r="E1296" s="103"/>
      <c r="F1296" s="6"/>
      <c r="G1296" s="103"/>
      <c r="H1296" s="6"/>
      <c r="I1296" s="104"/>
      <c r="J1296" s="104"/>
      <c r="K1296" s="104"/>
    </row>
    <row r="1297" spans="1:11" x14ac:dyDescent="0.25">
      <c r="A1297" s="6"/>
      <c r="B1297" s="6"/>
      <c r="C1297" s="102"/>
      <c r="D1297" s="102"/>
      <c r="E1297" s="103"/>
      <c r="F1297" s="6"/>
      <c r="G1297" s="103"/>
      <c r="H1297" s="6"/>
      <c r="I1297" s="104"/>
      <c r="J1297" s="104"/>
      <c r="K1297" s="104"/>
    </row>
    <row r="1298" spans="1:11" x14ac:dyDescent="0.25">
      <c r="A1298" s="6"/>
      <c r="B1298" s="6"/>
      <c r="C1298" s="102"/>
      <c r="D1298" s="102"/>
      <c r="E1298" s="103"/>
      <c r="F1298" s="6"/>
      <c r="G1298" s="103"/>
      <c r="H1298" s="6"/>
      <c r="I1298" s="104"/>
      <c r="J1298" s="104"/>
      <c r="K1298" s="104"/>
    </row>
    <row r="1299" spans="1:11" x14ac:dyDescent="0.25">
      <c r="A1299" s="6"/>
      <c r="B1299" s="6"/>
      <c r="C1299" s="102"/>
      <c r="D1299" s="102"/>
      <c r="E1299" s="103"/>
      <c r="F1299" s="6"/>
      <c r="G1299" s="103"/>
      <c r="H1299" s="6"/>
      <c r="I1299" s="104"/>
      <c r="J1299" s="104"/>
      <c r="K1299" s="104"/>
    </row>
    <row r="1300" spans="1:11" x14ac:dyDescent="0.25">
      <c r="A1300" s="6"/>
      <c r="B1300" s="6"/>
      <c r="C1300" s="102"/>
      <c r="D1300" s="102"/>
      <c r="E1300" s="103"/>
      <c r="F1300" s="6"/>
      <c r="G1300" s="103"/>
      <c r="H1300" s="6"/>
      <c r="I1300" s="104"/>
      <c r="J1300" s="104"/>
      <c r="K1300" s="104"/>
    </row>
    <row r="1301" spans="1:11" x14ac:dyDescent="0.25">
      <c r="A1301" s="6"/>
      <c r="B1301" s="6"/>
      <c r="C1301" s="102"/>
      <c r="D1301" s="102"/>
      <c r="E1301" s="103"/>
      <c r="F1301" s="6"/>
      <c r="G1301" s="103"/>
      <c r="H1301" s="6"/>
      <c r="I1301" s="104"/>
      <c r="J1301" s="104"/>
      <c r="K1301" s="104"/>
    </row>
    <row r="1302" spans="1:11" x14ac:dyDescent="0.25">
      <c r="A1302" s="6"/>
      <c r="B1302" s="6"/>
      <c r="C1302" s="102"/>
      <c r="D1302" s="102"/>
      <c r="E1302" s="103"/>
      <c r="F1302" s="6"/>
      <c r="G1302" s="103"/>
      <c r="H1302" s="6"/>
      <c r="I1302" s="104"/>
      <c r="J1302" s="104"/>
      <c r="K1302" s="104"/>
    </row>
    <row r="1303" spans="1:11" x14ac:dyDescent="0.25">
      <c r="A1303" s="6"/>
      <c r="B1303" s="6"/>
      <c r="C1303" s="102"/>
      <c r="D1303" s="102"/>
      <c r="E1303" s="103"/>
      <c r="F1303" s="6"/>
      <c r="G1303" s="103"/>
      <c r="H1303" s="6"/>
      <c r="I1303" s="104"/>
      <c r="J1303" s="104"/>
      <c r="K1303" s="104"/>
    </row>
    <row r="1304" spans="1:11" x14ac:dyDescent="0.25">
      <c r="A1304" s="6"/>
      <c r="B1304" s="6"/>
      <c r="C1304" s="102"/>
      <c r="D1304" s="102"/>
      <c r="E1304" s="103"/>
      <c r="F1304" s="6"/>
      <c r="G1304" s="103"/>
      <c r="H1304" s="6"/>
      <c r="I1304" s="104"/>
      <c r="J1304" s="104"/>
      <c r="K1304" s="104"/>
    </row>
    <row r="1305" spans="1:11" x14ac:dyDescent="0.25">
      <c r="A1305" s="6"/>
      <c r="B1305" s="6"/>
      <c r="C1305" s="102"/>
      <c r="D1305" s="102"/>
      <c r="E1305" s="103"/>
      <c r="F1305" s="6"/>
      <c r="G1305" s="103"/>
      <c r="H1305" s="6"/>
      <c r="I1305" s="104"/>
      <c r="J1305" s="104"/>
      <c r="K1305" s="104"/>
    </row>
    <row r="1306" spans="1:11" x14ac:dyDescent="0.25">
      <c r="A1306" s="6"/>
      <c r="B1306" s="6"/>
      <c r="C1306" s="102"/>
      <c r="D1306" s="102"/>
      <c r="E1306" s="103"/>
      <c r="F1306" s="6"/>
      <c r="G1306" s="103"/>
      <c r="H1306" s="6"/>
      <c r="I1306" s="104"/>
      <c r="J1306" s="104"/>
      <c r="K1306" s="104"/>
    </row>
    <row r="1307" spans="1:11" x14ac:dyDescent="0.25">
      <c r="A1307" s="6"/>
      <c r="B1307" s="6"/>
      <c r="C1307" s="102"/>
      <c r="D1307" s="102"/>
      <c r="E1307" s="103"/>
      <c r="F1307" s="6"/>
      <c r="G1307" s="103"/>
      <c r="H1307" s="6"/>
      <c r="I1307" s="104"/>
      <c r="J1307" s="104"/>
      <c r="K1307" s="104"/>
    </row>
    <row r="1308" spans="1:11" x14ac:dyDescent="0.25">
      <c r="A1308" s="6"/>
      <c r="B1308" s="6"/>
      <c r="C1308" s="102"/>
      <c r="D1308" s="102"/>
      <c r="E1308" s="103"/>
      <c r="F1308" s="6"/>
      <c r="G1308" s="103"/>
      <c r="H1308" s="6"/>
      <c r="I1308" s="104"/>
      <c r="J1308" s="104"/>
      <c r="K1308" s="104"/>
    </row>
    <row r="1309" spans="1:11" x14ac:dyDescent="0.25">
      <c r="A1309" s="6"/>
      <c r="B1309" s="6"/>
      <c r="C1309" s="102"/>
      <c r="D1309" s="102"/>
      <c r="E1309" s="103"/>
      <c r="F1309" s="6"/>
      <c r="G1309" s="103"/>
      <c r="H1309" s="6"/>
      <c r="I1309" s="104"/>
      <c r="J1309" s="104"/>
      <c r="K1309" s="104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37705-A739-4A6D-BDA9-78E57FC22D6F}">
  <sheetPr codeName="Sheet8">
    <tabColor theme="5"/>
  </sheetPr>
  <dimension ref="A1:AD1139"/>
  <sheetViews>
    <sheetView workbookViewId="0">
      <selection activeCell="A32" sqref="A27:XFD32"/>
    </sheetView>
  </sheetViews>
  <sheetFormatPr defaultRowHeight="15" outlineLevelCol="1" x14ac:dyDescent="0.25"/>
  <cols>
    <col min="3" max="3" width="11.5703125" style="1" bestFit="1" customWidth="1"/>
    <col min="4" max="4" width="10.7109375" style="1" customWidth="1"/>
    <col min="5" max="5" width="10.140625" style="1" customWidth="1"/>
    <col min="6" max="6" width="13.28515625" style="21" bestFit="1" customWidth="1"/>
    <col min="7" max="7" width="8.5703125" bestFit="1" customWidth="1"/>
    <col min="8" max="8" width="13.28515625" style="21" bestFit="1" customWidth="1"/>
    <col min="10" max="10" width="24" bestFit="1" customWidth="1"/>
    <col min="11" max="11" width="9.85546875" bestFit="1" customWidth="1"/>
    <col min="12" max="12" width="12.5703125" bestFit="1" customWidth="1"/>
    <col min="13" max="13" width="8.7109375" bestFit="1" customWidth="1"/>
    <col min="14" max="14" width="15.28515625" customWidth="1" outlineLevel="1"/>
    <col min="15" max="15" width="15.28515625" bestFit="1" customWidth="1"/>
    <col min="16" max="16" width="9.7109375" customWidth="1"/>
    <col min="17" max="17" width="14.7109375" customWidth="1" outlineLevel="1"/>
    <col min="18" max="18" width="17.28515625" style="21" customWidth="1"/>
    <col min="19" max="19" width="23.5703125" hidden="1" customWidth="1" outlineLevel="1"/>
    <col min="20" max="20" width="13.28515625" bestFit="1" customWidth="1" collapsed="1"/>
    <col min="21" max="21" width="11.85546875" bestFit="1" customWidth="1"/>
    <col min="22" max="22" width="9.140625" hidden="1" customWidth="1" outlineLevel="1"/>
    <col min="23" max="23" width="13.28515625" bestFit="1" customWidth="1" collapsed="1"/>
    <col min="25" max="25" width="9.140625" hidden="1" customWidth="1" outlineLevel="1"/>
    <col min="26" max="26" width="11.5703125" bestFit="1" customWidth="1" collapsed="1"/>
    <col min="28" max="28" width="12.140625" bestFit="1" customWidth="1"/>
  </cols>
  <sheetData>
    <row r="1" spans="1:27" s="94" customFormat="1" ht="15.75" thickBot="1" x14ac:dyDescent="0.3">
      <c r="A1" s="94" t="s">
        <v>180</v>
      </c>
      <c r="B1" s="94" t="s">
        <v>157</v>
      </c>
      <c r="C1" s="95" t="s">
        <v>144</v>
      </c>
      <c r="D1" s="95" t="s">
        <v>145</v>
      </c>
      <c r="E1" s="95" t="s">
        <v>146</v>
      </c>
      <c r="F1" s="98" t="s">
        <v>158</v>
      </c>
      <c r="G1" s="94" t="s">
        <v>159</v>
      </c>
      <c r="H1" s="98" t="s">
        <v>160</v>
      </c>
      <c r="I1" s="94" t="s">
        <v>162</v>
      </c>
      <c r="J1" s="94" t="s">
        <v>167</v>
      </c>
      <c r="K1" s="94" t="s">
        <v>189</v>
      </c>
      <c r="L1" s="94" t="s">
        <v>169</v>
      </c>
      <c r="M1" s="94" t="s">
        <v>170</v>
      </c>
      <c r="N1" s="94" t="s">
        <v>163</v>
      </c>
      <c r="O1" s="94" t="s">
        <v>150</v>
      </c>
      <c r="P1" s="94" t="s">
        <v>168</v>
      </c>
      <c r="Q1" s="94" t="s">
        <v>164</v>
      </c>
      <c r="R1" s="98" t="s">
        <v>161</v>
      </c>
      <c r="S1" s="94" t="s">
        <v>172</v>
      </c>
      <c r="T1" s="94" t="s">
        <v>173</v>
      </c>
      <c r="U1" s="94" t="s">
        <v>174</v>
      </c>
      <c r="V1" s="94" t="s">
        <v>178</v>
      </c>
      <c r="W1" s="94" t="s">
        <v>179</v>
      </c>
      <c r="X1" s="94" t="s">
        <v>175</v>
      </c>
      <c r="Y1" s="94" t="s">
        <v>176</v>
      </c>
      <c r="Z1" s="94" t="s">
        <v>177</v>
      </c>
      <c r="AA1" s="94" t="s">
        <v>175</v>
      </c>
    </row>
    <row r="2" spans="1:27" x14ac:dyDescent="0.25">
      <c r="A2" s="6"/>
      <c r="B2" s="6" t="s">
        <v>129</v>
      </c>
      <c r="C2" s="101">
        <v>44166</v>
      </c>
      <c r="D2" s="102"/>
      <c r="E2" s="102"/>
      <c r="F2" s="103">
        <f t="shared" ref="F2:F7" ca="1" si="0">O2*0.9</f>
        <v>900000</v>
      </c>
      <c r="G2" s="6" t="s">
        <v>166</v>
      </c>
      <c r="H2" s="103">
        <v>1000000</v>
      </c>
      <c r="I2" s="6" t="s">
        <v>1</v>
      </c>
      <c r="J2" s="141" t="str">
        <f t="shared" ref="J2:J9" ca="1" si="1">IF(I2="USD","USD.LIBOR.3M",I2&amp;".DISC.[USD.LIBOR.3M]")</f>
        <v>ZAR.DISC.[USD.LIBOR.3M]</v>
      </c>
      <c r="K2" s="141" t="str">
        <f t="shared" ref="K2:K7" ca="1" si="2">VLOOKUP(B2,AssetStatic,3,FALSE)</f>
        <v>ICE</v>
      </c>
      <c r="L2" s="142" t="s">
        <v>171</v>
      </c>
      <c r="M2" s="142" t="str">
        <f t="shared" ref="M2:M7" ca="1" si="3">VLOOKUP(B2,AssetStatic,2,FALSE)</f>
        <v>0b</v>
      </c>
      <c r="N2" t="str" cm="1">
        <f t="array" aca="1" ref="N2" ca="1">_xll.QIns_CreateAsianSwap("AsiOpt_Fwd_"&amp;ROW(),IF(C2="",D2:E2,C2),B2,I2,0,H2,K2,I2,L2,M2,,J2,IF(I2="USD","None","ATC"))</f>
        <v>AsiOpt_Fwd_2¬3</v>
      </c>
      <c r="O2" s="14" cm="1">
        <f t="array" aca="1" ref="O2" ca="1">_xll.QIns_ProductParRate(N2,AModel)</f>
        <v>1000000</v>
      </c>
      <c r="P2" s="11" cm="1">
        <f t="array" aca="1" ref="P2" ca="1">_xll.QModels_GetCompoVol(AModel,B2,I2,F2,E2)</f>
        <v>0.33222168500884852</v>
      </c>
      <c r="Q2" t="str" cm="1">
        <f t="array" aca="1" ref="Q2" ca="1">_xll.QIns_CreateAsianOption("asiOpt_"&amp;ROW(),IF(C2="",D2:E2,C2),B2,I2,F2,G2,H2,K2,I2,L2,M2,,J2)</f>
        <v>asiOpt_2¬2</v>
      </c>
      <c r="R2" s="21" cm="1">
        <f t="array" aca="1" ref="R2" ca="1">_xll.QIns_ProductPV(Q2,AModel,I2)</f>
        <v>0</v>
      </c>
      <c r="S2" t="str" cm="1">
        <f t="array" aca="1" ref="S2" ca="1">IF(VLOOKUP(B2,AssetStatic,4,FALSE),_xll.QRisk_PortfolioFxDeltaSpecific("asiOpt_DeltaA"&amp;ROW(),Q2,AModel,B2,"ZAR",FALSE),_xll.QRisk_PortfolioDelta("asiOpt_DeltaA"&amp;ROW(),Q2,AModel,FALSE))</f>
        <v>asiOpt_DeltaA2¬7</v>
      </c>
      <c r="T2" s="21" cm="1">
        <f t="array" aca="1" ref="T2" ca="1">_xll.QCube_SumAllRows(S2)</f>
        <v>0</v>
      </c>
      <c r="U2" s="11">
        <f t="shared" ref="U2:U9" ca="1" si="4">T2/H2</f>
        <v>0</v>
      </c>
      <c r="V2" t="str" cm="1">
        <f t="array" aca="1" ref="V2" ca="1">_xll.QRisk_PortfolioVega("euopt_commVegaA"&amp;ROW(),Q2,AModel,I2)</f>
        <v>euopt_commVegaA2¬2</v>
      </c>
      <c r="W2" s="21" cm="1">
        <f t="array" aca="1" ref="W2" ca="1">_xll.QCube_SumAllRows(V2)</f>
        <v>0</v>
      </c>
      <c r="X2" s="100">
        <f t="shared" ref="X2:X9" ca="1" si="5">W2/H2</f>
        <v>0</v>
      </c>
      <c r="Y2" t="str" cm="1">
        <f t="array" aca="1" ref="Y2" ca="1">_xll.QRisk_PortfolioFxVega("euOpt_fxVegaA"&amp;ROW(),Q2,AModel,I2)</f>
        <v>euOpt_fxVegaA2¬1</v>
      </c>
      <c r="Z2" s="21" cm="1">
        <f t="array" aca="1" ref="Z2" ca="1">_xll.QCube_SumAllRows(Y2)</f>
        <v>0</v>
      </c>
      <c r="AA2" s="100">
        <f t="shared" ref="AA2:AA9" ca="1" si="6">Z2/H2</f>
        <v>0</v>
      </c>
    </row>
    <row r="3" spans="1:27" x14ac:dyDescent="0.25">
      <c r="A3" s="6"/>
      <c r="B3" s="6" t="s">
        <v>104</v>
      </c>
      <c r="C3" s="101"/>
      <c r="D3" s="102">
        <f ca="1">TODAY()</f>
        <v>44238</v>
      </c>
      <c r="E3" s="102" cm="1">
        <f t="array" aca="1" ref="E3" ca="1">_xll.QDates_LastDay(D3)</f>
        <v>44255</v>
      </c>
      <c r="F3" s="103">
        <f t="shared" ca="1" si="0"/>
        <v>1876.0466250000002</v>
      </c>
      <c r="G3" s="6" t="s">
        <v>166</v>
      </c>
      <c r="H3" s="103">
        <v>100</v>
      </c>
      <c r="I3" s="6" t="s">
        <v>21</v>
      </c>
      <c r="J3" s="141" t="str">
        <f t="shared" ca="1" si="1"/>
        <v>USD.LIBOR.3M</v>
      </c>
      <c r="K3" s="141" t="str">
        <f t="shared" ca="1" si="2"/>
        <v>LON</v>
      </c>
      <c r="L3" s="142" t="s">
        <v>171</v>
      </c>
      <c r="M3" s="142" t="str">
        <f t="shared" ca="1" si="3"/>
        <v>2b</v>
      </c>
      <c r="N3" t="str" cm="1">
        <f t="array" aca="1" ref="N3" ca="1">_xll.QIns_CreateAsianSwap("AsiOpt_Fwd_"&amp;ROW(),IF(C3="",D3:E3,C3),B3,I3,0,H3,K3,I3,L3,M3,,J3,IF(I3="USD","None","ATC"))</f>
        <v>AsiOpt_Fwd_3¬3</v>
      </c>
      <c r="O3" s="14" cm="1">
        <f t="array" aca="1" ref="O3" ca="1">_xll.QIns_ProductParRate(N3,AModel)</f>
        <v>2084.4962500000001</v>
      </c>
      <c r="P3" s="11" cm="1">
        <f t="array" aca="1" ref="P3" ca="1">_xll.QModels_GetCompoVol(AModel,B3,I3,F3,E3)</f>
        <v>0.18362340386011014</v>
      </c>
      <c r="Q3" t="str" cm="1">
        <f t="array" aca="1" ref="Q3" ca="1">_xll.QIns_CreateAsianOption("asiOpt_"&amp;ROW(),IF(C3="",D3:E3,C3),B3,I3,F3,G3,H3,K3,I3,L3,M3,,J3)</f>
        <v>asiOpt_3¬1</v>
      </c>
      <c r="R3" s="21" cm="1">
        <f t="array" aca="1" ref="R3" ca="1">_xll.QIns_ProductPV(Q3,AModel,I3)</f>
        <v>7.7030473456670637E-4</v>
      </c>
      <c r="S3" t="str" cm="1">
        <f t="array" aca="1" ref="S3" ca="1">IF(VLOOKUP(B3,AssetStatic,4,FALSE),_xll.QRisk_PortfolioFxDeltaSpecific("asiOpt_DeltaA"&amp;ROW(),Q3,AModel,B3,"ZAR",FALSE),_xll.QRisk_PortfolioDelta("asiOpt_DeltaA"&amp;ROW(),Q3,AModel,FALSE))</f>
        <v>asiOpt_DeltaA3¬4</v>
      </c>
      <c r="T3" s="21" cm="1">
        <f t="array" aca="1" ref="T3" ca="1">_xll.QCube_SumAllRows(S3)</f>
        <v>-8.5771173414363411E-5</v>
      </c>
      <c r="U3" s="11">
        <f t="shared" ca="1" si="4"/>
        <v>-8.5771173414363409E-7</v>
      </c>
      <c r="V3" t="str" cm="1">
        <f t="array" aca="1" ref="V3" ca="1">_xll.QRisk_PortfolioVega("euopt_commVegaA"&amp;ROW(),Q3,AModel,I3)</f>
        <v>euopt_commVegaA3¬1</v>
      </c>
      <c r="W3" s="21" cm="1">
        <f t="array" aca="1" ref="W3" ca="1">_xll.QCube_SumAllRows(V3)</f>
        <v>1.135741617413578E-3</v>
      </c>
      <c r="X3" s="100">
        <f t="shared" ca="1" si="5"/>
        <v>1.1357416174135779E-5</v>
      </c>
      <c r="Y3" t="str" cm="1">
        <f t="array" aca="1" ref="Y3" ca="1">_xll.QRisk_PortfolioFxVega("euOpt_fxVegaA"&amp;ROW(),Q3,AModel,I3)</f>
        <v>euOpt_fxVegaA3¬1</v>
      </c>
      <c r="Z3" s="21" cm="1">
        <f t="array" aca="1" ref="Z3" ca="1">_xll.QCube_SumAllRows(Y3)</f>
        <v>0</v>
      </c>
      <c r="AA3" s="100">
        <f t="shared" ca="1" si="6"/>
        <v>0</v>
      </c>
    </row>
    <row r="4" spans="1:27" x14ac:dyDescent="0.25">
      <c r="A4" s="6"/>
      <c r="B4" s="6" t="s">
        <v>134</v>
      </c>
      <c r="C4" s="101">
        <v>44165</v>
      </c>
      <c r="D4" s="102"/>
      <c r="E4" s="102"/>
      <c r="F4" s="103">
        <f t="shared" ca="1" si="0"/>
        <v>900000</v>
      </c>
      <c r="G4" s="6" t="s">
        <v>166</v>
      </c>
      <c r="H4" s="103">
        <v>100</v>
      </c>
      <c r="I4" s="6" t="s">
        <v>1</v>
      </c>
      <c r="J4" s="141" t="str">
        <f t="shared" ca="1" si="1"/>
        <v>ZAR.DISC.[USD.LIBOR.3M]</v>
      </c>
      <c r="K4" s="141" t="str">
        <f t="shared" ca="1" si="2"/>
        <v>ICE</v>
      </c>
      <c r="L4" s="142" t="s">
        <v>171</v>
      </c>
      <c r="M4" s="142" t="str">
        <f t="shared" ca="1" si="3"/>
        <v>0b</v>
      </c>
      <c r="N4" t="str" cm="1">
        <f t="array" aca="1" ref="N4" ca="1">_xll.QIns_CreateAsianSwap("AsiOpt_Fwd_"&amp;ROW(),IF(C4="",D4:E4,C4),B4,I4,0,H4,K4,I4,L4,M4,,J4,IF(I4="USD","None","ATC"))</f>
        <v>AsiOpt_Fwd_4¬3</v>
      </c>
      <c r="O4" s="14" cm="1">
        <f t="array" aca="1" ref="O4" ca="1">_xll.QIns_ProductParRate(N4,AModel)</f>
        <v>1000000</v>
      </c>
      <c r="P4" s="11" cm="1">
        <f t="array" aca="1" ref="P4" ca="1">_xll.QModels_GetCompoVol(AModel,B4,I4,F4,E4)</f>
        <v>0.30540353655615471</v>
      </c>
      <c r="Q4" t="str" cm="1">
        <f t="array" aca="1" ref="Q4" ca="1">_xll.QIns_CreateAsianOption("asiOpt_"&amp;ROW(),IF(C4="",D4:E4,C4),B4,I4,F4,G4,H4,K4,I4,L4,M4,,J4)</f>
        <v>asiOpt_4¬2</v>
      </c>
      <c r="R4" s="21" cm="1">
        <f t="array" aca="1" ref="R4" ca="1">_xll.QIns_ProductPV(Q4,AModel,I4)</f>
        <v>0</v>
      </c>
      <c r="S4" t="str" cm="1">
        <f t="array" aca="1" ref="S4" ca="1">IF(VLOOKUP(B4,AssetStatic,4,FALSE),_xll.QRisk_PortfolioFxDeltaSpecific("asiOpt_DeltaA"&amp;ROW(),Q4,AModel,B4,"ZAR",FALSE),_xll.QRisk_PortfolioDelta("asiOpt_DeltaA"&amp;ROW(),Q4,AModel,FALSE))</f>
        <v>asiOpt_DeltaA4¬5</v>
      </c>
      <c r="T4" s="21" cm="1">
        <f t="array" aca="1" ref="T4" ca="1">_xll.QCube_SumAllRows(S4)</f>
        <v>0</v>
      </c>
      <c r="U4" s="11">
        <f t="shared" ca="1" si="4"/>
        <v>0</v>
      </c>
      <c r="V4" t="str" cm="1">
        <f t="array" aca="1" ref="V4" ca="1">_xll.QRisk_PortfolioVega("euopt_commVegaA"&amp;ROW(),Q4,AModel,I4)</f>
        <v>euopt_commVegaA4¬2</v>
      </c>
      <c r="W4" s="21" cm="1">
        <f t="array" aca="1" ref="W4" ca="1">_xll.QCube_SumAllRows(V4)</f>
        <v>0</v>
      </c>
      <c r="X4" s="100">
        <f t="shared" ca="1" si="5"/>
        <v>0</v>
      </c>
      <c r="Y4" t="str" cm="1">
        <f t="array" aca="1" ref="Y4" ca="1">_xll.QRisk_PortfolioFxVega("euOpt_fxVegaA"&amp;ROW(),Q4,AModel,I4)</f>
        <v>euOpt_fxVegaA4¬1</v>
      </c>
      <c r="Z4" s="21" cm="1">
        <f t="array" aca="1" ref="Z4" ca="1">_xll.QCube_SumAllRows(Y4)</f>
        <v>0</v>
      </c>
      <c r="AA4" s="100">
        <f t="shared" ca="1" si="6"/>
        <v>0</v>
      </c>
    </row>
    <row r="5" spans="1:27" x14ac:dyDescent="0.25">
      <c r="A5" s="6"/>
      <c r="B5" s="6" t="s">
        <v>10</v>
      </c>
      <c r="C5" s="101">
        <v>44166</v>
      </c>
      <c r="D5" s="102"/>
      <c r="E5" s="102"/>
      <c r="F5" s="103">
        <f t="shared" ca="1" si="0"/>
        <v>900000</v>
      </c>
      <c r="G5" s="6" t="s">
        <v>166</v>
      </c>
      <c r="H5" s="103">
        <v>101</v>
      </c>
      <c r="I5" s="6" t="s">
        <v>21</v>
      </c>
      <c r="J5" s="141" t="str">
        <f t="shared" ca="1" si="1"/>
        <v>USD.LIBOR.3M</v>
      </c>
      <c r="K5" s="141" t="str">
        <f t="shared" ca="1" si="2"/>
        <v>LON</v>
      </c>
      <c r="L5" s="142" t="s">
        <v>171</v>
      </c>
      <c r="M5" s="142" t="str">
        <f t="shared" ca="1" si="3"/>
        <v>2b</v>
      </c>
      <c r="N5" t="str" cm="1">
        <f t="array" aca="1" ref="N5" ca="1">_xll.QIns_CreateAsianSwap("AsiOpt_Fwd_"&amp;ROW(),IF(C5="",D5:E5,C5),B5,I5,0,H5,K5,I5,L5,M5,,J5,IF(I5="USD","None","ATC"))</f>
        <v>AsiOpt_Fwd_5¬3</v>
      </c>
      <c r="O5" s="14" cm="1">
        <f t="array" aca="1" ref="O5" ca="1">_xll.QIns_ProductParRate(N5,AModel)</f>
        <v>1000000</v>
      </c>
      <c r="P5" s="11" cm="1">
        <f t="array" aca="1" ref="P5" ca="1">_xll.QModels_GetCompoVol(AModel,B5,I5,F5,E5)</f>
        <v>0.150675</v>
      </c>
      <c r="Q5" t="str" cm="1">
        <f t="array" aca="1" ref="Q5" ca="1">_xll.QIns_CreateAsianOption("asiOpt_"&amp;ROW(),IF(C5="",D5:E5,C5),B5,I5,F5,G5,H5,K5,I5,L5,M5,,J5)</f>
        <v>asiOpt_5¬2</v>
      </c>
      <c r="R5" s="21" cm="1">
        <f t="array" aca="1" ref="R5" ca="1">_xll.QIns_ProductPV(Q5,AModel,I5)</f>
        <v>0</v>
      </c>
      <c r="S5" t="str" cm="1">
        <f t="array" aca="1" ref="S5" ca="1">IF(VLOOKUP(B5,AssetStatic,4,FALSE),_xll.QRisk_PortfolioFxDeltaSpecific("asiOpt_DeltaA"&amp;ROW(),Q5,AModel,B5,"ZAR",FALSE),_xll.QRisk_PortfolioDelta("asiOpt_DeltaA"&amp;ROW(),Q5,AModel,FALSE))</f>
        <v>asiOpt_DeltaA5¬8</v>
      </c>
      <c r="T5" s="21" cm="1">
        <f t="array" aca="1" ref="T5" ca="1">_xll.QCube_SumAllRows(S5)</f>
        <v>0</v>
      </c>
      <c r="U5" s="11">
        <f t="shared" ca="1" si="4"/>
        <v>0</v>
      </c>
      <c r="V5" t="str" cm="1">
        <f t="array" aca="1" ref="V5" ca="1">_xll.QRisk_PortfolioVega("euopt_commVegaA"&amp;ROW(),Q5,AModel,I5)</f>
        <v>euopt_commVegaA5¬2</v>
      </c>
      <c r="W5" s="21" cm="1">
        <f t="array" aca="1" ref="W5" ca="1">_xll.QCube_SumAllRows(V5)</f>
        <v>0</v>
      </c>
      <c r="X5" s="100">
        <f t="shared" ca="1" si="5"/>
        <v>0</v>
      </c>
      <c r="Y5" t="str" cm="1">
        <f t="array" aca="1" ref="Y5" ca="1">_xll.QRisk_PortfolioFxVega("euOpt_fxVegaA"&amp;ROW(),Q5,AModel,I5)</f>
        <v>euOpt_fxVegaA5¬2</v>
      </c>
      <c r="Z5" s="21" cm="1">
        <f t="array" aca="1" ref="Z5" ca="1">_xll.QCube_SumAllRows(Y5)</f>
        <v>0</v>
      </c>
      <c r="AA5" s="100">
        <f t="shared" ca="1" si="6"/>
        <v>0</v>
      </c>
    </row>
    <row r="6" spans="1:27" x14ac:dyDescent="0.25">
      <c r="A6" s="6"/>
      <c r="B6" s="6" t="s">
        <v>10</v>
      </c>
      <c r="C6" s="101">
        <v>44197</v>
      </c>
      <c r="D6" s="102"/>
      <c r="E6" s="102"/>
      <c r="F6" s="103">
        <f t="shared" ca="1" si="0"/>
        <v>900000</v>
      </c>
      <c r="G6" s="6" t="s">
        <v>166</v>
      </c>
      <c r="H6" s="103">
        <v>102</v>
      </c>
      <c r="I6" s="6" t="s">
        <v>1</v>
      </c>
      <c r="J6" s="141" t="str">
        <f t="shared" ca="1" si="1"/>
        <v>ZAR.DISC.[USD.LIBOR.3M]</v>
      </c>
      <c r="K6" s="141" t="str">
        <f t="shared" ca="1" si="2"/>
        <v>LON</v>
      </c>
      <c r="L6" s="142" t="s">
        <v>171</v>
      </c>
      <c r="M6" s="142" t="str">
        <f t="shared" ca="1" si="3"/>
        <v>2b</v>
      </c>
      <c r="N6" t="str" cm="1">
        <f t="array" aca="1" ref="N6" ca="1">_xll.QIns_CreateAsianSwap("AsiOpt_Fwd_"&amp;ROW(),IF(C6="",D6:E6,C6),B6,I6,0,H6,K6,I6,L6,M6,,J6,IF(I6="USD","None","ATC"))</f>
        <v>AsiOpt_Fwd_6¬3</v>
      </c>
      <c r="O6" s="14" cm="1">
        <f t="array" aca="1" ref="O6" ca="1">_xll.QIns_ProductParRate(N6,AModel)</f>
        <v>1000000</v>
      </c>
      <c r="P6" s="11" cm="1">
        <f t="array" aca="1" ref="P6" ca="1">_xll.QModels_GetCompoVol(AModel,B6,I6,F6,E6)</f>
        <v>0.17118287114953998</v>
      </c>
      <c r="Q6" t="str" cm="1">
        <f t="array" aca="1" ref="Q6" ca="1">_xll.QIns_CreateAsianOption("asiOpt_"&amp;ROW(),IF(C6="",D6:E6,C6),B6,I6,F6,G6,H6,K6,I6,L6,M6,,J6)</f>
        <v>asiOpt_6¬2</v>
      </c>
      <c r="R6" s="21" cm="1">
        <f t="array" aca="1" ref="R6" ca="1">_xll.QIns_ProductPV(Q6,AModel,I6)</f>
        <v>0</v>
      </c>
      <c r="S6" t="str" cm="1">
        <f t="array" aca="1" ref="S6" ca="1">IF(VLOOKUP(B6,AssetStatic,4,FALSE),_xll.QRisk_PortfolioFxDeltaSpecific("asiOpt_DeltaA"&amp;ROW(),Q6,AModel,B6,"ZAR",FALSE),_xll.QRisk_PortfolioDelta("asiOpt_DeltaA"&amp;ROW(),Q6,AModel,FALSE))</f>
        <v>asiOpt_DeltaA6¬9</v>
      </c>
      <c r="T6" s="21" cm="1">
        <f t="array" aca="1" ref="T6" ca="1">_xll.QCube_SumAllRows(S6)</f>
        <v>0</v>
      </c>
      <c r="U6" s="11">
        <f t="shared" ca="1" si="4"/>
        <v>0</v>
      </c>
      <c r="V6" t="str" cm="1">
        <f t="array" aca="1" ref="V6" ca="1">_xll.QRisk_PortfolioVega("euopt_commVegaA"&amp;ROW(),Q6,AModel,I6)</f>
        <v>euopt_commVegaA6¬2</v>
      </c>
      <c r="W6" s="21" cm="1">
        <f t="array" aca="1" ref="W6" ca="1">_xll.QCube_SumAllRows(V6)</f>
        <v>0</v>
      </c>
      <c r="X6" s="100">
        <f t="shared" ca="1" si="5"/>
        <v>0</v>
      </c>
      <c r="Y6" t="str" cm="1">
        <f t="array" aca="1" ref="Y6" ca="1">_xll.QRisk_PortfolioFxVega("euOpt_fxVegaA"&amp;ROW(),Q6,AModel,I6)</f>
        <v>euOpt_fxVegaA6¬2</v>
      </c>
      <c r="Z6" s="21" cm="1">
        <f t="array" aca="1" ref="Z6" ca="1">_xll.QCube_SumAllRows(Y6)</f>
        <v>0</v>
      </c>
      <c r="AA6" s="100">
        <f t="shared" ca="1" si="6"/>
        <v>0</v>
      </c>
    </row>
    <row r="7" spans="1:27" x14ac:dyDescent="0.25">
      <c r="A7" s="6"/>
      <c r="B7" s="6" t="s">
        <v>10</v>
      </c>
      <c r="C7" s="101">
        <v>44228</v>
      </c>
      <c r="D7" s="102"/>
      <c r="E7" s="102"/>
      <c r="F7" s="103">
        <f t="shared" ca="1" si="0"/>
        <v>24454.225408532202</v>
      </c>
      <c r="G7" s="6" t="s">
        <v>166</v>
      </c>
      <c r="H7" s="103">
        <v>102</v>
      </c>
      <c r="I7" s="6" t="s">
        <v>1</v>
      </c>
      <c r="J7" s="141" t="str">
        <f t="shared" ca="1" si="1"/>
        <v>ZAR.DISC.[USD.LIBOR.3M]</v>
      </c>
      <c r="K7" s="141" t="str">
        <f t="shared" ca="1" si="2"/>
        <v>LON</v>
      </c>
      <c r="L7" s="142" t="s">
        <v>171</v>
      </c>
      <c r="M7" s="142" t="str">
        <f t="shared" ca="1" si="3"/>
        <v>2b</v>
      </c>
      <c r="N7" t="str" cm="1">
        <f t="array" aca="1" ref="N7" ca="1">_xll.QIns_CreateAsianSwap("AsiOpt_Fwd_"&amp;ROW(),IF(C7="",D7:E7,C7),B7,I7,0,H7,K7,I7,L7,M7,,J7,IF(I7="USD","None","ATC"))</f>
        <v>AsiOpt_Fwd_7¬3</v>
      </c>
      <c r="O7" s="14" cm="1">
        <f t="array" aca="1" ref="O7" ca="1">_xll.QIns_ProductParRate(N7,AModel)</f>
        <v>27171.361565035779</v>
      </c>
      <c r="P7" s="11" cm="1">
        <f t="array" aca="1" ref="P7" ca="1">_xll.QModels_GetCompoVol(AModel,B7,I7,F7,E7)</f>
        <v>0.17118287114953998</v>
      </c>
      <c r="Q7" t="str" cm="1">
        <f t="array" aca="1" ref="Q7" ca="1">_xll.QIns_CreateAsianOption("asiOpt_"&amp;ROW(),IF(C7="",D7:E7,C7),B7,I7,F7,G7,H7,K7,I7,L7,M7,,J7)</f>
        <v>asiOpt_7¬2</v>
      </c>
      <c r="R7" s="21" cm="1">
        <f t="array" aca="1" ref="R7" ca="1">_xll.QIns_ProductPV(Q7,AModel,I7)</f>
        <v>1.2466965255215344E-14</v>
      </c>
      <c r="S7" t="str" cm="1">
        <f t="array" aca="1" ref="S7" ca="1">IF(VLOOKUP(B7,AssetStatic,4,FALSE),_xll.QRisk_PortfolioFxDeltaSpecific("asiOpt_DeltaA"&amp;ROW(),Q7,AModel,B7,"ZAR",FALSE),_xll.QRisk_PortfolioDelta("asiOpt_DeltaA"&amp;ROW(),Q7,AModel,FALSE))</f>
        <v>asiOpt_DeltaA7¬9</v>
      </c>
      <c r="T7" s="21" cm="1">
        <f t="array" aca="1" ref="T7" ca="1">_xll.QCube_SumAllRows(S7)</f>
        <v>-1.970587360165216E-16</v>
      </c>
      <c r="U7" s="11">
        <f t="shared" ca="1" si="4"/>
        <v>-1.9319483923188393E-18</v>
      </c>
      <c r="V7" t="str" cm="1">
        <f t="array" aca="1" ref="V7" ca="1">_xll.QRisk_PortfolioVega("euopt_commVegaA"&amp;ROW(),Q7,AModel,I7)</f>
        <v>euopt_commVegaA7¬2</v>
      </c>
      <c r="W7" s="21" cm="1">
        <f t="array" aca="1" ref="W7" ca="1">_xll.QCube_SumAllRows(V7)</f>
        <v>0</v>
      </c>
      <c r="X7" s="100">
        <f t="shared" ca="1" si="5"/>
        <v>0</v>
      </c>
      <c r="Y7" t="str" cm="1">
        <f t="array" aca="1" ref="Y7" ca="1">_xll.QRisk_PortfolioFxVega("euOpt_fxVegaA"&amp;ROW(),Q7,AModel,I7)</f>
        <v>euOpt_fxVegaA7¬2</v>
      </c>
      <c r="Z7" s="21" cm="1">
        <f t="array" aca="1" ref="Z7" ca="1">_xll.QCube_SumAllRows(Y7)</f>
        <v>6.9564268317338078E-14</v>
      </c>
      <c r="AA7" s="100">
        <f t="shared" ca="1" si="6"/>
        <v>6.82002630562138E-16</v>
      </c>
    </row>
    <row r="8" spans="1:27" x14ac:dyDescent="0.25">
      <c r="A8" s="6"/>
      <c r="B8" s="6" t="s">
        <v>134</v>
      </c>
      <c r="C8" s="101">
        <v>44105</v>
      </c>
      <c r="D8" s="102"/>
      <c r="E8" s="102"/>
      <c r="F8" s="103">
        <f ca="1">0.28*159.6*7.46</f>
        <v>333.37248</v>
      </c>
      <c r="G8" s="6" t="s">
        <v>166</v>
      </c>
      <c r="H8" s="103">
        <f ca="1">400000/159.6/7.46</f>
        <v>335.96054479361948</v>
      </c>
      <c r="I8" s="6" t="s">
        <v>21</v>
      </c>
      <c r="J8" s="141" t="str">
        <f t="shared" ca="1" si="1"/>
        <v>USD.LIBOR.3M</v>
      </c>
      <c r="K8" s="141" t="str">
        <f ca="1">VLOOKUP(B8,AssetStatic,3,FALSE)</f>
        <v>ICE</v>
      </c>
      <c r="L8" s="142" t="s">
        <v>171</v>
      </c>
      <c r="M8" s="142" t="str">
        <f ca="1">VLOOKUP(B8,AssetStatic,2,FALSE)</f>
        <v>0b</v>
      </c>
      <c r="N8" t="str" cm="1">
        <f t="array" aca="1" ref="N8" ca="1">_xll.QIns_CreateAsianSwap("AsiOpt_Fwd_"&amp;ROW(),IF(C8="",D8:E8,C8),B8,I8,0,H8,K8,I8,L8,M8,,J8,IF(I8="USD","None","ATC"))</f>
        <v>AsiOpt_Fwd_8¬3</v>
      </c>
      <c r="O8" s="14" cm="1">
        <f t="array" aca="1" ref="O8" ca="1">_xll.QIns_ProductParRate(N8,AModel)</f>
        <v>1000000</v>
      </c>
      <c r="P8" s="11" cm="1">
        <f t="array" aca="1" ref="P8" ca="1">_xll.QModels_GetCompoVol(AModel,B8,I8,F8,E8)</f>
        <v>0.31694714472518615</v>
      </c>
      <c r="Q8" t="str" cm="1">
        <f t="array" aca="1" ref="Q8" ca="1">_xll.QIns_CreateAsianOption("asiOpt_"&amp;ROW(),IF(C8="",D8:E8,C8),B8,I8,F8,G8,H8,K8,I8,L8,M8,,J8)</f>
        <v>asiOpt_8¬3</v>
      </c>
      <c r="R8" s="21" cm="1">
        <f t="array" aca="1" ref="R8" ca="1">_xll.QIns_ProductPV(Q8,AModel,I8)</f>
        <v>0</v>
      </c>
      <c r="S8" t="str" cm="1">
        <f t="array" aca="1" ref="S8" ca="1">IF(VLOOKUP(B8,AssetStatic,4,FALSE),_xll.QRisk_PortfolioFxDeltaSpecific("asiOpt_DeltaA"&amp;ROW(),Q8,AModel,B8,"ZAR",FALSE),_xll.QRisk_PortfolioDelta("asiOpt_DeltaA"&amp;ROW(),Q8,AModel,FALSE))</f>
        <v>asiOpt_DeltaA8¬9</v>
      </c>
      <c r="T8" s="21" cm="1">
        <f t="array" aca="1" ref="T8" ca="1">_xll.QCube_SumAllRows(S8)</f>
        <v>0</v>
      </c>
      <c r="U8" s="11">
        <f t="shared" ca="1" si="4"/>
        <v>0</v>
      </c>
      <c r="V8" t="str" cm="1">
        <f t="array" aca="1" ref="V8" ca="1">_xll.QRisk_PortfolioVega("euopt_commVegaA"&amp;ROW(),Q8,AModel,I8)</f>
        <v>euopt_commVegaA8¬3</v>
      </c>
      <c r="W8" s="21" cm="1">
        <f t="array" aca="1" ref="W8" ca="1">_xll.QCube_SumAllRows(V8)</f>
        <v>0</v>
      </c>
      <c r="X8" s="100">
        <f t="shared" ca="1" si="5"/>
        <v>0</v>
      </c>
      <c r="Y8" t="str" cm="1">
        <f t="array" aca="1" ref="Y8" ca="1">_xll.QRisk_PortfolioFxVega("euOpt_fxVegaA"&amp;ROW(),Q8,AModel,I8)</f>
        <v>euOpt_fxVegaA8¬1</v>
      </c>
      <c r="Z8" s="21" cm="1">
        <f t="array" aca="1" ref="Z8" ca="1">_xll.QCube_SumAllRows(Y8)</f>
        <v>0</v>
      </c>
      <c r="AA8" s="100">
        <f t="shared" ca="1" si="6"/>
        <v>0</v>
      </c>
    </row>
    <row r="9" spans="1:27" x14ac:dyDescent="0.25">
      <c r="A9" s="6"/>
      <c r="B9" s="6" t="s">
        <v>134</v>
      </c>
      <c r="C9" s="101">
        <v>44136</v>
      </c>
      <c r="D9" s="102"/>
      <c r="E9" s="102"/>
      <c r="F9" s="103">
        <f ca="1">F8</f>
        <v>333.37248</v>
      </c>
      <c r="G9" s="6" t="s">
        <v>166</v>
      </c>
      <c r="H9" s="103">
        <f t="shared" ref="H9:H13" ca="1" si="7">400000/159.6/7.46</f>
        <v>335.96054479361948</v>
      </c>
      <c r="I9" s="6" t="s">
        <v>21</v>
      </c>
      <c r="J9" s="141" t="str">
        <f t="shared" ca="1" si="1"/>
        <v>USD.LIBOR.3M</v>
      </c>
      <c r="K9" s="141" t="str">
        <f ca="1">VLOOKUP(B9,AssetStatic,3,FALSE)</f>
        <v>ICE</v>
      </c>
      <c r="L9" s="142" t="s">
        <v>171</v>
      </c>
      <c r="M9" s="142" t="str">
        <f ca="1">VLOOKUP(B9,AssetStatic,2,FALSE)</f>
        <v>0b</v>
      </c>
      <c r="N9" t="str" cm="1">
        <f t="array" aca="1" ref="N9" ca="1">_xll.QIns_CreateAsianSwap("AsiOpt_Fwd_"&amp;ROW(),IF(C9="",D9:E9,C9),B9,I9,0,H9,K9,I9,L9,M9,,J9,IF(I9="USD","None","ATC"))</f>
        <v>AsiOpt_Fwd_9¬3</v>
      </c>
      <c r="O9" s="14" cm="1">
        <f t="array" aca="1" ref="O9" ca="1">_xll.QIns_ProductParRate(N9,AModel)</f>
        <v>1000000</v>
      </c>
      <c r="P9" s="11" cm="1">
        <f t="array" aca="1" ref="P9" ca="1">_xll.QModels_GetCompoVol(AModel,B9,I9,F9,E9)</f>
        <v>0.31694714472518615</v>
      </c>
      <c r="Q9" t="str" cm="1">
        <f t="array" aca="1" ref="Q9" ca="1">_xll.QIns_CreateAsianOption("asiOpt_"&amp;ROW(),IF(C9="",D9:E9,C9),B9,I9,F9,G9,H9,K9,I9,L9,M9,,J9)</f>
        <v>asiOpt_9¬3</v>
      </c>
      <c r="R9" s="21" cm="1">
        <f t="array" aca="1" ref="R9" ca="1">_xll.QIns_ProductPV(Q9,AModel,I9)</f>
        <v>0</v>
      </c>
      <c r="S9" t="str" cm="1">
        <f t="array" aca="1" ref="S9" ca="1">IF(VLOOKUP(B9,AssetStatic,4,FALSE),_xll.QRisk_PortfolioFxDeltaSpecific("asiOpt_DeltaA"&amp;ROW(),Q9,AModel,B9,"ZAR",FALSE),_xll.QRisk_PortfolioDelta("asiOpt_DeltaA"&amp;ROW(),Q9,AModel,FALSE))</f>
        <v>asiOpt_DeltaA9¬9</v>
      </c>
      <c r="T9" s="21" cm="1">
        <f t="array" aca="1" ref="T9" ca="1">_xll.QCube_SumAllRows(S9)</f>
        <v>0</v>
      </c>
      <c r="U9" s="11">
        <f t="shared" ca="1" si="4"/>
        <v>0</v>
      </c>
      <c r="V9" t="str" cm="1">
        <f t="array" aca="1" ref="V9" ca="1">_xll.QRisk_PortfolioVega("euopt_commVegaA"&amp;ROW(),Q9,AModel,I9)</f>
        <v>euopt_commVegaA9¬2</v>
      </c>
      <c r="W9" s="21" cm="1">
        <f t="array" aca="1" ref="W9" ca="1">_xll.QCube_SumAllRows(V9)</f>
        <v>0</v>
      </c>
      <c r="X9" s="100">
        <f t="shared" ca="1" si="5"/>
        <v>0</v>
      </c>
      <c r="Y9" t="str" cm="1">
        <f t="array" aca="1" ref="Y9" ca="1">_xll.QRisk_PortfolioFxVega("euOpt_fxVegaA"&amp;ROW(),Q9,AModel,I9)</f>
        <v>euOpt_fxVegaA9¬1</v>
      </c>
      <c r="Z9" s="21" cm="1">
        <f t="array" aca="1" ref="Z9" ca="1">_xll.QCube_SumAllRows(Y9)</f>
        <v>0</v>
      </c>
      <c r="AA9" s="100">
        <f t="shared" ca="1" si="6"/>
        <v>0</v>
      </c>
    </row>
    <row r="10" spans="1:27" x14ac:dyDescent="0.25">
      <c r="A10" s="6"/>
      <c r="B10" s="6" t="s">
        <v>134</v>
      </c>
      <c r="C10" s="101">
        <v>44166</v>
      </c>
      <c r="D10" s="102"/>
      <c r="E10" s="102"/>
      <c r="F10" s="103">
        <f t="shared" ref="F10:F13" ca="1" si="8">F9</f>
        <v>333.37248</v>
      </c>
      <c r="G10" s="6" t="s">
        <v>166</v>
      </c>
      <c r="H10" s="103">
        <f t="shared" ca="1" si="7"/>
        <v>335.96054479361948</v>
      </c>
      <c r="I10" s="6" t="s">
        <v>21</v>
      </c>
      <c r="J10" s="141" t="str">
        <f t="shared" ref="J10:J19" ca="1" si="9">IF(I10="USD","USD.LIBOR.3M",I10&amp;".DISC.[USD.LIBOR.3M]")</f>
        <v>USD.LIBOR.3M</v>
      </c>
      <c r="K10" s="141" t="str">
        <f t="shared" ref="K10:K19" ca="1" si="10">VLOOKUP(B10,AssetStatic,3,FALSE)</f>
        <v>ICE</v>
      </c>
      <c r="L10" s="142" t="s">
        <v>171</v>
      </c>
      <c r="M10" s="142" t="str">
        <f t="shared" ref="M10:M19" ca="1" si="11">VLOOKUP(B10,AssetStatic,2,FALSE)</f>
        <v>0b</v>
      </c>
      <c r="N10" t="str" cm="1">
        <f t="array" aca="1" ref="N10" ca="1">_xll.QIns_CreateAsianSwap("AsiOpt_Fwd_"&amp;ROW(),IF(C10="",D10:E10,C10),B10,I10,0,H10,K10,I10,L10,M10,,J10,IF(I10="USD","None","ATC"))</f>
        <v>AsiOpt_Fwd_10¬3</v>
      </c>
      <c r="O10" s="14" cm="1">
        <f t="array" aca="1" ref="O10" ca="1">_xll.QIns_ProductParRate(N10,AModel)</f>
        <v>1000000</v>
      </c>
      <c r="P10" s="11" cm="1">
        <f t="array" aca="1" ref="P10" ca="1">_xll.QModels_GetCompoVol(AModel,B10,I10,F10,E10)</f>
        <v>0.31694714472518615</v>
      </c>
      <c r="Q10" t="str" cm="1">
        <f t="array" aca="1" ref="Q10" ca="1">_xll.QIns_CreateAsianOption("asiOpt_"&amp;ROW(),IF(C10="",D10:E10,C10),B10,I10,F10,G10,H10,K10,I10,L10,M10,,J10)</f>
        <v>asiOpt_10¬3</v>
      </c>
      <c r="R10" s="21" cm="1">
        <f t="array" aca="1" ref="R10" ca="1">_xll.QIns_ProductPV(Q10,AModel,I10)</f>
        <v>0</v>
      </c>
      <c r="S10" t="str" cm="1">
        <f t="array" aca="1" ref="S10" ca="1">IF(VLOOKUP(B10,AssetStatic,4,FALSE),_xll.QRisk_PortfolioFxDeltaSpecific("asiOpt_DeltaA"&amp;ROW(),Q10,AModel,B10,"ZAR",FALSE),_xll.QRisk_PortfolioDelta("asiOpt_DeltaA"&amp;ROW(),Q10,AModel,FALSE))</f>
        <v>asiOpt_DeltaA10¬7</v>
      </c>
      <c r="T10" s="21" cm="1">
        <f t="array" aca="1" ref="T10" ca="1">_xll.QCube_SumAllRows(S10)</f>
        <v>0</v>
      </c>
      <c r="U10" s="11">
        <f t="shared" ref="U10:U19" ca="1" si="12">T10/H10</f>
        <v>0</v>
      </c>
      <c r="V10" t="str" cm="1">
        <f t="array" aca="1" ref="V10" ca="1">_xll.QRisk_PortfolioVega("euopt_commVegaA"&amp;ROW(),Q10,AModel,I10)</f>
        <v>euopt_commVegaA10¬2</v>
      </c>
      <c r="W10" s="21" cm="1">
        <f t="array" aca="1" ref="W10" ca="1">_xll.QCube_SumAllRows(V10)</f>
        <v>0</v>
      </c>
      <c r="X10" s="100">
        <f t="shared" ref="X10:X19" ca="1" si="13">W10/H10</f>
        <v>0</v>
      </c>
      <c r="Y10" t="str" cm="1">
        <f t="array" aca="1" ref="Y10" ca="1">_xll.QRisk_PortfolioFxVega("euOpt_fxVegaA"&amp;ROW(),Q10,AModel,I10)</f>
        <v>euOpt_fxVegaA10¬1</v>
      </c>
      <c r="Z10" s="21" cm="1">
        <f t="array" aca="1" ref="Z10" ca="1">_xll.QCube_SumAllRows(Y10)</f>
        <v>0</v>
      </c>
      <c r="AA10" s="100">
        <f t="shared" ref="AA10:AA19" ca="1" si="14">Z10/H10</f>
        <v>0</v>
      </c>
    </row>
    <row r="11" spans="1:27" x14ac:dyDescent="0.25">
      <c r="A11" s="6"/>
      <c r="B11" s="6" t="s">
        <v>134</v>
      </c>
      <c r="C11" s="101">
        <v>44197</v>
      </c>
      <c r="D11" s="102"/>
      <c r="E11" s="102"/>
      <c r="F11" s="103">
        <f t="shared" ca="1" si="8"/>
        <v>333.37248</v>
      </c>
      <c r="G11" s="6" t="s">
        <v>166</v>
      </c>
      <c r="H11" s="103">
        <f t="shared" ca="1" si="7"/>
        <v>335.96054479361948</v>
      </c>
      <c r="I11" s="6" t="s">
        <v>21</v>
      </c>
      <c r="J11" s="141" t="str">
        <f t="shared" ca="1" si="9"/>
        <v>USD.LIBOR.3M</v>
      </c>
      <c r="K11" s="141" t="str">
        <f t="shared" ca="1" si="10"/>
        <v>ICE</v>
      </c>
      <c r="L11" s="142" t="s">
        <v>171</v>
      </c>
      <c r="M11" s="142" t="str">
        <f t="shared" ca="1" si="11"/>
        <v>0b</v>
      </c>
      <c r="N11" t="str" cm="1">
        <f t="array" aca="1" ref="N11" ca="1">_xll.QIns_CreateAsianSwap("AsiOpt_Fwd_"&amp;ROW(),IF(C11="",D11:E11,C11),B11,I11,0,H11,K11,I11,L11,M11,,J11,IF(I11="USD","None","ATC"))</f>
        <v>AsiOpt_Fwd_11¬3</v>
      </c>
      <c r="O11" s="14" cm="1">
        <f t="array" aca="1" ref="O11" ca="1">_xll.QIns_ProductParRate(N11,AModel)</f>
        <v>1000000</v>
      </c>
      <c r="P11" s="11" cm="1">
        <f t="array" aca="1" ref="P11" ca="1">_xll.QModels_GetCompoVol(AModel,B11,I11,F11,E11)</f>
        <v>0.31694714472518615</v>
      </c>
      <c r="Q11" t="str" cm="1">
        <f t="array" aca="1" ref="Q11" ca="1">_xll.QIns_CreateAsianOption("asiOpt_"&amp;ROW(),IF(C11="",D11:E11,C11),B11,I11,F11,G11,H11,K11,I11,L11,M11,,J11)</f>
        <v>asiOpt_11¬3</v>
      </c>
      <c r="R11" s="21" cm="1">
        <f t="array" aca="1" ref="R11" ca="1">_xll.QIns_ProductPV(Q11,AModel,I11)</f>
        <v>0</v>
      </c>
      <c r="S11" t="str" cm="1">
        <f t="array" aca="1" ref="S11" ca="1">IF(VLOOKUP(B11,AssetStatic,4,FALSE),_xll.QRisk_PortfolioFxDeltaSpecific("asiOpt_DeltaA"&amp;ROW(),Q11,AModel,B11,"ZAR",FALSE),_xll.QRisk_PortfolioDelta("asiOpt_DeltaA"&amp;ROW(),Q11,AModel,FALSE))</f>
        <v>asiOpt_DeltaA11¬9</v>
      </c>
      <c r="T11" s="21" cm="1">
        <f t="array" aca="1" ref="T11" ca="1">_xll.QCube_SumAllRows(S11)</f>
        <v>0</v>
      </c>
      <c r="U11" s="11">
        <f t="shared" ca="1" si="12"/>
        <v>0</v>
      </c>
      <c r="V11" t="str" cm="1">
        <f t="array" aca="1" ref="V11" ca="1">_xll.QRisk_PortfolioVega("euopt_commVegaA"&amp;ROW(),Q11,AModel,I11)</f>
        <v>euopt_commVegaA11¬2</v>
      </c>
      <c r="W11" s="21" cm="1">
        <f t="array" aca="1" ref="W11" ca="1">_xll.QCube_SumAllRows(V11)</f>
        <v>0</v>
      </c>
      <c r="X11" s="100">
        <f t="shared" ca="1" si="13"/>
        <v>0</v>
      </c>
      <c r="Y11" t="str" cm="1">
        <f t="array" aca="1" ref="Y11" ca="1">_xll.QRisk_PortfolioFxVega("euOpt_fxVegaA"&amp;ROW(),Q11,AModel,I11)</f>
        <v>euOpt_fxVegaA11¬1</v>
      </c>
      <c r="Z11" s="21" cm="1">
        <f t="array" aca="1" ref="Z11" ca="1">_xll.QCube_SumAllRows(Y11)</f>
        <v>0</v>
      </c>
      <c r="AA11" s="100">
        <f t="shared" ca="1" si="14"/>
        <v>0</v>
      </c>
    </row>
    <row r="12" spans="1:27" x14ac:dyDescent="0.25">
      <c r="A12" s="6"/>
      <c r="B12" s="6" t="s">
        <v>134</v>
      </c>
      <c r="C12" s="101">
        <v>44228</v>
      </c>
      <c r="D12" s="102"/>
      <c r="E12" s="102"/>
      <c r="F12" s="103">
        <f t="shared" ca="1" si="8"/>
        <v>333.37248</v>
      </c>
      <c r="G12" s="6" t="s">
        <v>166</v>
      </c>
      <c r="H12" s="103">
        <f t="shared" ca="1" si="7"/>
        <v>335.96054479361948</v>
      </c>
      <c r="I12" s="6" t="s">
        <v>21</v>
      </c>
      <c r="J12" s="141" t="str">
        <f t="shared" ca="1" si="9"/>
        <v>USD.LIBOR.3M</v>
      </c>
      <c r="K12" s="141" t="str">
        <f t="shared" ca="1" si="10"/>
        <v>ICE</v>
      </c>
      <c r="L12" s="142" t="s">
        <v>171</v>
      </c>
      <c r="M12" s="142" t="str">
        <f t="shared" ca="1" si="11"/>
        <v>0b</v>
      </c>
      <c r="N12" t="str" cm="1">
        <f t="array" aca="1" ref="N12" ca="1">_xll.QIns_CreateAsianSwap("AsiOpt_Fwd_"&amp;ROW(),IF(C12="",D12:E12,C12),B12,I12,0,H12,K12,I12,L12,M12,,J12,IF(I12="USD","None","ATC"))</f>
        <v>AsiOpt_Fwd_12¬3</v>
      </c>
      <c r="O12" s="14" cm="1">
        <f t="array" aca="1" ref="O12" ca="1">_xll.QIns_ProductParRate(N12,AModel)</f>
        <v>495.45941780821903</v>
      </c>
      <c r="P12" s="11" cm="1">
        <f t="array" aca="1" ref="P12" ca="1">_xll.QModels_GetCompoVol(AModel,B12,I12,F12,E12)</f>
        <v>0.31694714472518615</v>
      </c>
      <c r="Q12" t="str" cm="1">
        <f t="array" aca="1" ref="Q12" ca="1">_xll.QIns_CreateAsianOption("asiOpt_"&amp;ROW(),IF(C12="",D12:E12,C12),B12,I12,F12,G12,H12,K12,I12,L12,M12,,J12)</f>
        <v>asiOpt_12¬3</v>
      </c>
      <c r="R12" s="21" cm="1">
        <f t="array" aca="1" ref="R12" ca="1">_xll.QIns_ProductPV(Q12,AModel,I12)</f>
        <v>8.0938460628071358E-76</v>
      </c>
      <c r="S12" t="str" cm="1">
        <f t="array" aca="1" ref="S12" ca="1">IF(VLOOKUP(B12,AssetStatic,4,FALSE),_xll.QRisk_PortfolioFxDeltaSpecific("asiOpt_DeltaA"&amp;ROW(),Q12,AModel,B12,"ZAR",FALSE),_xll.QRisk_PortfolioDelta("asiOpt_DeltaA"&amp;ROW(),Q12,AModel,FALSE))</f>
        <v>asiOpt_DeltaA12¬10</v>
      </c>
      <c r="T12" s="21" cm="1">
        <f t="array" aca="1" ref="T12" ca="1">_xll.QCube_SumAllRows(S12)</f>
        <v>-7.218455102248291E-76</v>
      </c>
      <c r="U12" s="11">
        <f t="shared" ca="1" si="12"/>
        <v>-2.1486020350046126E-78</v>
      </c>
      <c r="V12" t="str" cm="1">
        <f t="array" aca="1" ref="V12" ca="1">_xll.QRisk_PortfolioVega("euopt_commVegaA"&amp;ROW(),Q12,AModel,I12)</f>
        <v>euopt_commVegaA12¬2</v>
      </c>
      <c r="W12" s="21" cm="1">
        <f t="array" aca="1" ref="W12" ca="1">_xll.QCube_SumAllRows(V12)</f>
        <v>1.6296028182620314E-74</v>
      </c>
      <c r="X12" s="100">
        <f t="shared" ca="1" si="13"/>
        <v>4.8505779726696665E-77</v>
      </c>
      <c r="Y12" t="str" cm="1">
        <f t="array" aca="1" ref="Y12" ca="1">_xll.QRisk_PortfolioFxVega("euOpt_fxVegaA"&amp;ROW(),Q12,AModel,I12)</f>
        <v>euOpt_fxVegaA12¬1</v>
      </c>
      <c r="Z12" s="21" cm="1">
        <f t="array" aca="1" ref="Z12" ca="1">_xll.QCube_SumAllRows(Y12)</f>
        <v>0</v>
      </c>
      <c r="AA12" s="100">
        <f t="shared" ca="1" si="14"/>
        <v>0</v>
      </c>
    </row>
    <row r="13" spans="1:27" x14ac:dyDescent="0.25">
      <c r="A13" s="6"/>
      <c r="B13" s="6" t="s">
        <v>134</v>
      </c>
      <c r="C13" s="101">
        <v>44256</v>
      </c>
      <c r="D13" s="102"/>
      <c r="E13" s="102"/>
      <c r="F13" s="103">
        <f t="shared" ca="1" si="8"/>
        <v>333.37248</v>
      </c>
      <c r="G13" s="6" t="s">
        <v>166</v>
      </c>
      <c r="H13" s="103">
        <f t="shared" ca="1" si="7"/>
        <v>335.96054479361948</v>
      </c>
      <c r="I13" s="6" t="s">
        <v>21</v>
      </c>
      <c r="J13" s="141" t="str">
        <f t="shared" ca="1" si="9"/>
        <v>USD.LIBOR.3M</v>
      </c>
      <c r="K13" s="141" t="str">
        <f t="shared" ca="1" si="10"/>
        <v>ICE</v>
      </c>
      <c r="L13" s="142" t="s">
        <v>171</v>
      </c>
      <c r="M13" s="142" t="str">
        <f t="shared" ca="1" si="11"/>
        <v>0b</v>
      </c>
      <c r="N13" t="str" cm="1">
        <f t="array" aca="1" ref="N13" ca="1">_xll.QIns_CreateAsianSwap("AsiOpt_Fwd_"&amp;ROW(),IF(C13="",D13:E13,C13),B13,I13,0,H13,K13,I13,L13,M13,,J13,IF(I13="USD","None","ATC"))</f>
        <v>AsiOpt_Fwd_13¬3</v>
      </c>
      <c r="O13" s="14" cm="1">
        <f t="array" aca="1" ref="O13" ca="1">_xll.QIns_ProductParRate(N13,AModel)</f>
        <v>505.74106611078003</v>
      </c>
      <c r="P13" s="11" cm="1">
        <f t="array" aca="1" ref="P13" ca="1">_xll.QModels_GetCompoVol(AModel,B13,I13,F13,E13)</f>
        <v>0.31694714472518615</v>
      </c>
      <c r="Q13" t="str" cm="1">
        <f t="array" aca="1" ref="Q13" ca="1">_xll.QIns_CreateAsianOption("asiOpt_"&amp;ROW(),IF(C13="",D13:E13,C13),B13,I13,F13,G13,H13,K13,I13,L13,M13,,J13)</f>
        <v>asiOpt_13¬3</v>
      </c>
      <c r="R13" s="21" cm="1">
        <f t="array" aca="1" ref="R13" ca="1">_xll.QIns_ProductPV(Q13,AModel,I13)</f>
        <v>0.13428407694540873</v>
      </c>
      <c r="S13" t="str" cm="1">
        <f t="array" aca="1" ref="S13" ca="1">IF(VLOOKUP(B13,AssetStatic,4,FALSE),_xll.QRisk_PortfolioFxDeltaSpecific("asiOpt_DeltaA"&amp;ROW(),Q13,AModel,B13,"ZAR",FALSE),_xll.QRisk_PortfolioDelta("asiOpt_DeltaA"&amp;ROW(),Q13,AModel,FALSE))</f>
        <v>asiOpt_DeltaA13¬10</v>
      </c>
      <c r="T13" s="21" cm="1">
        <f t="array" aca="1" ref="T13" ca="1">_xll.QCube_SumAllRows(S13)</f>
        <v>-1.0841513330112074E-2</v>
      </c>
      <c r="U13" s="11">
        <f t="shared" ca="1" si="12"/>
        <v>-3.2270198087611785E-5</v>
      </c>
      <c r="V13" t="str" cm="1">
        <f t="array" aca="1" ref="V13" ca="1">_xll.QRisk_PortfolioVega("euopt_commVegaA"&amp;ROW(),Q13,AModel,I13)</f>
        <v>euopt_commVegaA13¬2</v>
      </c>
      <c r="W13" s="21" cm="1">
        <f t="array" aca="1" ref="W13" ca="1">_xll.QCube_SumAllRows(V13)</f>
        <v>6.411083260439987E-2</v>
      </c>
      <c r="X13" s="100">
        <f t="shared" ca="1" si="13"/>
        <v>1.9082845768030038E-4</v>
      </c>
      <c r="Y13" t="str" cm="1">
        <f t="array" aca="1" ref="Y13" ca="1">_xll.QRisk_PortfolioFxVega("euOpt_fxVegaA"&amp;ROW(),Q13,AModel,I13)</f>
        <v>euOpt_fxVegaA13¬1</v>
      </c>
      <c r="Z13" s="21" cm="1">
        <f t="array" aca="1" ref="Z13" ca="1">_xll.QCube_SumAllRows(Y13)</f>
        <v>0</v>
      </c>
      <c r="AA13" s="100">
        <f t="shared" ca="1" si="14"/>
        <v>0</v>
      </c>
    </row>
    <row r="14" spans="1:27" x14ac:dyDescent="0.25">
      <c r="A14" s="6"/>
      <c r="B14" s="6" t="s">
        <v>134</v>
      </c>
      <c r="C14" s="101">
        <v>44105</v>
      </c>
      <c r="D14" s="102"/>
      <c r="E14" s="102"/>
      <c r="F14" s="103">
        <f ca="1">0.3*159.6*7.46</f>
        <v>357.18479999999994</v>
      </c>
      <c r="G14" s="6" t="s">
        <v>287</v>
      </c>
      <c r="H14" s="103">
        <f ca="1">-H8</f>
        <v>-335.96054479361948</v>
      </c>
      <c r="I14" s="6" t="s">
        <v>21</v>
      </c>
      <c r="J14" s="141" t="str">
        <f t="shared" ca="1" si="9"/>
        <v>USD.LIBOR.3M</v>
      </c>
      <c r="K14" s="141" t="str">
        <f t="shared" ca="1" si="10"/>
        <v>ICE</v>
      </c>
      <c r="L14" s="142" t="s">
        <v>171</v>
      </c>
      <c r="M14" s="142" t="str">
        <f t="shared" ca="1" si="11"/>
        <v>0b</v>
      </c>
      <c r="N14" t="str" cm="1">
        <f t="array" aca="1" ref="N14" ca="1">_xll.QIns_CreateAsianSwap("AsiOpt_Fwd_"&amp;ROW(),IF(C14="",D14:E14,C14),B14,I14,0,H14,K14,I14,L14,M14,,J14,IF(I14="USD","None","ATC"))</f>
        <v>AsiOpt_Fwd_14¬3</v>
      </c>
      <c r="O14" s="14" cm="1">
        <f t="array" aca="1" ref="O14" ca="1">_xll.QIns_ProductParRate(N14,AModel)</f>
        <v>1000000</v>
      </c>
      <c r="P14" s="11" cm="1">
        <f t="array" aca="1" ref="P14" ca="1">_xll.QModels_GetCompoVol(AModel,B14,I14,F14,E14)</f>
        <v>0.31694714472518615</v>
      </c>
      <c r="Q14" t="str" cm="1">
        <f t="array" aca="1" ref="Q14" ca="1">_xll.QIns_CreateAsianOption("asiOpt_"&amp;ROW(),IF(C14="",D14:E14,C14),B14,I14,F14,G14,H14,K14,I14,L14,M14,,J14)</f>
        <v>asiOpt_14¬3</v>
      </c>
      <c r="R14" s="21" cm="1">
        <f t="array" aca="1" ref="R14" ca="1">_xll.QIns_ProductPV(Q14,AModel,I14)</f>
        <v>0</v>
      </c>
      <c r="S14" t="str" cm="1">
        <f t="array" aca="1" ref="S14" ca="1">IF(VLOOKUP(B14,AssetStatic,4,FALSE),_xll.QRisk_PortfolioFxDeltaSpecific("asiOpt_DeltaA"&amp;ROW(),Q14,AModel,B14,"ZAR",FALSE),_xll.QRisk_PortfolioDelta("asiOpt_DeltaA"&amp;ROW(),Q14,AModel,FALSE))</f>
        <v>asiOpt_DeltaA14¬9</v>
      </c>
      <c r="T14" s="21" cm="1">
        <f t="array" aca="1" ref="T14" ca="1">_xll.QCube_SumAllRows(S14)</f>
        <v>0</v>
      </c>
      <c r="U14" s="11">
        <f t="shared" ca="1" si="12"/>
        <v>0</v>
      </c>
      <c r="V14" t="str" cm="1">
        <f t="array" aca="1" ref="V14" ca="1">_xll.QRisk_PortfolioVega("euopt_commVegaA"&amp;ROW(),Q14,AModel,I14)</f>
        <v>euopt_commVegaA14¬2</v>
      </c>
      <c r="W14" s="21" cm="1">
        <f t="array" aca="1" ref="W14" ca="1">_xll.QCube_SumAllRows(V14)</f>
        <v>0</v>
      </c>
      <c r="X14" s="100">
        <f t="shared" ca="1" si="13"/>
        <v>0</v>
      </c>
      <c r="Y14" t="str" cm="1">
        <f t="array" aca="1" ref="Y14" ca="1">_xll.QRisk_PortfolioFxVega("euOpt_fxVegaA"&amp;ROW(),Q14,AModel,I14)</f>
        <v>euOpt_fxVegaA14¬1</v>
      </c>
      <c r="Z14" s="21" cm="1">
        <f t="array" aca="1" ref="Z14" ca="1">_xll.QCube_SumAllRows(Y14)</f>
        <v>0</v>
      </c>
      <c r="AA14" s="100">
        <f t="shared" ca="1" si="14"/>
        <v>0</v>
      </c>
    </row>
    <row r="15" spans="1:27" x14ac:dyDescent="0.25">
      <c r="A15" s="6"/>
      <c r="B15" s="6" t="s">
        <v>134</v>
      </c>
      <c r="C15" s="101">
        <v>44136</v>
      </c>
      <c r="D15" s="102"/>
      <c r="E15" s="102"/>
      <c r="F15" s="103">
        <f t="shared" ref="F15:F19" ca="1" si="15">0.3*159.6*7.46</f>
        <v>357.18479999999994</v>
      </c>
      <c r="G15" s="6" t="s">
        <v>287</v>
      </c>
      <c r="H15" s="103">
        <f t="shared" ref="H15:H19" ca="1" si="16">-H9</f>
        <v>-335.96054479361948</v>
      </c>
      <c r="I15" s="6" t="s">
        <v>21</v>
      </c>
      <c r="J15" s="141" t="str">
        <f t="shared" ca="1" si="9"/>
        <v>USD.LIBOR.3M</v>
      </c>
      <c r="K15" s="141" t="str">
        <f t="shared" ca="1" si="10"/>
        <v>ICE</v>
      </c>
      <c r="L15" s="142" t="s">
        <v>171</v>
      </c>
      <c r="M15" s="142" t="str">
        <f t="shared" ca="1" si="11"/>
        <v>0b</v>
      </c>
      <c r="N15" t="str" cm="1">
        <f t="array" aca="1" ref="N15" ca="1">_xll.QIns_CreateAsianSwap("AsiOpt_Fwd_"&amp;ROW(),IF(C15="",D15:E15,C15),B15,I15,0,H15,K15,I15,L15,M15,,J15,IF(I15="USD","None","ATC"))</f>
        <v>AsiOpt_Fwd_15¬3</v>
      </c>
      <c r="O15" s="14" cm="1">
        <f t="array" aca="1" ref="O15" ca="1">_xll.QIns_ProductParRate(N15,AModel)</f>
        <v>1000000</v>
      </c>
      <c r="P15" s="11" cm="1">
        <f t="array" aca="1" ref="P15" ca="1">_xll.QModels_GetCompoVol(AModel,B15,I15,F15,E15)</f>
        <v>0.31694714472518615</v>
      </c>
      <c r="Q15" t="str" cm="1">
        <f t="array" aca="1" ref="Q15" ca="1">_xll.QIns_CreateAsianOption("asiOpt_"&amp;ROW(),IF(C15="",D15:E15,C15),B15,I15,F15,G15,H15,K15,I15,L15,M15,,J15)</f>
        <v>asiOpt_15¬3</v>
      </c>
      <c r="R15" s="21" cm="1">
        <f t="array" aca="1" ref="R15" ca="1">_xll.QIns_ProductPV(Q15,AModel,I15)</f>
        <v>0</v>
      </c>
      <c r="S15" t="str" cm="1">
        <f t="array" aca="1" ref="S15" ca="1">IF(VLOOKUP(B15,AssetStatic,4,FALSE),_xll.QRisk_PortfolioFxDeltaSpecific("asiOpt_DeltaA"&amp;ROW(),Q15,AModel,B15,"ZAR",FALSE),_xll.QRisk_PortfolioDelta("asiOpt_DeltaA"&amp;ROW(),Q15,AModel,FALSE))</f>
        <v>asiOpt_DeltaA15¬5</v>
      </c>
      <c r="T15" s="21" cm="1">
        <f t="array" aca="1" ref="T15" ca="1">_xll.QCube_SumAllRows(S15)</f>
        <v>0</v>
      </c>
      <c r="U15" s="11">
        <f t="shared" ca="1" si="12"/>
        <v>0</v>
      </c>
      <c r="V15" t="str" cm="1">
        <f t="array" aca="1" ref="V15" ca="1">_xll.QRisk_PortfolioVega("euopt_commVegaA"&amp;ROW(),Q15,AModel,I15)</f>
        <v>euopt_commVegaA15¬2</v>
      </c>
      <c r="W15" s="21" cm="1">
        <f t="array" aca="1" ref="W15" ca="1">_xll.QCube_SumAllRows(V15)</f>
        <v>0</v>
      </c>
      <c r="X15" s="100">
        <f t="shared" ca="1" si="13"/>
        <v>0</v>
      </c>
      <c r="Y15" t="str" cm="1">
        <f t="array" aca="1" ref="Y15" ca="1">_xll.QRisk_PortfolioFxVega("euOpt_fxVegaA"&amp;ROW(),Q15,AModel,I15)</f>
        <v>euOpt_fxVegaA15¬1</v>
      </c>
      <c r="Z15" s="21" cm="1">
        <f t="array" aca="1" ref="Z15" ca="1">_xll.QCube_SumAllRows(Y15)</f>
        <v>0</v>
      </c>
      <c r="AA15" s="100">
        <f t="shared" ca="1" si="14"/>
        <v>0</v>
      </c>
    </row>
    <row r="16" spans="1:27" x14ac:dyDescent="0.25">
      <c r="A16" s="6"/>
      <c r="B16" s="6" t="s">
        <v>134</v>
      </c>
      <c r="C16" s="101">
        <v>44166</v>
      </c>
      <c r="D16" s="102"/>
      <c r="E16" s="102"/>
      <c r="F16" s="103">
        <f t="shared" ca="1" si="15"/>
        <v>357.18479999999994</v>
      </c>
      <c r="G16" s="6" t="s">
        <v>287</v>
      </c>
      <c r="H16" s="103">
        <f t="shared" ca="1" si="16"/>
        <v>-335.96054479361948</v>
      </c>
      <c r="I16" s="6" t="s">
        <v>21</v>
      </c>
      <c r="J16" s="141" t="str">
        <f t="shared" ca="1" si="9"/>
        <v>USD.LIBOR.3M</v>
      </c>
      <c r="K16" s="141" t="str">
        <f t="shared" ca="1" si="10"/>
        <v>ICE</v>
      </c>
      <c r="L16" s="142" t="s">
        <v>171</v>
      </c>
      <c r="M16" s="142" t="str">
        <f t="shared" ca="1" si="11"/>
        <v>0b</v>
      </c>
      <c r="N16" t="str" cm="1">
        <f t="array" aca="1" ref="N16" ca="1">_xll.QIns_CreateAsianSwap("AsiOpt_Fwd_"&amp;ROW(),IF(C16="",D16:E16,C16),B16,I16,0,H16,K16,I16,L16,M16,,J16,IF(I16="USD","None","ATC"))</f>
        <v>AsiOpt_Fwd_16¬3</v>
      </c>
      <c r="O16" s="14" cm="1">
        <f t="array" aca="1" ref="O16" ca="1">_xll.QIns_ProductParRate(N16,AModel)</f>
        <v>1000000</v>
      </c>
      <c r="P16" s="11" cm="1">
        <f t="array" aca="1" ref="P16" ca="1">_xll.QModels_GetCompoVol(AModel,B16,I16,F16,E16)</f>
        <v>0.31694714472518615</v>
      </c>
      <c r="Q16" t="str" cm="1">
        <f t="array" aca="1" ref="Q16" ca="1">_xll.QIns_CreateAsianOption("asiOpt_"&amp;ROW(),IF(C16="",D16:E16,C16),B16,I16,F16,G16,H16,K16,I16,L16,M16,,J16)</f>
        <v>asiOpt_16¬3</v>
      </c>
      <c r="R16" s="21" cm="1">
        <f t="array" aca="1" ref="R16" ca="1">_xll.QIns_ProductPV(Q16,AModel,I16)</f>
        <v>0</v>
      </c>
      <c r="S16" t="str" cm="1">
        <f t="array" aca="1" ref="S16" ca="1">IF(VLOOKUP(B16,AssetStatic,4,FALSE),_xll.QRisk_PortfolioFxDeltaSpecific("asiOpt_DeltaA"&amp;ROW(),Q16,AModel,B16,"ZAR",FALSE),_xll.QRisk_PortfolioDelta("asiOpt_DeltaA"&amp;ROW(),Q16,AModel,FALSE))</f>
        <v>asiOpt_DeltaA16¬5</v>
      </c>
      <c r="T16" s="21" cm="1">
        <f t="array" aca="1" ref="T16" ca="1">_xll.QCube_SumAllRows(S16)</f>
        <v>0</v>
      </c>
      <c r="U16" s="11">
        <f t="shared" ca="1" si="12"/>
        <v>0</v>
      </c>
      <c r="V16" t="str" cm="1">
        <f t="array" aca="1" ref="V16" ca="1">_xll.QRisk_PortfolioVega("euopt_commVegaA"&amp;ROW(),Q16,AModel,I16)</f>
        <v>euopt_commVegaA16¬2</v>
      </c>
      <c r="W16" s="21" cm="1">
        <f t="array" aca="1" ref="W16" ca="1">_xll.QCube_SumAllRows(V16)</f>
        <v>0</v>
      </c>
      <c r="X16" s="100">
        <f t="shared" ca="1" si="13"/>
        <v>0</v>
      </c>
      <c r="Y16" t="str" cm="1">
        <f t="array" aca="1" ref="Y16" ca="1">_xll.QRisk_PortfolioFxVega("euOpt_fxVegaA"&amp;ROW(),Q16,AModel,I16)</f>
        <v>euOpt_fxVegaA16¬1</v>
      </c>
      <c r="Z16" s="21" cm="1">
        <f t="array" aca="1" ref="Z16" ca="1">_xll.QCube_SumAllRows(Y16)</f>
        <v>0</v>
      </c>
      <c r="AA16" s="100">
        <f t="shared" ca="1" si="14"/>
        <v>0</v>
      </c>
    </row>
    <row r="17" spans="1:30" x14ac:dyDescent="0.25">
      <c r="A17" s="6"/>
      <c r="B17" s="6" t="s">
        <v>134</v>
      </c>
      <c r="C17" s="101">
        <v>44197</v>
      </c>
      <c r="D17" s="102"/>
      <c r="E17" s="102"/>
      <c r="F17" s="103">
        <f t="shared" ca="1" si="15"/>
        <v>357.18479999999994</v>
      </c>
      <c r="G17" s="6" t="s">
        <v>287</v>
      </c>
      <c r="H17" s="103">
        <f t="shared" ca="1" si="16"/>
        <v>-335.96054479361948</v>
      </c>
      <c r="I17" s="6" t="s">
        <v>21</v>
      </c>
      <c r="J17" s="141" t="str">
        <f t="shared" ca="1" si="9"/>
        <v>USD.LIBOR.3M</v>
      </c>
      <c r="K17" s="141" t="str">
        <f t="shared" ca="1" si="10"/>
        <v>ICE</v>
      </c>
      <c r="L17" s="142" t="s">
        <v>171</v>
      </c>
      <c r="M17" s="142" t="str">
        <f t="shared" ca="1" si="11"/>
        <v>0b</v>
      </c>
      <c r="N17" t="str" cm="1">
        <f t="array" aca="1" ref="N17" ca="1">_xll.QIns_CreateAsianSwap("AsiOpt_Fwd_"&amp;ROW(),IF(C17="",D17:E17,C17),B17,I17,0,H17,K17,I17,L17,M17,,J17,IF(I17="USD","None","ATC"))</f>
        <v>AsiOpt_Fwd_17¬3</v>
      </c>
      <c r="O17" s="14" cm="1">
        <f t="array" aca="1" ref="O17" ca="1">_xll.QIns_ProductParRate(N17,AModel)</f>
        <v>1000000</v>
      </c>
      <c r="P17" s="11" cm="1">
        <f t="array" aca="1" ref="P17" ca="1">_xll.QModels_GetCompoVol(AModel,B17,I17,F17,E17)</f>
        <v>0.31694714472518615</v>
      </c>
      <c r="Q17" t="str" cm="1">
        <f t="array" aca="1" ref="Q17" ca="1">_xll.QIns_CreateAsianOption("asiOpt_"&amp;ROW(),IF(C17="",D17:E17,C17),B17,I17,F17,G17,H17,K17,I17,L17,M17,,J17)</f>
        <v>asiOpt_17¬3</v>
      </c>
      <c r="R17" s="21" cm="1">
        <f t="array" aca="1" ref="R17" ca="1">_xll.QIns_ProductPV(Q17,AModel,I17)</f>
        <v>0</v>
      </c>
      <c r="S17" t="str" cm="1">
        <f t="array" aca="1" ref="S17" ca="1">IF(VLOOKUP(B17,AssetStatic,4,FALSE),_xll.QRisk_PortfolioFxDeltaSpecific("asiOpt_DeltaA"&amp;ROW(),Q17,AModel,B17,"ZAR",FALSE),_xll.QRisk_PortfolioDelta("asiOpt_DeltaA"&amp;ROW(),Q17,AModel,FALSE))</f>
        <v>asiOpt_DeltaA17¬5</v>
      </c>
      <c r="T17" s="21" cm="1">
        <f t="array" aca="1" ref="T17" ca="1">_xll.QCube_SumAllRows(S17)</f>
        <v>0</v>
      </c>
      <c r="U17" s="11">
        <f t="shared" ca="1" si="12"/>
        <v>0</v>
      </c>
      <c r="V17" t="str" cm="1">
        <f t="array" aca="1" ref="V17" ca="1">_xll.QRisk_PortfolioVega("euopt_commVegaA"&amp;ROW(),Q17,AModel,I17)</f>
        <v>euopt_commVegaA17¬2</v>
      </c>
      <c r="W17" s="21" cm="1">
        <f t="array" aca="1" ref="W17" ca="1">_xll.QCube_SumAllRows(V17)</f>
        <v>0</v>
      </c>
      <c r="X17" s="100">
        <f t="shared" ca="1" si="13"/>
        <v>0</v>
      </c>
      <c r="Y17" t="str" cm="1">
        <f t="array" aca="1" ref="Y17" ca="1">_xll.QRisk_PortfolioFxVega("euOpt_fxVegaA"&amp;ROW(),Q17,AModel,I17)</f>
        <v>euOpt_fxVegaA17¬1</v>
      </c>
      <c r="Z17" s="21" cm="1">
        <f t="array" aca="1" ref="Z17" ca="1">_xll.QCube_SumAllRows(Y17)</f>
        <v>0</v>
      </c>
      <c r="AA17" s="100">
        <f t="shared" ca="1" si="14"/>
        <v>0</v>
      </c>
    </row>
    <row r="18" spans="1:30" x14ac:dyDescent="0.25">
      <c r="A18" s="6"/>
      <c r="B18" s="6" t="s">
        <v>134</v>
      </c>
      <c r="C18" s="101">
        <v>44228</v>
      </c>
      <c r="D18" s="102"/>
      <c r="E18" s="102"/>
      <c r="F18" s="103">
        <f t="shared" ca="1" si="15"/>
        <v>357.18479999999994</v>
      </c>
      <c r="G18" s="6" t="s">
        <v>287</v>
      </c>
      <c r="H18" s="103">
        <f t="shared" ca="1" si="16"/>
        <v>-335.96054479361948</v>
      </c>
      <c r="I18" s="6" t="s">
        <v>21</v>
      </c>
      <c r="J18" s="141" t="str">
        <f t="shared" ca="1" si="9"/>
        <v>USD.LIBOR.3M</v>
      </c>
      <c r="K18" s="141" t="str">
        <f t="shared" ca="1" si="10"/>
        <v>ICE</v>
      </c>
      <c r="L18" s="142" t="s">
        <v>171</v>
      </c>
      <c r="M18" s="142" t="str">
        <f t="shared" ca="1" si="11"/>
        <v>0b</v>
      </c>
      <c r="N18" t="str" cm="1">
        <f t="array" aca="1" ref="N18" ca="1">_xll.QIns_CreateAsianSwap("AsiOpt_Fwd_"&amp;ROW(),IF(C18="",D18:E18,C18),B18,I18,0,H18,K18,I18,L18,M18,,J18,IF(I18="USD","None","ATC"))</f>
        <v>AsiOpt_Fwd_18¬3</v>
      </c>
      <c r="O18" s="14" cm="1">
        <f t="array" aca="1" ref="O18" ca="1">_xll.QIns_ProductParRate(N18,AModel)</f>
        <v>495.45941780821903</v>
      </c>
      <c r="P18" s="11" cm="1">
        <f t="array" aca="1" ref="P18" ca="1">_xll.QModels_GetCompoVol(AModel,B18,I18,F18,E18)</f>
        <v>0.31694714472518615</v>
      </c>
      <c r="Q18" t="str" cm="1">
        <f t="array" aca="1" ref="Q18" ca="1">_xll.QIns_CreateAsianOption("asiOpt_"&amp;ROW(),IF(C18="",D18:E18,C18),B18,I18,F18,G18,H18,K18,I18,L18,M18,,J18)</f>
        <v>asiOpt_18¬3</v>
      </c>
      <c r="R18" s="21" cm="1">
        <f t="array" aca="1" ref="R18" ca="1">_xll.QIns_ProductPV(Q18,AModel,I18)</f>
        <v>-46790.539266471729</v>
      </c>
      <c r="S18" t="str" cm="1">
        <f t="array" aca="1" ref="S18" ca="1">IF(VLOOKUP(B18,AssetStatic,4,FALSE),_xll.QRisk_PortfolioFxDeltaSpecific("asiOpt_DeltaA"&amp;ROW(),Q18,AModel,B18,"ZAR",FALSE),_xll.QRisk_PortfolioDelta("asiOpt_DeltaA"&amp;ROW(),Q18,AModel,FALSE))</f>
        <v>asiOpt_DeltaA18¬4</v>
      </c>
      <c r="T18" s="21" cm="1">
        <f t="array" aca="1" ref="T18" ca="1">_xll.QCube_SumAllRows(S18)</f>
        <v>-201.56602557835868</v>
      </c>
      <c r="U18" s="11">
        <f t="shared" ca="1" si="12"/>
        <v>0.59996933777500772</v>
      </c>
      <c r="V18" t="str" cm="1">
        <f t="array" aca="1" ref="V18" ca="1">_xll.QRisk_PortfolioVega("euopt_commVegaA"&amp;ROW(),Q18,AModel,I18)</f>
        <v>euopt_commVegaA18¬2</v>
      </c>
      <c r="W18" s="21" cm="1">
        <f t="array" aca="1" ref="W18" ca="1">_xll.QCube_SumAllRows(V18)</f>
        <v>0</v>
      </c>
      <c r="X18" s="100">
        <f t="shared" ca="1" si="13"/>
        <v>0</v>
      </c>
      <c r="Y18" t="str" cm="1">
        <f t="array" aca="1" ref="Y18" ca="1">_xll.QRisk_PortfolioFxVega("euOpt_fxVegaA"&amp;ROW(),Q18,AModel,I18)</f>
        <v>euOpt_fxVegaA18¬1</v>
      </c>
      <c r="Z18" s="21" cm="1">
        <f t="array" aca="1" ref="Z18" ca="1">_xll.QCube_SumAllRows(Y18)</f>
        <v>0</v>
      </c>
      <c r="AA18" s="100">
        <f t="shared" ca="1" si="14"/>
        <v>0</v>
      </c>
    </row>
    <row r="19" spans="1:30" x14ac:dyDescent="0.25">
      <c r="A19" s="6"/>
      <c r="B19" s="6" t="s">
        <v>134</v>
      </c>
      <c r="C19" s="101">
        <v>44256</v>
      </c>
      <c r="D19" s="102"/>
      <c r="E19" s="102"/>
      <c r="F19" s="103">
        <f t="shared" ca="1" si="15"/>
        <v>357.18479999999994</v>
      </c>
      <c r="G19" s="6" t="s">
        <v>287</v>
      </c>
      <c r="H19" s="103">
        <f t="shared" ca="1" si="16"/>
        <v>-335.96054479361948</v>
      </c>
      <c r="I19" s="6" t="s">
        <v>21</v>
      </c>
      <c r="J19" s="141" t="str">
        <f t="shared" ca="1" si="9"/>
        <v>USD.LIBOR.3M</v>
      </c>
      <c r="K19" s="141" t="str">
        <f t="shared" ca="1" si="10"/>
        <v>ICE</v>
      </c>
      <c r="L19" s="142" t="s">
        <v>171</v>
      </c>
      <c r="M19" s="142" t="str">
        <f t="shared" ca="1" si="11"/>
        <v>0b</v>
      </c>
      <c r="N19" t="str" cm="1">
        <f t="array" aca="1" ref="N19" ca="1">_xll.QIns_CreateAsianSwap("AsiOpt_Fwd_"&amp;ROW(),IF(C19="",D19:E19,C19),B19,I19,0,H19,K19,I19,L19,M19,,J19,IF(I19="USD","None","ATC"))</f>
        <v>AsiOpt_Fwd_19¬3</v>
      </c>
      <c r="O19" s="14" cm="1">
        <f t="array" aca="1" ref="O19" ca="1">_xll.QIns_ProductParRate(N19,AModel)</f>
        <v>505.74106611078003</v>
      </c>
      <c r="P19" s="11" cm="1">
        <f t="array" aca="1" ref="P19" ca="1">_xll.QModels_GetCompoVol(AModel,B19,I19,F19,E19)</f>
        <v>0.31694714472518615</v>
      </c>
      <c r="Q19" t="str" cm="1">
        <f t="array" aca="1" ref="Q19" ca="1">_xll.QIns_CreateAsianOption("asiOpt_"&amp;ROW(),IF(C19="",D19:E19,C19),B19,I19,F19,G19,H19,K19,I19,L19,M19,,J19)</f>
        <v>asiOpt_19¬3</v>
      </c>
      <c r="R19" s="21" cm="1">
        <f t="array" aca="1" ref="R19" ca="1">_xll.QIns_ProductPV(Q19,AModel,I19)</f>
        <v>-49900.881822639043</v>
      </c>
      <c r="S19" t="str" cm="1">
        <f t="array" aca="1" ref="S19" ca="1">IF(VLOOKUP(B19,AssetStatic,4,FALSE),_xll.QRisk_PortfolioFxDeltaSpecific("asiOpt_DeltaA"&amp;ROW(),Q19,AModel,B19,"ZAR",FALSE),_xll.QRisk_PortfolioDelta("asiOpt_DeltaA"&amp;ROW(),Q19,AModel,FALSE))</f>
        <v>asiOpt_DeltaA19¬2</v>
      </c>
      <c r="T19" s="21" cm="1">
        <f t="array" aca="1" ref="T19" ca="1">_xll.QCube_SumAllRows(S19)</f>
        <v>-335.75552080947091</v>
      </c>
      <c r="U19" s="11">
        <f t="shared" ca="1" si="12"/>
        <v>0.99938973791022245</v>
      </c>
      <c r="V19" t="str" cm="1">
        <f t="array" aca="1" ref="V19" ca="1">_xll.QRisk_PortfolioVega("euopt_commVegaA"&amp;ROW(),Q19,AModel,I19)</f>
        <v>euopt_commVegaA19¬3</v>
      </c>
      <c r="W19" s="21" cm="1">
        <f t="array" aca="1" ref="W19" ca="1">_xll.QCube_SumAllRows(V19)</f>
        <v>-0.68914730982214678</v>
      </c>
      <c r="X19" s="100">
        <f t="shared" ca="1" si="13"/>
        <v>2.0512745335780126E-3</v>
      </c>
      <c r="Y19" t="str" cm="1">
        <f t="array" aca="1" ref="Y19" ca="1">_xll.QRisk_PortfolioFxVega("euOpt_fxVegaA"&amp;ROW(),Q19,AModel,I19)</f>
        <v>euOpt_fxVegaA19¬1</v>
      </c>
      <c r="Z19" s="21" cm="1">
        <f t="array" aca="1" ref="Z19" ca="1">_xll.QCube_SumAllRows(Y19)</f>
        <v>0</v>
      </c>
      <c r="AA19" s="100">
        <f t="shared" ca="1" si="14"/>
        <v>0</v>
      </c>
    </row>
    <row r="20" spans="1:30" x14ac:dyDescent="0.25">
      <c r="A20" s="6"/>
      <c r="B20" s="6"/>
      <c r="C20" s="101"/>
      <c r="D20" s="102"/>
      <c r="E20" s="102"/>
      <c r="F20" s="103"/>
      <c r="G20" s="6"/>
      <c r="H20" s="103"/>
      <c r="I20" s="6"/>
      <c r="J20" s="141"/>
      <c r="K20" s="141"/>
      <c r="L20" s="142"/>
      <c r="M20" s="142"/>
      <c r="O20" s="14">
        <f ca="1">O22-O21</f>
        <v>1.0151515092964303E-2</v>
      </c>
      <c r="P20" s="11"/>
      <c r="T20" s="21"/>
      <c r="U20" s="11"/>
      <c r="W20" s="21"/>
      <c r="X20" s="100"/>
      <c r="Z20" s="21"/>
      <c r="AA20" s="100"/>
    </row>
    <row r="21" spans="1:30" ht="15.75" customHeight="1" x14ac:dyDescent="0.25">
      <c r="A21" s="6"/>
      <c r="B21" s="6" t="s">
        <v>129</v>
      </c>
      <c r="C21" s="101" t="s">
        <v>332</v>
      </c>
      <c r="D21" s="102"/>
      <c r="E21" s="102"/>
      <c r="F21" s="103">
        <v>40</v>
      </c>
      <c r="G21" s="6" t="s">
        <v>166</v>
      </c>
      <c r="H21" s="103">
        <v>1</v>
      </c>
      <c r="I21" s="6" t="s">
        <v>21</v>
      </c>
      <c r="J21" s="141" t="str">
        <f t="shared" ref="J21" ca="1" si="17">IF(I21="USD","USD.LIBOR.3M",I21&amp;".DISC.[USD.LIBOR.3M]")</f>
        <v>USD.LIBOR.3M</v>
      </c>
      <c r="K21" s="141" t="str">
        <f t="shared" ref="K21" ca="1" si="18">VLOOKUP(B21,AssetStatic,3,FALSE)</f>
        <v>ICE</v>
      </c>
      <c r="L21" s="142" t="s">
        <v>171</v>
      </c>
      <c r="M21" s="142" t="str">
        <f t="shared" ref="M21" ca="1" si="19">VLOOKUP(B21,AssetStatic,2,FALSE)</f>
        <v>0b</v>
      </c>
      <c r="N21" t="str" cm="1">
        <f t="array" aca="1" ref="N21" ca="1">_xll.QIns_CreateAsianSwap("AsiOpt_Fwd_"&amp;ROW(),IF(C21="",D21:E21,C21),B21,I21,0,H21,K21,I21,L21,M21,,J21,IF(I21="USD","None","ATC"))</f>
        <v>AsiOpt_Fwd_21¬3</v>
      </c>
      <c r="O21" s="14" cm="1">
        <f t="array" aca="1" ref="O21" ca="1">_xll.QIns_ProductParRate(N21,AModel)</f>
        <v>58.671666666666731</v>
      </c>
      <c r="P21" s="11" cm="1">
        <f t="array" aca="1" ref="P21" ca="1">_xll.QModels_GetCompoVol(AModel,B21,I21,F21,E21)</f>
        <v>0.34640696729203457</v>
      </c>
      <c r="Q21" t="str" cm="1">
        <f t="array" aca="1" ref="Q21" ca="1">_xll.QIns_CreateAsianOption("asiOpt_"&amp;ROW(),IF(C21="",D21:E21,C21),B21,I21,F21,G21,H21,K21,I21,L21,M21,,J21)</f>
        <v>asiOpt_21¬3</v>
      </c>
      <c r="R21" s="21" cm="1">
        <f t="array" aca="1" ref="R21" ca="1">_xll.QIns_ProductPV(Q21,AModel,I21)</f>
        <v>0.68401396121685476</v>
      </c>
      <c r="S21" t="str" cm="1">
        <f t="array" aca="1" ref="S21" ca="1">IF(VLOOKUP(B21,AssetStatic,4,FALSE),_xll.QRisk_PortfolioFxDeltaSpecific("asiOpt_DeltaA"&amp;ROW(),Q21,AModel,B21,"ZAR",FALSE),_xll.QRisk_PortfolioDelta("asiOpt_DeltaA"&amp;ROW(),Q21,AModel,FALSE))</f>
        <v>asiOpt_DeltaA21¬8</v>
      </c>
      <c r="T21" s="21" cm="1">
        <f t="array" aca="1" ref="T21" ca="1">_xll.QCube_SumAllRows(S21)</f>
        <v>-3.8418034239839916E-2</v>
      </c>
      <c r="U21" s="11">
        <f t="shared" ref="U21" ca="1" si="20">T21/H21</f>
        <v>-3.8418034239839916E-2</v>
      </c>
      <c r="V21" t="str" cm="1">
        <f t="array" aca="1" ref="V21" ca="1">_xll.QRisk_PortfolioVega("euopt_commVegaA"&amp;ROW(),Q21,AModel,I21)</f>
        <v>euopt_commVegaA21¬2</v>
      </c>
      <c r="W21" s="21" cm="1">
        <f t="array" aca="1" ref="W21" ca="1">_xll.QCube_SumAllRows(V21)</f>
        <v>4.0656768482891792E-2</v>
      </c>
      <c r="X21" s="100">
        <f t="shared" ref="X21" ca="1" si="21">W21/H21</f>
        <v>4.0656768482891792E-2</v>
      </c>
      <c r="Y21" t="str" cm="1">
        <f t="array" aca="1" ref="Y21" ca="1">_xll.QRisk_PortfolioFxVega("euOpt_fxVegaA"&amp;ROW(),Q21,AModel,I21)</f>
        <v>euOpt_fxVegaA21¬1</v>
      </c>
      <c r="Z21" s="21" cm="1">
        <f t="array" aca="1" ref="Z21" ca="1">_xll.QCube_SumAllRows(Y21)</f>
        <v>0</v>
      </c>
      <c r="AA21" s="100">
        <f t="shared" ref="AA21" ca="1" si="22">Z21/H21</f>
        <v>0</v>
      </c>
    </row>
    <row r="22" spans="1:30" x14ac:dyDescent="0.25">
      <c r="A22" s="6"/>
      <c r="B22" s="6" t="s">
        <v>143</v>
      </c>
      <c r="C22" s="101" t="str">
        <f ca="1">C21</f>
        <v>Q321</v>
      </c>
      <c r="D22" s="102"/>
      <c r="E22" s="102"/>
      <c r="F22" s="103">
        <v>40</v>
      </c>
      <c r="G22" s="6" t="s">
        <v>166</v>
      </c>
      <c r="H22" s="103">
        <v>1</v>
      </c>
      <c r="I22" s="6" t="s">
        <v>21</v>
      </c>
      <c r="J22" s="141" t="str">
        <f t="shared" ref="J22" ca="1" si="23">IF(I22="USD","USD.LIBOR.3M",I22&amp;".DISC.[USD.LIBOR.3M]")</f>
        <v>USD.LIBOR.3M</v>
      </c>
      <c r="K22" s="141" t="str">
        <f t="shared" ref="K22" ca="1" si="24">VLOOKUP(B22,AssetStatic,3,FALSE)</f>
        <v>LON</v>
      </c>
      <c r="L22" s="142" t="s">
        <v>171</v>
      </c>
      <c r="M22" s="142" t="str">
        <f t="shared" ref="M22" ca="1" si="25">VLOOKUP(B22,AssetStatic,2,FALSE)</f>
        <v>0b</v>
      </c>
      <c r="N22" t="str" cm="1">
        <f t="array" aca="1" ref="N22" ca="1">_xll.QIns_CreateAsianSwap("AsiOpt_Fwd_"&amp;ROW(),IF(C22="",D22:E22,C22),B22,I22,0,H22,K22,I22,L22,M22,,J22,IF(I22="USD","None","ATC"))</f>
        <v>AsiOpt_Fwd_22¬3</v>
      </c>
      <c r="O22" s="14" cm="1">
        <f t="array" aca="1" ref="O22" ca="1">_xll.QIns_ProductParRate(N22,AModel)</f>
        <v>58.681818181759695</v>
      </c>
      <c r="P22" s="11" cm="1">
        <f t="array" aca="1" ref="P22" ca="1">_xll.QModels_GetCompoVol(AModel,B22,I22,F22,E22)</f>
        <v>0.34640696729203457</v>
      </c>
      <c r="Q22" t="str" cm="1">
        <f t="array" aca="1" ref="Q22" ca="1">_xll.QIns_CreateAsianOption("asiOpt_"&amp;ROW(),IF(C22="",D22:E22,C22),B22,I22,F22,G22,H22,K22,I22,L22,M22,,J22)</f>
        <v>asiOpt_22¬3</v>
      </c>
      <c r="R22" s="21" cm="1">
        <f t="array" aca="1" ref="R22" ca="1">_xll.QIns_ProductPV(Q22,AModel,I22)</f>
        <v>0.68172134114570371</v>
      </c>
      <c r="S22" t="str" cm="1">
        <f t="array" aca="1" ref="S22" ca="1">IF(VLOOKUP(B22,AssetStatic,4,FALSE),_xll.QRisk_PortfolioFxDeltaSpecific("asiOpt_DeltaA"&amp;ROW(),Q22,AModel,B22,"ZAR",FALSE),_xll.QRisk_PortfolioDelta("asiOpt_DeltaA"&amp;ROW(),Q22,AModel,FALSE))</f>
        <v>asiOpt_DeltaA22¬7</v>
      </c>
      <c r="T22" s="21" cm="1">
        <f t="array" aca="1" ref="T22" ca="1">_xll.QCube_SumAllRows(S22)</f>
        <v>-3.8316527660475774E-2</v>
      </c>
      <c r="U22" s="11">
        <f t="shared" ref="U22" ca="1" si="26">T22/H22</f>
        <v>-3.8316527660475774E-2</v>
      </c>
      <c r="V22" t="str" cm="1">
        <f t="array" aca="1" ref="V22" ca="1">_xll.QRisk_PortfolioVega("euopt_commVegaA"&amp;ROW(),Q22,AModel,I22)</f>
        <v>euopt_commVegaA22¬2</v>
      </c>
      <c r="W22" s="21" cm="1">
        <f t="array" aca="1" ref="W22" ca="1">_xll.QCube_SumAllRows(V22)</f>
        <v>4.0538910345631063E-2</v>
      </c>
      <c r="X22" s="100">
        <f t="shared" ref="X22" ca="1" si="27">W22/H22</f>
        <v>4.0538910345631063E-2</v>
      </c>
      <c r="Y22" t="str" cm="1">
        <f t="array" aca="1" ref="Y22" ca="1">_xll.QRisk_PortfolioFxVega("euOpt_fxVegaA"&amp;ROW(),Q22,AModel,I22)</f>
        <v>euOpt_fxVegaA22¬1</v>
      </c>
      <c r="Z22" s="21" cm="1">
        <f t="array" aca="1" ref="Z22" ca="1">_xll.QCube_SumAllRows(Y22)</f>
        <v>0</v>
      </c>
      <c r="AA22" s="100">
        <f t="shared" ref="AA22" ca="1" si="28">Z22/H22</f>
        <v>0</v>
      </c>
      <c r="AB22" s="23"/>
      <c r="AC22" s="32">
        <v>2.9000000000000001E-2</v>
      </c>
    </row>
    <row r="23" spans="1:30" x14ac:dyDescent="0.25">
      <c r="A23" s="6"/>
      <c r="B23" s="6" t="s">
        <v>143</v>
      </c>
      <c r="C23" s="101">
        <v>44378</v>
      </c>
      <c r="D23" s="102"/>
      <c r="E23" s="102"/>
      <c r="F23" s="103">
        <v>40</v>
      </c>
      <c r="G23" s="6" t="s">
        <v>166</v>
      </c>
      <c r="H23" s="103">
        <v>1</v>
      </c>
      <c r="I23" s="6" t="s">
        <v>21</v>
      </c>
      <c r="J23" s="141" t="str">
        <f t="shared" ref="J23:J24" ca="1" si="29">IF(I23="USD","USD.LIBOR.3M",I23&amp;".DISC.[USD.LIBOR.3M]")</f>
        <v>USD.LIBOR.3M</v>
      </c>
      <c r="K23" s="141" t="str">
        <f t="shared" ref="K23:K24" ca="1" si="30">VLOOKUP(B23,AssetStatic,3,FALSE)</f>
        <v>LON</v>
      </c>
      <c r="L23" s="142" t="s">
        <v>171</v>
      </c>
      <c r="M23" s="142" t="str">
        <f t="shared" ref="M23:M24" ca="1" si="31">VLOOKUP(B23,AssetStatic,2,FALSE)</f>
        <v>0b</v>
      </c>
      <c r="N23" t="str" cm="1">
        <f t="array" aca="1" ref="N23" ca="1">_xll.QIns_CreateAsianSwap("AsiOpt_Fwd_"&amp;ROW(),IF(C23="",D23:E23,C23),B23,I23,0,H23,K23,I23,L23,M23,,J23,IF(I23="USD","None","ATC"))</f>
        <v>AsiOpt_Fwd_23¬3</v>
      </c>
      <c r="O23" s="14" cm="1">
        <f t="array" aca="1" ref="O23" ca="1">_xll.QIns_ProductParRate(N23,AModel)</f>
        <v>59.110454545348169</v>
      </c>
      <c r="P23" s="11" cm="1">
        <f t="array" aca="1" ref="P23" ca="1">_xll.QModels_GetCompoVol(AModel,B23,I23,F23,E23)</f>
        <v>0.34640696729203457</v>
      </c>
      <c r="Q23" t="str" cm="1">
        <f t="array" aca="1" ref="Q23" ca="1">_xll.QIns_CreateAsianOption("asiOpt_"&amp;ROW(),IF(C23="",D23:E23,C23),B23,I23,F23,G23,H23,K23,I23,L23,M23,,J23)</f>
        <v>asiOpt_23¬3</v>
      </c>
      <c r="R23" s="21" cm="1">
        <f t="array" aca="1" ref="R23" ca="1">_xll.QIns_ProductPV(Q23,AModel,I23)</f>
        <v>0.59818478953159515</v>
      </c>
      <c r="S23" t="str" cm="1">
        <f t="array" aca="1" ref="S23" ca="1">IF(VLOOKUP(B23,AssetStatic,4,FALSE),_xll.QRisk_PortfolioFxDeltaSpecific("asiOpt_DeltaA"&amp;ROW(),Q23,AModel,B23,"ZAR",FALSE),_xll.QRisk_PortfolioDelta("asiOpt_DeltaA"&amp;ROW(),Q23,AModel,FALSE))</f>
        <v>asiOpt_DeltaA23¬8</v>
      </c>
      <c r="T23" s="21" cm="1">
        <f t="array" aca="1" ref="T23" ca="1">_xll.QCube_SumAllRows(S23)</f>
        <v>-3.284894459354426E-2</v>
      </c>
      <c r="U23" s="11">
        <f t="shared" ref="U23:U24" ca="1" si="32">T23/H23</f>
        <v>-3.284894459354426E-2</v>
      </c>
      <c r="V23" t="str" cm="1">
        <f t="array" aca="1" ref="V23" ca="1">_xll.QRisk_PortfolioVega("euopt_commVegaA"&amp;ROW(),Q23,AModel,I23)</f>
        <v>euopt_commVegaA23¬2</v>
      </c>
      <c r="W23" s="21" cm="1">
        <f t="array" aca="1" ref="W23" ca="1">_xll.QCube_SumAllRows(V23)</f>
        <v>3.4210676959469666E-2</v>
      </c>
      <c r="X23" s="100">
        <f t="shared" ref="X23:X24" ca="1" si="33">W23/H23</f>
        <v>3.4210676959469666E-2</v>
      </c>
      <c r="Y23" t="str" cm="1">
        <f t="array" aca="1" ref="Y23" ca="1">_xll.QRisk_PortfolioFxVega("euOpt_fxVegaA"&amp;ROW(),Q23,AModel,I23)</f>
        <v>euOpt_fxVegaA23¬1</v>
      </c>
      <c r="Z23" s="21" cm="1">
        <f t="array" aca="1" ref="Z23" ca="1">_xll.QCube_SumAllRows(Y23)</f>
        <v>0</v>
      </c>
      <c r="AA23" s="100">
        <f t="shared" ref="AA23:AA24" ca="1" si="34">Z23/H23</f>
        <v>0</v>
      </c>
      <c r="AB23" s="21" cm="1">
        <f t="array" aca="1" ref="AB23" ca="1">(_xll.QDates_LastDay(C23)-TODAY())/365</f>
        <v>0.46575342465753422</v>
      </c>
      <c r="AC23">
        <f ca="1">EXP(-AB23*$AC$22)</f>
        <v>0.98658395887021488</v>
      </c>
      <c r="AD23" s="23">
        <f ca="1">R23/AC23</f>
        <v>0.6063191927594338</v>
      </c>
    </row>
    <row r="24" spans="1:30" x14ac:dyDescent="0.25">
      <c r="A24" s="6"/>
      <c r="B24" s="6" t="s">
        <v>143</v>
      </c>
      <c r="C24" s="101">
        <v>44409</v>
      </c>
      <c r="D24" s="102"/>
      <c r="E24" s="102"/>
      <c r="F24" s="103">
        <v>40</v>
      </c>
      <c r="G24" s="6" t="s">
        <v>166</v>
      </c>
      <c r="H24" s="103">
        <v>1</v>
      </c>
      <c r="I24" s="6" t="s">
        <v>21</v>
      </c>
      <c r="J24" s="141" t="str">
        <f t="shared" ca="1" si="29"/>
        <v>USD.LIBOR.3M</v>
      </c>
      <c r="K24" s="141" t="str">
        <f t="shared" ca="1" si="30"/>
        <v>LON</v>
      </c>
      <c r="L24" s="142" t="s">
        <v>171</v>
      </c>
      <c r="M24" s="142" t="str">
        <f t="shared" ca="1" si="31"/>
        <v>0b</v>
      </c>
      <c r="N24" t="str" cm="1">
        <f t="array" aca="1" ref="N24" ca="1">_xll.QIns_CreateAsianSwap("AsiOpt_Fwd_"&amp;ROW(),IF(C24="",D24:E24,C24),B24,I24,0,H24,K24,I24,L24,M24,,J24,IF(I24="USD","None","ATC"))</f>
        <v>AsiOpt_Fwd_24¬3</v>
      </c>
      <c r="O24" s="14" cm="1">
        <f t="array" aca="1" ref="O24" ca="1">_xll.QIns_ProductParRate(N24,AModel)</f>
        <v>58.671818181893514</v>
      </c>
      <c r="P24" s="11" cm="1">
        <f t="array" aca="1" ref="P24" ca="1">_xll.QModels_GetCompoVol(AModel,B24,I24,F24,E24)</f>
        <v>0.34640696729203457</v>
      </c>
      <c r="Q24" t="str" cm="1">
        <f t="array" aca="1" ref="Q24" ca="1">_xll.QIns_CreateAsianOption("asiOpt_"&amp;ROW(),IF(C24="",D24:E24,C24),B24,I24,F24,G24,H24,K24,I24,L24,M24,,J24)</f>
        <v>asiOpt_24¬3</v>
      </c>
      <c r="R24" s="21" cm="1">
        <f t="array" aca="1" ref="R24" ca="1">_xll.QIns_ProductPV(Q24,AModel,I24)</f>
        <v>0.76973897480015352</v>
      </c>
      <c r="S24" t="str" cm="1">
        <f t="array" aca="1" ref="S24" ca="1">IF(VLOOKUP(B24,AssetStatic,4,FALSE),_xll.QRisk_PortfolioFxDeltaSpecific("asiOpt_DeltaA"&amp;ROW(),Q24,AModel,B24,"ZAR",FALSE),_xll.QRisk_PortfolioDelta("asiOpt_DeltaA"&amp;ROW(),Q24,AModel,FALSE))</f>
        <v>asiOpt_DeltaA24¬7</v>
      </c>
      <c r="T24" s="21" cm="1">
        <f t="array" aca="1" ref="T24" ca="1">_xll.QCube_SumAllRows(S24)</f>
        <v>-4.0804986758735673E-2</v>
      </c>
      <c r="U24" s="11">
        <f t="shared" ca="1" si="32"/>
        <v>-4.0804986758735673E-2</v>
      </c>
      <c r="V24" t="str" cm="1">
        <f t="array" aca="1" ref="V24" ca="1">_xll.QRisk_PortfolioVega("euopt_commVegaA"&amp;ROW(),Q24,AModel,I24)</f>
        <v>euopt_commVegaA24¬2</v>
      </c>
      <c r="W24" s="21" cm="1">
        <f t="array" aca="1" ref="W24" ca="1">_xll.QCube_SumAllRows(V24)</f>
        <v>4.4178752465473536E-2</v>
      </c>
      <c r="X24" s="100">
        <f t="shared" ca="1" si="33"/>
        <v>4.4178752465473536E-2</v>
      </c>
      <c r="Y24" t="str" cm="1">
        <f t="array" aca="1" ref="Y24" ca="1">_xll.QRisk_PortfolioFxVega("euOpt_fxVegaA"&amp;ROW(),Q24,AModel,I24)</f>
        <v>euOpt_fxVegaA24¬1</v>
      </c>
      <c r="Z24" s="21" cm="1">
        <f t="array" aca="1" ref="Z24" ca="1">_xll.QCube_SumAllRows(Y24)</f>
        <v>0</v>
      </c>
      <c r="AA24" s="100">
        <f t="shared" ca="1" si="34"/>
        <v>0</v>
      </c>
      <c r="AB24" s="21" cm="1">
        <f t="array" aca="1" ref="AB24" ca="1">(_xll.QDates_LastDay(C24)-TODAY())/365</f>
        <v>0.55068493150684927</v>
      </c>
      <c r="AC24" s="185">
        <f t="shared" ref="AC24:AC25" ca="1" si="35">EXP(-AB24*$AC$22)</f>
        <v>0.98415697913376377</v>
      </c>
      <c r="AD24" s="23">
        <f t="shared" ref="AD24:AD25" ca="1" si="36">R24/AC24</f>
        <v>0.78213028116476202</v>
      </c>
    </row>
    <row r="25" spans="1:30" x14ac:dyDescent="0.25">
      <c r="A25" s="6"/>
      <c r="B25" s="6" t="s">
        <v>143</v>
      </c>
      <c r="C25" s="101">
        <v>44440</v>
      </c>
      <c r="D25" s="102"/>
      <c r="E25" s="102"/>
      <c r="F25" s="103">
        <v>40</v>
      </c>
      <c r="G25" s="6" t="s">
        <v>166</v>
      </c>
      <c r="H25" s="103">
        <v>1</v>
      </c>
      <c r="I25" s="6" t="s">
        <v>21</v>
      </c>
      <c r="J25" s="141" t="str">
        <f t="shared" ref="J25" ca="1" si="37">IF(I25="USD","USD.LIBOR.3M",I25&amp;".DISC.[USD.LIBOR.3M]")</f>
        <v>USD.LIBOR.3M</v>
      </c>
      <c r="K25" s="141" t="str">
        <f t="shared" ref="K25" ca="1" si="38">VLOOKUP(B25,AssetStatic,3,FALSE)</f>
        <v>LON</v>
      </c>
      <c r="L25" s="142" t="s">
        <v>171</v>
      </c>
      <c r="M25" s="142" t="str">
        <f t="shared" ref="M25" ca="1" si="39">VLOOKUP(B25,AssetStatic,2,FALSE)</f>
        <v>0b</v>
      </c>
      <c r="N25" t="str" cm="1">
        <f t="array" aca="1" ref="N25" ca="1">_xll.QIns_CreateAsianSwap("AsiOpt_Fwd_"&amp;ROW(),IF(C25="",D25:E25,C25),B25,I25,0,H25,K25,I25,L25,M25,,J25,IF(I25="USD","None","ATC"))</f>
        <v>AsiOpt_Fwd_25¬3</v>
      </c>
      <c r="O25" s="14" cm="1">
        <f t="array" aca="1" ref="O25" ca="1">_xll.QIns_ProductParRate(N25,AModel)</f>
        <v>58.262727272588933</v>
      </c>
      <c r="P25" s="11" cm="1">
        <f t="array" aca="1" ref="P25" ca="1">_xll.QModels_GetCompoVol(AModel,B25,I25,F25,E25)</f>
        <v>0.34640696729203457</v>
      </c>
      <c r="Q25" t="str" cm="1">
        <f t="array" aca="1" ref="Q25" ca="1">_xll.QIns_CreateAsianOption("asiOpt_"&amp;ROW(),IF(C25="",D25:E25,C25),B25,I25,F25,G25,H25,K25,I25,L25,M25,,J25)</f>
        <v>asiOpt_25¬3</v>
      </c>
      <c r="R25" s="21" cm="1">
        <f t="array" aca="1" ref="R25" ca="1">_xll.QIns_ProductPV(Q25,AModel,I25)</f>
        <v>0.91024818560519127</v>
      </c>
      <c r="S25" t="str" cm="1">
        <f t="array" aca="1" ref="S25" ca="1">IF(VLOOKUP(B25,AssetStatic,4,FALSE),_xll.QRisk_PortfolioFxDeltaSpecific("asiOpt_DeltaA"&amp;ROW(),Q25,AModel,B25,"ZAR",FALSE),_xll.QRisk_PortfolioDelta("asiOpt_DeltaA"&amp;ROW(),Q25,AModel,FALSE))</f>
        <v>asiOpt_DeltaA25¬8</v>
      </c>
      <c r="T25" s="21" cm="1">
        <f t="array" aca="1" ref="T25" ca="1">_xll.QCube_SumAllRows(S25)</f>
        <v>-4.8275249575058243E-2</v>
      </c>
      <c r="U25" s="11">
        <f t="shared" ref="U25" ca="1" si="40">T25/H25</f>
        <v>-4.8275249575058243E-2</v>
      </c>
      <c r="V25" t="str" cm="1">
        <f t="array" aca="1" ref="V25" ca="1">_xll.QRisk_PortfolioVega("euopt_commVegaA"&amp;ROW(),Q25,AModel,I25)</f>
        <v>euopt_commVegaA25¬2</v>
      </c>
      <c r="W25" s="21" cm="1">
        <f t="array" aca="1" ref="W25" ca="1">_xll.QCube_SumAllRows(V25)</f>
        <v>5.3667523124872885E-2</v>
      </c>
      <c r="X25" s="100">
        <f t="shared" ref="X25" ca="1" si="41">W25/H25</f>
        <v>5.3667523124872885E-2</v>
      </c>
      <c r="Y25" t="str" cm="1">
        <f t="array" aca="1" ref="Y25" ca="1">_xll.QRisk_PortfolioFxVega("euOpt_fxVegaA"&amp;ROW(),Q25,AModel,I25)</f>
        <v>euOpt_fxVegaA25¬1</v>
      </c>
      <c r="Z25" s="21" cm="1">
        <f t="array" aca="1" ref="Z25" ca="1">_xll.QCube_SumAllRows(Y25)</f>
        <v>0</v>
      </c>
      <c r="AA25" s="100">
        <f t="shared" ref="AA25" ca="1" si="42">Z25/H25</f>
        <v>0</v>
      </c>
      <c r="AB25" s="21" cm="1">
        <f t="array" aca="1" ref="AB25" ca="1">(_xll.QDates_LastDay(C25)-TODAY())/365</f>
        <v>0.63287671232876708</v>
      </c>
      <c r="AC25" s="185">
        <f t="shared" ca="1" si="35"/>
        <v>0.98181397376494084</v>
      </c>
      <c r="AD25" s="23">
        <f t="shared" ca="1" si="36"/>
        <v>0.92710860705585829</v>
      </c>
    </row>
    <row r="26" spans="1:30" x14ac:dyDescent="0.25">
      <c r="A26" s="6"/>
      <c r="B26" s="6"/>
      <c r="C26" s="101"/>
      <c r="D26" s="102"/>
      <c r="E26" s="102"/>
      <c r="F26" s="103"/>
      <c r="G26" s="6"/>
      <c r="H26" s="103"/>
      <c r="I26" s="6"/>
      <c r="J26" s="141"/>
      <c r="K26" s="141"/>
      <c r="L26" s="141"/>
      <c r="M26" s="141"/>
      <c r="O26" s="143"/>
      <c r="P26" s="144"/>
      <c r="Q26" s="144"/>
      <c r="W26" s="21"/>
    </row>
    <row r="27" spans="1:30" x14ac:dyDescent="0.25">
      <c r="A27" s="6"/>
      <c r="B27" s="6"/>
      <c r="C27" s="101"/>
      <c r="D27" s="102"/>
      <c r="E27" s="102"/>
      <c r="F27" s="103"/>
      <c r="G27" s="6"/>
      <c r="H27" s="103"/>
      <c r="I27" s="6"/>
      <c r="J27" s="141"/>
      <c r="K27" s="141"/>
      <c r="L27" s="141"/>
      <c r="M27" s="141"/>
      <c r="P27" s="23"/>
      <c r="Q27" s="14"/>
      <c r="U27" s="11"/>
    </row>
    <row r="28" spans="1:30" x14ac:dyDescent="0.25">
      <c r="A28" s="6"/>
      <c r="B28" s="6"/>
      <c r="C28" s="101"/>
      <c r="D28" s="102"/>
      <c r="E28" s="102"/>
      <c r="F28" s="103">
        <v>6050</v>
      </c>
      <c r="G28" s="6"/>
      <c r="H28" s="103"/>
      <c r="I28" s="6"/>
      <c r="J28" s="141"/>
      <c r="K28" s="141"/>
      <c r="L28" s="141"/>
      <c r="M28" s="141"/>
      <c r="O28" s="23">
        <f ca="1">SUMPRODUCT(H30:H38,O30:O38)/SUM(H30:H38)</f>
        <v>655037.3889508507</v>
      </c>
      <c r="Q28" s="23"/>
      <c r="U28" s="11"/>
    </row>
    <row r="29" spans="1:30" x14ac:dyDescent="0.25">
      <c r="A29" s="6"/>
      <c r="B29" s="6"/>
      <c r="C29" s="101"/>
      <c r="D29" s="102"/>
      <c r="E29" s="102"/>
      <c r="F29" s="103"/>
      <c r="G29" s="6"/>
      <c r="H29" s="103"/>
      <c r="I29" s="6"/>
      <c r="J29" s="141"/>
      <c r="K29" s="141"/>
      <c r="L29" s="141"/>
      <c r="M29" s="141"/>
      <c r="Q29" s="23">
        <f ca="1">R29/SUM(H30:H38)/2</f>
        <v>379.46580218168987</v>
      </c>
      <c r="R29" s="21">
        <f ca="1">SUM(R30:R47)</f>
        <v>6545785.0876341499</v>
      </c>
      <c r="T29" s="23"/>
      <c r="U29" s="11"/>
    </row>
    <row r="30" spans="1:30" x14ac:dyDescent="0.25">
      <c r="A30" s="6"/>
      <c r="B30" s="6" t="s">
        <v>108</v>
      </c>
      <c r="C30" s="101">
        <v>44044</v>
      </c>
      <c r="D30" s="102"/>
      <c r="E30" s="102"/>
      <c r="F30" s="103">
        <f ca="1">$F$28</f>
        <v>6050</v>
      </c>
      <c r="G30" s="6" t="s">
        <v>287</v>
      </c>
      <c r="H30" s="103">
        <f ca="1">-H39/2</f>
        <v>625</v>
      </c>
      <c r="I30" s="6" t="s">
        <v>21</v>
      </c>
      <c r="J30" s="141" t="str">
        <f t="shared" ref="J30" ca="1" si="43">IF(I30="USD","USD.LIBOR.3M",I30&amp;".DISC.[USD.LIBOR.3M]")</f>
        <v>USD.LIBOR.3M</v>
      </c>
      <c r="K30" s="141" t="str">
        <f t="shared" ref="K30" ca="1" si="44">VLOOKUP(B30,AssetStatic,3,FALSE)</f>
        <v>LON</v>
      </c>
      <c r="L30" s="142" t="s">
        <v>171</v>
      </c>
      <c r="M30" s="142" t="str">
        <f t="shared" ref="M30" ca="1" si="45">VLOOKUP(B30,AssetStatic,2,FALSE)</f>
        <v>2b</v>
      </c>
      <c r="N30" t="str" cm="1">
        <f t="array" aca="1" ref="N30" ca="1">_xll.QIns_CreateAsianSwap("AsiOpt_Fwd_"&amp;ROW(),IF(C30="",D30:E30,C30),B30,I30,0,H30,K30,I30,L30,M30,,J30,IF(I30="USD","None","ATC"))</f>
        <v>AsiOpt_Fwd_30¬0</v>
      </c>
      <c r="O30" s="14" cm="1">
        <f t="array" aca="1" ref="O30" ca="1">_xll.QIns_ProductParRate(N30,AModel)</f>
        <v>1000000</v>
      </c>
      <c r="P30" s="11" cm="1">
        <f t="array" aca="1" ref="P30" ca="1">_xll.QModels_GetCompoVol(AModel,B30,I30,F30,E30)</f>
        <v>0.24940004348754882</v>
      </c>
      <c r="Q30" t="str" cm="1">
        <f t="array" aca="1" ref="Q30" ca="1">_xll.QIns_CreateAsianOption("asiOpt_"&amp;ROW(),IF(C30="",D30:E30,C30),B30,I30,F30,G30,H30,K30,I30,L30,M30,,J30)</f>
        <v>asiOpt_30¬0</v>
      </c>
      <c r="R30" s="21" cm="1">
        <f t="array" aca="1" ref="R30" ca="1">_xll.QIns_ProductPV(Q30,AModel,I30)</f>
        <v>0</v>
      </c>
      <c r="S30" t="str" cm="1">
        <f t="array" aca="1" ref="S30" ca="1">IF(VLOOKUP(B30,AssetStatic,4,FALSE),_xll.QRisk_PortfolioFxDeltaSpecific("asiOpt_DeltaA"&amp;ROW(),Q30,AModel,B30,"ZAR",FALSE),_xll.QRisk_PortfolioDelta("asiOpt_DeltaA"&amp;ROW(),Q30,AModel,FALSE))</f>
        <v>asiOpt_DeltaA30¬2</v>
      </c>
      <c r="T30" s="21" cm="1">
        <f t="array" aca="1" ref="T30" ca="1">_xll.QCube_SumAllRows(S30)</f>
        <v>0</v>
      </c>
      <c r="U30" s="11">
        <f t="shared" ref="U30" ca="1" si="46">T30/H30</f>
        <v>0</v>
      </c>
      <c r="V30" t="str" cm="1">
        <f t="array" aca="1" ref="V30" ca="1">_xll.QRisk_PortfolioVega("euopt_commVegaA"&amp;ROW(),Q30,AModel,I30)</f>
        <v>euopt_commVegaA30¬0</v>
      </c>
      <c r="W30" s="21" cm="1">
        <f t="array" aca="1" ref="W30" ca="1">_xll.QCube_SumAllRows(V30)</f>
        <v>0</v>
      </c>
      <c r="X30" s="100">
        <f t="shared" ref="X30" ca="1" si="47">W30/H30</f>
        <v>0</v>
      </c>
      <c r="Y30" t="str" cm="1">
        <f t="array" aca="1" ref="Y30" ca="1">_xll.QRisk_PortfolioFxVega("euOpt_fxVegaA"&amp;ROW(),Q30,AModel,I30)</f>
        <v>euOpt_fxVegaA30¬0</v>
      </c>
      <c r="Z30" s="21" cm="1">
        <f t="array" aca="1" ref="Z30" ca="1">_xll.QCube_SumAllRows(Y30)</f>
        <v>0</v>
      </c>
      <c r="AA30" s="100">
        <f t="shared" ref="AA30" ca="1" si="48">Z30/H30</f>
        <v>0</v>
      </c>
    </row>
    <row r="31" spans="1:30" x14ac:dyDescent="0.25">
      <c r="A31" s="6"/>
      <c r="B31" s="6" t="s">
        <v>108</v>
      </c>
      <c r="C31" s="101">
        <v>44075</v>
      </c>
      <c r="D31" s="102"/>
      <c r="E31" s="102"/>
      <c r="F31" s="103">
        <f t="shared" ref="F31:F47" ca="1" si="49">$F$28</f>
        <v>6050</v>
      </c>
      <c r="G31" s="6" t="s">
        <v>287</v>
      </c>
      <c r="H31" s="103">
        <f t="shared" ref="H31:H38" ca="1" si="50">-H40/2</f>
        <v>1000</v>
      </c>
      <c r="I31" s="6" t="s">
        <v>21</v>
      </c>
      <c r="J31" s="141" t="str">
        <f t="shared" ref="J31:J39" ca="1" si="51">IF(I31="USD","USD.LIBOR.3M",I31&amp;".DISC.[USD.LIBOR.3M]")</f>
        <v>USD.LIBOR.3M</v>
      </c>
      <c r="K31" s="141" t="str">
        <f t="shared" ref="K31:K39" ca="1" si="52">VLOOKUP(B31,AssetStatic,3,FALSE)</f>
        <v>LON</v>
      </c>
      <c r="L31" s="142" t="s">
        <v>171</v>
      </c>
      <c r="M31" s="142" t="str">
        <f t="shared" ref="M31:M39" ca="1" si="53">VLOOKUP(B31,AssetStatic,2,FALSE)</f>
        <v>2b</v>
      </c>
      <c r="N31" t="str" cm="1">
        <f t="array" aca="1" ref="N31" ca="1">_xll.QIns_CreateAsianSwap("AsiOpt_Fwd_"&amp;ROW(),IF(C31="",D31:E31,C31),B31,I31,0,H31,K31,I31,L31,M31,,J31,IF(I31="USD","None","ATC"))</f>
        <v>AsiOpt_Fwd_31¬0</v>
      </c>
      <c r="O31" s="14" cm="1">
        <f t="array" aca="1" ref="O31" ca="1">_xll.QIns_ProductParRate(N31,AModel)</f>
        <v>1000000</v>
      </c>
      <c r="P31" s="11" cm="1">
        <f t="array" aca="1" ref="P31" ca="1">_xll.QModels_GetCompoVol(AModel,B31,I31,F31,E31)</f>
        <v>0.24940004348754882</v>
      </c>
      <c r="Q31" t="str" cm="1">
        <f t="array" aca="1" ref="Q31" ca="1">_xll.QIns_CreateAsianOption("asiOpt_"&amp;ROW(),IF(C31="",D31:E31,C31),B31,I31,F31,G31,H31,K31,I31,L31,M31,,J31)</f>
        <v>asiOpt_31¬0</v>
      </c>
      <c r="R31" s="21" cm="1">
        <f t="array" aca="1" ref="R31" ca="1">_xll.QIns_ProductPV(Q31,AModel,I31)</f>
        <v>0</v>
      </c>
      <c r="S31" t="str" cm="1">
        <f t="array" aca="1" ref="S31" ca="1">IF(VLOOKUP(B31,AssetStatic,4,FALSE),_xll.QRisk_PortfolioFxDeltaSpecific("asiOpt_DeltaA"&amp;ROW(),Q31,AModel,B31,"ZAR",FALSE),_xll.QRisk_PortfolioDelta("asiOpt_DeltaA"&amp;ROW(),Q31,AModel,FALSE))</f>
        <v>asiOpt_DeltaA31¬0</v>
      </c>
      <c r="T31" s="21" cm="1">
        <f t="array" aca="1" ref="T31" ca="1">_xll.QCube_SumAllRows(S31)</f>
        <v>0</v>
      </c>
      <c r="U31" s="11">
        <f t="shared" ref="U31:U39" ca="1" si="54">T31/H31</f>
        <v>0</v>
      </c>
      <c r="V31" t="str" cm="1">
        <f t="array" aca="1" ref="V31" ca="1">_xll.QRisk_PortfolioVega("euopt_commVegaA"&amp;ROW(),Q31,AModel,I31)</f>
        <v>euopt_commVegaA31¬0</v>
      </c>
      <c r="W31" s="21" cm="1">
        <f t="array" aca="1" ref="W31" ca="1">_xll.QCube_SumAllRows(V31)</f>
        <v>0</v>
      </c>
      <c r="X31" s="100">
        <f t="shared" ref="X31:X39" ca="1" si="55">W31/H31</f>
        <v>0</v>
      </c>
      <c r="Y31" t="str" cm="1">
        <f t="array" aca="1" ref="Y31" ca="1">_xll.QRisk_PortfolioFxVega("euOpt_fxVegaA"&amp;ROW(),Q31,AModel,I31)</f>
        <v>euOpt_fxVegaA31¬0</v>
      </c>
      <c r="Z31" s="21" cm="1">
        <f t="array" aca="1" ref="Z31" ca="1">_xll.QCube_SumAllRows(Y31)</f>
        <v>0</v>
      </c>
      <c r="AA31" s="100">
        <f t="shared" ref="AA31:AA39" ca="1" si="56">Z31/H31</f>
        <v>0</v>
      </c>
    </row>
    <row r="32" spans="1:30" x14ac:dyDescent="0.25">
      <c r="A32" s="6"/>
      <c r="B32" s="6" t="s">
        <v>108</v>
      </c>
      <c r="C32" s="101">
        <v>44105</v>
      </c>
      <c r="D32" s="102"/>
      <c r="E32" s="102"/>
      <c r="F32" s="103">
        <f t="shared" ca="1" si="49"/>
        <v>6050</v>
      </c>
      <c r="G32" s="6" t="s">
        <v>287</v>
      </c>
      <c r="H32" s="103">
        <f t="shared" ca="1" si="50"/>
        <v>1000</v>
      </c>
      <c r="I32" s="6" t="s">
        <v>21</v>
      </c>
      <c r="J32" s="141" t="str">
        <f t="shared" ca="1" si="51"/>
        <v>USD.LIBOR.3M</v>
      </c>
      <c r="K32" s="141" t="str">
        <f t="shared" ca="1" si="52"/>
        <v>LON</v>
      </c>
      <c r="L32" s="142" t="s">
        <v>171</v>
      </c>
      <c r="M32" s="142" t="str">
        <f t="shared" ca="1" si="53"/>
        <v>2b</v>
      </c>
      <c r="N32" t="str" cm="1">
        <f t="array" aca="1" ref="N32" ca="1">_xll.QIns_CreateAsianSwap("AsiOpt_Fwd_"&amp;ROW(),IF(C32="",D32:E32,C32),B32,I32,0,H32,K32,I32,L32,M32,,J32,IF(I32="USD","None","ATC"))</f>
        <v>AsiOpt_Fwd_32¬0</v>
      </c>
      <c r="O32" s="14" cm="1">
        <f t="array" aca="1" ref="O32" ca="1">_xll.QIns_ProductParRate(N32,AModel)</f>
        <v>1000000</v>
      </c>
      <c r="P32" s="11" cm="1">
        <f t="array" aca="1" ref="P32" ca="1">_xll.QModels_GetCompoVol(AModel,B32,I32,F32,E32)</f>
        <v>0.24940004348754882</v>
      </c>
      <c r="Q32" t="str" cm="1">
        <f t="array" aca="1" ref="Q32" ca="1">_xll.QIns_CreateAsianOption("asiOpt_"&amp;ROW(),IF(C32="",D32:E32,C32),B32,I32,F32,G32,H32,K32,I32,L32,M32,,J32)</f>
        <v>asiOpt_32¬0</v>
      </c>
      <c r="R32" s="21" cm="1">
        <f t="array" aca="1" ref="R32" ca="1">_xll.QIns_ProductPV(Q32,AModel,I32)</f>
        <v>0</v>
      </c>
      <c r="S32" t="str" cm="1">
        <f t="array" aca="1" ref="S32" ca="1">IF(VLOOKUP(B32,AssetStatic,4,FALSE),_xll.QRisk_PortfolioFxDeltaSpecific("asiOpt_DeltaA"&amp;ROW(),Q32,AModel,B32,"ZAR",FALSE),_xll.QRisk_PortfolioDelta("asiOpt_DeltaA"&amp;ROW(),Q32,AModel,FALSE))</f>
        <v>asiOpt_DeltaA32¬6</v>
      </c>
      <c r="T32" s="21" cm="1">
        <f t="array" aca="1" ref="T32" ca="1">_xll.QCube_SumAllRows(S32)</f>
        <v>0</v>
      </c>
      <c r="U32" s="11">
        <f t="shared" ca="1" si="54"/>
        <v>0</v>
      </c>
      <c r="V32" t="str" cm="1">
        <f t="array" aca="1" ref="V32" ca="1">_xll.QRisk_PortfolioVega("euopt_commVegaA"&amp;ROW(),Q32,AModel,I32)</f>
        <v>euopt_commVegaA32¬0</v>
      </c>
      <c r="W32" s="21" cm="1">
        <f t="array" aca="1" ref="W32" ca="1">_xll.QCube_SumAllRows(V32)</f>
        <v>0</v>
      </c>
      <c r="X32" s="100">
        <f t="shared" ca="1" si="55"/>
        <v>0</v>
      </c>
      <c r="Y32" t="str" cm="1">
        <f t="array" aca="1" ref="Y32" ca="1">_xll.QRisk_PortfolioFxVega("euOpt_fxVegaA"&amp;ROW(),Q32,AModel,I32)</f>
        <v>euOpt_fxVegaA32¬0</v>
      </c>
      <c r="Z32" s="21" cm="1">
        <f t="array" aca="1" ref="Z32" ca="1">_xll.QCube_SumAllRows(Y32)</f>
        <v>0</v>
      </c>
      <c r="AA32" s="100">
        <f t="shared" ca="1" si="56"/>
        <v>0</v>
      </c>
    </row>
    <row r="33" spans="1:27" x14ac:dyDescent="0.25">
      <c r="A33" s="6"/>
      <c r="B33" s="6" t="s">
        <v>108</v>
      </c>
      <c r="C33" s="101">
        <v>44136</v>
      </c>
      <c r="D33" s="102"/>
      <c r="E33" s="102"/>
      <c r="F33" s="103">
        <f t="shared" ca="1" si="49"/>
        <v>6050</v>
      </c>
      <c r="G33" s="6" t="s">
        <v>287</v>
      </c>
      <c r="H33" s="103">
        <f t="shared" ca="1" si="50"/>
        <v>1000</v>
      </c>
      <c r="I33" s="6" t="s">
        <v>21</v>
      </c>
      <c r="J33" s="141" t="str">
        <f t="shared" ca="1" si="51"/>
        <v>USD.LIBOR.3M</v>
      </c>
      <c r="K33" s="141" t="str">
        <f t="shared" ca="1" si="52"/>
        <v>LON</v>
      </c>
      <c r="L33" s="142" t="s">
        <v>171</v>
      </c>
      <c r="M33" s="142" t="str">
        <f t="shared" ca="1" si="53"/>
        <v>2b</v>
      </c>
      <c r="N33" t="str" cm="1">
        <f t="array" aca="1" ref="N33" ca="1">_xll.QIns_CreateAsianSwap("AsiOpt_Fwd_"&amp;ROW(),IF(C33="",D33:E33,C33),B33,I33,0,H33,K33,I33,L33,M33,,J33,IF(I33="USD","None","ATC"))</f>
        <v>AsiOpt_Fwd_33¬0</v>
      </c>
      <c r="O33" s="14" cm="1">
        <f t="array" aca="1" ref="O33" ca="1">_xll.QIns_ProductParRate(N33,AModel)</f>
        <v>1000000</v>
      </c>
      <c r="P33" s="11" cm="1">
        <f t="array" aca="1" ref="P33" ca="1">_xll.QModels_GetCompoVol(AModel,B33,I33,F33,E33)</f>
        <v>0.24940004348754882</v>
      </c>
      <c r="Q33" t="str" cm="1">
        <f t="array" aca="1" ref="Q33" ca="1">_xll.QIns_CreateAsianOption("asiOpt_"&amp;ROW(),IF(C33="",D33:E33,C33),B33,I33,F33,G33,H33,K33,I33,L33,M33,,J33)</f>
        <v>asiOpt_33¬0</v>
      </c>
      <c r="R33" s="21" cm="1">
        <f t="array" aca="1" ref="R33" ca="1">_xll.QIns_ProductPV(Q33,AModel,I33)</f>
        <v>0</v>
      </c>
      <c r="S33" t="str" cm="1">
        <f t="array" aca="1" ref="S33" ca="1">IF(VLOOKUP(B33,AssetStatic,4,FALSE),_xll.QRisk_PortfolioFxDeltaSpecific("asiOpt_DeltaA"&amp;ROW(),Q33,AModel,B33,"ZAR",FALSE),_xll.QRisk_PortfolioDelta("asiOpt_DeltaA"&amp;ROW(),Q33,AModel,FALSE))</f>
        <v>asiOpt_DeltaA33¬6</v>
      </c>
      <c r="T33" s="21" cm="1">
        <f t="array" aca="1" ref="T33" ca="1">_xll.QCube_SumAllRows(S33)</f>
        <v>0</v>
      </c>
      <c r="U33" s="11">
        <f t="shared" ca="1" si="54"/>
        <v>0</v>
      </c>
      <c r="V33" t="str" cm="1">
        <f t="array" aca="1" ref="V33" ca="1">_xll.QRisk_PortfolioVega("euopt_commVegaA"&amp;ROW(),Q33,AModel,I33)</f>
        <v>euopt_commVegaA33¬0</v>
      </c>
      <c r="W33" s="21" cm="1">
        <f t="array" aca="1" ref="W33" ca="1">_xll.QCube_SumAllRows(V33)</f>
        <v>0</v>
      </c>
      <c r="X33" s="100">
        <f t="shared" ca="1" si="55"/>
        <v>0</v>
      </c>
      <c r="Y33" t="str" cm="1">
        <f t="array" aca="1" ref="Y33" ca="1">_xll.QRisk_PortfolioFxVega("euOpt_fxVegaA"&amp;ROW(),Q33,AModel,I33)</f>
        <v>euOpt_fxVegaA33¬0</v>
      </c>
      <c r="Z33" s="21" cm="1">
        <f t="array" aca="1" ref="Z33" ca="1">_xll.QCube_SumAllRows(Y33)</f>
        <v>0</v>
      </c>
      <c r="AA33" s="100">
        <f t="shared" ca="1" si="56"/>
        <v>0</v>
      </c>
    </row>
    <row r="34" spans="1:27" x14ac:dyDescent="0.25">
      <c r="A34" s="6"/>
      <c r="B34" s="6" t="s">
        <v>108</v>
      </c>
      <c r="C34" s="101">
        <v>44166</v>
      </c>
      <c r="D34" s="102"/>
      <c r="E34" s="102"/>
      <c r="F34" s="103">
        <f t="shared" ca="1" si="49"/>
        <v>6050</v>
      </c>
      <c r="G34" s="6" t="s">
        <v>287</v>
      </c>
      <c r="H34" s="103">
        <f t="shared" ca="1" si="50"/>
        <v>1000</v>
      </c>
      <c r="I34" s="6" t="s">
        <v>21</v>
      </c>
      <c r="J34" s="141" t="str">
        <f t="shared" ca="1" si="51"/>
        <v>USD.LIBOR.3M</v>
      </c>
      <c r="K34" s="141" t="str">
        <f t="shared" ca="1" si="52"/>
        <v>LON</v>
      </c>
      <c r="L34" s="142" t="s">
        <v>171</v>
      </c>
      <c r="M34" s="142" t="str">
        <f t="shared" ca="1" si="53"/>
        <v>2b</v>
      </c>
      <c r="N34" t="str" cm="1">
        <f t="array" aca="1" ref="N34" ca="1">_xll.QIns_CreateAsianSwap("AsiOpt_Fwd_"&amp;ROW(),IF(C34="",D34:E34,C34),B34,I34,0,H34,K34,I34,L34,M34,,J34,IF(I34="USD","None","ATC"))</f>
        <v>AsiOpt_Fwd_34¬0</v>
      </c>
      <c r="O34" s="14" cm="1">
        <f t="array" aca="1" ref="O34" ca="1">_xll.QIns_ProductParRate(N34,AModel)</f>
        <v>1000000</v>
      </c>
      <c r="P34" s="11" cm="1">
        <f t="array" aca="1" ref="P34" ca="1">_xll.QModels_GetCompoVol(AModel,B34,I34,F34,E34)</f>
        <v>0.24940004348754882</v>
      </c>
      <c r="Q34" t="str" cm="1">
        <f t="array" aca="1" ref="Q34" ca="1">_xll.QIns_CreateAsianOption("asiOpt_"&amp;ROW(),IF(C34="",D34:E34,C34),B34,I34,F34,G34,H34,K34,I34,L34,M34,,J34)</f>
        <v>asiOpt_34¬0</v>
      </c>
      <c r="R34" s="21" cm="1">
        <f t="array" aca="1" ref="R34" ca="1">_xll.QIns_ProductPV(Q34,AModel,I34)</f>
        <v>0</v>
      </c>
      <c r="S34" t="str" cm="1">
        <f t="array" aca="1" ref="S34" ca="1">IF(VLOOKUP(B34,AssetStatic,4,FALSE),_xll.QRisk_PortfolioFxDeltaSpecific("asiOpt_DeltaA"&amp;ROW(),Q34,AModel,B34,"ZAR",FALSE),_xll.QRisk_PortfolioDelta("asiOpt_DeltaA"&amp;ROW(),Q34,AModel,FALSE))</f>
        <v>asiOpt_DeltaA34¬5</v>
      </c>
      <c r="T34" s="21" cm="1">
        <f t="array" aca="1" ref="T34" ca="1">_xll.QCube_SumAllRows(S34)</f>
        <v>0</v>
      </c>
      <c r="U34" s="11">
        <f t="shared" ca="1" si="54"/>
        <v>0</v>
      </c>
      <c r="V34" t="str" cm="1">
        <f t="array" aca="1" ref="V34" ca="1">_xll.QRisk_PortfolioVega("euopt_commVegaA"&amp;ROW(),Q34,AModel,I34)</f>
        <v>euopt_commVegaA34¬0</v>
      </c>
      <c r="W34" s="21" cm="1">
        <f t="array" aca="1" ref="W34" ca="1">_xll.QCube_SumAllRows(V34)</f>
        <v>0</v>
      </c>
      <c r="X34" s="100">
        <f t="shared" ca="1" si="55"/>
        <v>0</v>
      </c>
      <c r="Y34" t="str" cm="1">
        <f t="array" aca="1" ref="Y34" ca="1">_xll.QRisk_PortfolioFxVega("euOpt_fxVegaA"&amp;ROW(),Q34,AModel,I34)</f>
        <v>euOpt_fxVegaA34¬0</v>
      </c>
      <c r="Z34" s="21" cm="1">
        <f t="array" aca="1" ref="Z34" ca="1">_xll.QCube_SumAllRows(Y34)</f>
        <v>0</v>
      </c>
      <c r="AA34" s="100">
        <f t="shared" ca="1" si="56"/>
        <v>0</v>
      </c>
    </row>
    <row r="35" spans="1:27" x14ac:dyDescent="0.25">
      <c r="A35" s="6"/>
      <c r="B35" s="6" t="s">
        <v>108</v>
      </c>
      <c r="C35" s="101">
        <v>44197</v>
      </c>
      <c r="D35" s="102"/>
      <c r="E35" s="102"/>
      <c r="F35" s="103">
        <f t="shared" ca="1" si="49"/>
        <v>6050</v>
      </c>
      <c r="G35" s="6" t="s">
        <v>287</v>
      </c>
      <c r="H35" s="103">
        <f t="shared" ca="1" si="50"/>
        <v>1000</v>
      </c>
      <c r="I35" s="6" t="s">
        <v>21</v>
      </c>
      <c r="J35" s="141" t="str">
        <f t="shared" ca="1" si="51"/>
        <v>USD.LIBOR.3M</v>
      </c>
      <c r="K35" s="141" t="str">
        <f t="shared" ca="1" si="52"/>
        <v>LON</v>
      </c>
      <c r="L35" s="142" t="s">
        <v>171</v>
      </c>
      <c r="M35" s="142" t="str">
        <f t="shared" ca="1" si="53"/>
        <v>2b</v>
      </c>
      <c r="N35" t="str" cm="1">
        <f t="array" aca="1" ref="N35" ca="1">_xll.QIns_CreateAsianSwap("AsiOpt_Fwd_"&amp;ROW(),IF(C35="",D35:E35,C35),B35,I35,0,H35,K35,I35,L35,M35,,J35,IF(I35="USD","None","ATC"))</f>
        <v>AsiOpt_Fwd_35¬0</v>
      </c>
      <c r="O35" s="14" cm="1">
        <f t="array" aca="1" ref="O35" ca="1">_xll.QIns_ProductParRate(N35,AModel)</f>
        <v>1000000</v>
      </c>
      <c r="P35" s="11" cm="1">
        <f t="array" aca="1" ref="P35" ca="1">_xll.QModels_GetCompoVol(AModel,B35,I35,F35,E35)</f>
        <v>0.24940004348754882</v>
      </c>
      <c r="Q35" t="str" cm="1">
        <f t="array" aca="1" ref="Q35" ca="1">_xll.QIns_CreateAsianOption("asiOpt_"&amp;ROW(),IF(C35="",D35:E35,C35),B35,I35,F35,G35,H35,K35,I35,L35,M35,,J35)</f>
        <v>asiOpt_35¬0</v>
      </c>
      <c r="R35" s="21" cm="1">
        <f t="array" aca="1" ref="R35" ca="1">_xll.QIns_ProductPV(Q35,AModel,I35)</f>
        <v>0</v>
      </c>
      <c r="S35" t="str" cm="1">
        <f t="array" aca="1" ref="S35" ca="1">IF(VLOOKUP(B35,AssetStatic,4,FALSE),_xll.QRisk_PortfolioFxDeltaSpecific("asiOpt_DeltaA"&amp;ROW(),Q35,AModel,B35,"ZAR",FALSE),_xll.QRisk_PortfolioDelta("asiOpt_DeltaA"&amp;ROW(),Q35,AModel,FALSE))</f>
        <v>asiOpt_DeltaA35¬6</v>
      </c>
      <c r="T35" s="21" cm="1">
        <f t="array" aca="1" ref="T35" ca="1">_xll.QCube_SumAllRows(S35)</f>
        <v>0</v>
      </c>
      <c r="U35" s="11">
        <f t="shared" ca="1" si="54"/>
        <v>0</v>
      </c>
      <c r="V35" t="str" cm="1">
        <f t="array" aca="1" ref="V35" ca="1">_xll.QRisk_PortfolioVega("euopt_commVegaA"&amp;ROW(),Q35,AModel,I35)</f>
        <v>euopt_commVegaA35¬0</v>
      </c>
      <c r="W35" s="21" cm="1">
        <f t="array" aca="1" ref="W35" ca="1">_xll.QCube_SumAllRows(V35)</f>
        <v>0</v>
      </c>
      <c r="X35" s="100">
        <f t="shared" ca="1" si="55"/>
        <v>0</v>
      </c>
      <c r="Y35" t="str" cm="1">
        <f t="array" aca="1" ref="Y35" ca="1">_xll.QRisk_PortfolioFxVega("euOpt_fxVegaA"&amp;ROW(),Q35,AModel,I35)</f>
        <v>euOpt_fxVegaA35¬0</v>
      </c>
      <c r="Z35" s="21" cm="1">
        <f t="array" aca="1" ref="Z35" ca="1">_xll.QCube_SumAllRows(Y35)</f>
        <v>0</v>
      </c>
      <c r="AA35" s="100">
        <f t="shared" ca="1" si="56"/>
        <v>0</v>
      </c>
    </row>
    <row r="36" spans="1:27" x14ac:dyDescent="0.25">
      <c r="A36" s="6"/>
      <c r="B36" s="6" t="s">
        <v>108</v>
      </c>
      <c r="C36" s="101">
        <v>44228</v>
      </c>
      <c r="D36" s="102"/>
      <c r="E36" s="102"/>
      <c r="F36" s="103">
        <f t="shared" ca="1" si="49"/>
        <v>6050</v>
      </c>
      <c r="G36" s="6" t="s">
        <v>287</v>
      </c>
      <c r="H36" s="103">
        <f t="shared" ca="1" si="50"/>
        <v>1000</v>
      </c>
      <c r="I36" s="6" t="s">
        <v>21</v>
      </c>
      <c r="J36" s="141" t="str">
        <f t="shared" ca="1" si="51"/>
        <v>USD.LIBOR.3M</v>
      </c>
      <c r="K36" s="141" t="str">
        <f t="shared" ca="1" si="52"/>
        <v>LON</v>
      </c>
      <c r="L36" s="142" t="s">
        <v>171</v>
      </c>
      <c r="M36" s="142" t="str">
        <f t="shared" ca="1" si="53"/>
        <v>2b</v>
      </c>
      <c r="N36" t="str" cm="1">
        <f t="array" aca="1" ref="N36" ca="1">_xll.QIns_CreateAsianSwap("AsiOpt_Fwd_"&amp;ROW(),IF(C36="",D36:E36,C36),B36,I36,0,H36,K36,I36,L36,M36,,J36,IF(I36="USD","None","ATC"))</f>
        <v>AsiOpt_Fwd_36¬3</v>
      </c>
      <c r="O36" s="14" cm="1">
        <f t="array" aca="1" ref="O36" ca="1">_xll.QIns_ProductParRate(N36,AModel)</f>
        <v>8145.5062500000004</v>
      </c>
      <c r="P36" s="11" cm="1">
        <f t="array" aca="1" ref="P36" ca="1">_xll.QModels_GetCompoVol(AModel,B36,I36,F36,E36)</f>
        <v>0.24940004348754882</v>
      </c>
      <c r="Q36" t="str" cm="1">
        <f t="array" aca="1" ref="Q36" ca="1">_xll.QIns_CreateAsianOption("asiOpt_"&amp;ROW(),IF(C36="",D36:E36,C36),B36,I36,F36,G36,H36,K36,I36,L36,M36,,J36)</f>
        <v>asiOpt_36¬3</v>
      </c>
      <c r="R36" s="21" cm="1">
        <f t="array" aca="1" ref="R36" ca="1">_xll.QIns_ProductPV(Q36,AModel,I36)</f>
        <v>2095399.1618172845</v>
      </c>
      <c r="S36" t="str" cm="1">
        <f t="array" aca="1" ref="S36" ca="1">IF(VLOOKUP(B36,AssetStatic,4,FALSE),_xll.QRisk_PortfolioFxDeltaSpecific("asiOpt_DeltaA"&amp;ROW(),Q36,AModel,B36,"ZAR",FALSE),_xll.QRisk_PortfolioDelta("asiOpt_DeltaA"&amp;ROW(),Q36,AModel,FALSE))</f>
        <v>asiOpt_DeltaA36¬8</v>
      </c>
      <c r="T36" s="21" cm="1">
        <f t="array" aca="1" ref="T36" ca="1">_xll.QCube_SumAllRows(S36)</f>
        <v>599.98763179002151</v>
      </c>
      <c r="U36" s="11">
        <f t="shared" ca="1" si="54"/>
        <v>0.59998763179002146</v>
      </c>
      <c r="V36" t="str" cm="1">
        <f t="array" aca="1" ref="V36" ca="1">_xll.QRisk_PortfolioVega("euopt_commVegaA"&amp;ROW(),Q36,AModel,I36)</f>
        <v>euopt_commVegaA36¬3</v>
      </c>
      <c r="W36" s="21" cm="1">
        <f t="array" aca="1" ref="W36" ca="1">_xll.QCube_SumAllRows(V36)</f>
        <v>0</v>
      </c>
      <c r="X36" s="100">
        <f t="shared" ca="1" si="55"/>
        <v>0</v>
      </c>
      <c r="Y36" t="str" cm="1">
        <f t="array" aca="1" ref="Y36" ca="1">_xll.QRisk_PortfolioFxVega("euOpt_fxVegaA"&amp;ROW(),Q36,AModel,I36)</f>
        <v>euOpt_fxVegaA36¬1</v>
      </c>
      <c r="Z36" s="21" cm="1">
        <f t="array" aca="1" ref="Z36" ca="1">_xll.QCube_SumAllRows(Y36)</f>
        <v>0</v>
      </c>
      <c r="AA36" s="100">
        <f t="shared" ca="1" si="56"/>
        <v>0</v>
      </c>
    </row>
    <row r="37" spans="1:27" x14ac:dyDescent="0.25">
      <c r="A37" s="6"/>
      <c r="B37" s="6" t="s">
        <v>108</v>
      </c>
      <c r="C37" s="101">
        <v>44256</v>
      </c>
      <c r="D37" s="102"/>
      <c r="E37" s="102"/>
      <c r="F37" s="103">
        <f t="shared" ca="1" si="49"/>
        <v>6050</v>
      </c>
      <c r="G37" s="6" t="s">
        <v>287</v>
      </c>
      <c r="H37" s="103">
        <f t="shared" ca="1" si="50"/>
        <v>1000</v>
      </c>
      <c r="I37" s="6" t="s">
        <v>21</v>
      </c>
      <c r="J37" s="141" t="str">
        <f t="shared" ca="1" si="51"/>
        <v>USD.LIBOR.3M</v>
      </c>
      <c r="K37" s="141" t="str">
        <f t="shared" ca="1" si="52"/>
        <v>LON</v>
      </c>
      <c r="L37" s="142" t="s">
        <v>171</v>
      </c>
      <c r="M37" s="142" t="str">
        <f t="shared" ca="1" si="53"/>
        <v>2b</v>
      </c>
      <c r="N37" t="str" cm="1">
        <f t="array" aca="1" ref="N37" ca="1">_xll.QIns_CreateAsianSwap("AsiOpt_Fwd_"&amp;ROW(),IF(C37="",D37:E37,C37),B37,I37,0,H37,K37,I37,L37,M37,,J37,IF(I37="USD","None","ATC"))</f>
        <v>AsiOpt_Fwd_37¬3</v>
      </c>
      <c r="O37" s="14" cm="1">
        <f t="array" aca="1" ref="O37" ca="1">_xll.QIns_ProductParRate(N37,AModel)</f>
        <v>8274.8228260869564</v>
      </c>
      <c r="P37" s="11" cm="1">
        <f t="array" aca="1" ref="P37" ca="1">_xll.QModels_GetCompoVol(AModel,B37,I37,F37,E37)</f>
        <v>0.24940004348754882</v>
      </c>
      <c r="Q37" t="str" cm="1">
        <f t="array" aca="1" ref="Q37" ca="1">_xll.QIns_CreateAsianOption("asiOpt_"&amp;ROW(),IF(C37="",D37:E37,C37),B37,I37,F37,G37,H37,K37,I37,L37,M37,,J37)</f>
        <v>asiOpt_37¬3</v>
      </c>
      <c r="R37" s="21" cm="1">
        <f t="array" aca="1" ref="R37" ca="1">_xll.QIns_ProductPV(Q37,AModel,I37)</f>
        <v>2224357.935908949</v>
      </c>
      <c r="S37" t="str" cm="1">
        <f t="array" aca="1" ref="S37" ca="1">IF(VLOOKUP(B37,AssetStatic,4,FALSE),_xll.QRisk_PortfolioFxDeltaSpecific("asiOpt_DeltaA"&amp;ROW(),Q37,AModel,B37,"ZAR",FALSE),_xll.QRisk_PortfolioDelta("asiOpt_DeltaA"&amp;ROW(),Q37,AModel,FALSE))</f>
        <v>asiOpt_DeltaA37¬8</v>
      </c>
      <c r="T37" s="21" cm="1">
        <f t="array" aca="1" ref="T37" ca="1">_xll.QCube_SumAllRows(S37)</f>
        <v>999.911514510855</v>
      </c>
      <c r="U37" s="11">
        <f t="shared" ca="1" si="54"/>
        <v>0.99991151451085503</v>
      </c>
      <c r="V37" t="str" cm="1">
        <f t="array" aca="1" ref="V37" ca="1">_xll.QRisk_PortfolioVega("euopt_commVegaA"&amp;ROW(),Q37,AModel,I37)</f>
        <v>euopt_commVegaA37¬2</v>
      </c>
      <c r="W37" s="21" cm="1">
        <f t="array" aca="1" ref="W37" ca="1">_xll.QCube_SumAllRows(V37)</f>
        <v>0.19731186795979738</v>
      </c>
      <c r="X37" s="100">
        <f t="shared" ca="1" si="55"/>
        <v>1.9731186795979739E-4</v>
      </c>
      <c r="Y37" t="str" cm="1">
        <f t="array" aca="1" ref="Y37" ca="1">_xll.QRisk_PortfolioFxVega("euOpt_fxVegaA"&amp;ROW(),Q37,AModel,I37)</f>
        <v>euOpt_fxVegaA37¬1</v>
      </c>
      <c r="Z37" s="21" cm="1">
        <f t="array" aca="1" ref="Z37" ca="1">_xll.QCube_SumAllRows(Y37)</f>
        <v>0</v>
      </c>
      <c r="AA37" s="100">
        <f t="shared" ca="1" si="56"/>
        <v>0</v>
      </c>
    </row>
    <row r="38" spans="1:27" x14ac:dyDescent="0.25">
      <c r="A38" s="6"/>
      <c r="B38" s="6" t="s">
        <v>108</v>
      </c>
      <c r="C38" s="101">
        <v>44287</v>
      </c>
      <c r="D38" s="102"/>
      <c r="E38" s="102"/>
      <c r="F38" s="103">
        <f t="shared" ca="1" si="49"/>
        <v>6050</v>
      </c>
      <c r="G38" s="6" t="s">
        <v>287</v>
      </c>
      <c r="H38" s="103">
        <f t="shared" ca="1" si="50"/>
        <v>1000</v>
      </c>
      <c r="I38" s="6" t="s">
        <v>21</v>
      </c>
      <c r="J38" s="141" t="str">
        <f t="shared" ca="1" si="51"/>
        <v>USD.LIBOR.3M</v>
      </c>
      <c r="K38" s="141" t="str">
        <f t="shared" ca="1" si="52"/>
        <v>LON</v>
      </c>
      <c r="L38" s="142" t="s">
        <v>171</v>
      </c>
      <c r="M38" s="142" t="str">
        <f t="shared" ca="1" si="53"/>
        <v>2b</v>
      </c>
      <c r="N38" t="str" cm="1">
        <f t="array" aca="1" ref="N38" ca="1">_xll.QIns_CreateAsianSwap("AsiOpt_Fwd_"&amp;ROW(),IF(C38="",D38:E38,C38),B38,I38,0,H38,K38,I38,L38,M38,,J38,IF(I38="USD","None","ATC"))</f>
        <v>AsiOpt_Fwd_38¬3</v>
      </c>
      <c r="O38" s="14" cm="1">
        <f t="array" aca="1" ref="O38" ca="1">_xll.QIns_ProductParRate(N38,AModel)</f>
        <v>8277.1506250000002</v>
      </c>
      <c r="P38" s="11" cm="1">
        <f t="array" aca="1" ref="P38" ca="1">_xll.QModels_GetCompoVol(AModel,B38,I38,F38,E38)</f>
        <v>0.24940004348754882</v>
      </c>
      <c r="Q38" t="str" cm="1">
        <f t="array" aca="1" ref="Q38" ca="1">_xll.QIns_CreateAsianOption("asiOpt_"&amp;ROW(),IF(C38="",D38:E38,C38),B38,I38,F38,G38,H38,K38,I38,L38,M38,,J38)</f>
        <v>asiOpt_38¬3</v>
      </c>
      <c r="R38" s="21" cm="1">
        <f t="array" aca="1" ref="R38" ca="1">_xll.QIns_ProductPV(Q38,AModel,I38)</f>
        <v>2226398.5428366479</v>
      </c>
      <c r="S38" t="str" cm="1">
        <f t="array" aca="1" ref="S38" ca="1">IF(VLOOKUP(B38,AssetStatic,4,FALSE),_xll.QRisk_PortfolioFxDeltaSpecific("asiOpt_DeltaA"&amp;ROW(),Q38,AModel,B38,"ZAR",FALSE),_xll.QRisk_PortfolioDelta("asiOpt_DeltaA"&amp;ROW(),Q38,AModel,FALSE))</f>
        <v>asiOpt_DeltaA38¬8</v>
      </c>
      <c r="T38" s="21" cm="1">
        <f t="array" aca="1" ref="T38" ca="1">_xll.QCube_SumAllRows(S38)</f>
        <v>999.09913586036942</v>
      </c>
      <c r="U38" s="11">
        <f t="shared" ca="1" si="54"/>
        <v>0.99909913586036947</v>
      </c>
      <c r="V38" t="str" cm="1">
        <f t="array" aca="1" ref="V38" ca="1">_xll.QRisk_PortfolioVega("euopt_commVegaA"&amp;ROW(),Q38,AModel,I38)</f>
        <v>euopt_commVegaA38¬2</v>
      </c>
      <c r="W38" s="21" cm="1">
        <f t="array" aca="1" ref="W38" ca="1">_xll.QCube_SumAllRows(V38)</f>
        <v>92.684063157066703</v>
      </c>
      <c r="X38" s="100">
        <f t="shared" ca="1" si="55"/>
        <v>9.2684063157066704E-2</v>
      </c>
      <c r="Y38" t="str" cm="1">
        <f t="array" aca="1" ref="Y38" ca="1">_xll.QRisk_PortfolioFxVega("euOpt_fxVegaA"&amp;ROW(),Q38,AModel,I38)</f>
        <v>euOpt_fxVegaA38¬1</v>
      </c>
      <c r="Z38" s="21" cm="1">
        <f t="array" aca="1" ref="Z38" ca="1">_xll.QCube_SumAllRows(Y38)</f>
        <v>0</v>
      </c>
      <c r="AA38" s="100">
        <f t="shared" ca="1" si="56"/>
        <v>0</v>
      </c>
    </row>
    <row r="39" spans="1:27" x14ac:dyDescent="0.25">
      <c r="A39" s="6"/>
      <c r="B39" s="6" t="s">
        <v>108</v>
      </c>
      <c r="C39" s="101">
        <v>44044</v>
      </c>
      <c r="D39" s="102"/>
      <c r="E39" s="102"/>
      <c r="F39" s="103">
        <f t="shared" ca="1" si="49"/>
        <v>6050</v>
      </c>
      <c r="G39" s="6" t="s">
        <v>166</v>
      </c>
      <c r="H39" s="103">
        <v>-1250</v>
      </c>
      <c r="I39" s="6" t="s">
        <v>21</v>
      </c>
      <c r="J39" s="141" t="str">
        <f t="shared" ca="1" si="51"/>
        <v>USD.LIBOR.3M</v>
      </c>
      <c r="K39" s="141" t="str">
        <f t="shared" ca="1" si="52"/>
        <v>LON</v>
      </c>
      <c r="L39" s="142" t="s">
        <v>171</v>
      </c>
      <c r="M39" s="142" t="str">
        <f t="shared" ca="1" si="53"/>
        <v>2b</v>
      </c>
      <c r="N39" t="str" cm="1">
        <f t="array" aca="1" ref="N39" ca="1">_xll.QIns_CreateAsianSwap("AsiOpt_Fwd_"&amp;ROW(),IF(C39="",D39:E39,C39),B39,I39,0,H39,K39,I39,L39,M39,,J39,IF(I39="USD","None","ATC"))</f>
        <v>AsiOpt_Fwd_39¬3</v>
      </c>
      <c r="O39" s="14" cm="1">
        <f t="array" aca="1" ref="O39" ca="1">_xll.QIns_ProductParRate(N39,AModel)</f>
        <v>1000000</v>
      </c>
      <c r="P39" s="11" cm="1">
        <f t="array" aca="1" ref="P39" ca="1">_xll.QModels_GetCompoVol(AModel,B39,I39,F39,E39)</f>
        <v>0.24940004348754882</v>
      </c>
      <c r="Q39" t="str" cm="1">
        <f t="array" aca="1" ref="Q39" ca="1">_xll.QIns_CreateAsianOption("asiOpt_"&amp;ROW(),IF(C39="",D39:E39,C39),B39,I39,F39,G39,H39,K39,I39,L39,M39,,J39)</f>
        <v>asiOpt_39¬3</v>
      </c>
      <c r="R39" s="21" cm="1">
        <f t="array" aca="1" ref="R39" ca="1">_xll.QIns_ProductPV(Q39,AModel,I39)</f>
        <v>0</v>
      </c>
      <c r="S39" t="str" cm="1">
        <f t="array" aca="1" ref="S39" ca="1">IF(VLOOKUP(B39,AssetStatic,4,FALSE),_xll.QRisk_PortfolioFxDeltaSpecific("asiOpt_DeltaA"&amp;ROW(),Q39,AModel,B39,"ZAR",FALSE),_xll.QRisk_PortfolioDelta("asiOpt_DeltaA"&amp;ROW(),Q39,AModel,FALSE))</f>
        <v>asiOpt_DeltaA39¬8</v>
      </c>
      <c r="T39" s="21" cm="1">
        <f t="array" aca="1" ref="T39" ca="1">_xll.QCube_SumAllRows(S39)</f>
        <v>0</v>
      </c>
      <c r="U39" s="11">
        <f t="shared" ca="1" si="54"/>
        <v>0</v>
      </c>
      <c r="V39" t="str" cm="1">
        <f t="array" aca="1" ref="V39" ca="1">_xll.QRisk_PortfolioVega("euopt_commVegaA"&amp;ROW(),Q39,AModel,I39)</f>
        <v>euopt_commVegaA39¬2</v>
      </c>
      <c r="W39" s="21" cm="1">
        <f t="array" aca="1" ref="W39" ca="1">_xll.QCube_SumAllRows(V39)</f>
        <v>0</v>
      </c>
      <c r="X39" s="100">
        <f t="shared" ca="1" si="55"/>
        <v>0</v>
      </c>
      <c r="Y39" t="str" cm="1">
        <f t="array" aca="1" ref="Y39" ca="1">_xll.QRisk_PortfolioFxVega("euOpt_fxVegaA"&amp;ROW(),Q39,AModel,I39)</f>
        <v>euOpt_fxVegaA39¬1</v>
      </c>
      <c r="Z39" s="21" cm="1">
        <f t="array" aca="1" ref="Z39" ca="1">_xll.QCube_SumAllRows(Y39)</f>
        <v>0</v>
      </c>
      <c r="AA39" s="100">
        <f t="shared" ca="1" si="56"/>
        <v>0</v>
      </c>
    </row>
    <row r="40" spans="1:27" x14ac:dyDescent="0.25">
      <c r="A40" s="6"/>
      <c r="B40" s="6" t="s">
        <v>108</v>
      </c>
      <c r="C40" s="101">
        <v>44075</v>
      </c>
      <c r="D40" s="102"/>
      <c r="E40" s="102"/>
      <c r="F40" s="103">
        <f t="shared" ca="1" si="49"/>
        <v>6050</v>
      </c>
      <c r="G40" s="6" t="s">
        <v>166</v>
      </c>
      <c r="H40" s="103">
        <v>-2000</v>
      </c>
      <c r="I40" s="6" t="s">
        <v>21</v>
      </c>
      <c r="J40" s="141" t="str">
        <f t="shared" ref="J40:J47" ca="1" si="57">IF(I40="USD","USD.LIBOR.3M",I40&amp;".DISC.[USD.LIBOR.3M]")</f>
        <v>USD.LIBOR.3M</v>
      </c>
      <c r="K40" s="141" t="str">
        <f t="shared" ref="K40:K47" ca="1" si="58">VLOOKUP(B40,AssetStatic,3,FALSE)</f>
        <v>LON</v>
      </c>
      <c r="L40" s="142" t="s">
        <v>171</v>
      </c>
      <c r="M40" s="142" t="str">
        <f t="shared" ref="M40:M47" ca="1" si="59">VLOOKUP(B40,AssetStatic,2,FALSE)</f>
        <v>2b</v>
      </c>
      <c r="N40" t="str" cm="1">
        <f t="array" aca="1" ref="N40" ca="1">_xll.QIns_CreateAsianSwap("AsiOpt_Fwd_"&amp;ROW(),IF(C40="",D40:E40,C40),B40,I40,0,H40,K40,I40,L40,M40,,J40,IF(I40="USD","None","ATC"))</f>
        <v>AsiOpt_Fwd_40¬3</v>
      </c>
      <c r="O40" s="14" cm="1">
        <f t="array" aca="1" ref="O40" ca="1">_xll.QIns_ProductParRate(N40,AModel)</f>
        <v>1000000</v>
      </c>
      <c r="P40" s="11" cm="1">
        <f t="array" aca="1" ref="P40" ca="1">_xll.QModels_GetCompoVol(AModel,B40,I40,F40,E40)</f>
        <v>0.24940004348754882</v>
      </c>
      <c r="Q40" t="str" cm="1">
        <f t="array" aca="1" ref="Q40" ca="1">_xll.QIns_CreateAsianOption("asiOpt_"&amp;ROW(),IF(C40="",D40:E40,C40),B40,I40,F40,G40,H40,K40,I40,L40,M40,,J40)</f>
        <v>asiOpt_40¬3</v>
      </c>
      <c r="R40" s="21" cm="1">
        <f t="array" aca="1" ref="R40" ca="1">_xll.QIns_ProductPV(Q40,AModel,I40)</f>
        <v>0</v>
      </c>
      <c r="S40" t="str" cm="1">
        <f t="array" aca="1" ref="S40" ca="1">IF(VLOOKUP(B40,AssetStatic,4,FALSE),_xll.QRisk_PortfolioFxDeltaSpecific("asiOpt_DeltaA"&amp;ROW(),Q40,AModel,B40,"ZAR",FALSE),_xll.QRisk_PortfolioDelta("asiOpt_DeltaA"&amp;ROW(),Q40,AModel,FALSE))</f>
        <v>asiOpt_DeltaA40¬4</v>
      </c>
      <c r="T40" s="21" cm="1">
        <f t="array" aca="1" ref="T40" ca="1">_xll.QCube_SumAllRows(S40)</f>
        <v>0</v>
      </c>
      <c r="U40" s="11">
        <f t="shared" ref="U40:U47" ca="1" si="60">T40/H40</f>
        <v>0</v>
      </c>
      <c r="V40" t="str" cm="1">
        <f t="array" aca="1" ref="V40" ca="1">_xll.QRisk_PortfolioVega("euopt_commVegaA"&amp;ROW(),Q40,AModel,I40)</f>
        <v>euopt_commVegaA40¬2</v>
      </c>
      <c r="W40" s="21" cm="1">
        <f t="array" aca="1" ref="W40" ca="1">_xll.QCube_SumAllRows(V40)</f>
        <v>0</v>
      </c>
      <c r="X40" s="100">
        <f t="shared" ref="X40:X47" ca="1" si="61">W40/H40</f>
        <v>0</v>
      </c>
      <c r="Y40" t="str" cm="1">
        <f t="array" aca="1" ref="Y40" ca="1">_xll.QRisk_PortfolioFxVega("euOpt_fxVegaA"&amp;ROW(),Q40,AModel,I40)</f>
        <v>euOpt_fxVegaA40¬1</v>
      </c>
      <c r="Z40" s="21" cm="1">
        <f t="array" aca="1" ref="Z40" ca="1">_xll.QCube_SumAllRows(Y40)</f>
        <v>0</v>
      </c>
      <c r="AA40" s="100">
        <f t="shared" ref="AA40:AA47" ca="1" si="62">Z40/H40</f>
        <v>0</v>
      </c>
    </row>
    <row r="41" spans="1:27" x14ac:dyDescent="0.25">
      <c r="A41" s="6"/>
      <c r="B41" s="6" t="s">
        <v>108</v>
      </c>
      <c r="C41" s="101">
        <v>44105</v>
      </c>
      <c r="D41" s="102"/>
      <c r="E41" s="102"/>
      <c r="F41" s="103">
        <f t="shared" ca="1" si="49"/>
        <v>6050</v>
      </c>
      <c r="G41" s="6" t="s">
        <v>166</v>
      </c>
      <c r="H41" s="103">
        <v>-2000</v>
      </c>
      <c r="I41" s="6" t="s">
        <v>21</v>
      </c>
      <c r="J41" s="141" t="str">
        <f t="shared" ca="1" si="57"/>
        <v>USD.LIBOR.3M</v>
      </c>
      <c r="K41" s="141" t="str">
        <f t="shared" ca="1" si="58"/>
        <v>LON</v>
      </c>
      <c r="L41" s="142" t="s">
        <v>171</v>
      </c>
      <c r="M41" s="142" t="str">
        <f t="shared" ca="1" si="59"/>
        <v>2b</v>
      </c>
      <c r="N41" t="str" cm="1">
        <f t="array" aca="1" ref="N41" ca="1">_xll.QIns_CreateAsianSwap("AsiOpt_Fwd_"&amp;ROW(),IF(C41="",D41:E41,C41),B41,I41,0,H41,K41,I41,L41,M41,,J41,IF(I41="USD","None","ATC"))</f>
        <v>AsiOpt_Fwd_41¬3</v>
      </c>
      <c r="O41" s="14" cm="1">
        <f t="array" aca="1" ref="O41" ca="1">_xll.QIns_ProductParRate(N41,AModel)</f>
        <v>1000000</v>
      </c>
      <c r="P41" s="11" cm="1">
        <f t="array" aca="1" ref="P41" ca="1">_xll.QModels_GetCompoVol(AModel,B41,I41,F41,E41)</f>
        <v>0.24940004348754882</v>
      </c>
      <c r="Q41" t="str" cm="1">
        <f t="array" aca="1" ref="Q41" ca="1">_xll.QIns_CreateAsianOption("asiOpt_"&amp;ROW(),IF(C41="",D41:E41,C41),B41,I41,F41,G41,H41,K41,I41,L41,M41,,J41)</f>
        <v>asiOpt_41¬3</v>
      </c>
      <c r="R41" s="21" cm="1">
        <f t="array" aca="1" ref="R41" ca="1">_xll.QIns_ProductPV(Q41,AModel,I41)</f>
        <v>0</v>
      </c>
      <c r="S41" t="str" cm="1">
        <f t="array" aca="1" ref="S41" ca="1">IF(VLOOKUP(B41,AssetStatic,4,FALSE),_xll.QRisk_PortfolioFxDeltaSpecific("asiOpt_DeltaA"&amp;ROW(),Q41,AModel,B41,"ZAR",FALSE),_xll.QRisk_PortfolioDelta("asiOpt_DeltaA"&amp;ROW(),Q41,AModel,FALSE))</f>
        <v>asiOpt_DeltaA41¬4</v>
      </c>
      <c r="T41" s="21" cm="1">
        <f t="array" aca="1" ref="T41" ca="1">_xll.QCube_SumAllRows(S41)</f>
        <v>0</v>
      </c>
      <c r="U41" s="11">
        <f t="shared" ca="1" si="60"/>
        <v>0</v>
      </c>
      <c r="V41" t="str" cm="1">
        <f t="array" aca="1" ref="V41" ca="1">_xll.QRisk_PortfolioVega("euopt_commVegaA"&amp;ROW(),Q41,AModel,I41)</f>
        <v>euopt_commVegaA41¬3</v>
      </c>
      <c r="W41" s="21" cm="1">
        <f t="array" aca="1" ref="W41" ca="1">_xll.QCube_SumAllRows(V41)</f>
        <v>0</v>
      </c>
      <c r="X41" s="100">
        <f t="shared" ca="1" si="61"/>
        <v>0</v>
      </c>
      <c r="Y41" t="str" cm="1">
        <f t="array" aca="1" ref="Y41" ca="1">_xll.QRisk_PortfolioFxVega("euOpt_fxVegaA"&amp;ROW(),Q41,AModel,I41)</f>
        <v>euOpt_fxVegaA41¬1</v>
      </c>
      <c r="Z41" s="21" cm="1">
        <f t="array" aca="1" ref="Z41" ca="1">_xll.QCube_SumAllRows(Y41)</f>
        <v>0</v>
      </c>
      <c r="AA41" s="100">
        <f t="shared" ca="1" si="62"/>
        <v>0</v>
      </c>
    </row>
    <row r="42" spans="1:27" x14ac:dyDescent="0.25">
      <c r="A42" s="6"/>
      <c r="B42" s="6" t="s">
        <v>108</v>
      </c>
      <c r="C42" s="101">
        <v>44136</v>
      </c>
      <c r="D42" s="102"/>
      <c r="E42" s="102"/>
      <c r="F42" s="103">
        <f t="shared" ca="1" si="49"/>
        <v>6050</v>
      </c>
      <c r="G42" s="6" t="s">
        <v>166</v>
      </c>
      <c r="H42" s="103">
        <v>-2000</v>
      </c>
      <c r="I42" s="6" t="s">
        <v>21</v>
      </c>
      <c r="J42" s="141" t="str">
        <f t="shared" ca="1" si="57"/>
        <v>USD.LIBOR.3M</v>
      </c>
      <c r="K42" s="141" t="str">
        <f t="shared" ca="1" si="58"/>
        <v>LON</v>
      </c>
      <c r="L42" s="142" t="s">
        <v>171</v>
      </c>
      <c r="M42" s="142" t="str">
        <f t="shared" ca="1" si="59"/>
        <v>2b</v>
      </c>
      <c r="N42" t="str" cm="1">
        <f t="array" aca="1" ref="N42" ca="1">_xll.QIns_CreateAsianSwap("AsiOpt_Fwd_"&amp;ROW(),IF(C42="",D42:E42,C42),B42,I42,0,H42,K42,I42,L42,M42,,J42,IF(I42="USD","None","ATC"))</f>
        <v>AsiOpt_Fwd_42¬3</v>
      </c>
      <c r="O42" s="14" cm="1">
        <f t="array" aca="1" ref="O42" ca="1">_xll.QIns_ProductParRate(N42,AModel)</f>
        <v>1000000</v>
      </c>
      <c r="P42" s="11" cm="1">
        <f t="array" aca="1" ref="P42" ca="1">_xll.QModels_GetCompoVol(AModel,B42,I42,F42,E42)</f>
        <v>0.24940004348754882</v>
      </c>
      <c r="Q42" t="str" cm="1">
        <f t="array" aca="1" ref="Q42" ca="1">_xll.QIns_CreateAsianOption("asiOpt_"&amp;ROW(),IF(C42="",D42:E42,C42),B42,I42,F42,G42,H42,K42,I42,L42,M42,,J42)</f>
        <v>asiOpt_42¬3</v>
      </c>
      <c r="R42" s="21" cm="1">
        <f t="array" aca="1" ref="R42" ca="1">_xll.QIns_ProductPV(Q42,AModel,I42)</f>
        <v>0</v>
      </c>
      <c r="S42" t="str" cm="1">
        <f t="array" aca="1" ref="S42" ca="1">IF(VLOOKUP(B42,AssetStatic,4,FALSE),_xll.QRisk_PortfolioFxDeltaSpecific("asiOpt_DeltaA"&amp;ROW(),Q42,AModel,B42,"ZAR",FALSE),_xll.QRisk_PortfolioDelta("asiOpt_DeltaA"&amp;ROW(),Q42,AModel,FALSE))</f>
        <v>asiOpt_DeltaA42¬4</v>
      </c>
      <c r="T42" s="21" cm="1">
        <f t="array" aca="1" ref="T42" ca="1">_xll.QCube_SumAllRows(S42)</f>
        <v>0</v>
      </c>
      <c r="U42" s="11">
        <f t="shared" ca="1" si="60"/>
        <v>0</v>
      </c>
      <c r="V42" t="str" cm="1">
        <f t="array" aca="1" ref="V42" ca="1">_xll.QRisk_PortfolioVega("euopt_commVegaA"&amp;ROW(),Q42,AModel,I42)</f>
        <v>euopt_commVegaA42¬3</v>
      </c>
      <c r="W42" s="21" cm="1">
        <f t="array" aca="1" ref="W42" ca="1">_xll.QCube_SumAllRows(V42)</f>
        <v>0</v>
      </c>
      <c r="X42" s="100">
        <f t="shared" ca="1" si="61"/>
        <v>0</v>
      </c>
      <c r="Y42" t="str" cm="1">
        <f t="array" aca="1" ref="Y42" ca="1">_xll.QRisk_PortfolioFxVega("euOpt_fxVegaA"&amp;ROW(),Q42,AModel,I42)</f>
        <v>euOpt_fxVegaA42¬1</v>
      </c>
      <c r="Z42" s="21" cm="1">
        <f t="array" aca="1" ref="Z42" ca="1">_xll.QCube_SumAllRows(Y42)</f>
        <v>0</v>
      </c>
      <c r="AA42" s="100">
        <f t="shared" ca="1" si="62"/>
        <v>0</v>
      </c>
    </row>
    <row r="43" spans="1:27" x14ac:dyDescent="0.25">
      <c r="A43" s="6"/>
      <c r="B43" s="6" t="s">
        <v>108</v>
      </c>
      <c r="C43" s="101">
        <v>44166</v>
      </c>
      <c r="D43" s="102"/>
      <c r="E43" s="102"/>
      <c r="F43" s="103">
        <f t="shared" ca="1" si="49"/>
        <v>6050</v>
      </c>
      <c r="G43" s="6" t="s">
        <v>166</v>
      </c>
      <c r="H43" s="103">
        <v>-2000</v>
      </c>
      <c r="I43" s="6" t="s">
        <v>21</v>
      </c>
      <c r="J43" s="141" t="str">
        <f t="shared" ca="1" si="57"/>
        <v>USD.LIBOR.3M</v>
      </c>
      <c r="K43" s="141" t="str">
        <f t="shared" ca="1" si="58"/>
        <v>LON</v>
      </c>
      <c r="L43" s="142" t="s">
        <v>171</v>
      </c>
      <c r="M43" s="142" t="str">
        <f t="shared" ca="1" si="59"/>
        <v>2b</v>
      </c>
      <c r="N43" t="str" cm="1">
        <f t="array" aca="1" ref="N43" ca="1">_xll.QIns_CreateAsianSwap("AsiOpt_Fwd_"&amp;ROW(),IF(C43="",D43:E43,C43),B43,I43,0,H43,K43,I43,L43,M43,,J43,IF(I43="USD","None","ATC"))</f>
        <v>AsiOpt_Fwd_43¬3</v>
      </c>
      <c r="O43" s="14" cm="1">
        <f t="array" aca="1" ref="O43" ca="1">_xll.QIns_ProductParRate(N43,AModel)</f>
        <v>1000000</v>
      </c>
      <c r="P43" s="11" cm="1">
        <f t="array" aca="1" ref="P43" ca="1">_xll.QModels_GetCompoVol(AModel,B43,I43,F43,E43)</f>
        <v>0.24940004348754882</v>
      </c>
      <c r="Q43" t="str" cm="1">
        <f t="array" aca="1" ref="Q43" ca="1">_xll.QIns_CreateAsianOption("asiOpt_"&amp;ROW(),IF(C43="",D43:E43,C43),B43,I43,F43,G43,H43,K43,I43,L43,M43,,J43)</f>
        <v>asiOpt_43¬3</v>
      </c>
      <c r="R43" s="21" cm="1">
        <f t="array" aca="1" ref="R43" ca="1">_xll.QIns_ProductPV(Q43,AModel,I43)</f>
        <v>0</v>
      </c>
      <c r="S43" t="str" cm="1">
        <f t="array" aca="1" ref="S43" ca="1">IF(VLOOKUP(B43,AssetStatic,4,FALSE),_xll.QRisk_PortfolioFxDeltaSpecific("asiOpt_DeltaA"&amp;ROW(),Q43,AModel,B43,"ZAR",FALSE),_xll.QRisk_PortfolioDelta("asiOpt_DeltaA"&amp;ROW(),Q43,AModel,FALSE))</f>
        <v>asiOpt_DeltaA43¬3</v>
      </c>
      <c r="T43" s="21" cm="1">
        <f t="array" aca="1" ref="T43" ca="1">_xll.QCube_SumAllRows(S43)</f>
        <v>0</v>
      </c>
      <c r="U43" s="11">
        <f t="shared" ca="1" si="60"/>
        <v>0</v>
      </c>
      <c r="V43" t="str" cm="1">
        <f t="array" aca="1" ref="V43" ca="1">_xll.QRisk_PortfolioVega("euopt_commVegaA"&amp;ROW(),Q43,AModel,I43)</f>
        <v>euopt_commVegaA43¬2</v>
      </c>
      <c r="W43" s="21" cm="1">
        <f t="array" aca="1" ref="W43" ca="1">_xll.QCube_SumAllRows(V43)</f>
        <v>0</v>
      </c>
      <c r="X43" s="100">
        <f t="shared" ca="1" si="61"/>
        <v>0</v>
      </c>
      <c r="Y43" t="str" cm="1">
        <f t="array" aca="1" ref="Y43" ca="1">_xll.QRisk_PortfolioFxVega("euOpt_fxVegaA"&amp;ROW(),Q43,AModel,I43)</f>
        <v>euOpt_fxVegaA43¬1</v>
      </c>
      <c r="Z43" s="21" cm="1">
        <f t="array" aca="1" ref="Z43" ca="1">_xll.QCube_SumAllRows(Y43)</f>
        <v>0</v>
      </c>
      <c r="AA43" s="100">
        <f t="shared" ca="1" si="62"/>
        <v>0</v>
      </c>
    </row>
    <row r="44" spans="1:27" x14ac:dyDescent="0.25">
      <c r="A44" s="6"/>
      <c r="B44" s="6" t="s">
        <v>108</v>
      </c>
      <c r="C44" s="101">
        <v>44197</v>
      </c>
      <c r="D44" s="102"/>
      <c r="E44" s="102"/>
      <c r="F44" s="103">
        <f t="shared" ca="1" si="49"/>
        <v>6050</v>
      </c>
      <c r="G44" s="6" t="s">
        <v>166</v>
      </c>
      <c r="H44" s="103">
        <v>-2000</v>
      </c>
      <c r="I44" s="6" t="s">
        <v>21</v>
      </c>
      <c r="J44" s="141" t="str">
        <f t="shared" ca="1" si="57"/>
        <v>USD.LIBOR.3M</v>
      </c>
      <c r="K44" s="141" t="str">
        <f t="shared" ca="1" si="58"/>
        <v>LON</v>
      </c>
      <c r="L44" s="142" t="s">
        <v>171</v>
      </c>
      <c r="M44" s="142" t="str">
        <f t="shared" ca="1" si="59"/>
        <v>2b</v>
      </c>
      <c r="N44" t="str" cm="1">
        <f t="array" aca="1" ref="N44" ca="1">_xll.QIns_CreateAsianSwap("AsiOpt_Fwd_"&amp;ROW(),IF(C44="",D44:E44,C44),B44,I44,0,H44,K44,I44,L44,M44,,J44,IF(I44="USD","None","ATC"))</f>
        <v>AsiOpt_Fwd_44¬3</v>
      </c>
      <c r="O44" s="14" cm="1">
        <f t="array" aca="1" ref="O44" ca="1">_xll.QIns_ProductParRate(N44,AModel)</f>
        <v>1000000</v>
      </c>
      <c r="P44" s="11" cm="1">
        <f t="array" aca="1" ref="P44" ca="1">_xll.QModels_GetCompoVol(AModel,B44,I44,F44,E44)</f>
        <v>0.24940004348754882</v>
      </c>
      <c r="Q44" t="str" cm="1">
        <f t="array" aca="1" ref="Q44" ca="1">_xll.QIns_CreateAsianOption("asiOpt_"&amp;ROW(),IF(C44="",D44:E44,C44),B44,I44,F44,G44,H44,K44,I44,L44,M44,,J44)</f>
        <v>asiOpt_44¬3</v>
      </c>
      <c r="R44" s="21" cm="1">
        <f t="array" aca="1" ref="R44" ca="1">_xll.QIns_ProductPV(Q44,AModel,I44)</f>
        <v>0</v>
      </c>
      <c r="S44" t="str" cm="1">
        <f t="array" aca="1" ref="S44" ca="1">IF(VLOOKUP(B44,AssetStatic,4,FALSE),_xll.QRisk_PortfolioFxDeltaSpecific("asiOpt_DeltaA"&amp;ROW(),Q44,AModel,B44,"ZAR",FALSE),_xll.QRisk_PortfolioDelta("asiOpt_DeltaA"&amp;ROW(),Q44,AModel,FALSE))</f>
        <v>asiOpt_DeltaA44¬8</v>
      </c>
      <c r="T44" s="21" cm="1">
        <f t="array" aca="1" ref="T44" ca="1">_xll.QCube_SumAllRows(S44)</f>
        <v>0</v>
      </c>
      <c r="U44" s="11">
        <f t="shared" ca="1" si="60"/>
        <v>0</v>
      </c>
      <c r="V44" t="str" cm="1">
        <f t="array" aca="1" ref="V44" ca="1">_xll.QRisk_PortfolioVega("euopt_commVegaA"&amp;ROW(),Q44,AModel,I44)</f>
        <v>euopt_commVegaA44¬2</v>
      </c>
      <c r="W44" s="21" cm="1">
        <f t="array" aca="1" ref="W44" ca="1">_xll.QCube_SumAllRows(V44)</f>
        <v>0</v>
      </c>
      <c r="X44" s="100">
        <f t="shared" ca="1" si="61"/>
        <v>0</v>
      </c>
      <c r="Y44" t="str" cm="1">
        <f t="array" aca="1" ref="Y44" ca="1">_xll.QRisk_PortfolioFxVega("euOpt_fxVegaA"&amp;ROW(),Q44,AModel,I44)</f>
        <v>euOpt_fxVegaA44¬1</v>
      </c>
      <c r="Z44" s="21" cm="1">
        <f t="array" aca="1" ref="Z44" ca="1">_xll.QCube_SumAllRows(Y44)</f>
        <v>0</v>
      </c>
      <c r="AA44" s="100">
        <f t="shared" ca="1" si="62"/>
        <v>0</v>
      </c>
    </row>
    <row r="45" spans="1:27" x14ac:dyDescent="0.25">
      <c r="A45" s="6"/>
      <c r="B45" s="6" t="s">
        <v>108</v>
      </c>
      <c r="C45" s="101">
        <v>44228</v>
      </c>
      <c r="D45" s="102"/>
      <c r="E45" s="102"/>
      <c r="F45" s="103">
        <f t="shared" ca="1" si="49"/>
        <v>6050</v>
      </c>
      <c r="G45" s="6" t="s">
        <v>166</v>
      </c>
      <c r="H45" s="103">
        <v>-2000</v>
      </c>
      <c r="I45" s="6" t="s">
        <v>21</v>
      </c>
      <c r="J45" s="141" t="str">
        <f t="shared" ca="1" si="57"/>
        <v>USD.LIBOR.3M</v>
      </c>
      <c r="K45" s="141" t="str">
        <f t="shared" ca="1" si="58"/>
        <v>LON</v>
      </c>
      <c r="L45" s="142" t="s">
        <v>171</v>
      </c>
      <c r="M45" s="142" t="str">
        <f t="shared" ca="1" si="59"/>
        <v>2b</v>
      </c>
      <c r="N45" t="str" cm="1">
        <f t="array" aca="1" ref="N45" ca="1">_xll.QIns_CreateAsianSwap("AsiOpt_Fwd_"&amp;ROW(),IF(C45="",D45:E45,C45),B45,I45,0,H45,K45,I45,L45,M45,,J45,IF(I45="USD","None","ATC"))</f>
        <v>AsiOpt_Fwd_45¬3</v>
      </c>
      <c r="O45" s="14" cm="1">
        <f t="array" aca="1" ref="O45" ca="1">_xll.QIns_ProductParRate(N45,AModel)</f>
        <v>8145.5062500000004</v>
      </c>
      <c r="P45" s="11" cm="1">
        <f t="array" aca="1" ref="P45" ca="1">_xll.QModels_GetCompoVol(AModel,B45,I45,F45,E45)</f>
        <v>0.24940004348754882</v>
      </c>
      <c r="Q45" t="str" cm="1">
        <f t="array" aca="1" ref="Q45" ca="1">_xll.QIns_CreateAsianOption("asiOpt_"&amp;ROW(),IF(C45="",D45:E45,C45),B45,I45,F45,G45,H45,K45,I45,L45,M45,,J45)</f>
        <v>asiOpt_45¬3</v>
      </c>
      <c r="R45" s="21" cm="1">
        <f t="array" aca="1" ref="R45" ca="1">_xll.QIns_ProductPV(Q45,AModel,I45)</f>
        <v>-2.9070446645771551E-71</v>
      </c>
      <c r="S45" t="str" cm="1">
        <f t="array" aca="1" ref="S45" ca="1">IF(VLOOKUP(B45,AssetStatic,4,FALSE),_xll.QRisk_PortfolioFxDeltaSpecific("asiOpt_DeltaA"&amp;ROW(),Q45,AModel,B45,"ZAR",FALSE),_xll.QRisk_PortfolioDelta("asiOpt_DeltaA"&amp;ROW(),Q45,AModel,FALSE))</f>
        <v>asiOpt_DeltaA45¬7</v>
      </c>
      <c r="T45" s="21" cm="1">
        <f t="array" aca="1" ref="T45" ca="1">_xll.QCube_SumAllRows(S45)</f>
        <v>2.16348257016341E-72</v>
      </c>
      <c r="U45" s="11">
        <f t="shared" ca="1" si="60"/>
        <v>-1.081741285081705E-75</v>
      </c>
      <c r="V45" t="str" cm="1">
        <f t="array" aca="1" ref="V45" ca="1">_xll.QRisk_PortfolioVega("euopt_commVegaA"&amp;ROW(),Q45,AModel,I45)</f>
        <v>euopt_commVegaA45¬2</v>
      </c>
      <c r="W45" s="21" cm="1">
        <f t="array" aca="1" ref="W45" ca="1">_xll.QCube_SumAllRows(V45)</f>
        <v>-8.3231067873292367E-70</v>
      </c>
      <c r="X45" s="100">
        <f t="shared" ca="1" si="61"/>
        <v>4.1615533936646181E-73</v>
      </c>
      <c r="Y45" t="str" cm="1">
        <f t="array" aca="1" ref="Y45" ca="1">_xll.QRisk_PortfolioFxVega("euOpt_fxVegaA"&amp;ROW(),Q45,AModel,I45)</f>
        <v>euOpt_fxVegaA45¬1</v>
      </c>
      <c r="Z45" s="21" cm="1">
        <f t="array" aca="1" ref="Z45" ca="1">_xll.QCube_SumAllRows(Y45)</f>
        <v>0</v>
      </c>
      <c r="AA45" s="100">
        <f t="shared" ca="1" si="62"/>
        <v>0</v>
      </c>
    </row>
    <row r="46" spans="1:27" x14ac:dyDescent="0.25">
      <c r="A46" s="6"/>
      <c r="B46" s="6" t="s">
        <v>108</v>
      </c>
      <c r="C46" s="101">
        <v>44256</v>
      </c>
      <c r="D46" s="102"/>
      <c r="E46" s="102"/>
      <c r="F46" s="103">
        <f t="shared" ca="1" si="49"/>
        <v>6050</v>
      </c>
      <c r="G46" s="6" t="s">
        <v>166</v>
      </c>
      <c r="H46" s="103">
        <v>-2000</v>
      </c>
      <c r="I46" s="6" t="s">
        <v>21</v>
      </c>
      <c r="J46" s="141" t="str">
        <f t="shared" ca="1" si="57"/>
        <v>USD.LIBOR.3M</v>
      </c>
      <c r="K46" s="141" t="str">
        <f t="shared" ca="1" si="58"/>
        <v>LON</v>
      </c>
      <c r="L46" s="142" t="s">
        <v>171</v>
      </c>
      <c r="M46" s="142" t="str">
        <f t="shared" ca="1" si="59"/>
        <v>2b</v>
      </c>
      <c r="N46" t="str" cm="1">
        <f t="array" aca="1" ref="N46" ca="1">_xll.QIns_CreateAsianSwap("AsiOpt_Fwd_"&amp;ROW(),IF(C46="",D46:E46,C46),B46,I46,0,H46,K46,I46,L46,M46,,J46,IF(I46="USD","None","ATC"))</f>
        <v>AsiOpt_Fwd_46¬3</v>
      </c>
      <c r="O46" s="14" cm="1">
        <f t="array" aca="1" ref="O46" ca="1">_xll.QIns_ProductParRate(N46,AModel)</f>
        <v>8274.8228260869564</v>
      </c>
      <c r="P46" s="11" cm="1">
        <f t="array" aca="1" ref="P46" ca="1">_xll.QModels_GetCompoVol(AModel,B46,I46,F46,E46)</f>
        <v>0.24940004348754882</v>
      </c>
      <c r="Q46" t="str" cm="1">
        <f t="array" aca="1" ref="Q46" ca="1">_xll.QIns_CreateAsianOption("asiOpt_"&amp;ROW(),IF(C46="",D46:E46,C46),B46,I46,F46,G46,H46,K46,I46,L46,M46,,J46)</f>
        <v>asiOpt_46¬3</v>
      </c>
      <c r="R46" s="21" cm="1">
        <f t="array" aca="1" ref="R46" ca="1">_xll.QIns_ProductPV(Q46,AModel,I46)</f>
        <v>-0.40003707022377266</v>
      </c>
      <c r="S46" t="str" cm="1">
        <f t="array" aca="1" ref="S46" ca="1">IF(VLOOKUP(B46,AssetStatic,4,FALSE),_xll.QRisk_PortfolioFxDeltaSpecific("asiOpt_DeltaA"&amp;ROW(),Q46,AModel,B46,"ZAR",FALSE),_xll.QRisk_PortfolioDelta("asiOpt_DeltaA"&amp;ROW(),Q46,AModel,FALSE))</f>
        <v>asiOpt_DeltaA46¬8</v>
      </c>
      <c r="T46" s="21" cm="1">
        <f t="array" aca="1" ref="T46" ca="1">_xll.QCube_SumAllRows(S46)</f>
        <v>3.5230866862319167E-3</v>
      </c>
      <c r="U46" s="11">
        <f t="shared" ca="1" si="60"/>
        <v>-1.7615433431159584E-6</v>
      </c>
      <c r="V46" t="str" cm="1">
        <f t="array" aca="1" ref="V46" ca="1">_xll.QRisk_PortfolioVega("euopt_commVegaA"&amp;ROW(),Q46,AModel,I46)</f>
        <v>euopt_commVegaA46¬2</v>
      </c>
      <c r="W46" s="21" cm="1">
        <f t="array" aca="1" ref="W46" ca="1">_xll.QCube_SumAllRows(V46)</f>
        <v>-0.39462373710132281</v>
      </c>
      <c r="X46" s="100">
        <f t="shared" ca="1" si="61"/>
        <v>1.9731186855066141E-4</v>
      </c>
      <c r="Y46" t="str" cm="1">
        <f t="array" aca="1" ref="Y46" ca="1">_xll.QRisk_PortfolioFxVega("euOpt_fxVegaA"&amp;ROW(),Q46,AModel,I46)</f>
        <v>euOpt_fxVegaA46¬1</v>
      </c>
      <c r="Z46" s="21" cm="1">
        <f t="array" aca="1" ref="Z46" ca="1">_xll.QCube_SumAllRows(Y46)</f>
        <v>0</v>
      </c>
      <c r="AA46" s="100">
        <f t="shared" ca="1" si="62"/>
        <v>0</v>
      </c>
    </row>
    <row r="47" spans="1:27" x14ac:dyDescent="0.25">
      <c r="A47" s="6"/>
      <c r="B47" s="6" t="s">
        <v>108</v>
      </c>
      <c r="C47" s="101">
        <v>44287</v>
      </c>
      <c r="D47" s="102"/>
      <c r="E47" s="102"/>
      <c r="F47" s="103">
        <f t="shared" ca="1" si="49"/>
        <v>6050</v>
      </c>
      <c r="G47" s="6" t="s">
        <v>166</v>
      </c>
      <c r="H47" s="103">
        <v>-2000</v>
      </c>
      <c r="I47" s="6" t="s">
        <v>21</v>
      </c>
      <c r="J47" s="141" t="str">
        <f t="shared" ca="1" si="57"/>
        <v>USD.LIBOR.3M</v>
      </c>
      <c r="K47" s="141" t="str">
        <f t="shared" ca="1" si="58"/>
        <v>LON</v>
      </c>
      <c r="L47" s="142" t="s">
        <v>171</v>
      </c>
      <c r="M47" s="142" t="str">
        <f t="shared" ca="1" si="59"/>
        <v>2b</v>
      </c>
      <c r="N47" t="str" cm="1">
        <f t="array" aca="1" ref="N47" ca="1">_xll.QIns_CreateAsianSwap("AsiOpt_Fwd_"&amp;ROW(),IF(C47="",D47:E47,C47),B47,I47,0,H47,K47,I47,L47,M47,,J47,IF(I47="USD","None","ATC"))</f>
        <v>AsiOpt_Fwd_47¬3</v>
      </c>
      <c r="O47" s="14" cm="1">
        <f t="array" aca="1" ref="O47" ca="1">_xll.QIns_ProductParRate(N47,AModel)</f>
        <v>8277.1506250000002</v>
      </c>
      <c r="P47" s="11" cm="1">
        <f t="array" aca="1" ref="P47" ca="1">_xll.QModels_GetCompoVol(AModel,B47,I47,F47,E47)</f>
        <v>0.24940004348754882</v>
      </c>
      <c r="Q47" t="str" cm="1">
        <f t="array" aca="1" ref="Q47" ca="1">_xll.QIns_CreateAsianOption("asiOpt_"&amp;ROW(),IF(C47="",D47:E47,C47),B47,I47,F47,G47,H47,K47,I47,L47,M47,,J47)</f>
        <v>asiOpt_47¬3</v>
      </c>
      <c r="R47" s="21" cm="1">
        <f t="array" aca="1" ref="R47" ca="1">_xll.QIns_ProductPV(Q47,AModel,I47)</f>
        <v>-370.15289166147659</v>
      </c>
      <c r="S47" t="str" cm="1">
        <f t="array" aca="1" ref="S47" ca="1">IF(VLOOKUP(B47,AssetStatic,4,FALSE),_xll.QRisk_PortfolioFxDeltaSpecific("asiOpt_DeltaA"&amp;ROW(),Q47,AModel,B47,"ZAR",FALSE),_xll.QRisk_PortfolioDelta("asiOpt_DeltaA"&amp;ROW(),Q47,AModel,FALSE))</f>
        <v>asiOpt_DeltaA47¬2</v>
      </c>
      <c r="T47" s="21" cm="1">
        <f t="array" aca="1" ref="T47" ca="1">_xll.QCube_SumAllRows(S47)</f>
        <v>1.5866730537591105</v>
      </c>
      <c r="U47" s="11">
        <f t="shared" ca="1" si="60"/>
        <v>-7.9333652687955524E-4</v>
      </c>
      <c r="V47" t="str" cm="1">
        <f t="array" aca="1" ref="V47" ca="1">_xll.QRisk_PortfolioVega("euopt_commVegaA"&amp;ROW(),Q47,AModel,I47)</f>
        <v>euopt_commVegaA47¬2</v>
      </c>
      <c r="W47" s="21" cm="1">
        <f t="array" aca="1" ref="W47" ca="1">_xll.QCube_SumAllRows(V47)</f>
        <v>-185.36812630484178</v>
      </c>
      <c r="X47" s="100">
        <f t="shared" ca="1" si="61"/>
        <v>9.2684063152420892E-2</v>
      </c>
      <c r="Y47" t="str" cm="1">
        <f t="array" aca="1" ref="Y47" ca="1">_xll.QRisk_PortfolioFxVega("euOpt_fxVegaA"&amp;ROW(),Q47,AModel,I47)</f>
        <v>euOpt_fxVegaA47¬1</v>
      </c>
      <c r="Z47" s="21" cm="1">
        <f t="array" aca="1" ref="Z47" ca="1">_xll.QCube_SumAllRows(Y47)</f>
        <v>0</v>
      </c>
      <c r="AA47" s="100">
        <f t="shared" ca="1" si="62"/>
        <v>0</v>
      </c>
    </row>
    <row r="48" spans="1:27" x14ac:dyDescent="0.25">
      <c r="A48" s="6"/>
      <c r="B48" s="6"/>
      <c r="C48" s="102"/>
      <c r="D48" s="102"/>
      <c r="E48" s="102"/>
      <c r="F48" s="103"/>
      <c r="G48" s="6"/>
      <c r="H48" s="103"/>
      <c r="I48" s="6"/>
      <c r="J48" s="141"/>
      <c r="K48" s="141"/>
      <c r="L48" s="141"/>
      <c r="M48" s="141"/>
    </row>
    <row r="49" spans="1:27" x14ac:dyDescent="0.25">
      <c r="A49" s="6"/>
      <c r="B49" s="6"/>
      <c r="C49" s="102"/>
      <c r="D49" s="102"/>
      <c r="E49" s="102"/>
      <c r="F49" s="103"/>
      <c r="G49" s="6"/>
      <c r="H49" s="103"/>
      <c r="I49" s="6"/>
      <c r="J49" s="141"/>
      <c r="K49" s="141"/>
      <c r="L49" s="141"/>
      <c r="M49" s="141"/>
    </row>
    <row r="50" spans="1:27" x14ac:dyDescent="0.25">
      <c r="A50" s="6"/>
      <c r="B50" s="6"/>
      <c r="C50" s="102"/>
      <c r="D50" s="102"/>
      <c r="E50" s="102"/>
      <c r="F50" s="103"/>
      <c r="G50" s="6"/>
      <c r="H50" s="103"/>
      <c r="I50" s="6"/>
      <c r="J50" s="141"/>
      <c r="K50" s="141"/>
      <c r="L50" s="141"/>
      <c r="M50" s="141"/>
    </row>
    <row r="51" spans="1:27" x14ac:dyDescent="0.25">
      <c r="A51" s="6"/>
      <c r="B51" s="6" t="s">
        <v>129</v>
      </c>
      <c r="C51" s="101" t="s">
        <v>308</v>
      </c>
      <c r="D51" s="102"/>
      <c r="E51" s="102"/>
      <c r="F51" s="103">
        <v>40</v>
      </c>
      <c r="G51" s="6" t="s">
        <v>166</v>
      </c>
      <c r="H51" s="103">
        <v>1</v>
      </c>
      <c r="I51" s="6" t="s">
        <v>21</v>
      </c>
      <c r="J51" s="141" t="str">
        <f t="shared" ref="J51" ca="1" si="63">IF(I51="USD","USD.LIBOR.3M",I51&amp;".DISC.[USD.LIBOR.3M]")</f>
        <v>USD.LIBOR.3M</v>
      </c>
      <c r="K51" s="141" t="str">
        <f t="shared" ref="K51" ca="1" si="64">VLOOKUP(B51,AssetStatic,3,FALSE)</f>
        <v>ICE</v>
      </c>
      <c r="L51" s="142" t="s">
        <v>171</v>
      </c>
      <c r="M51" s="142" t="str">
        <f t="shared" ref="M51" ca="1" si="65">VLOOKUP(B51,AssetStatic,2,FALSE)</f>
        <v>0b</v>
      </c>
      <c r="N51" t="str" cm="1">
        <f t="array" aca="1" ref="N51" ca="1">_xll.QIns_CreateAsianSwap("AsiOpt_Fwd_"&amp;ROW(),IF(C51="",D51:E51,C51),B51,I51,0,H51,K51,I51,L51,M51,,J51,IF(I51="USD","None","ATC"))</f>
        <v>AsiOpt_Fwd_51¬3</v>
      </c>
      <c r="O51" s="14" cm="1">
        <f t="array" aca="1" ref="O51" ca="1">_xll.QIns_ProductParRate(N51,AModel)</f>
        <v>58.971746031746036</v>
      </c>
      <c r="P51" s="11" cm="1">
        <f t="array" aca="1" ref="P51" ca="1">_xll.QModels_GetCompoVol(AModel,B51,I51,F51,E51)</f>
        <v>0.34640696729203457</v>
      </c>
      <c r="Q51" t="str" cm="1">
        <f t="array" aca="1" ref="Q51" ca="1">_xll.QIns_CreateAsianOption("asiOpt_"&amp;ROW(),IF(C51="",D51:E51,C51),B51,I51,F51,G51,H51,K51,I51,L51,M51,,J51)</f>
        <v>asiOpt_51¬3</v>
      </c>
      <c r="R51" s="21" cm="1">
        <f t="array" aca="1" ref="R51" ca="1">_xll.QIns_ProductPV(Q51,AModel,I51)</f>
        <v>5.1920836488134781E-15</v>
      </c>
      <c r="S51" t="str" cm="1">
        <f t="array" aca="1" ref="S51" ca="1">IF(VLOOKUP(B51,AssetStatic,4,FALSE),_xll.QRisk_PortfolioFxDeltaSpecific("asiOpt_DeltaA"&amp;ROW(),Q51,AModel,B51,"ZAR",FALSE),_xll.QRisk_PortfolioDelta("asiOpt_DeltaA"&amp;ROW(),Q51,AModel,FALSE))</f>
        <v>asiOpt_DeltaA51¬8</v>
      </c>
      <c r="T51" s="21" cm="1">
        <f t="array" aca="1" ref="T51" ca="1">_xll.QCube_SumAllRows(S51)</f>
        <v>-6.1008091917646834E-15</v>
      </c>
      <c r="U51" s="11">
        <f t="shared" ref="U51" ca="1" si="66">T51/H51</f>
        <v>-6.1008091917646834E-15</v>
      </c>
      <c r="V51" t="str" cm="1">
        <f t="array" aca="1" ref="V51" ca="1">_xll.QRisk_PortfolioVega("euopt_commVegaA"&amp;ROW(),Q51,AModel,I51)</f>
        <v>euopt_commVegaA51¬2</v>
      </c>
      <c r="W51" s="21" cm="1">
        <f t="array" aca="1" ref="W51" ca="1">_xll.QCube_SumAllRows(V51)</f>
        <v>6.5558504864498642E-15</v>
      </c>
      <c r="X51" s="100">
        <f t="shared" ref="X51" ca="1" si="67">W51/H51</f>
        <v>6.5558504864498642E-15</v>
      </c>
      <c r="Y51" t="str" cm="1">
        <f t="array" aca="1" ref="Y51" ca="1">_xll.QRisk_PortfolioFxVega("euOpt_fxVegaA"&amp;ROW(),Q51,AModel,I51)</f>
        <v>euOpt_fxVegaA51¬1</v>
      </c>
      <c r="Z51" s="21" cm="1">
        <f t="array" aca="1" ref="Z51" ca="1">_xll.QCube_SumAllRows(Y51)</f>
        <v>0</v>
      </c>
      <c r="AA51" s="100">
        <f t="shared" ref="AA51" ca="1" si="68">Z51/H51</f>
        <v>0</v>
      </c>
    </row>
    <row r="52" spans="1:27" x14ac:dyDescent="0.25">
      <c r="A52" s="6"/>
      <c r="B52" s="6"/>
      <c r="C52" s="102"/>
      <c r="D52" s="102"/>
      <c r="E52" s="102"/>
      <c r="F52" s="103"/>
      <c r="G52" s="6"/>
      <c r="H52" s="103"/>
      <c r="I52" s="6"/>
      <c r="J52" s="141"/>
      <c r="K52" s="141"/>
      <c r="L52" s="141"/>
      <c r="M52" s="141"/>
    </row>
    <row r="53" spans="1:27" x14ac:dyDescent="0.25">
      <c r="A53" s="6"/>
      <c r="B53" s="6"/>
      <c r="C53" s="102"/>
      <c r="D53" s="102"/>
      <c r="E53" s="102"/>
      <c r="F53" s="103"/>
      <c r="G53" s="6"/>
      <c r="H53" s="103"/>
      <c r="I53" s="6"/>
      <c r="J53" s="141"/>
      <c r="K53" s="141"/>
      <c r="L53" s="141"/>
      <c r="M53" s="141"/>
      <c r="R53" s="21">
        <f ca="1">SUM(R54:R73)</f>
        <v>-71794878.854834408</v>
      </c>
    </row>
    <row r="54" spans="1:27" x14ac:dyDescent="0.25">
      <c r="A54" s="6"/>
      <c r="B54" s="6" t="s">
        <v>129</v>
      </c>
      <c r="C54" s="101" t="s">
        <v>330</v>
      </c>
      <c r="D54" s="102"/>
      <c r="E54" s="102"/>
      <c r="F54" s="103">
        <v>70</v>
      </c>
      <c r="G54" s="6" t="s">
        <v>287</v>
      </c>
      <c r="H54" s="103">
        <f ca="1">-30000*252/4</f>
        <v>-1890000</v>
      </c>
      <c r="I54" s="6" t="s">
        <v>21</v>
      </c>
      <c r="J54" s="141" t="str">
        <f t="shared" ref="J54" ca="1" si="69">IF(I54="USD","USD.LIBOR.3M",I54&amp;".DISC.[USD.LIBOR.3M]")</f>
        <v>USD.LIBOR.3M</v>
      </c>
      <c r="K54" s="141" t="str">
        <f t="shared" ref="K54" ca="1" si="70">VLOOKUP(B54,AssetStatic,3,FALSE)</f>
        <v>ICE</v>
      </c>
      <c r="L54" s="142" t="s">
        <v>171</v>
      </c>
      <c r="M54" s="142" t="str">
        <f t="shared" ref="M54" ca="1" si="71">VLOOKUP(B54,AssetStatic,2,FALSE)</f>
        <v>0b</v>
      </c>
      <c r="N54" t="str" cm="1">
        <f t="array" aca="1" ref="N54" ca="1">_xll.QIns_CreateAsianSwap("AsiOpt_Fwd_"&amp;ROW(),IF(C54="",D54:E54,C54),B54,I54,0,H54,K54,I54,L54,M54,,J54,IF(I54="USD","None","ATC"))</f>
        <v>AsiOpt_Fwd_54¬0</v>
      </c>
      <c r="O54" s="14" cm="1">
        <f t="array" aca="1" ref="O54" ca="1">_xll.QIns_ProductParRate(N54,AModel)</f>
        <v>1000000</v>
      </c>
      <c r="P54" s="11" cm="1">
        <f t="array" aca="1" ref="P54" ca="1">_xll.QModels_GetCompoVol(AModel,B54,I54,F54,E54)</f>
        <v>0.34640696729203457</v>
      </c>
      <c r="Q54" t="str" cm="1">
        <f t="array" aca="1" ref="Q54" ca="1">_xll.QIns_CreateAsianOption("asiOpt_"&amp;ROW(),IF(C54="",D54:E54,C54),B54,I54,F54,G54,H54,K54,I54,L54,M54,,J54)</f>
        <v>asiOpt_54¬0</v>
      </c>
      <c r="R54" s="21" cm="1">
        <f t="array" aca="1" ref="R54" ca="1">_xll.QIns_ProductPV(Q54,AModel,I54)</f>
        <v>0</v>
      </c>
      <c r="S54" t="str" cm="1">
        <f t="array" aca="1" ref="S54" ca="1">IF(VLOOKUP(B54,AssetStatic,4,FALSE),_xll.QRisk_PortfolioFxDeltaSpecific("asiOpt_DeltaA"&amp;ROW(),Q54,AModel,B54,"ZAR",FALSE),_xll.QRisk_PortfolioDelta("asiOpt_DeltaA"&amp;ROW(),Q54,AModel,FALSE))</f>
        <v>asiOpt_DeltaA54¬0</v>
      </c>
      <c r="T54" s="21" cm="1">
        <f t="array" aca="1" ref="T54" ca="1">_xll.QCube_SumAllRows(S54)</f>
        <v>0</v>
      </c>
      <c r="U54" s="11">
        <f t="shared" ref="U54" ca="1" si="72">T54/H54</f>
        <v>0</v>
      </c>
      <c r="V54" t="str" cm="1">
        <f t="array" aca="1" ref="V54" ca="1">_xll.QRisk_PortfolioVega("euopt_commVegaA"&amp;ROW(),Q54,AModel,I54)</f>
        <v>euopt_commVegaA54¬0</v>
      </c>
      <c r="W54" s="21" cm="1">
        <f t="array" aca="1" ref="W54" ca="1">_xll.QCube_SumAllRows(V54)</f>
        <v>0</v>
      </c>
      <c r="X54" s="100">
        <f t="shared" ref="X54" ca="1" si="73">W54/H54</f>
        <v>0</v>
      </c>
      <c r="Y54" t="str" cm="1">
        <f t="array" aca="1" ref="Y54" ca="1">_xll.QRisk_PortfolioFxVega("euOpt_fxVegaA"&amp;ROW(),Q54,AModel,I54)</f>
        <v>euOpt_fxVegaA54¬0</v>
      </c>
      <c r="Z54" s="21" cm="1">
        <f t="array" aca="1" ref="Z54" ca="1">_xll.QCube_SumAllRows(Y54)</f>
        <v>0</v>
      </c>
      <c r="AA54" s="100">
        <f t="shared" ref="AA54" ca="1" si="74">Z54/H54</f>
        <v>0</v>
      </c>
    </row>
    <row r="55" spans="1:27" x14ac:dyDescent="0.25">
      <c r="A55" s="6"/>
      <c r="B55" s="6" t="s">
        <v>129</v>
      </c>
      <c r="C55" s="101" t="s">
        <v>303</v>
      </c>
      <c r="D55" s="102"/>
      <c r="E55" s="102"/>
      <c r="F55" s="103">
        <f ca="1">F54</f>
        <v>70</v>
      </c>
      <c r="G55" s="6" t="s">
        <v>287</v>
      </c>
      <c r="H55" s="103">
        <f t="shared" ref="H55:H73" ca="1" si="75">-30000*252/4</f>
        <v>-1890000</v>
      </c>
      <c r="I55" s="6" t="s">
        <v>21</v>
      </c>
      <c r="J55" s="141" t="str">
        <f t="shared" ref="J55:J73" ca="1" si="76">IF(I55="USD","USD.LIBOR.3M",I55&amp;".DISC.[USD.LIBOR.3M]")</f>
        <v>USD.LIBOR.3M</v>
      </c>
      <c r="K55" s="141" t="str">
        <f t="shared" ref="K55:K73" ca="1" si="77">VLOOKUP(B55,AssetStatic,3,FALSE)</f>
        <v>ICE</v>
      </c>
      <c r="L55" s="142" t="s">
        <v>171</v>
      </c>
      <c r="M55" s="142" t="str">
        <f t="shared" ref="M55:M73" ca="1" si="78">VLOOKUP(B55,AssetStatic,2,FALSE)</f>
        <v>0b</v>
      </c>
      <c r="N55" t="str" cm="1">
        <f t="array" aca="1" ref="N55" ca="1">_xll.QIns_CreateAsianSwap("AsiOpt_Fwd_"&amp;ROW(),IF(C55="",D55:E55,C55),B55,I55,0,H55,K55,I55,L55,M55,,J55,IF(I55="USD","None","ATC"))</f>
        <v>AsiOpt_Fwd_55¬0</v>
      </c>
      <c r="O55" s="14" cm="1">
        <f t="array" aca="1" ref="O55" ca="1">_xll.QIns_ProductParRate(N55,AModel)</f>
        <v>1000000</v>
      </c>
      <c r="P55" s="11" cm="1">
        <f t="array" aca="1" ref="P55" ca="1">_xll.QModels_GetCompoVol(AModel,B55,I55,F55,E55)</f>
        <v>0.34640696729203457</v>
      </c>
      <c r="Q55" t="str" cm="1">
        <f t="array" aca="1" ref="Q55" ca="1">_xll.QIns_CreateAsianOption("asiOpt_"&amp;ROW(),IF(C55="",D55:E55,C55),B55,I55,F55,G55,H55,K55,I55,L55,M55,,J55)</f>
        <v>asiOpt_55¬0</v>
      </c>
      <c r="R55" s="21" cm="1">
        <f t="array" aca="1" ref="R55" ca="1">_xll.QIns_ProductPV(Q55,AModel,I55)</f>
        <v>0</v>
      </c>
      <c r="S55" t="str" cm="1">
        <f t="array" aca="1" ref="S55" ca="1">IF(VLOOKUP(B55,AssetStatic,4,FALSE),_xll.QRisk_PortfolioFxDeltaSpecific("asiOpt_DeltaA"&amp;ROW(),Q55,AModel,B55,"ZAR",FALSE),_xll.QRisk_PortfolioDelta("asiOpt_DeltaA"&amp;ROW(),Q55,AModel,FALSE))</f>
        <v>asiOpt_DeltaA55¬0</v>
      </c>
      <c r="T55" s="21" cm="1">
        <f t="array" aca="1" ref="T55" ca="1">_xll.QCube_SumAllRows(S55)</f>
        <v>0</v>
      </c>
      <c r="U55" s="11">
        <f t="shared" ref="U55:U73" ca="1" si="79">T55/H55</f>
        <v>0</v>
      </c>
      <c r="V55" t="str" cm="1">
        <f t="array" aca="1" ref="V55" ca="1">_xll.QRisk_PortfolioVega("euopt_commVegaA"&amp;ROW(),Q55,AModel,I55)</f>
        <v>euopt_commVegaA55¬0</v>
      </c>
      <c r="W55" s="21" cm="1">
        <f t="array" aca="1" ref="W55" ca="1">_xll.QCube_SumAllRows(V55)</f>
        <v>0</v>
      </c>
      <c r="X55" s="100">
        <f t="shared" ref="X55:X73" ca="1" si="80">W55/H55</f>
        <v>0</v>
      </c>
    </row>
    <row r="56" spans="1:27" x14ac:dyDescent="0.25">
      <c r="A56" s="6"/>
      <c r="B56" s="6" t="s">
        <v>129</v>
      </c>
      <c r="C56" s="101" t="s">
        <v>308</v>
      </c>
      <c r="D56" s="102"/>
      <c r="E56" s="102"/>
      <c r="F56" s="103">
        <f t="shared" ref="F56:F73" ca="1" si="81">F55</f>
        <v>70</v>
      </c>
      <c r="G56" s="6" t="s">
        <v>287</v>
      </c>
      <c r="H56" s="103">
        <f t="shared" ca="1" si="75"/>
        <v>-1890000</v>
      </c>
      <c r="I56" s="6" t="s">
        <v>21</v>
      </c>
      <c r="J56" s="141" t="str">
        <f t="shared" ca="1" si="76"/>
        <v>USD.LIBOR.3M</v>
      </c>
      <c r="K56" s="141" t="str">
        <f t="shared" ca="1" si="77"/>
        <v>ICE</v>
      </c>
      <c r="L56" s="142" t="s">
        <v>171</v>
      </c>
      <c r="M56" s="142" t="str">
        <f t="shared" ca="1" si="78"/>
        <v>0b</v>
      </c>
      <c r="N56" t="str" cm="1">
        <f t="array" aca="1" ref="N56" ca="1">_xll.QIns_CreateAsianSwap("AsiOpt_Fwd_"&amp;ROW(),IF(C56="",D56:E56,C56),B56,I56,0,H56,K56,I56,L56,M56,,J56,IF(I56="USD","None","ATC"))</f>
        <v>AsiOpt_Fwd_56¬0</v>
      </c>
      <c r="O56" s="14" cm="1">
        <f t="array" aca="1" ref="O56" ca="1">_xll.QIns_ProductParRate(N56,AModel)</f>
        <v>58.971746031746036</v>
      </c>
      <c r="P56" s="11" cm="1">
        <f t="array" aca="1" ref="P56" ca="1">_xll.QModels_GetCompoVol(AModel,B56,I56,F56,E56)</f>
        <v>0.34640696729203457</v>
      </c>
      <c r="Q56" t="str" cm="1">
        <f t="array" aca="1" ref="Q56" ca="1">_xll.QIns_CreateAsianOption("asiOpt_"&amp;ROW(),IF(C56="",D56:E56,C56),B56,I56,F56,G56,H56,K56,I56,L56,M56,,J56)</f>
        <v>asiOpt_56¬0</v>
      </c>
      <c r="R56" s="21" cm="1">
        <f t="array" aca="1" ref="R56" ca="1">_xll.QIns_ProductPV(Q56,AModel,I56)</f>
        <v>-94.657805207505263</v>
      </c>
      <c r="S56" t="str" cm="1">
        <f t="array" aca="1" ref="S56" ca="1">IF(VLOOKUP(B56,AssetStatic,4,FALSE),_xll.QRisk_PortfolioFxDeltaSpecific("asiOpt_DeltaA"&amp;ROW(),Q56,AModel,B56,"ZAR",FALSE),_xll.QRisk_PortfolioDelta("asiOpt_DeltaA"&amp;ROW(),Q56,AModel,FALSE))</f>
        <v>asiOpt_DeltaA56¬0</v>
      </c>
      <c r="T56" s="21" cm="1">
        <f t="array" aca="1" ref="T56" ca="1">_xll.QCube_SumAllRows(S56)</f>
        <v>-88.094039212990083</v>
      </c>
      <c r="U56" s="11">
        <f t="shared" ca="1" si="79"/>
        <v>4.6610602758195809E-5</v>
      </c>
      <c r="V56" t="str" cm="1">
        <f t="array" aca="1" ref="V56" ca="1">_xll.QRisk_PortfolioVega("euopt_commVegaA"&amp;ROW(),Q56,AModel,I56)</f>
        <v>euopt_commVegaA56¬0</v>
      </c>
      <c r="W56" s="21" cm="1">
        <f t="array" aca="1" ref="W56" ca="1">_xll.QCube_SumAllRows(V56)</f>
        <v>-46.891795176537556</v>
      </c>
      <c r="X56" s="100">
        <f t="shared" ca="1" si="80"/>
        <v>2.4810473638379661E-5</v>
      </c>
    </row>
    <row r="57" spans="1:27" x14ac:dyDescent="0.25">
      <c r="A57" s="6"/>
      <c r="B57" s="6" t="s">
        <v>129</v>
      </c>
      <c r="C57" s="101" t="s">
        <v>331</v>
      </c>
      <c r="D57" s="102"/>
      <c r="E57" s="102"/>
      <c r="F57" s="103">
        <f t="shared" ca="1" si="81"/>
        <v>70</v>
      </c>
      <c r="G57" s="6" t="s">
        <v>287</v>
      </c>
      <c r="H57" s="103">
        <f t="shared" ca="1" si="75"/>
        <v>-1890000</v>
      </c>
      <c r="I57" s="6" t="s">
        <v>21</v>
      </c>
      <c r="J57" s="141" t="str">
        <f t="shared" ca="1" si="76"/>
        <v>USD.LIBOR.3M</v>
      </c>
      <c r="K57" s="141" t="str">
        <f t="shared" ca="1" si="77"/>
        <v>ICE</v>
      </c>
      <c r="L57" s="142" t="s">
        <v>171</v>
      </c>
      <c r="M57" s="142" t="str">
        <f t="shared" ca="1" si="78"/>
        <v>0b</v>
      </c>
      <c r="N57" t="str" cm="1">
        <f t="array" aca="1" ref="N57" ca="1">_xll.QIns_CreateAsianSwap("AsiOpt_Fwd_"&amp;ROW(),IF(C57="",D57:E57,C57),B57,I57,0,H57,K57,I57,L57,M57,,J57,IF(I57="USD","None","ATC"))</f>
        <v>AsiOpt_Fwd_57¬3</v>
      </c>
      <c r="O57" s="14" cm="1">
        <f t="array" aca="1" ref="O57" ca="1">_xll.QIns_ProductParRate(N57,AModel)</f>
        <v>59.971250000000047</v>
      </c>
      <c r="P57" s="11" cm="1">
        <f t="array" aca="1" ref="P57" ca="1">_xll.QModels_GetCompoVol(AModel,B57,I57,F57,E57)</f>
        <v>0.34640696729203457</v>
      </c>
      <c r="Q57" t="str" cm="1">
        <f t="array" aca="1" ref="Q57" ca="1">_xll.QIns_CreateAsianOption("asiOpt_"&amp;ROW(),IF(C57="",D57:E57,C57),B57,I57,F57,G57,H57,K57,I57,L57,M57,,J57)</f>
        <v>asiOpt_57¬3</v>
      </c>
      <c r="R57" s="21" cm="1">
        <f t="array" aca="1" ref="R57" ca="1">_xll.QIns_ProductPV(Q57,AModel,I57)</f>
        <v>-969148.82987734349</v>
      </c>
      <c r="S57" t="str" cm="1">
        <f t="array" aca="1" ref="S57" ca="1">IF(VLOOKUP(B57,AssetStatic,4,FALSE),_xll.QRisk_PortfolioFxDeltaSpecific("asiOpt_DeltaA"&amp;ROW(),Q57,AModel,B57,"ZAR",FALSE),_xll.QRisk_PortfolioDelta("asiOpt_DeltaA"&amp;ROW(),Q57,AModel,FALSE))</f>
        <v>asiOpt_DeltaA57¬2</v>
      </c>
      <c r="T57" s="21" cm="1">
        <f t="array" aca="1" ref="T57" ca="1">_xll.QCube_SumAllRows(S57)</f>
        <v>-248201.02770917583</v>
      </c>
      <c r="U57" s="11">
        <f t="shared" ca="1" si="79"/>
        <v>0.13132329508422003</v>
      </c>
      <c r="V57" t="str" cm="1">
        <f t="array" aca="1" ref="V57" ca="1">_xll.QRisk_PortfolioVega("euopt_commVegaA"&amp;ROW(),Q57,AModel,I57)</f>
        <v>euopt_commVegaA57¬2</v>
      </c>
      <c r="W57" s="21" cm="1">
        <f t="array" aca="1" ref="W57" ca="1">_xll.QCube_SumAllRows(V57)</f>
        <v>-112983.42864511767</v>
      </c>
      <c r="X57" s="100">
        <f t="shared" ca="1" si="80"/>
        <v>5.9779591875723639E-2</v>
      </c>
    </row>
    <row r="58" spans="1:27" x14ac:dyDescent="0.25">
      <c r="A58" s="6"/>
      <c r="B58" s="6" t="s">
        <v>129</v>
      </c>
      <c r="C58" s="101" t="s">
        <v>332</v>
      </c>
      <c r="D58" s="102"/>
      <c r="E58" s="102"/>
      <c r="F58" s="103">
        <f t="shared" ca="1" si="81"/>
        <v>70</v>
      </c>
      <c r="G58" s="6" t="s">
        <v>287</v>
      </c>
      <c r="H58" s="103">
        <f t="shared" ca="1" si="75"/>
        <v>-1890000</v>
      </c>
      <c r="I58" s="6" t="s">
        <v>21</v>
      </c>
      <c r="J58" s="141" t="str">
        <f t="shared" ca="1" si="76"/>
        <v>USD.LIBOR.3M</v>
      </c>
      <c r="K58" s="141" t="str">
        <f t="shared" ca="1" si="77"/>
        <v>ICE</v>
      </c>
      <c r="L58" s="142" t="s">
        <v>171</v>
      </c>
      <c r="M58" s="142" t="str">
        <f t="shared" ca="1" si="78"/>
        <v>0b</v>
      </c>
      <c r="N58" t="str" cm="1">
        <f t="array" aca="1" ref="N58" ca="1">_xll.QIns_CreateAsianSwap("AsiOpt_Fwd_"&amp;ROW(),IF(C58="",D58:E58,C58),B58,I58,0,H58,K58,I58,L58,M58,,J58,IF(I58="USD","None","ATC"))</f>
        <v>AsiOpt_Fwd_58¬0</v>
      </c>
      <c r="O58" s="14" cm="1">
        <f t="array" aca="1" ref="O58" ca="1">_xll.QIns_ProductParRate(N58,AModel)</f>
        <v>58.671666666666724</v>
      </c>
      <c r="P58" s="11" cm="1">
        <f t="array" aca="1" ref="P58" ca="1">_xll.QModels_GetCompoVol(AModel,B58,I58,F58,E58)</f>
        <v>0.34640696729203457</v>
      </c>
      <c r="Q58" t="str" cm="1">
        <f t="array" aca="1" ref="Q58" ca="1">_xll.QIns_CreateAsianOption("asiOpt_"&amp;ROW(),IF(C58="",D58:E58,C58),B58,I58,F58,G58,H58,K58,I58,L58,M58,,J58)</f>
        <v>asiOpt_58¬0</v>
      </c>
      <c r="R58" s="21" cm="1">
        <f t="array" aca="1" ref="R58" ca="1">_xll.QIns_ProductPV(Q58,AModel,I58)</f>
        <v>-2108518.011948504</v>
      </c>
      <c r="S58" t="str" cm="1">
        <f t="array" aca="1" ref="S58" ca="1">IF(VLOOKUP(B58,AssetStatic,4,FALSE),_xll.QRisk_PortfolioFxDeltaSpecific("asiOpt_DeltaA"&amp;ROW(),Q58,AModel,B58,"ZAR",FALSE),_xll.QRisk_PortfolioDelta("asiOpt_DeltaA"&amp;ROW(),Q58,AModel,FALSE))</f>
        <v>asiOpt_DeltaA58¬0</v>
      </c>
      <c r="T58" s="21" cm="1">
        <f t="array" aca="1" ref="T58" ca="1">_xll.QCube_SumAllRows(S58)</f>
        <v>-390171.72741298564</v>
      </c>
      <c r="U58" s="11">
        <f t="shared" ca="1" si="79"/>
        <v>0.20644006741427812</v>
      </c>
      <c r="V58" t="str" cm="1">
        <f t="array" aca="1" ref="V58" ca="1">_xll.QRisk_PortfolioVega("euopt_commVegaA"&amp;ROW(),Q58,AModel,I58)</f>
        <v>euopt_commVegaA58¬0</v>
      </c>
      <c r="W58" s="21" cm="1">
        <f t="array" aca="1" ref="W58" ca="1">_xll.QCube_SumAllRows(V58)</f>
        <v>-217588.01677044481</v>
      </c>
      <c r="X58" s="100">
        <f t="shared" ca="1" si="80"/>
        <v>0.11512593479917715</v>
      </c>
    </row>
    <row r="59" spans="1:27" x14ac:dyDescent="0.25">
      <c r="A59" s="6"/>
      <c r="B59" s="6" t="s">
        <v>129</v>
      </c>
      <c r="C59" s="101" t="s">
        <v>333</v>
      </c>
      <c r="D59" s="102"/>
      <c r="E59" s="102"/>
      <c r="F59" s="103">
        <f t="shared" ca="1" si="81"/>
        <v>70</v>
      </c>
      <c r="G59" s="6" t="s">
        <v>287</v>
      </c>
      <c r="H59" s="103">
        <f t="shared" ca="1" si="75"/>
        <v>-1890000</v>
      </c>
      <c r="I59" s="6" t="s">
        <v>21</v>
      </c>
      <c r="J59" s="141" t="str">
        <f t="shared" ca="1" si="76"/>
        <v>USD.LIBOR.3M</v>
      </c>
      <c r="K59" s="141" t="str">
        <f t="shared" ca="1" si="77"/>
        <v>ICE</v>
      </c>
      <c r="L59" s="142" t="s">
        <v>171</v>
      </c>
      <c r="M59" s="142" t="str">
        <f t="shared" ca="1" si="78"/>
        <v>0b</v>
      </c>
      <c r="N59" t="str" cm="1">
        <f t="array" aca="1" ref="N59" ca="1">_xll.QIns_CreateAsianSwap("AsiOpt_Fwd_"&amp;ROW(),IF(C59="",D59:E59,C59),B59,I59,0,H59,K59,I59,L59,M59,,J59,IF(I59="USD","None","ATC"))</f>
        <v>AsiOpt_Fwd_59¬0</v>
      </c>
      <c r="O59" s="14" cm="1">
        <f t="array" aca="1" ref="O59" ca="1">_xll.QIns_ProductParRate(N59,AModel)</f>
        <v>57.868412698412733</v>
      </c>
      <c r="P59" s="11" cm="1">
        <f t="array" aca="1" ref="P59" ca="1">_xll.QModels_GetCompoVol(AModel,B59,I59,F59,E59)</f>
        <v>0.34640696729203457</v>
      </c>
      <c r="Q59" t="str" cm="1">
        <f t="array" aca="1" ref="Q59" ca="1">_xll.QIns_CreateAsianOption("asiOpt_"&amp;ROW(),IF(C59="",D59:E59,C59),B59,I59,F59,G59,H59,K59,I59,L59,M59,,J59)</f>
        <v>asiOpt_59¬0</v>
      </c>
      <c r="R59" s="21" cm="1">
        <f t="array" aca="1" ref="R59" ca="1">_xll.QIns_ProductPV(Q59,AModel,I59)</f>
        <v>-3025896.8875929522</v>
      </c>
      <c r="S59" t="str" cm="1">
        <f t="array" aca="1" ref="S59" ca="1">IF(VLOOKUP(B59,AssetStatic,4,FALSE),_xll.QRisk_PortfolioFxDeltaSpecific("asiOpt_DeltaA"&amp;ROW(),Q59,AModel,B59,"ZAR",FALSE),_xll.QRisk_PortfolioDelta("asiOpt_DeltaA"&amp;ROW(),Q59,AModel,FALSE))</f>
        <v>asiOpt_DeltaA59¬0</v>
      </c>
      <c r="T59" s="21" cm="1">
        <f t="array" aca="1" ref="T59" ca="1">_xll.QCube_SumAllRows(S59)</f>
        <v>-448579.06623724848</v>
      </c>
      <c r="U59" s="11">
        <f t="shared" ca="1" si="79"/>
        <v>0.23734342128954947</v>
      </c>
      <c r="V59" t="str" cm="1">
        <f t="array" aca="1" ref="V59" ca="1">_xll.QRisk_PortfolioVega("euopt_commVegaA"&amp;ROW(),Q59,AModel,I59)</f>
        <v>euopt_commVegaA59¬0</v>
      </c>
      <c r="W59" s="21" cm="1">
        <f t="array" aca="1" ref="W59" ca="1">_xll.QCube_SumAllRows(V59)</f>
        <v>-287066.78548391443</v>
      </c>
      <c r="X59" s="100">
        <f t="shared" ca="1" si="80"/>
        <v>0.15188718808672722</v>
      </c>
    </row>
    <row r="60" spans="1:27" x14ac:dyDescent="0.25">
      <c r="A60" s="6"/>
      <c r="B60" s="6" t="s">
        <v>129</v>
      </c>
      <c r="C60" s="101" t="s">
        <v>334</v>
      </c>
      <c r="D60" s="102"/>
      <c r="E60" s="102"/>
      <c r="F60" s="103">
        <f t="shared" ca="1" si="81"/>
        <v>70</v>
      </c>
      <c r="G60" s="6" t="s">
        <v>287</v>
      </c>
      <c r="H60" s="103">
        <f t="shared" ca="1" si="75"/>
        <v>-1890000</v>
      </c>
      <c r="I60" s="6" t="s">
        <v>21</v>
      </c>
      <c r="J60" s="141" t="str">
        <f t="shared" ca="1" si="76"/>
        <v>USD.LIBOR.3M</v>
      </c>
      <c r="K60" s="141" t="str">
        <f t="shared" ca="1" si="77"/>
        <v>ICE</v>
      </c>
      <c r="L60" s="142" t="s">
        <v>171</v>
      </c>
      <c r="M60" s="142" t="str">
        <f t="shared" ca="1" si="78"/>
        <v>0b</v>
      </c>
      <c r="N60" t="str" cm="1">
        <f t="array" aca="1" ref="N60" ca="1">_xll.QIns_CreateAsianSwap("AsiOpt_Fwd_"&amp;ROW(),IF(C60="",D60:E60,C60),B60,I60,0,H60,K60,I60,L60,M60,,J60,IF(I60="USD","None","ATC"))</f>
        <v>AsiOpt_Fwd_60¬3</v>
      </c>
      <c r="O60" s="14" cm="1">
        <f t="array" aca="1" ref="O60" ca="1">_xll.QIns_ProductParRate(N60,AModel)</f>
        <v>57.170781249999941</v>
      </c>
      <c r="P60" s="11" cm="1">
        <f t="array" aca="1" ref="P60" ca="1">_xll.QModels_GetCompoVol(AModel,B60,I60,F60,E60)</f>
        <v>0.34640696729203457</v>
      </c>
      <c r="Q60" t="str" cm="1">
        <f t="array" aca="1" ref="Q60" ca="1">_xll.QIns_CreateAsianOption("asiOpt_"&amp;ROW(),IF(C60="",D60:E60,C60),B60,I60,F60,G60,H60,K60,I60,L60,M60,,J60)</f>
        <v>asiOpt_60¬3</v>
      </c>
      <c r="R60" s="21" cm="1">
        <f t="array" aca="1" ref="R60" ca="1">_xll.QIns_ProductPV(Q60,AModel,I60)</f>
        <v>-3714175.0532399528</v>
      </c>
      <c r="S60" t="str" cm="1">
        <f t="array" aca="1" ref="S60" ca="1">IF(VLOOKUP(B60,AssetStatic,4,FALSE),_xll.QRisk_PortfolioFxDeltaSpecific("asiOpt_DeltaA"&amp;ROW(),Q60,AModel,B60,"ZAR",FALSE),_xll.QRisk_PortfolioDelta("asiOpt_DeltaA"&amp;ROW(),Q60,AModel,FALSE))</f>
        <v>asiOpt_DeltaA60¬2</v>
      </c>
      <c r="T60" s="21" cm="1">
        <f t="array" aca="1" ref="T60" ca="1">_xll.QCube_SumAllRows(S60)</f>
        <v>-496046.78619801998</v>
      </c>
      <c r="U60" s="11">
        <f t="shared" ca="1" si="79"/>
        <v>0.26245861703598938</v>
      </c>
      <c r="V60" t="str" cm="1">
        <f t="array" aca="1" ref="V60" ca="1">_xll.QRisk_PortfolioVega("euopt_commVegaA"&amp;ROW(),Q60,AModel,I60)</f>
        <v>euopt_commVegaA60¬3</v>
      </c>
      <c r="W60" s="21" cm="1">
        <f t="array" aca="1" ref="W60" ca="1">_xll.QCube_SumAllRows(V60)</f>
        <v>-349677.84764589742</v>
      </c>
      <c r="X60" s="100">
        <f t="shared" ca="1" si="80"/>
        <v>0.18501473420417852</v>
      </c>
    </row>
    <row r="61" spans="1:27" x14ac:dyDescent="0.25">
      <c r="A61" s="6"/>
      <c r="B61" s="6" t="s">
        <v>129</v>
      </c>
      <c r="C61" s="101" t="s">
        <v>335</v>
      </c>
      <c r="D61" s="102"/>
      <c r="E61" s="102"/>
      <c r="F61" s="103">
        <f t="shared" ca="1" si="81"/>
        <v>70</v>
      </c>
      <c r="G61" s="6" t="s">
        <v>287</v>
      </c>
      <c r="H61" s="103">
        <f t="shared" ca="1" si="75"/>
        <v>-1890000</v>
      </c>
      <c r="I61" s="6" t="s">
        <v>21</v>
      </c>
      <c r="J61" s="141" t="str">
        <f t="shared" ca="1" si="76"/>
        <v>USD.LIBOR.3M</v>
      </c>
      <c r="K61" s="141" t="str">
        <f t="shared" ca="1" si="77"/>
        <v>ICE</v>
      </c>
      <c r="L61" s="142" t="s">
        <v>171</v>
      </c>
      <c r="M61" s="142" t="str">
        <f t="shared" ca="1" si="78"/>
        <v>0b</v>
      </c>
      <c r="N61" t="str" cm="1">
        <f t="array" aca="1" ref="N61" ca="1">_xll.QIns_CreateAsianSwap("AsiOpt_Fwd_"&amp;ROW(),IF(C61="",D61:E61,C61),B61,I61,0,H61,K61,I61,L61,M61,,J61,IF(I61="USD","None","ATC"))</f>
        <v>AsiOpt_Fwd_61¬3</v>
      </c>
      <c r="O61" s="14" cm="1">
        <f t="array" aca="1" ref="O61" ca="1">_xll.QIns_ProductParRate(N61,AModel)</f>
        <v>56.300468749999951</v>
      </c>
      <c r="P61" s="11" cm="1">
        <f t="array" aca="1" ref="P61" ca="1">_xll.QModels_GetCompoVol(AModel,B61,I61,F61,E61)</f>
        <v>0.34640696729203457</v>
      </c>
      <c r="Q61" t="str" cm="1">
        <f t="array" aca="1" ref="Q61" ca="1">_xll.QIns_CreateAsianOption("asiOpt_"&amp;ROW(),IF(C61="",D61:E61,C61),B61,I61,F61,G61,H61,K61,I61,L61,M61,,J61)</f>
        <v>asiOpt_61¬3</v>
      </c>
      <c r="R61" s="21" cm="1">
        <f t="array" aca="1" ref="R61" ca="1">_xll.QIns_ProductPV(Q61,AModel,I61)</f>
        <v>-4080326.5103139263</v>
      </c>
      <c r="S61" t="str" cm="1">
        <f t="array" aca="1" ref="S61" ca="1">IF(VLOOKUP(B61,AssetStatic,4,FALSE),_xll.QRisk_PortfolioFxDeltaSpecific("asiOpt_DeltaA"&amp;ROW(),Q61,AModel,B61,"ZAR",FALSE),_xll.QRisk_PortfolioDelta("asiOpt_DeltaA"&amp;ROW(),Q61,AModel,FALSE))</f>
        <v>asiOpt_DeltaA61¬2</v>
      </c>
      <c r="T61" s="21" cm="1">
        <f t="array" aca="1" ref="T61" ca="1">_xll.QCube_SumAllRows(S61)</f>
        <v>-515469.82374936342</v>
      </c>
      <c r="U61" s="11">
        <f t="shared" ca="1" si="79"/>
        <v>0.27273535648114466</v>
      </c>
      <c r="V61" t="str" cm="1">
        <f t="array" aca="1" ref="V61" ca="1">_xll.QRisk_PortfolioVega("euopt_commVegaA"&amp;ROW(),Q61,AModel,I61)</f>
        <v>euopt_commVegaA61¬2</v>
      </c>
      <c r="W61" s="21" cm="1">
        <f t="array" aca="1" ref="W61" ca="1">_xll.QCube_SumAllRows(V61)</f>
        <v>-394876.6532742139</v>
      </c>
      <c r="X61" s="100">
        <f t="shared" ca="1" si="80"/>
        <v>0.20892944617683276</v>
      </c>
    </row>
    <row r="62" spans="1:27" x14ac:dyDescent="0.25">
      <c r="A62" s="6"/>
      <c r="B62" s="6" t="s">
        <v>129</v>
      </c>
      <c r="C62" s="101" t="s">
        <v>336</v>
      </c>
      <c r="D62" s="102"/>
      <c r="E62" s="102"/>
      <c r="F62" s="103">
        <v>75</v>
      </c>
      <c r="G62" s="6" t="s">
        <v>287</v>
      </c>
      <c r="H62" s="103">
        <f t="shared" ca="1" si="75"/>
        <v>-1890000</v>
      </c>
      <c r="I62" s="6" t="s">
        <v>21</v>
      </c>
      <c r="J62" s="141" t="str">
        <f t="shared" ca="1" si="76"/>
        <v>USD.LIBOR.3M</v>
      </c>
      <c r="K62" s="141" t="str">
        <f t="shared" ca="1" si="77"/>
        <v>ICE</v>
      </c>
      <c r="L62" s="142" t="s">
        <v>171</v>
      </c>
      <c r="M62" s="142" t="str">
        <f t="shared" ca="1" si="78"/>
        <v>0b</v>
      </c>
      <c r="N62" t="str" cm="1">
        <f t="array" aca="1" ref="N62" ca="1">_xll.QIns_CreateAsianSwap("AsiOpt_Fwd_"&amp;ROW(),IF(C62="",D62:E62,C62),B62,I62,0,H62,K62,I62,L62,M62,,J62,IF(I62="USD","None","ATC"))</f>
        <v>AsiOpt_Fwd_62¬3</v>
      </c>
      <c r="O62" s="14" cm="1">
        <f t="array" aca="1" ref="O62" ca="1">_xll.QIns_ProductParRate(N62,AModel)</f>
        <v>55.842727272727217</v>
      </c>
      <c r="P62" s="11" cm="1">
        <f t="array" aca="1" ref="P62" ca="1">_xll.QModels_GetCompoVol(AModel,B62,I62,F62,E62)</f>
        <v>0.34640696729203457</v>
      </c>
      <c r="Q62" t="str" cm="1">
        <f t="array" aca="1" ref="Q62" ca="1">_xll.QIns_CreateAsianOption("asiOpt_"&amp;ROW(),IF(C62="",D62:E62,C62),B62,I62,F62,G62,H62,K62,I62,L62,M62,,J62)</f>
        <v>asiOpt_62¬3</v>
      </c>
      <c r="R62" s="21" cm="1">
        <f t="array" aca="1" ref="R62" ca="1">_xll.QIns_ProductPV(Q62,AModel,I62)</f>
        <v>-2987920.1698629647</v>
      </c>
      <c r="S62" t="str" cm="1">
        <f t="array" aca="1" ref="S62" ca="1">IF(VLOOKUP(B62,AssetStatic,4,FALSE),_xll.QRisk_PortfolioFxDeltaSpecific("asiOpt_DeltaA"&amp;ROW(),Q62,AModel,B62,"ZAR",FALSE),_xll.QRisk_PortfolioDelta("asiOpt_DeltaA"&amp;ROW(),Q62,AModel,FALSE))</f>
        <v>asiOpt_DeltaA62¬2</v>
      </c>
      <c r="T62" s="21" cm="1">
        <f t="array" aca="1" ref="T62" ca="1">_xll.QCube_SumAllRows(S62)</f>
        <v>-380979.23329556361</v>
      </c>
      <c r="U62" s="11">
        <f t="shared" ca="1" si="79"/>
        <v>0.20157631391299663</v>
      </c>
      <c r="V62" t="str" cm="1">
        <f t="array" aca="1" ref="V62" ca="1">_xll.QRisk_PortfolioVega("euopt_commVegaA"&amp;ROW(),Q62,AModel,I62)</f>
        <v>euopt_commVegaA62¬2</v>
      </c>
      <c r="W62" s="21" cm="1">
        <f t="array" aca="1" ref="W62" ca="1">_xll.QCube_SumAllRows(V62)</f>
        <v>-361674.35647555161</v>
      </c>
      <c r="X62" s="100">
        <f t="shared" ca="1" si="80"/>
        <v>0.19136209337330773</v>
      </c>
    </row>
    <row r="63" spans="1:27" x14ac:dyDescent="0.25">
      <c r="A63" s="6"/>
      <c r="B63" s="6" t="s">
        <v>129</v>
      </c>
      <c r="C63" s="101" t="s">
        <v>337</v>
      </c>
      <c r="D63" s="102"/>
      <c r="E63" s="102"/>
      <c r="F63" s="103">
        <f t="shared" ca="1" si="81"/>
        <v>75</v>
      </c>
      <c r="G63" s="6" t="s">
        <v>287</v>
      </c>
      <c r="H63" s="103">
        <f t="shared" ca="1" si="75"/>
        <v>-1890000</v>
      </c>
      <c r="I63" s="6" t="s">
        <v>21</v>
      </c>
      <c r="J63" s="141" t="str">
        <f t="shared" ca="1" si="76"/>
        <v>USD.LIBOR.3M</v>
      </c>
      <c r="K63" s="141" t="str">
        <f t="shared" ca="1" si="77"/>
        <v>ICE</v>
      </c>
      <c r="L63" s="142" t="s">
        <v>171</v>
      </c>
      <c r="M63" s="142" t="str">
        <f t="shared" ca="1" si="78"/>
        <v>0b</v>
      </c>
      <c r="N63" t="str" cm="1">
        <f t="array" aca="1" ref="N63" ca="1">_xll.QIns_CreateAsianSwap("AsiOpt_Fwd_"&amp;ROW(),IF(C63="",D63:E63,C63),B63,I63,0,H63,K63,I63,L63,M63,,J63,IF(I63="USD","None","ATC"))</f>
        <v>AsiOpt_Fwd_63¬3</v>
      </c>
      <c r="O63" s="14" cm="1">
        <f t="array" aca="1" ref="O63" ca="1">_xll.QIns_ProductParRate(N63,AModel)</f>
        <v>55.126562499999956</v>
      </c>
      <c r="P63" s="11" cm="1">
        <f t="array" aca="1" ref="P63" ca="1">_xll.QModels_GetCompoVol(AModel,B63,I63,F63,E63)</f>
        <v>0.34640696729203457</v>
      </c>
      <c r="Q63" t="str" cm="1">
        <f t="array" aca="1" ref="Q63" ca="1">_xll.QIns_CreateAsianOption("asiOpt_"&amp;ROW(),IF(C63="",D63:E63,C63),B63,I63,F63,G63,H63,K63,I63,L63,M63,,J63)</f>
        <v>asiOpt_63¬3</v>
      </c>
      <c r="R63" s="21" cm="1">
        <f t="array" aca="1" ref="R63" ca="1">_xll.QIns_ProductPV(Q63,AModel,I63)</f>
        <v>-3211837.7223864961</v>
      </c>
      <c r="S63" t="str" cm="1">
        <f t="array" aca="1" ref="S63" ca="1">IF(VLOOKUP(B63,AssetStatic,4,FALSE),_xll.QRisk_PortfolioFxDeltaSpecific("asiOpt_DeltaA"&amp;ROW(),Q63,AModel,B63,"ZAR",FALSE),_xll.QRisk_PortfolioDelta("asiOpt_DeltaA"&amp;ROW(),Q63,AModel,FALSE))</f>
        <v>asiOpt_DeltaA63¬2</v>
      </c>
      <c r="T63" s="21" cm="1">
        <f t="array" aca="1" ref="T63" ca="1">_xll.QCube_SumAllRows(S63)</f>
        <v>-401517.76625360362</v>
      </c>
      <c r="U63" s="11">
        <f t="shared" ca="1" si="79"/>
        <v>0.21244326256804424</v>
      </c>
      <c r="V63" t="str" cm="1">
        <f t="array" aca="1" ref="V63" ca="1">_xll.QRisk_PortfolioVega("euopt_commVegaA"&amp;ROW(),Q63,AModel,I63)</f>
        <v>euopt_commVegaA63¬2</v>
      </c>
      <c r="W63" s="21" cm="1">
        <f t="array" aca="1" ref="W63" ca="1">_xll.QCube_SumAllRows(V63)</f>
        <v>-400775.22126517724</v>
      </c>
      <c r="X63" s="100">
        <f t="shared" ca="1" si="80"/>
        <v>0.21205038162178691</v>
      </c>
    </row>
    <row r="64" spans="1:27" x14ac:dyDescent="0.25">
      <c r="A64" s="6"/>
      <c r="B64" s="6" t="s">
        <v>129</v>
      </c>
      <c r="C64" s="101" t="s">
        <v>338</v>
      </c>
      <c r="D64" s="102"/>
      <c r="E64" s="102"/>
      <c r="F64" s="103">
        <f t="shared" ca="1" si="81"/>
        <v>75</v>
      </c>
      <c r="G64" s="6" t="s">
        <v>287</v>
      </c>
      <c r="H64" s="103">
        <f t="shared" ca="1" si="75"/>
        <v>-1890000</v>
      </c>
      <c r="I64" s="6" t="s">
        <v>21</v>
      </c>
      <c r="J64" s="141" t="str">
        <f t="shared" ca="1" si="76"/>
        <v>USD.LIBOR.3M</v>
      </c>
      <c r="K64" s="141" t="str">
        <f t="shared" ca="1" si="77"/>
        <v>ICE</v>
      </c>
      <c r="L64" s="142" t="s">
        <v>171</v>
      </c>
      <c r="M64" s="142" t="str">
        <f t="shared" ca="1" si="78"/>
        <v>0b</v>
      </c>
      <c r="N64" t="str" cm="1">
        <f t="array" aca="1" ref="N64" ca="1">_xll.QIns_CreateAsianSwap("AsiOpt_Fwd_"&amp;ROW(),IF(C64="",D64:E64,C64),B64,I64,0,H64,K64,I64,L64,M64,,J64,IF(I64="USD","None","ATC"))</f>
        <v>AsiOpt_Fwd_64¬3</v>
      </c>
      <c r="O64" s="14" cm="1">
        <f t="array" aca="1" ref="O64" ca="1">_xll.QIns_ProductParRate(N64,AModel)</f>
        <v>54.913906250000061</v>
      </c>
      <c r="P64" s="11" cm="1">
        <f t="array" aca="1" ref="P64" ca="1">_xll.QModels_GetCompoVol(AModel,B64,I64,F64,E64)</f>
        <v>0.34640696729203457</v>
      </c>
      <c r="Q64" t="str" cm="1">
        <f t="array" aca="1" ref="Q64" ca="1">_xll.QIns_CreateAsianOption("asiOpt_"&amp;ROW(),IF(C64="",D64:E64,C64),B64,I64,F64,G64,H64,K64,I64,L64,M64,,J64)</f>
        <v>asiOpt_64¬3</v>
      </c>
      <c r="R64" s="21" cm="1">
        <f t="array" aca="1" ref="R64" ca="1">_xll.QIns_ProductPV(Q64,AModel,I64)</f>
        <v>-3703344.0429321146</v>
      </c>
      <c r="S64" t="str" cm="1">
        <f t="array" aca="1" ref="S64" ca="1">IF(VLOOKUP(B64,AssetStatic,4,FALSE),_xll.QRisk_PortfolioFxDeltaSpecific("asiOpt_DeltaA"&amp;ROW(),Q64,AModel,B64,"ZAR",FALSE),_xll.QRisk_PortfolioDelta("asiOpt_DeltaA"&amp;ROW(),Q64,AModel,FALSE))</f>
        <v>asiOpt_DeltaA64¬2</v>
      </c>
      <c r="T64" s="21" cm="1">
        <f t="array" aca="1" ref="T64" ca="1">_xll.QCube_SumAllRows(S64)</f>
        <v>-446601.14723430015</v>
      </c>
      <c r="U64" s="11">
        <f t="shared" ca="1" si="79"/>
        <v>0.2362969032985715</v>
      </c>
      <c r="V64" t="str" cm="1">
        <f t="array" aca="1" ref="V64" ca="1">_xll.QRisk_PortfolioVega("euopt_commVegaA"&amp;ROW(),Q64,AModel,I64)</f>
        <v>euopt_commVegaA64¬2</v>
      </c>
      <c r="W64" s="21" cm="1">
        <f t="array" aca="1" ref="W64" ca="1">_xll.QCube_SumAllRows(V64)</f>
        <v>-458268.46147750039</v>
      </c>
      <c r="X64" s="100">
        <f t="shared" ca="1" si="80"/>
        <v>0.24247008543783088</v>
      </c>
    </row>
    <row r="65" spans="1:27" x14ac:dyDescent="0.25">
      <c r="A65" s="6"/>
      <c r="B65" s="6" t="s">
        <v>129</v>
      </c>
      <c r="C65" s="101" t="s">
        <v>339</v>
      </c>
      <c r="D65" s="102"/>
      <c r="E65" s="102"/>
      <c r="F65" s="103">
        <f t="shared" ca="1" si="81"/>
        <v>75</v>
      </c>
      <c r="G65" s="6" t="s">
        <v>287</v>
      </c>
      <c r="H65" s="103">
        <f t="shared" ca="1" si="75"/>
        <v>-1890000</v>
      </c>
      <c r="I65" s="6" t="s">
        <v>21</v>
      </c>
      <c r="J65" s="141" t="str">
        <f t="shared" ca="1" si="76"/>
        <v>USD.LIBOR.3M</v>
      </c>
      <c r="K65" s="141" t="str">
        <f t="shared" ca="1" si="77"/>
        <v>ICE</v>
      </c>
      <c r="L65" s="142" t="s">
        <v>171</v>
      </c>
      <c r="M65" s="142" t="str">
        <f t="shared" ca="1" si="78"/>
        <v>0b</v>
      </c>
      <c r="N65" t="str" cm="1">
        <f t="array" aca="1" ref="N65" ca="1">_xll.QIns_CreateAsianSwap("AsiOpt_Fwd_"&amp;ROW(),IF(C65="",D65:E65,C65),B65,I65,0,H65,K65,I65,L65,M65,,J65,IF(I65="USD","None","ATC"))</f>
        <v>AsiOpt_Fwd_65¬3</v>
      </c>
      <c r="O65" s="14" cm="1">
        <f t="array" aca="1" ref="O65" ca="1">_xll.QIns_ProductParRate(N65,AModel)</f>
        <v>54.029791666666704</v>
      </c>
      <c r="P65" s="11">
        <f ca="1">_xll.QModels_GetCompoVol(AModel,B65,I65,F65,E65)</f>
        <v>0.34640696729203457</v>
      </c>
      <c r="Q65" t="str" cm="1">
        <f t="array" aca="1" ref="Q65" ca="1">_xll.QIns_CreateAsianOption("asiOpt_"&amp;ROW(),IF(C65="",D65:E65,C65),B65,I65,F65,G65,H65,K65,I65,L65,M65,,J65)</f>
        <v>asiOpt_65¬3</v>
      </c>
      <c r="R65" s="21" cm="1">
        <f t="array" aca="1" ref="R65" ca="1">_xll.QIns_ProductPV(Q65,AModel,I65)</f>
        <v>-3844904.6469306769</v>
      </c>
      <c r="S65" t="str" cm="1">
        <f t="array" aca="1" ref="S65" ca="1">IF(VLOOKUP(B65,AssetStatic,4,FALSE),_xll.QRisk_PortfolioFxDeltaSpecific("asiOpt_DeltaA"&amp;ROW(),Q65,AModel,B65,"ZAR",FALSE),_xll.QRisk_PortfolioDelta("asiOpt_DeltaA"&amp;ROW(),Q65,AModel,FALSE))</f>
        <v>asiOpt_DeltaA65¬2</v>
      </c>
      <c r="T65" s="21" cm="1">
        <f t="array" aca="1" ref="T65" ca="1">_xll.QCube_SumAllRows(S65)</f>
        <v>-451369.31913755834</v>
      </c>
      <c r="U65" s="11">
        <f t="shared" ca="1" si="79"/>
        <v>0.23881974557542771</v>
      </c>
      <c r="V65" t="str" cm="1">
        <f t="array" aca="1" ref="V65" ca="1">_xll.QRisk_PortfolioVega("euopt_commVegaA"&amp;ROW(),Q65,AModel,I65)</f>
        <v>euopt_commVegaA65¬3</v>
      </c>
      <c r="W65" s="21" cm="1">
        <f t="array" aca="1" ref="W65" ca="1">_xll.QCube_SumAllRows(V65)</f>
        <v>-481847.66297822352</v>
      </c>
      <c r="X65" s="100">
        <f t="shared" ca="1" si="80"/>
        <v>0.25494585342763149</v>
      </c>
    </row>
    <row r="66" spans="1:27" x14ac:dyDescent="0.25">
      <c r="A66" s="6"/>
      <c r="B66" s="6" t="s">
        <v>129</v>
      </c>
      <c r="C66" s="101" t="s">
        <v>340</v>
      </c>
      <c r="D66" s="102"/>
      <c r="E66" s="102"/>
      <c r="F66" s="103">
        <f t="shared" ca="1" si="81"/>
        <v>75</v>
      </c>
      <c r="G66" s="6" t="s">
        <v>287</v>
      </c>
      <c r="H66" s="103">
        <f t="shared" ca="1" si="75"/>
        <v>-1890000</v>
      </c>
      <c r="I66" s="6" t="s">
        <v>21</v>
      </c>
      <c r="J66" s="141" t="str">
        <f t="shared" ca="1" si="76"/>
        <v>USD.LIBOR.3M</v>
      </c>
      <c r="K66" s="141" t="str">
        <f t="shared" ca="1" si="77"/>
        <v>ICE</v>
      </c>
      <c r="L66" s="142" t="s">
        <v>171</v>
      </c>
      <c r="M66" s="142" t="str">
        <f t="shared" ca="1" si="78"/>
        <v>0b</v>
      </c>
      <c r="N66" t="str" cm="1">
        <f t="array" aca="1" ref="N66" ca="1">_xll.QIns_CreateAsianSwap("AsiOpt_Fwd_"&amp;ROW(),IF(C66="",D66:E66,C66),B66,I66,0,H66,K66,I66,L66,M66,,J66,IF(I66="USD","None","ATC"))</f>
        <v>AsiOpt_Fwd_66¬3</v>
      </c>
      <c r="O66" s="14" cm="1">
        <f t="array" aca="1" ref="O66" ca="1">_xll.QIns_ProductParRate(N66,AModel)</f>
        <v>53.67828205128199</v>
      </c>
      <c r="P66" s="11" cm="1">
        <f t="array" aca="1" ref="P66" ca="1">_xll.QModels_GetCompoVol(AModel,B66,I66,F66,E66)</f>
        <v>0.34640696729203457</v>
      </c>
      <c r="Q66" t="str" cm="1">
        <f t="array" aca="1" ref="Q66" ca="1">_xll.QIns_CreateAsianOption("asiOpt_"&amp;ROW(),IF(C66="",D66:E66,C66),B66,I66,F66,G66,H66,K66,I66,L66,M66,,J66)</f>
        <v>asiOpt_66¬3</v>
      </c>
      <c r="R66" s="21" cm="1">
        <f t="array" aca="1" ref="R66" ca="1">_xll.QIns_ProductPV(Q66,AModel,I66)</f>
        <v>-4171631.2039899328</v>
      </c>
      <c r="S66" t="str" cm="1">
        <f t="array" aca="1" ref="S66" ca="1">IF(VLOOKUP(B66,AssetStatic,4,FALSE),_xll.QRisk_PortfolioFxDeltaSpecific("asiOpt_DeltaA"&amp;ROW(),Q66,AModel,B66,"ZAR",FALSE),_xll.QRisk_PortfolioDelta("asiOpt_DeltaA"&amp;ROW(),Q66,AModel,FALSE))</f>
        <v>asiOpt_DeltaA66¬2</v>
      </c>
      <c r="T66" s="21" cm="1">
        <f t="array" aca="1" ref="T66" ca="1">_xll.QCube_SumAllRows(S66)</f>
        <v>-459022.91193921119</v>
      </c>
      <c r="U66" s="11">
        <f t="shared" ca="1" si="79"/>
        <v>0.24286926557630223</v>
      </c>
      <c r="V66" t="str" cm="1">
        <f t="array" aca="1" ref="V66" ca="1">_xll.QRisk_PortfolioVega("euopt_commVegaA"&amp;ROW(),Q66,AModel,I66)</f>
        <v>euopt_commVegaA66¬3</v>
      </c>
      <c r="W66" s="21" cm="1">
        <f t="array" aca="1" ref="W66" ca="1">_xll.QCube_SumAllRows(V66)</f>
        <v>-506125.89716729242</v>
      </c>
      <c r="X66" s="100">
        <f t="shared" ca="1" si="80"/>
        <v>0.26779147998269442</v>
      </c>
    </row>
    <row r="67" spans="1:27" x14ac:dyDescent="0.25">
      <c r="A67" s="6"/>
      <c r="B67" s="6" t="s">
        <v>129</v>
      </c>
      <c r="C67" s="101" t="s">
        <v>341</v>
      </c>
      <c r="D67" s="102"/>
      <c r="E67" s="102"/>
      <c r="F67" s="103">
        <f t="shared" ca="1" si="81"/>
        <v>75</v>
      </c>
      <c r="G67" s="6" t="s">
        <v>287</v>
      </c>
      <c r="H67" s="103">
        <f t="shared" ca="1" si="75"/>
        <v>-1890000</v>
      </c>
      <c r="I67" s="6" t="s">
        <v>21</v>
      </c>
      <c r="J67" s="141" t="str">
        <f t="shared" ca="1" si="76"/>
        <v>USD.LIBOR.3M</v>
      </c>
      <c r="K67" s="141" t="str">
        <f t="shared" ca="1" si="77"/>
        <v>ICE</v>
      </c>
      <c r="L67" s="142" t="s">
        <v>171</v>
      </c>
      <c r="M67" s="142" t="str">
        <f t="shared" ca="1" si="78"/>
        <v>0b</v>
      </c>
      <c r="N67" t="str" cm="1">
        <f t="array" aca="1" ref="N67" ca="1">_xll.QIns_CreateAsianSwap("AsiOpt_Fwd_"&amp;ROW(),IF(C67="",D67:E67,C67),B67,I67,0,H67,K67,I67,L67,M67,,J67,IF(I67="USD","None","ATC"))</f>
        <v>AsiOpt_Fwd_67¬3</v>
      </c>
      <c r="O67" s="14" cm="1">
        <f t="array" aca="1" ref="O67" ca="1">_xll.QIns_ProductParRate(N67,AModel)</f>
        <v>53.380000000000017</v>
      </c>
      <c r="P67" s="11" cm="1">
        <f t="array" aca="1" ref="P67" ca="1">_xll.QModels_GetCompoVol(AModel,B67,I67,F67,E67)</f>
        <v>0.34640696729203457</v>
      </c>
      <c r="Q67" t="str" cm="1">
        <f t="array" aca="1" ref="Q67" ca="1">_xll.QIns_CreateAsianOption("asiOpt_"&amp;ROW(),IF(C67="",D67:E67,C67),B67,I67,F67,G67,H67,K67,I67,L67,M67,,J67)</f>
        <v>asiOpt_67¬3</v>
      </c>
      <c r="R67" s="21" cm="1">
        <f t="array" aca="1" ref="R67" ca="1">_xll.QIns_ProductPV(Q67,AModel,I67)</f>
        <v>-4498937.4675700562</v>
      </c>
      <c r="S67" t="str" cm="1">
        <f t="array" aca="1" ref="S67" ca="1">IF(VLOOKUP(B67,AssetStatic,4,FALSE),_xll.QRisk_PortfolioFxDeltaSpecific("asiOpt_DeltaA"&amp;ROW(),Q67,AModel,B67,"ZAR",FALSE),_xll.QRisk_PortfolioDelta("asiOpt_DeltaA"&amp;ROW(),Q67,AModel,FALSE))</f>
        <v>asiOpt_DeltaA67¬8</v>
      </c>
      <c r="T67" s="21" cm="1">
        <f t="array" aca="1" ref="T67" ca="1">_xll.QCube_SumAllRows(S67)</f>
        <v>-470439.69954205677</v>
      </c>
      <c r="U67" s="11">
        <f t="shared" ca="1" si="79"/>
        <v>0.24890989393759616</v>
      </c>
      <c r="V67" t="str" cm="1">
        <f t="array" aca="1" ref="V67" ca="1">_xll.QRisk_PortfolioVega("euopt_commVegaA"&amp;ROW(),Q67,AModel,I67)</f>
        <v>euopt_commVegaA67¬2</v>
      </c>
      <c r="W67" s="21" cm="1">
        <f t="array" aca="1" ref="W67" ca="1">_xll.QCube_SumAllRows(V67)</f>
        <v>-532968.92241942696</v>
      </c>
      <c r="X67" s="100">
        <f t="shared" ca="1" si="80"/>
        <v>0.28199413884625762</v>
      </c>
    </row>
    <row r="68" spans="1:27" x14ac:dyDescent="0.25">
      <c r="A68" s="6"/>
      <c r="B68" s="6" t="s">
        <v>129</v>
      </c>
      <c r="C68" s="101" t="s">
        <v>342</v>
      </c>
      <c r="D68" s="102"/>
      <c r="E68" s="102"/>
      <c r="F68" s="103">
        <f t="shared" ca="1" si="81"/>
        <v>75</v>
      </c>
      <c r="G68" s="6" t="s">
        <v>287</v>
      </c>
      <c r="H68" s="103">
        <f t="shared" ca="1" si="75"/>
        <v>-1890000</v>
      </c>
      <c r="I68" s="6" t="s">
        <v>21</v>
      </c>
      <c r="J68" s="141" t="str">
        <f t="shared" ca="1" si="76"/>
        <v>USD.LIBOR.3M</v>
      </c>
      <c r="K68" s="141" t="str">
        <f t="shared" ca="1" si="77"/>
        <v>ICE</v>
      </c>
      <c r="L68" s="142" t="s">
        <v>171</v>
      </c>
      <c r="M68" s="142" t="str">
        <f t="shared" ca="1" si="78"/>
        <v>0b</v>
      </c>
      <c r="N68" t="str" cm="1">
        <f t="array" aca="1" ref="N68" ca="1">_xll.QIns_CreateAsianSwap("AsiOpt_Fwd_"&amp;ROW(),IF(C68="",D68:E68,C68),B68,I68,0,H68,K68,I68,L68,M68,,J68,IF(I68="USD","None","ATC"))</f>
        <v>AsiOpt_Fwd_68¬3</v>
      </c>
      <c r="O68" s="14" cm="1">
        <f t="array" aca="1" ref="O68" ca="1">_xll.QIns_ProductParRate(N68,AModel)</f>
        <v>53.165820105820167</v>
      </c>
      <c r="P68" s="11" cm="1">
        <f t="array" aca="1" ref="P68" ca="1">_xll.QModels_GetCompoVol(AModel,B68,I68,F68,E68)</f>
        <v>0.34640696729203457</v>
      </c>
      <c r="Q68" t="str" cm="1">
        <f t="array" aca="1" ref="Q68" ca="1">_xll.QIns_CreateAsianOption("asiOpt_"&amp;ROW(),IF(C68="",D68:E68,C68),B68,I68,F68,G68,H68,K68,I68,L68,M68,,J68)</f>
        <v>asiOpt_68¬3</v>
      </c>
      <c r="R68" s="21" cm="1">
        <f t="array" aca="1" ref="R68" ca="1">_xll.QIns_ProductPV(Q68,AModel,I68)</f>
        <v>-4893208.280625226</v>
      </c>
      <c r="S68" t="str" cm="1">
        <f t="array" aca="1" ref="S68" ca="1">IF(VLOOKUP(B68,AssetStatic,4,FALSE),_xll.QRisk_PortfolioFxDeltaSpecific("asiOpt_DeltaA"&amp;ROW(),Q68,AModel,B68,"ZAR",FALSE),_xll.QRisk_PortfolioDelta("asiOpt_DeltaA"&amp;ROW(),Q68,AModel,FALSE))</f>
        <v>asiOpt_DeltaA68¬2</v>
      </c>
      <c r="T68" s="21" cm="1">
        <f t="array" aca="1" ref="T68" ca="1">_xll.QCube_SumAllRows(S68)</f>
        <v>-493578.1554363668</v>
      </c>
      <c r="U68" s="11">
        <f t="shared" ca="1" si="79"/>
        <v>0.26115246319384489</v>
      </c>
      <c r="V68" t="str" cm="1">
        <f t="array" aca="1" ref="V68" ca="1">_xll.QRisk_PortfolioVega("euopt_commVegaA"&amp;ROW(),Q68,AModel,I68)</f>
        <v>euopt_commVegaA68¬2</v>
      </c>
      <c r="W68" s="21" cm="1">
        <f t="array" aca="1" ref="W68" ca="1">_xll.QCube_SumAllRows(V68)</f>
        <v>-570295.83750860766</v>
      </c>
      <c r="X68" s="100">
        <f t="shared" ca="1" si="80"/>
        <v>0.30174382936963368</v>
      </c>
    </row>
    <row r="69" spans="1:27" x14ac:dyDescent="0.25">
      <c r="A69" s="6"/>
      <c r="B69" s="6" t="s">
        <v>129</v>
      </c>
      <c r="C69" s="101" t="s">
        <v>343</v>
      </c>
      <c r="D69" s="102"/>
      <c r="E69" s="102"/>
      <c r="F69" s="103">
        <f t="shared" ca="1" si="81"/>
        <v>75</v>
      </c>
      <c r="G69" s="6" t="s">
        <v>287</v>
      </c>
      <c r="H69" s="103">
        <f t="shared" ca="1" si="75"/>
        <v>-1890000</v>
      </c>
      <c r="I69" s="6" t="s">
        <v>21</v>
      </c>
      <c r="J69" s="141" t="str">
        <f t="shared" ca="1" si="76"/>
        <v>USD.LIBOR.3M</v>
      </c>
      <c r="K69" s="141" t="str">
        <f t="shared" ca="1" si="77"/>
        <v>ICE</v>
      </c>
      <c r="L69" s="142" t="s">
        <v>171</v>
      </c>
      <c r="M69" s="142" t="str">
        <f t="shared" ca="1" si="78"/>
        <v>0b</v>
      </c>
      <c r="N69" t="str" cm="1">
        <f t="array" aca="1" ref="N69" ca="1">_xll.QIns_CreateAsianSwap("AsiOpt_Fwd_"&amp;ROW(),IF(C69="",D69:E69,C69),B69,I69,0,H69,K69,I69,L69,M69,,J69,IF(I69="USD","None","ATC"))</f>
        <v>AsiOpt_Fwd_69¬3</v>
      </c>
      <c r="O69" s="14" cm="1">
        <f t="array" aca="1" ref="O69" ca="1">_xll.QIns_ProductParRate(N69,AModel)</f>
        <v>52.977384615384615</v>
      </c>
      <c r="P69" s="11" cm="1">
        <f t="array" aca="1" ref="P69" ca="1">_xll.QModels_GetCompoVol(AModel,B69,I69,F69,E69)</f>
        <v>0.34640696729203457</v>
      </c>
      <c r="Q69" t="str" cm="1">
        <f t="array" aca="1" ref="Q69" ca="1">_xll.QIns_CreateAsianOption("asiOpt_"&amp;ROW(),IF(C69="",D69:E69,C69),B69,I69,F69,G69,H69,K69,I69,L69,M69,,J69)</f>
        <v>asiOpt_69¬3</v>
      </c>
      <c r="R69" s="21" cm="1">
        <f t="array" aca="1" ref="R69" ca="1">_xll.QIns_ProductPV(Q69,AModel,I69)</f>
        <v>-5266032.9073185595</v>
      </c>
      <c r="S69" t="str" cm="1">
        <f t="array" aca="1" ref="S69" ca="1">IF(VLOOKUP(B69,AssetStatic,4,FALSE),_xll.QRisk_PortfolioFxDeltaSpecific("asiOpt_DeltaA"&amp;ROW(),Q69,AModel,B69,"ZAR",FALSE),_xll.QRisk_PortfolioDelta("asiOpt_DeltaA"&amp;ROW(),Q69,AModel,FALSE))</f>
        <v>asiOpt_DeltaA69¬3</v>
      </c>
      <c r="T69" s="21" cm="1">
        <f t="array" aca="1" ref="T69" ca="1">_xll.QCube_SumAllRows(S69)</f>
        <v>-515216.98640985414</v>
      </c>
      <c r="U69" s="11">
        <f t="shared" ca="1" si="79"/>
        <v>0.27260158011103391</v>
      </c>
      <c r="V69" t="str" cm="1">
        <f t="array" aca="1" ref="V69" ca="1">_xll.QRisk_PortfolioVega("euopt_commVegaA"&amp;ROW(),Q69,AModel,I69)</f>
        <v>euopt_commVegaA69¬2</v>
      </c>
      <c r="W69" s="21" cm="1">
        <f t="array" aca="1" ref="W69" ca="1">_xll.QCube_SumAllRows(V69)</f>
        <v>-605862.41569957696</v>
      </c>
      <c r="X69" s="100">
        <f t="shared" ca="1" si="80"/>
        <v>0.32056212470877088</v>
      </c>
    </row>
    <row r="70" spans="1:27" x14ac:dyDescent="0.25">
      <c r="A70" s="6"/>
      <c r="B70" s="6" t="s">
        <v>129</v>
      </c>
      <c r="C70" s="101" t="s">
        <v>344</v>
      </c>
      <c r="D70" s="102"/>
      <c r="E70" s="102"/>
      <c r="F70" s="103">
        <f t="shared" ca="1" si="81"/>
        <v>75</v>
      </c>
      <c r="G70" s="6" t="s">
        <v>287</v>
      </c>
      <c r="H70" s="103">
        <f t="shared" ca="1" si="75"/>
        <v>-1890000</v>
      </c>
      <c r="I70" s="6" t="s">
        <v>21</v>
      </c>
      <c r="J70" s="141" t="str">
        <f t="shared" ca="1" si="76"/>
        <v>USD.LIBOR.3M</v>
      </c>
      <c r="K70" s="141" t="str">
        <f t="shared" ca="1" si="77"/>
        <v>ICE</v>
      </c>
      <c r="L70" s="142" t="s">
        <v>171</v>
      </c>
      <c r="M70" s="142" t="str">
        <f t="shared" ca="1" si="78"/>
        <v>0b</v>
      </c>
      <c r="N70" t="str" cm="1">
        <f t="array" aca="1" ref="N70" ca="1">_xll.QIns_CreateAsianSwap("AsiOpt_Fwd_"&amp;ROW(),IF(C70="",D70:E70,C70),B70,I70,0,H70,K70,I70,L70,M70,,J70,IF(I70="USD","None","ATC"))</f>
        <v>AsiOpt_Fwd_70¬3</v>
      </c>
      <c r="O70" s="14" cm="1">
        <f t="array" aca="1" ref="O70" ca="1">_xll.QIns_ProductParRate(N70,AModel)</f>
        <v>52.782398989899029</v>
      </c>
      <c r="P70" s="11" cm="1">
        <f t="array" aca="1" ref="P70" ca="1">_xll.QModels_GetCompoVol(AModel,B70,I70,F70,E70)</f>
        <v>0.34640696729203457</v>
      </c>
      <c r="Q70" t="str" cm="1">
        <f t="array" aca="1" ref="Q70" ca="1">_xll.QIns_CreateAsianOption("asiOpt_"&amp;ROW(),IF(C70="",D70:E70,C70),B70,I70,F70,G70,H70,K70,I70,L70,M70,,J70)</f>
        <v>asiOpt_70¬3</v>
      </c>
      <c r="R70" s="21" cm="1">
        <f t="array" aca="1" ref="R70" ca="1">_xll.QIns_ProductPV(Q70,AModel,I70)</f>
        <v>-5639537.0800161976</v>
      </c>
      <c r="S70" t="str" cm="1">
        <f t="array" aca="1" ref="S70" ca="1">IF(VLOOKUP(B70,AssetStatic,4,FALSE),_xll.QRisk_PortfolioFxDeltaSpecific("asiOpt_DeltaA"&amp;ROW(),Q70,AModel,B70,"ZAR",FALSE),_xll.QRisk_PortfolioDelta("asiOpt_DeltaA"&amp;ROW(),Q70,AModel,FALSE))</f>
        <v>asiOpt_DeltaA70¬4</v>
      </c>
      <c r="T70" s="21" cm="1">
        <f t="array" aca="1" ref="T70" ca="1">_xll.QCube_SumAllRows(S70)</f>
        <v>-535843.14030231908</v>
      </c>
      <c r="U70" s="11">
        <f t="shared" ca="1" si="79"/>
        <v>0.28351488904884609</v>
      </c>
      <c r="V70" t="str" cm="1">
        <f t="array" aca="1" ref="V70" ca="1">_xll.QRisk_PortfolioVega("euopt_commVegaA"&amp;ROW(),Q70,AModel,I70)</f>
        <v>euopt_commVegaA70¬2</v>
      </c>
      <c r="W70" s="21" cm="1">
        <f t="array" aca="1" ref="W70" ca="1">_xll.QCube_SumAllRows(V70)</f>
        <v>-640606.05292919092</v>
      </c>
      <c r="X70" s="100">
        <f t="shared" ca="1" si="80"/>
        <v>0.33894500154983648</v>
      </c>
    </row>
    <row r="71" spans="1:27" x14ac:dyDescent="0.25">
      <c r="A71" s="6"/>
      <c r="B71" s="6" t="s">
        <v>129</v>
      </c>
      <c r="C71" s="101" t="s">
        <v>345</v>
      </c>
      <c r="D71" s="102"/>
      <c r="E71" s="102"/>
      <c r="F71" s="103">
        <f t="shared" ca="1" si="81"/>
        <v>75</v>
      </c>
      <c r="G71" s="6" t="s">
        <v>287</v>
      </c>
      <c r="H71" s="103">
        <f t="shared" ca="1" si="75"/>
        <v>-1890000</v>
      </c>
      <c r="I71" s="6" t="s">
        <v>21</v>
      </c>
      <c r="J71" s="141" t="str">
        <f t="shared" ca="1" si="76"/>
        <v>USD.LIBOR.3M</v>
      </c>
      <c r="K71" s="141" t="str">
        <f t="shared" ca="1" si="77"/>
        <v>ICE</v>
      </c>
      <c r="L71" s="142" t="s">
        <v>171</v>
      </c>
      <c r="M71" s="142" t="str">
        <f t="shared" ca="1" si="78"/>
        <v>0b</v>
      </c>
      <c r="N71" t="str" cm="1">
        <f t="array" aca="1" ref="N71" ca="1">_xll.QIns_CreateAsianSwap("AsiOpt_Fwd_"&amp;ROW(),IF(C71="",D71:E71,C71),B71,I71,0,H71,K71,I71,L71,M71,,J71,IF(I71="USD","None","ATC"))</f>
        <v>AsiOpt_Fwd_71¬3</v>
      </c>
      <c r="O71" s="14" cm="1">
        <f t="array" aca="1" ref="O71" ca="1">_xll.QIns_ProductParRate(N71,AModel)</f>
        <v>52.655000000000037</v>
      </c>
      <c r="P71" s="11" cm="1">
        <f t="array" aca="1" ref="P71" ca="1">_xll.QModels_GetCompoVol(AModel,B71,I71,F71,E71)</f>
        <v>0.34640696729203457</v>
      </c>
      <c r="Q71" t="str" cm="1">
        <f t="array" aca="1" ref="Q71" ca="1">_xll.QIns_CreateAsianOption("asiOpt_"&amp;ROW(),IF(C71="",D71:E71,C71),B71,I71,F71,G71,H71,K71,I71,L71,M71,,J71)</f>
        <v>asiOpt_71¬3</v>
      </c>
      <c r="R71" s="21" cm="1">
        <f t="array" aca="1" ref="R71" ca="1">_xll.QIns_ProductPV(Q71,AModel,I71)</f>
        <v>-6078889.3680075109</v>
      </c>
      <c r="S71" t="str" cm="1">
        <f t="array" aca="1" ref="S71" ca="1">IF(VLOOKUP(B71,AssetStatic,4,FALSE),_xll.QRisk_PortfolioFxDeltaSpecific("asiOpt_DeltaA"&amp;ROW(),Q71,AModel,B71,"ZAR",FALSE),_xll.QRisk_PortfolioDelta("asiOpt_DeltaA"&amp;ROW(),Q71,AModel,FALSE))</f>
        <v>asiOpt_DeltaA71¬2</v>
      </c>
      <c r="T71" s="21" cm="1">
        <f t="array" aca="1" ref="T71" ca="1">_xll.QCube_SumAllRows(S71)</f>
        <v>-559514.72420971841</v>
      </c>
      <c r="U71" s="11">
        <f t="shared" ca="1" si="79"/>
        <v>0.29603953661889865</v>
      </c>
      <c r="V71" t="str" cm="1">
        <f t="array" aca="1" ref="V71" ca="1">_xll.QRisk_PortfolioVega("euopt_commVegaA"&amp;ROW(),Q71,AModel,I71)</f>
        <v>euopt_commVegaA71¬2</v>
      </c>
      <c r="W71" s="21" cm="1">
        <f t="array" aca="1" ref="W71" ca="1">_xll.QCube_SumAllRows(V71)</f>
        <v>-676894.80651110411</v>
      </c>
      <c r="X71" s="100">
        <f t="shared" ca="1" si="80"/>
        <v>0.35814540027042546</v>
      </c>
    </row>
    <row r="72" spans="1:27" x14ac:dyDescent="0.25">
      <c r="A72" s="6"/>
      <c r="B72" s="6" t="s">
        <v>129</v>
      </c>
      <c r="C72" s="101" t="s">
        <v>346</v>
      </c>
      <c r="D72" s="102"/>
      <c r="E72" s="102"/>
      <c r="F72" s="103">
        <f t="shared" ca="1" si="81"/>
        <v>75</v>
      </c>
      <c r="G72" s="6" t="s">
        <v>287</v>
      </c>
      <c r="H72" s="103">
        <f t="shared" ca="1" si="75"/>
        <v>-1890000</v>
      </c>
      <c r="I72" s="6" t="s">
        <v>21</v>
      </c>
      <c r="J72" s="141" t="str">
        <f t="shared" ca="1" si="76"/>
        <v>USD.LIBOR.3M</v>
      </c>
      <c r="K72" s="141" t="str">
        <f t="shared" ca="1" si="77"/>
        <v>ICE</v>
      </c>
      <c r="L72" s="142" t="s">
        <v>171</v>
      </c>
      <c r="M72" s="142" t="str">
        <f t="shared" ca="1" si="78"/>
        <v>0b</v>
      </c>
      <c r="N72" t="str" cm="1">
        <f t="array" aca="1" ref="N72" ca="1">_xll.QIns_CreateAsianSwap("AsiOpt_Fwd_"&amp;ROW(),IF(C72="",D72:E72,C72),B72,I72,0,H72,K72,I72,L72,M72,,J72,IF(I72="USD","None","ATC"))</f>
        <v>AsiOpt_Fwd_72¬3</v>
      </c>
      <c r="O72" s="14" cm="1">
        <f t="array" aca="1" ref="O72" ca="1">_xll.QIns_ProductParRate(N72,AModel)</f>
        <v>52.629682539682506</v>
      </c>
      <c r="P72" s="11" cm="1">
        <f t="array" aca="1" ref="P72" ca="1">_xll.QModels_GetCompoVol(AModel,B72,I72,F72,E72)</f>
        <v>0.34640696729203457</v>
      </c>
      <c r="Q72" t="str" cm="1">
        <f t="array" aca="1" ref="Q72" ca="1">_xll.QIns_CreateAsianOption("asiOpt_"&amp;ROW(),IF(C72="",D72:E72,C72),B72,I72,F72,G72,H72,K72,I72,L72,M72,,J72)</f>
        <v>asiOpt_72¬3</v>
      </c>
      <c r="R72" s="21" cm="1">
        <f t="array" aca="1" ref="R72" ca="1">_xll.QIns_ProductPV(Q72,AModel,I72)</f>
        <v>-6576389.0581902154</v>
      </c>
      <c r="S72" t="str" cm="1">
        <f t="array" aca="1" ref="S72" ca="1">IF(VLOOKUP(B72,AssetStatic,4,FALSE),_xll.QRisk_PortfolioFxDeltaSpecific("asiOpt_DeltaA"&amp;ROW(),Q72,AModel,B72,"ZAR",FALSE),_xll.QRisk_PortfolioDelta("asiOpt_DeltaA"&amp;ROW(),Q72,AModel,FALSE))</f>
        <v>asiOpt_DeltaA72¬2</v>
      </c>
      <c r="T72" s="21" cm="1">
        <f t="array" aca="1" ref="T72" ca="1">_xll.QCube_SumAllRows(S72)</f>
        <v>-585839.72714580595</v>
      </c>
      <c r="U72" s="11">
        <f t="shared" ca="1" si="79"/>
        <v>0.30996810960095555</v>
      </c>
      <c r="V72" t="str" cm="1">
        <f t="array" aca="1" ref="V72" ca="1">_xll.QRisk_PortfolioVega("euopt_commVegaA"&amp;ROW(),Q72,AModel,I72)</f>
        <v>euopt_commVegaA72¬2</v>
      </c>
      <c r="W72" s="21" cm="1">
        <f t="array" aca="1" ref="W72" ca="1">_xll.QCube_SumAllRows(V72)</f>
        <v>-715987.61472277343</v>
      </c>
      <c r="X72" s="100">
        <f t="shared" ca="1" si="80"/>
        <v>0.37882942577924522</v>
      </c>
    </row>
    <row r="73" spans="1:27" x14ac:dyDescent="0.25">
      <c r="A73" s="6"/>
      <c r="B73" s="6" t="s">
        <v>129</v>
      </c>
      <c r="C73" s="101" t="s">
        <v>347</v>
      </c>
      <c r="D73" s="102"/>
      <c r="E73" s="102"/>
      <c r="F73" s="103">
        <f t="shared" ca="1" si="81"/>
        <v>75</v>
      </c>
      <c r="G73" s="6" t="s">
        <v>287</v>
      </c>
      <c r="H73" s="103">
        <f t="shared" ca="1" si="75"/>
        <v>-1890000</v>
      </c>
      <c r="I73" s="6" t="s">
        <v>21</v>
      </c>
      <c r="J73" s="141" t="str">
        <f t="shared" ca="1" si="76"/>
        <v>USD.LIBOR.3M</v>
      </c>
      <c r="K73" s="141" t="str">
        <f t="shared" ca="1" si="77"/>
        <v>ICE</v>
      </c>
      <c r="L73" s="142" t="s">
        <v>171</v>
      </c>
      <c r="M73" s="142" t="str">
        <f t="shared" ca="1" si="78"/>
        <v>0b</v>
      </c>
      <c r="N73" t="str" cm="1">
        <f t="array" aca="1" ref="N73" ca="1">_xll.QIns_CreateAsianSwap("AsiOpt_Fwd_"&amp;ROW(),IF(C73="",D73:E73,C73),B73,I73,0,H73,K73,I73,L73,M73,,J73,IF(I73="USD","None","ATC"))</f>
        <v>AsiOpt_Fwd_73¬3</v>
      </c>
      <c r="O73" s="14" cm="1">
        <f t="array" aca="1" ref="O73" ca="1">_xll.QIns_ProductParRate(N73,AModel)</f>
        <v>52.569869791666669</v>
      </c>
      <c r="P73" s="11" cm="1">
        <f t="array" aca="1" ref="P73" ca="1">_xll.QModels_GetCompoVol(AModel,B73,I73,F73,E73)</f>
        <v>0.34640696729203457</v>
      </c>
      <c r="Q73" t="str" cm="1">
        <f t="array" aca="1" ref="Q73" ca="1">_xll.QIns_CreateAsianOption("asiOpt_"&amp;ROW(),IF(C73="",D73:E73,C73),B73,I73,F73,G73,H73,K73,I73,L73,M73,,J73)</f>
        <v>asiOpt_73¬3</v>
      </c>
      <c r="R73" s="21" cm="1">
        <f t="array" aca="1" ref="R73" ca="1">_xll.QIns_ProductPV(Q73,AModel,I73)</f>
        <v>-7024086.9562265696</v>
      </c>
      <c r="S73" t="str" cm="1">
        <f t="array" aca="1" ref="S73" ca="1">IF(VLOOKUP(B73,AssetStatic,4,FALSE),_xll.QRisk_PortfolioFxDeltaSpecific("asiOpt_DeltaA"&amp;ROW(),Q73,AModel,B73,"ZAR",FALSE),_xll.QRisk_PortfolioDelta("asiOpt_DeltaA"&amp;ROW(),Q73,AModel,FALSE))</f>
        <v>asiOpt_DeltaA73¬2</v>
      </c>
      <c r="T73" s="21" cm="1">
        <f t="array" aca="1" ref="T73" ca="1">_xll.QCube_SumAllRows(S73)</f>
        <v>-608302.42486670613</v>
      </c>
      <c r="U73" s="11">
        <f t="shared" ca="1" si="79"/>
        <v>0.32185313485010908</v>
      </c>
      <c r="V73" t="str" cm="1">
        <f t="array" aca="1" ref="V73" ca="1">_xll.QRisk_PortfolioVega("euopt_commVegaA"&amp;ROW(),Q73,AModel,I73)</f>
        <v>euopt_commVegaA73¬3</v>
      </c>
      <c r="W73" s="21" cm="1">
        <f t="array" aca="1" ref="W73" ca="1">_xll.QCube_SumAllRows(V73)</f>
        <v>-750609.50137235224</v>
      </c>
      <c r="X73" s="100">
        <f t="shared" ca="1" si="80"/>
        <v>0.39714788432399589</v>
      </c>
    </row>
    <row r="74" spans="1:27" x14ac:dyDescent="0.25">
      <c r="A74" s="6"/>
      <c r="B74" s="6"/>
      <c r="C74" s="101"/>
      <c r="D74" s="102"/>
      <c r="E74" s="102"/>
      <c r="F74" s="103"/>
      <c r="G74" s="6"/>
      <c r="H74" s="103"/>
      <c r="I74" s="6"/>
      <c r="J74" s="141"/>
      <c r="K74" s="141"/>
      <c r="L74" s="142"/>
      <c r="M74" s="142"/>
      <c r="O74" s="14"/>
      <c r="P74" s="11"/>
      <c r="T74" s="21"/>
      <c r="U74" s="11"/>
      <c r="W74" s="21"/>
      <c r="X74" s="100"/>
    </row>
    <row r="75" spans="1:27" x14ac:dyDescent="0.25">
      <c r="A75" s="6"/>
      <c r="B75" s="6"/>
      <c r="C75" s="101"/>
      <c r="D75" s="102"/>
      <c r="E75" s="102"/>
      <c r="F75" s="103"/>
      <c r="G75" s="6"/>
      <c r="H75" s="103"/>
      <c r="I75" s="6"/>
      <c r="J75" s="141"/>
      <c r="K75" s="141"/>
      <c r="L75" s="142"/>
      <c r="M75" s="142"/>
      <c r="O75" s="14"/>
      <c r="P75" s="11"/>
      <c r="T75" s="21"/>
      <c r="U75" s="11"/>
      <c r="W75" s="21"/>
      <c r="X75" s="100"/>
      <c r="Z75" s="21"/>
      <c r="AA75" s="100"/>
    </row>
    <row r="76" spans="1:27" x14ac:dyDescent="0.25">
      <c r="A76" s="6"/>
      <c r="B76" s="6"/>
      <c r="C76" s="102"/>
      <c r="D76" s="102"/>
      <c r="E76" s="102"/>
      <c r="F76" s="103"/>
      <c r="G76" s="6"/>
      <c r="H76" s="103"/>
      <c r="I76" s="6"/>
      <c r="J76" s="141"/>
      <c r="K76" s="141"/>
      <c r="L76" s="141"/>
      <c r="M76" s="141"/>
    </row>
    <row r="77" spans="1:27" s="185" customFormat="1" x14ac:dyDescent="0.25">
      <c r="A77" s="6"/>
      <c r="B77" s="6"/>
      <c r="C77" s="103">
        <f ca="1">'FX-IR'!D15*'FX-IR'!D12</f>
        <v>27025.643252000002</v>
      </c>
      <c r="D77" s="102"/>
      <c r="E77" s="102" t="s">
        <v>374</v>
      </c>
      <c r="F77" s="103">
        <v>850</v>
      </c>
      <c r="G77" s="6"/>
      <c r="H77" s="103"/>
      <c r="I77" s="6"/>
      <c r="J77" s="141"/>
      <c r="K77" s="141"/>
      <c r="L77" s="141"/>
      <c r="M77" s="141"/>
      <c r="R77" s="21"/>
    </row>
    <row r="78" spans="1:27" x14ac:dyDescent="0.25">
      <c r="A78" s="6"/>
      <c r="B78" s="6"/>
      <c r="C78" s="210">
        <f ca="1">C77*32.15</f>
        <v>868874.43055180006</v>
      </c>
      <c r="D78" s="102"/>
      <c r="E78" s="102" t="s">
        <v>375</v>
      </c>
      <c r="F78" s="103">
        <v>913</v>
      </c>
      <c r="G78" s="6"/>
      <c r="H78" s="103"/>
      <c r="I78" s="6"/>
      <c r="J78" s="141"/>
      <c r="K78" s="141"/>
      <c r="L78" s="141"/>
      <c r="M78" s="141"/>
      <c r="O78" s="23">
        <f ca="1">SUM(R79:R84)</f>
        <v>451675.88128738664</v>
      </c>
      <c r="P78">
        <f ca="1">O78/SUM(H79:H81)</f>
        <v>9.0335176257477325</v>
      </c>
    </row>
    <row r="79" spans="1:27" s="185" customFormat="1" x14ac:dyDescent="0.25">
      <c r="A79" s="6" t="s">
        <v>379</v>
      </c>
      <c r="B79" s="6" t="s">
        <v>10</v>
      </c>
      <c r="C79" s="101">
        <v>44287</v>
      </c>
      <c r="D79" s="102">
        <f t="array" aca="1" ref="D79:E79" ca="1">_xll.QDates_DatesForPeriodCode(C79)</f>
        <v>44287</v>
      </c>
      <c r="E79" s="102">
        <f ca="1"/>
        <v>44316</v>
      </c>
      <c r="F79" s="103">
        <f ca="1">F78*1000/32.15</f>
        <v>28398.133748055989</v>
      </c>
      <c r="G79" s="6" t="s">
        <v>287</v>
      </c>
      <c r="H79" s="103">
        <f ca="1">50000/3</f>
        <v>16666.666666666668</v>
      </c>
      <c r="I79" s="6" t="s">
        <v>1</v>
      </c>
      <c r="J79" s="141" t="str">
        <f t="shared" ref="J79:J84" ca="1" si="82">IF(I79="USD","USD.LIBOR.3M",I79&amp;".DISC.[USD.LIBOR.3M]")</f>
        <v>ZAR.DISC.[USD.LIBOR.3M]</v>
      </c>
      <c r="K79" s="141" t="str">
        <f t="shared" ref="K79:K84" ca="1" si="83">VLOOKUP(B79,AssetStatic,3,FALSE)</f>
        <v>LON</v>
      </c>
      <c r="L79" s="142" t="s">
        <v>171</v>
      </c>
      <c r="M79" s="142" t="str">
        <f t="shared" ref="M79:M84" ca="1" si="84">VLOOKUP(B79,AssetStatic,2,FALSE)</f>
        <v>2b</v>
      </c>
      <c r="N79" s="185" t="str">
        <f ca="1">_xll.QIns_CreateAsianSwap("AsiOpt_Fwd_"&amp;ROW(),IF(C79="",D79:E79,C79),B79,I79,0,H79,K79,I79,L79,M79,,J79,IF(I79="USD","None","ATC"))</f>
        <v>AsiOpt_Fwd_79¬3</v>
      </c>
      <c r="O79" s="14">
        <f ca="1">_xll.QIns_ProductParRate(N79,AModel)</f>
        <v>27269.073430465894</v>
      </c>
      <c r="P79" s="11" cm="1">
        <f t="array" aca="1" ref="P79" ca="1">_xll.QModels_GetCompoVol(AModel,B79,I79,F79,E79)</f>
        <v>0.19053046796396766</v>
      </c>
      <c r="Q79" s="185" t="str" cm="1">
        <f t="array" aca="1" ref="Q79" ca="1">_xll.QIns_CreateAsianOption("asiOpt_"&amp;ROW(),IF(C79="",D79:E79,C79),B79,I79,F79,G79,H79,K79,I79,L79,M79,,J79)</f>
        <v>asiOpt_79¬3</v>
      </c>
      <c r="R79" s="21" cm="1">
        <f t="array" aca="1" ref="R79" ca="1">_xll.QIns_ProductPV(Q79,AModel,I79)</f>
        <v>6687869.8561428702</v>
      </c>
      <c r="S79" s="185" t="str" cm="1">
        <f t="array" aca="1" ref="S79" ca="1">IF(VLOOKUP(B79,AssetStatic,4,FALSE),_xll.QRisk_PortfolioFxDeltaSpecific("asiOpt_DeltaA"&amp;ROW(),Q79,AModel,B79,"ZAR",FALSE),_xll.QRisk_PortfolioDelta("asiOpt_DeltaA"&amp;ROW(),Q79,AModel,FALSE))</f>
        <v>asiOpt_DeltaA79¬4</v>
      </c>
      <c r="T79" s="21" cm="1">
        <f t="array" aca="1" ref="T79" ca="1">_xll.QCube_SumAllRows(S79)</f>
        <v>5192.9590199337399</v>
      </c>
      <c r="U79" s="11">
        <f t="shared" ref="U79:U84" ca="1" si="85">T79/H79</f>
        <v>0.31157754119602438</v>
      </c>
      <c r="V79" s="185" t="str" cm="1">
        <f t="array" aca="1" ref="V79" ca="1">_xll.QRisk_PortfolioVega("euopt_commVegaA"&amp;ROW(),Q79,AModel,I79)</f>
        <v>euopt_commVegaA79¬3</v>
      </c>
      <c r="W79" s="21" cm="1">
        <f t="array" aca="1" ref="W79" ca="1">_xll.QCube_SumAllRows(V79)</f>
        <v>0</v>
      </c>
      <c r="X79" s="100">
        <f t="shared" ref="X79:X84" ca="1" si="86">W79/H79</f>
        <v>0</v>
      </c>
      <c r="Y79" s="185" t="str" cm="1">
        <f t="array" aca="1" ref="Y79" ca="1">_xll.QRisk_PortfolioFxVega("euOpt_fxVegaA"&amp;ROW(),Q79,AModel,I79)</f>
        <v>euOpt_fxVegaA79¬0</v>
      </c>
      <c r="Z79" s="21" cm="1">
        <f t="array" aca="1" ref="Z79" ca="1">_xll.QCube_SumAllRows(Y79)</f>
        <v>768342.4873267673</v>
      </c>
      <c r="AA79" s="100">
        <f t="shared" ref="AA79:AA84" ca="1" si="87">Z79/H79</f>
        <v>46.100549239606032</v>
      </c>
    </row>
    <row r="80" spans="1:27" s="185" customFormat="1" x14ac:dyDescent="0.25">
      <c r="A80" s="6" t="s">
        <v>379</v>
      </c>
      <c r="B80" s="6" t="s">
        <v>10</v>
      </c>
      <c r="C80" s="101">
        <v>44317</v>
      </c>
      <c r="D80" s="102">
        <f t="array" aca="1" ref="D80:E80" ca="1">_xll.QDates_DatesForPeriodCode(C80)</f>
        <v>44317</v>
      </c>
      <c r="E80" s="102">
        <f ca="1"/>
        <v>44347</v>
      </c>
      <c r="F80" s="103">
        <f ca="1">F79</f>
        <v>28398.133748055989</v>
      </c>
      <c r="G80" s="6" t="s">
        <v>287</v>
      </c>
      <c r="H80" s="103">
        <f ca="1">H79</f>
        <v>16666.666666666668</v>
      </c>
      <c r="I80" s="6" t="s">
        <v>1</v>
      </c>
      <c r="J80" s="141" t="str">
        <f t="shared" ca="1" si="82"/>
        <v>ZAR.DISC.[USD.LIBOR.3M]</v>
      </c>
      <c r="K80" s="141" t="str">
        <f t="shared" ca="1" si="83"/>
        <v>LON</v>
      </c>
      <c r="L80" s="142" t="s">
        <v>171</v>
      </c>
      <c r="M80" s="142" t="str">
        <f t="shared" ca="1" si="84"/>
        <v>2b</v>
      </c>
      <c r="N80" s="185" t="str" cm="1">
        <f t="array" aca="1" ref="N80" ca="1">_xll.QIns_CreateAsianSwap("AsiOpt_Fwd_"&amp;ROW(),IF(C80="",D80:E80,C80),B80,I80,0,H80,K80,I80,L80,M80,,J80,IF(I80="USD","None","ATC"))</f>
        <v>AsiOpt_Fwd_80¬0</v>
      </c>
      <c r="O80" s="14" cm="1">
        <f t="array" aca="1" ref="O80" ca="1">_xll.QIns_ProductParRate(N80,AModel)</f>
        <v>27377.133039079778</v>
      </c>
      <c r="P80" s="11" cm="1">
        <f t="array" aca="1" ref="P80" ca="1">_xll.QModels_GetCompoVol(AModel,B80,I80,F80,E80)</f>
        <v>0.19401516182734713</v>
      </c>
      <c r="Q80" s="185" t="str" cm="1">
        <f t="array" aca="1" ref="Q80" ca="1">_xll.QIns_CreateAsianOption("asiOpt_"&amp;ROW(),IF(C80="",D80:E80,C80),B80,I80,F80,G80,H80,K80,I80,L80,M80,,J80)</f>
        <v>asiOpt_80¬0</v>
      </c>
      <c r="R80" s="21" cm="1">
        <f t="array" aca="1" ref="R80" ca="1">_xll.QIns_ProductPV(Q80,AModel,I80)</f>
        <v>10303108.347134599</v>
      </c>
      <c r="S80" s="185" t="str" cm="1">
        <f t="array" aca="1" ref="S80" ca="1">IF(VLOOKUP(B80,AssetStatic,4,FALSE),_xll.QRisk_PortfolioFxDeltaSpecific("asiOpt_DeltaA"&amp;ROW(),Q80,AModel,B80,"ZAR",FALSE),_xll.QRisk_PortfolioDelta("asiOpt_DeltaA"&amp;ROW(),Q80,AModel,FALSE))</f>
        <v>asiOpt_DeltaA80¬2</v>
      </c>
      <c r="T80" s="21" cm="1">
        <f t="array" aca="1" ref="T80" ca="1">_xll.QCube_SumAllRows(S80)</f>
        <v>6123.0948920787514</v>
      </c>
      <c r="U80" s="11">
        <f t="shared" ca="1" si="85"/>
        <v>0.36738569352472505</v>
      </c>
      <c r="V80" s="185" t="str" cm="1">
        <f t="array" aca="1" ref="V80" ca="1">_xll.QRisk_PortfolioVega("euopt_commVegaA"&amp;ROW(),Q80,AModel,I80)</f>
        <v>euopt_commVegaA80¬0</v>
      </c>
      <c r="W80" s="21" cm="1">
        <f t="array" aca="1" ref="W80" ca="1">_xll.QCube_SumAllRows(V80)</f>
        <v>0</v>
      </c>
      <c r="X80" s="100">
        <f t="shared" ca="1" si="86"/>
        <v>0</v>
      </c>
      <c r="Y80" s="185" t="str" cm="1">
        <f t="array" aca="1" ref="Y80" ca="1">_xll.QRisk_PortfolioFxVega("euOpt_fxVegaA"&amp;ROW(),Q80,AModel,I80)</f>
        <v>euOpt_fxVegaA80¬0</v>
      </c>
      <c r="Z80" s="21" cm="1">
        <f t="array" aca="1" ref="Z80" ca="1">_xll.QCube_SumAllRows(Y80)</f>
        <v>995657.99471370876</v>
      </c>
      <c r="AA80" s="100">
        <f t="shared" ca="1" si="87"/>
        <v>59.73947968282252</v>
      </c>
    </row>
    <row r="81" spans="1:27" s="185" customFormat="1" x14ac:dyDescent="0.25">
      <c r="A81" s="6" t="s">
        <v>379</v>
      </c>
      <c r="B81" s="6" t="s">
        <v>10</v>
      </c>
      <c r="C81" s="101">
        <v>44348</v>
      </c>
      <c r="D81" s="102">
        <f t="array" aca="1" ref="D81:E81" ca="1">_xll.QDates_DatesForPeriodCode(C81)</f>
        <v>44348</v>
      </c>
      <c r="E81" s="102">
        <f ca="1"/>
        <v>44377</v>
      </c>
      <c r="F81" s="103">
        <f ca="1">F80</f>
        <v>28398.133748055989</v>
      </c>
      <c r="G81" s="6" t="s">
        <v>287</v>
      </c>
      <c r="H81" s="103">
        <f ca="1">H80</f>
        <v>16666.666666666668</v>
      </c>
      <c r="I81" s="6" t="s">
        <v>1</v>
      </c>
      <c r="J81" s="141" t="str">
        <f t="shared" ca="1" si="82"/>
        <v>ZAR.DISC.[USD.LIBOR.3M]</v>
      </c>
      <c r="K81" s="141" t="str">
        <f t="shared" ca="1" si="83"/>
        <v>LON</v>
      </c>
      <c r="L81" s="142" t="s">
        <v>171</v>
      </c>
      <c r="M81" s="142" t="str">
        <f t="shared" ca="1" si="84"/>
        <v>2b</v>
      </c>
      <c r="N81" s="185" t="str" cm="1">
        <f t="array" aca="1" ref="N81" ca="1">_xll.QIns_CreateAsianSwap("AsiOpt_Fwd_"&amp;ROW(),IF(C81="",D81:E81,C81),B81,I81,0,H81,K81,I81,L81,M81,,J81,IF(I81="USD","None","ATC"))</f>
        <v>AsiOpt_Fwd_81¬0</v>
      </c>
      <c r="O81" s="14" cm="1">
        <f t="array" aca="1" ref="O81" ca="1">_xll.QIns_ProductParRate(N81,AModel)</f>
        <v>27485.093456797138</v>
      </c>
      <c r="P81" s="11" cm="1">
        <f t="array" aca="1" ref="P81" ca="1">_xll.QModels_GetCompoVol(AModel,B81,I81,F81,E81)</f>
        <v>0.196373602200168</v>
      </c>
      <c r="Q81" s="185" t="str" cm="1">
        <f t="array" aca="1" ref="Q81" ca="1">_xll.QIns_CreateAsianOption("asiOpt_"&amp;ROW(),IF(C81="",D81:E81,C81),B81,I81,F81,G81,H81,K81,I81,L81,M81,,J81)</f>
        <v>asiOpt_81¬0</v>
      </c>
      <c r="R81" s="21" cm="1">
        <f t="array" aca="1" ref="R81" ca="1">_xll.QIns_ProductPV(Q81,AModel,I81)</f>
        <v>13737129.334790295</v>
      </c>
      <c r="S81" s="185" t="str" cm="1">
        <f t="array" aca="1" ref="S81" ca="1">IF(VLOOKUP(B81,AssetStatic,4,FALSE),_xll.QRisk_PortfolioFxDeltaSpecific("asiOpt_DeltaA"&amp;ROW(),Q81,AModel,B81,"ZAR",FALSE),_xll.QRisk_PortfolioDelta("asiOpt_DeltaA"&amp;ROW(),Q81,AModel,FALSE))</f>
        <v>asiOpt_DeltaA81¬2</v>
      </c>
      <c r="T81" s="21" cm="1">
        <f t="array" aca="1" ref="T81" ca="1">_xll.QCube_SumAllRows(S81)</f>
        <v>6755.7349144689751</v>
      </c>
      <c r="U81" s="11">
        <f t="shared" ca="1" si="85"/>
        <v>0.40534409486813849</v>
      </c>
      <c r="V81" s="185" t="str" cm="1">
        <f t="array" aca="1" ref="V81" ca="1">_xll.QRisk_PortfolioVega("euopt_commVegaA"&amp;ROW(),Q81,AModel,I81)</f>
        <v>euopt_commVegaA81¬0</v>
      </c>
      <c r="W81" s="21" cm="1">
        <f t="array" aca="1" ref="W81" ca="1">_xll.QCube_SumAllRows(V81)</f>
        <v>0</v>
      </c>
      <c r="X81" s="100">
        <f t="shared" ca="1" si="86"/>
        <v>0</v>
      </c>
      <c r="Y81" s="185" t="str" cm="1">
        <f t="array" aca="1" ref="Y81" ca="1">_xll.QRisk_PortfolioFxVega("euOpt_fxVegaA"&amp;ROW(),Q81,AModel,I81)</f>
        <v>euOpt_fxVegaA81¬0</v>
      </c>
      <c r="Z81" s="21" cm="1">
        <f t="array" aca="1" ref="Z81" ca="1">_xll.QCube_SumAllRows(Y81)</f>
        <v>1179126.6907312721</v>
      </c>
      <c r="AA81" s="100">
        <f t="shared" ca="1" si="87"/>
        <v>70.74760144387632</v>
      </c>
    </row>
    <row r="82" spans="1:27" s="185" customFormat="1" x14ac:dyDescent="0.25">
      <c r="A82" s="6" t="s">
        <v>379</v>
      </c>
      <c r="B82" s="6" t="s">
        <v>10</v>
      </c>
      <c r="C82" s="101">
        <f ca="1">C79</f>
        <v>44287</v>
      </c>
      <c r="D82" s="102">
        <f t="array" aca="1" ref="D82:E82" ca="1">_xll.QDates_DatesForPeriodCode(C82)</f>
        <v>44287</v>
      </c>
      <c r="E82" s="102">
        <f ca="1"/>
        <v>44316</v>
      </c>
      <c r="F82" s="103">
        <f ca="1">F77*1000/32.15</f>
        <v>26438.569206842923</v>
      </c>
      <c r="G82" s="6" t="s">
        <v>166</v>
      </c>
      <c r="H82" s="103">
        <f ca="1">-H79</f>
        <v>-16666.666666666668</v>
      </c>
      <c r="I82" s="6" t="s">
        <v>1</v>
      </c>
      <c r="J82" s="141" t="str">
        <f t="shared" ca="1" si="82"/>
        <v>ZAR.DISC.[USD.LIBOR.3M]</v>
      </c>
      <c r="K82" s="141" t="str">
        <f t="shared" ca="1" si="83"/>
        <v>LON</v>
      </c>
      <c r="L82" s="142" t="s">
        <v>171</v>
      </c>
      <c r="M82" s="142" t="str">
        <f t="shared" ca="1" si="84"/>
        <v>2b</v>
      </c>
      <c r="N82" s="185" t="str" cm="1">
        <f t="array" aca="1" ref="N82" ca="1">_xll.QIns_CreateAsianSwap("AsiOpt_Fwd_"&amp;ROW(),IF(C82="",D82:E82,C82),B82,I82,0,H82,K82,I82,L82,M82,,J82,IF(I82="USD","None","ATC"))</f>
        <v>AsiOpt_Fwd_82¬0</v>
      </c>
      <c r="O82" s="14" cm="1">
        <f t="array" aca="1" ref="O82" ca="1">_xll.QIns_ProductParRate(N82,AModel)</f>
        <v>27269.073430465894</v>
      </c>
      <c r="P82" s="11" cm="1">
        <f t="array" aca="1" ref="P82" ca="1">_xll.QModels_GetCompoVol(AModel,B82,I82,F82,E82)</f>
        <v>0.19053046796396766</v>
      </c>
      <c r="Q82" s="185" t="str" cm="1">
        <f t="array" aca="1" ref="Q82" ca="1">_xll.QIns_CreateAsianOption("asiOpt_"&amp;ROW(),IF(C82="",D82:E82,C82),B82,I82,F82,G82,H82,K82,I82,L82,M82,,J82)</f>
        <v>asiOpt_82¬0</v>
      </c>
      <c r="R82" s="21" cm="1">
        <f t="array" aca="1" ref="R82" ca="1">_xll.QIns_ProductPV(Q82,AModel,I82)</f>
        <v>-7823072.0156282187</v>
      </c>
      <c r="S82" s="185" t="str" cm="1">
        <f t="array" aca="1" ref="S82" ca="1">IF(VLOOKUP(B82,AssetStatic,4,FALSE),_xll.QRisk_PortfolioFxDeltaSpecific("asiOpt_DeltaA"&amp;ROW(),Q82,AModel,B82,"ZAR",FALSE),_xll.QRisk_PortfolioDelta("asiOpt_DeltaA"&amp;ROW(),Q82,AModel,FALSE))</f>
        <v>asiOpt_DeltaA82¬2</v>
      </c>
      <c r="T82" s="21" cm="1">
        <f t="array" aca="1" ref="T82" ca="1">_xll.QCube_SumAllRows(S82)</f>
        <v>5488.225677067644</v>
      </c>
      <c r="U82" s="11">
        <f t="shared" ca="1" si="85"/>
        <v>-0.32929354062405863</v>
      </c>
      <c r="V82" s="185" t="str" cm="1">
        <f t="array" aca="1" ref="V82" ca="1">_xll.QRisk_PortfolioVega("euopt_commVegaA"&amp;ROW(),Q82,AModel,I82)</f>
        <v>euopt_commVegaA82¬0</v>
      </c>
      <c r="W82" s="21" cm="1">
        <f t="array" aca="1" ref="W82" ca="1">_xll.QCube_SumAllRows(V82)</f>
        <v>0</v>
      </c>
      <c r="X82" s="100">
        <f t="shared" ca="1" si="86"/>
        <v>0</v>
      </c>
      <c r="Y82" s="185" t="str" cm="1">
        <f t="array" aca="1" ref="Y82" ca="1">_xll.QRisk_PortfolioFxVega("euOpt_fxVegaA"&amp;ROW(),Q82,AModel,I82)</f>
        <v>euOpt_fxVegaA82¬0</v>
      </c>
      <c r="Z82" s="21" cm="1">
        <f t="array" aca="1" ref="Z82" ca="1">_xll.QCube_SumAllRows(Y82)</f>
        <v>-785686.5787825454</v>
      </c>
      <c r="AA82" s="100">
        <f t="shared" ca="1" si="87"/>
        <v>47.141194726952719</v>
      </c>
    </row>
    <row r="83" spans="1:27" s="185" customFormat="1" x14ac:dyDescent="0.25">
      <c r="A83" s="6" t="s">
        <v>379</v>
      </c>
      <c r="B83" s="6" t="s">
        <v>10</v>
      </c>
      <c r="C83" s="101">
        <f t="shared" ref="C83:C84" ca="1" si="88">C80</f>
        <v>44317</v>
      </c>
      <c r="D83" s="102">
        <f t="array" aca="1" ref="D83:E83" ca="1">_xll.QDates_DatesForPeriodCode(C83)</f>
        <v>44317</v>
      </c>
      <c r="E83" s="102">
        <f ca="1"/>
        <v>44347</v>
      </c>
      <c r="F83" s="103">
        <f ca="1">F82</f>
        <v>26438.569206842923</v>
      </c>
      <c r="G83" s="6" t="s">
        <v>166</v>
      </c>
      <c r="H83" s="103">
        <f ca="1">H82</f>
        <v>-16666.666666666668</v>
      </c>
      <c r="I83" s="6" t="s">
        <v>1</v>
      </c>
      <c r="J83" s="141" t="str">
        <f t="shared" ca="1" si="82"/>
        <v>ZAR.DISC.[USD.LIBOR.3M]</v>
      </c>
      <c r="K83" s="141" t="str">
        <f t="shared" ca="1" si="83"/>
        <v>LON</v>
      </c>
      <c r="L83" s="142" t="s">
        <v>171</v>
      </c>
      <c r="M83" s="142" t="str">
        <f t="shared" ca="1" si="84"/>
        <v>2b</v>
      </c>
      <c r="N83" s="185" t="str" cm="1">
        <f t="array" aca="1" ref="N83" ca="1">_xll.QIns_CreateAsianSwap("AsiOpt_Fwd_"&amp;ROW(),IF(C83="",D83:E83,C83),B83,I83,0,H83,K83,I83,L83,M83,,J83,IF(I83="USD","None","ATC"))</f>
        <v>AsiOpt_Fwd_83¬0</v>
      </c>
      <c r="O83" s="14" cm="1">
        <f t="array" aca="1" ref="O83" ca="1">_xll.QIns_ProductParRate(N83,AModel)</f>
        <v>27377.133039079778</v>
      </c>
      <c r="P83" s="11" cm="1">
        <f t="array" aca="1" ref="P83" ca="1">_xll.QModels_GetCompoVol(AModel,B83,I83,F83,E83)</f>
        <v>0.19401516182734715</v>
      </c>
      <c r="Q83" s="185" t="str" cm="1">
        <f t="array" aca="1" ref="Q83" ca="1">_xll.QIns_CreateAsianOption("asiOpt_"&amp;ROW(),IF(C83="",D83:E83,C83),B83,I83,F83,G83,H83,K83,I83,L83,M83,,J83)</f>
        <v>asiOpt_83¬0</v>
      </c>
      <c r="R83" s="21" cm="1">
        <f t="array" aca="1" ref="R83" ca="1">_xll.QIns_ProductPV(Q83,AModel,I83)</f>
        <v>-10211805.229711771</v>
      </c>
      <c r="S83" s="185" t="str" cm="1">
        <f t="array" aca="1" ref="S83" ca="1">IF(VLOOKUP(B83,AssetStatic,4,FALSE),_xll.QRisk_PortfolioFxDeltaSpecific("asiOpt_DeltaA"&amp;ROW(),Q83,AModel,B83,"ZAR",FALSE),_xll.QRisk_PortfolioDelta("asiOpt_DeltaA"&amp;ROW(),Q83,AModel,FALSE))</f>
        <v>asiOpt_DeltaA83¬0</v>
      </c>
      <c r="T83" s="21" cm="1">
        <f t="array" aca="1" ref="T83" ca="1">_xll.QCube_SumAllRows(S83)</f>
        <v>5651.8857501211369</v>
      </c>
      <c r="U83" s="11">
        <f t="shared" ca="1" si="85"/>
        <v>-0.33911314500726819</v>
      </c>
      <c r="V83" s="185" t="str" cm="1">
        <f t="array" aca="1" ref="V83" ca="1">_xll.QRisk_PortfolioVega("euopt_commVegaA"&amp;ROW(),Q83,AModel,I83)</f>
        <v>euopt_commVegaA83¬0</v>
      </c>
      <c r="W83" s="21" cm="1">
        <f t="array" aca="1" ref="W83" ca="1">_xll.QCube_SumAllRows(V83)</f>
        <v>0</v>
      </c>
      <c r="X83" s="100">
        <f t="shared" ca="1" si="86"/>
        <v>0</v>
      </c>
      <c r="Y83" s="185" t="str" cm="1">
        <f t="array" aca="1" ref="Y83" ca="1">_xll.QRisk_PortfolioFxVega("euOpt_fxVegaA"&amp;ROW(),Q83,AModel,I83)</f>
        <v>euOpt_fxVegaA83¬0</v>
      </c>
      <c r="Z83" s="21" cm="1">
        <f t="array" aca="1" ref="Z83" ca="1">_xll.QCube_SumAllRows(Y83)</f>
        <v>-967231.93902034312</v>
      </c>
      <c r="AA83" s="100">
        <f t="shared" ca="1" si="87"/>
        <v>58.033916341220582</v>
      </c>
    </row>
    <row r="84" spans="1:27" s="185" customFormat="1" x14ac:dyDescent="0.25">
      <c r="A84" s="6" t="s">
        <v>379</v>
      </c>
      <c r="B84" s="6" t="s">
        <v>10</v>
      </c>
      <c r="C84" s="101">
        <f t="shared" ca="1" si="88"/>
        <v>44348</v>
      </c>
      <c r="D84" s="102">
        <f t="array" aca="1" ref="D84:E84" ca="1">_xll.QDates_DatesForPeriodCode(C84)</f>
        <v>44348</v>
      </c>
      <c r="E84" s="102">
        <f ca="1"/>
        <v>44377</v>
      </c>
      <c r="F84" s="103">
        <f ca="1">F83</f>
        <v>26438.569206842923</v>
      </c>
      <c r="G84" s="6" t="s">
        <v>166</v>
      </c>
      <c r="H84" s="103">
        <f ca="1">H83</f>
        <v>-16666.666666666668</v>
      </c>
      <c r="I84" s="6" t="s">
        <v>1</v>
      </c>
      <c r="J84" s="141" t="str">
        <f t="shared" ca="1" si="82"/>
        <v>ZAR.DISC.[USD.LIBOR.3M]</v>
      </c>
      <c r="K84" s="141" t="str">
        <f t="shared" ca="1" si="83"/>
        <v>LON</v>
      </c>
      <c r="L84" s="142" t="s">
        <v>171</v>
      </c>
      <c r="M84" s="142" t="str">
        <f t="shared" ca="1" si="84"/>
        <v>2b</v>
      </c>
      <c r="N84" s="185" t="str" cm="1">
        <f t="array" aca="1" ref="N84" ca="1">_xll.QIns_CreateAsianSwap("AsiOpt_Fwd_"&amp;ROW(),IF(C84="",D84:E84,C84),B84,I84,0,H84,K84,I84,L84,M84,,J84,IF(I84="USD","None","ATC"))</f>
        <v>AsiOpt_Fwd_84¬3</v>
      </c>
      <c r="O84" s="14" cm="1">
        <f t="array" aca="1" ref="O84" ca="1">_xll.QIns_ProductParRate(N84,AModel)</f>
        <v>27485.093456797138</v>
      </c>
      <c r="P84" s="11" cm="1">
        <f t="array" aca="1" ref="P84" ca="1">_xll.QModels_GetCompoVol(AModel,B84,I84,F84,E84)</f>
        <v>0.196373602200168</v>
      </c>
      <c r="Q84" s="185" t="str" cm="1">
        <f t="array" aca="1" ref="Q84" ca="1">_xll.QIns_CreateAsianOption("asiOpt_"&amp;ROW(),IF(C84="",D84:E84,C84),B84,I84,F84,G84,H84,K84,I84,L84,M84,,J84)</f>
        <v>asiOpt_84¬3</v>
      </c>
      <c r="R84" s="21" cm="1">
        <f t="array" aca="1" ref="R84" ca="1">_xll.QIns_ProductPV(Q84,AModel,I84)</f>
        <v>-12241554.411440389</v>
      </c>
      <c r="S84" s="185" t="str" cm="1">
        <f t="array" aca="1" ref="S84" ca="1">IF(VLOOKUP(B84,AssetStatic,4,FALSE),_xll.QRisk_PortfolioFxDeltaSpecific("asiOpt_DeltaA"&amp;ROW(),Q84,AModel,B84,"ZAR",FALSE),_xll.QRisk_PortfolioDelta("asiOpt_DeltaA"&amp;ROW(),Q84,AModel,FALSE))</f>
        <v>asiOpt_DeltaA84¬2</v>
      </c>
      <c r="T84" s="21" cm="1">
        <f t="array" aca="1" ref="T84" ca="1">_xll.QCube_SumAllRows(S84)</f>
        <v>5712.0468894092983</v>
      </c>
      <c r="U84" s="11">
        <f t="shared" ca="1" si="85"/>
        <v>-0.3427228133645579</v>
      </c>
      <c r="V84" s="185" t="str" cm="1">
        <f t="array" aca="1" ref="V84" ca="1">_xll.QRisk_PortfolioVega("euopt_commVegaA"&amp;ROW(),Q84,AModel,I84)</f>
        <v>euopt_commVegaA84¬2</v>
      </c>
      <c r="W84" s="21" cm="1">
        <f t="array" aca="1" ref="W84" ca="1">_xll.QCube_SumAllRows(V84)</f>
        <v>0</v>
      </c>
      <c r="X84" s="100">
        <f t="shared" ca="1" si="86"/>
        <v>0</v>
      </c>
      <c r="Y84" s="185" t="str" cm="1">
        <f t="array" aca="1" ref="Y84" ca="1">_xll.QRisk_PortfolioFxVega("euOpt_fxVegaA"&amp;ROW(),Q84,AModel,I84)</f>
        <v>euOpt_fxVegaA84¬2</v>
      </c>
      <c r="Z84" s="21" cm="1">
        <f t="array" aca="1" ref="Z84" ca="1">_xll.QCube_SumAllRows(Y84)</f>
        <v>-1117879.2350364476</v>
      </c>
      <c r="AA84" s="100">
        <f t="shared" ca="1" si="87"/>
        <v>67.072754102186849</v>
      </c>
    </row>
    <row r="85" spans="1:27" x14ac:dyDescent="0.25">
      <c r="A85" s="6"/>
      <c r="B85" s="6"/>
      <c r="C85" s="102"/>
      <c r="D85" s="102"/>
      <c r="E85" s="102"/>
      <c r="F85" s="103"/>
      <c r="G85" s="6"/>
      <c r="H85" s="103"/>
      <c r="I85" s="6"/>
      <c r="J85" s="141"/>
      <c r="K85" s="141"/>
      <c r="L85" s="141"/>
      <c r="M85" s="141"/>
    </row>
    <row r="86" spans="1:27" x14ac:dyDescent="0.25">
      <c r="A86" s="6"/>
      <c r="B86" s="6"/>
      <c r="C86" s="102"/>
      <c r="D86" s="102"/>
      <c r="E86" s="102"/>
      <c r="F86" s="103"/>
      <c r="G86" s="6"/>
      <c r="H86" s="103"/>
      <c r="I86" s="6"/>
      <c r="J86" s="141"/>
      <c r="K86" s="141"/>
      <c r="L86" s="141"/>
      <c r="M86" s="141"/>
    </row>
    <row r="87" spans="1:27" x14ac:dyDescent="0.25">
      <c r="A87" s="6"/>
      <c r="B87" s="6"/>
      <c r="C87" s="102"/>
      <c r="D87" s="102"/>
      <c r="E87" s="102"/>
      <c r="F87" s="103"/>
      <c r="G87" s="6"/>
      <c r="H87" s="103"/>
      <c r="I87" s="6"/>
      <c r="J87" s="141"/>
      <c r="K87" s="141"/>
      <c r="L87" s="141"/>
      <c r="M87" s="141"/>
    </row>
    <row r="88" spans="1:27" x14ac:dyDescent="0.25">
      <c r="A88" s="6"/>
      <c r="B88" s="6"/>
      <c r="C88" s="102"/>
      <c r="D88" s="102"/>
      <c r="E88" s="102"/>
      <c r="F88" s="103"/>
      <c r="G88" s="6"/>
      <c r="H88" s="103"/>
      <c r="I88" s="6"/>
      <c r="J88" s="141"/>
      <c r="K88" s="141"/>
      <c r="L88" s="141"/>
      <c r="M88" s="141"/>
    </row>
    <row r="89" spans="1:27" x14ac:dyDescent="0.25">
      <c r="A89" s="6"/>
      <c r="B89" s="6"/>
      <c r="C89" s="102"/>
      <c r="D89" s="102"/>
      <c r="E89" s="102"/>
      <c r="F89" s="103"/>
      <c r="G89" s="6"/>
      <c r="H89" s="103"/>
      <c r="I89" s="6"/>
      <c r="J89" s="141"/>
      <c r="K89" s="141"/>
      <c r="L89" s="141"/>
      <c r="M89" s="141"/>
    </row>
    <row r="90" spans="1:27" x14ac:dyDescent="0.25">
      <c r="A90" s="6"/>
      <c r="B90" s="6"/>
      <c r="C90" s="102"/>
      <c r="D90" s="102"/>
      <c r="E90" s="102"/>
      <c r="F90" s="103"/>
      <c r="G90" s="6"/>
      <c r="H90" s="103"/>
      <c r="I90" s="6"/>
      <c r="J90" s="141"/>
      <c r="K90" s="141"/>
      <c r="L90" s="141"/>
      <c r="M90" s="141"/>
    </row>
    <row r="91" spans="1:27" x14ac:dyDescent="0.25">
      <c r="A91" s="6"/>
      <c r="B91" s="6"/>
      <c r="C91" s="102"/>
      <c r="D91" s="102"/>
      <c r="E91" s="102"/>
      <c r="F91" s="103"/>
      <c r="G91" s="6"/>
      <c r="H91" s="103"/>
      <c r="I91" s="6"/>
      <c r="J91" s="141"/>
      <c r="K91" s="141"/>
      <c r="L91" s="141"/>
      <c r="M91" s="141"/>
    </row>
    <row r="92" spans="1:27" x14ac:dyDescent="0.25">
      <c r="A92" s="6"/>
      <c r="B92" s="6"/>
      <c r="C92" s="102"/>
      <c r="D92" s="102"/>
      <c r="E92" s="102"/>
      <c r="F92" s="103"/>
      <c r="G92" s="6"/>
      <c r="H92" s="103"/>
      <c r="I92" s="6"/>
      <c r="J92" s="141"/>
      <c r="K92" s="141"/>
      <c r="L92" s="141"/>
      <c r="M92" s="141"/>
    </row>
    <row r="93" spans="1:27" x14ac:dyDescent="0.25">
      <c r="A93" s="6"/>
      <c r="B93" s="6"/>
      <c r="C93" s="102"/>
      <c r="D93" s="102"/>
      <c r="E93" s="102"/>
      <c r="F93" s="103"/>
      <c r="G93" s="6"/>
      <c r="H93" s="103"/>
      <c r="I93" s="6"/>
      <c r="J93" s="141"/>
      <c r="K93" s="141"/>
      <c r="L93" s="141"/>
      <c r="M93" s="141"/>
    </row>
    <row r="94" spans="1:27" x14ac:dyDescent="0.25">
      <c r="A94" s="6"/>
      <c r="B94" s="6"/>
      <c r="C94" s="102"/>
      <c r="D94" s="102"/>
      <c r="E94" s="102"/>
      <c r="F94" s="103"/>
      <c r="G94" s="6"/>
      <c r="H94" s="103"/>
      <c r="I94" s="6"/>
      <c r="J94" s="141"/>
      <c r="K94" s="141"/>
      <c r="L94" s="141"/>
      <c r="M94" s="141"/>
    </row>
    <row r="95" spans="1:27" x14ac:dyDescent="0.25">
      <c r="A95" s="6"/>
      <c r="B95" s="6"/>
      <c r="C95" s="102"/>
      <c r="D95" s="102"/>
      <c r="E95" s="102"/>
      <c r="F95" s="103"/>
      <c r="G95" s="6"/>
      <c r="H95" s="103"/>
      <c r="I95" s="6"/>
      <c r="J95" s="141"/>
      <c r="K95" s="141"/>
      <c r="L95" s="141"/>
      <c r="M95" s="141"/>
    </row>
    <row r="96" spans="1:27" x14ac:dyDescent="0.25">
      <c r="A96" s="6"/>
      <c r="B96" s="6"/>
      <c r="C96" s="102"/>
      <c r="D96" s="102"/>
      <c r="E96" s="102"/>
      <c r="F96" s="103"/>
      <c r="G96" s="6"/>
      <c r="H96" s="103"/>
      <c r="I96" s="6"/>
      <c r="J96" s="141"/>
      <c r="K96" s="141"/>
      <c r="L96" s="141"/>
      <c r="M96" s="141"/>
    </row>
    <row r="97" spans="1:13" x14ac:dyDescent="0.25">
      <c r="A97" s="6"/>
      <c r="B97" s="6"/>
      <c r="C97" s="102"/>
      <c r="D97" s="102"/>
      <c r="E97" s="102"/>
      <c r="F97" s="103"/>
      <c r="G97" s="6"/>
      <c r="H97" s="103"/>
      <c r="I97" s="6"/>
      <c r="J97" s="141"/>
      <c r="K97" s="141"/>
      <c r="L97" s="141"/>
      <c r="M97" s="141"/>
    </row>
    <row r="98" spans="1:13" x14ac:dyDescent="0.25">
      <c r="A98" s="6"/>
      <c r="B98" s="6"/>
      <c r="C98" s="102"/>
      <c r="D98" s="102"/>
      <c r="E98" s="102"/>
      <c r="F98" s="103"/>
      <c r="G98" s="6"/>
      <c r="H98" s="103"/>
      <c r="I98" s="6"/>
      <c r="J98" s="141"/>
      <c r="K98" s="141"/>
      <c r="L98" s="141"/>
      <c r="M98" s="141"/>
    </row>
    <row r="99" spans="1:13" x14ac:dyDescent="0.25">
      <c r="A99" s="6"/>
      <c r="B99" s="6"/>
      <c r="C99" s="102"/>
      <c r="D99" s="102"/>
      <c r="E99" s="102"/>
      <c r="F99" s="103"/>
      <c r="G99" s="6"/>
      <c r="H99" s="103"/>
      <c r="I99" s="6"/>
      <c r="J99" s="141"/>
      <c r="K99" s="141"/>
      <c r="L99" s="141"/>
      <c r="M99" s="141"/>
    </row>
    <row r="100" spans="1:13" x14ac:dyDescent="0.25">
      <c r="A100" s="6"/>
      <c r="B100" s="6"/>
      <c r="C100" s="102"/>
      <c r="D100" s="102"/>
      <c r="E100" s="102"/>
      <c r="F100" s="103"/>
      <c r="G100" s="6"/>
      <c r="H100" s="103"/>
      <c r="I100" s="6"/>
      <c r="J100" s="141"/>
      <c r="K100" s="141"/>
      <c r="L100" s="141"/>
      <c r="M100" s="141"/>
    </row>
    <row r="101" spans="1:13" x14ac:dyDescent="0.25">
      <c r="A101" s="6"/>
      <c r="B101" s="6"/>
      <c r="C101" s="102"/>
      <c r="D101" s="102"/>
      <c r="E101" s="102"/>
      <c r="F101" s="103"/>
      <c r="G101" s="6"/>
      <c r="H101" s="103"/>
      <c r="I101" s="6"/>
      <c r="J101" s="141"/>
      <c r="K101" s="141"/>
      <c r="L101" s="141"/>
      <c r="M101" s="141"/>
    </row>
    <row r="102" spans="1:13" x14ac:dyDescent="0.25">
      <c r="A102" s="6"/>
      <c r="B102" s="6"/>
      <c r="C102" s="102"/>
      <c r="D102" s="102"/>
      <c r="E102" s="102"/>
      <c r="F102" s="103"/>
      <c r="G102" s="6"/>
      <c r="H102" s="103"/>
      <c r="I102" s="6"/>
      <c r="J102" s="141"/>
      <c r="K102" s="141"/>
      <c r="L102" s="141"/>
      <c r="M102" s="141"/>
    </row>
    <row r="103" spans="1:13" x14ac:dyDescent="0.25">
      <c r="A103" s="6"/>
      <c r="B103" s="6"/>
      <c r="C103" s="102"/>
      <c r="D103" s="102"/>
      <c r="E103" s="102"/>
      <c r="F103" s="103"/>
      <c r="G103" s="6"/>
      <c r="H103" s="103"/>
      <c r="I103" s="6"/>
      <c r="J103" s="141"/>
      <c r="K103" s="141"/>
      <c r="L103" s="141"/>
      <c r="M103" s="141"/>
    </row>
    <row r="104" spans="1:13" x14ac:dyDescent="0.25">
      <c r="A104" s="6"/>
      <c r="B104" s="6"/>
      <c r="C104" s="102"/>
      <c r="D104" s="102"/>
      <c r="E104" s="102"/>
      <c r="F104" s="103"/>
      <c r="G104" s="6"/>
      <c r="H104" s="103"/>
      <c r="I104" s="6"/>
      <c r="J104" s="141"/>
      <c r="K104" s="141"/>
      <c r="L104" s="141"/>
      <c r="M104" s="141"/>
    </row>
    <row r="105" spans="1:13" x14ac:dyDescent="0.25">
      <c r="A105" s="6"/>
      <c r="B105" s="6"/>
      <c r="C105" s="102"/>
      <c r="D105" s="102"/>
      <c r="E105" s="102"/>
      <c r="F105" s="103"/>
      <c r="G105" s="6"/>
      <c r="H105" s="103"/>
      <c r="I105" s="6"/>
      <c r="J105" s="141"/>
      <c r="K105" s="141"/>
      <c r="L105" s="141"/>
      <c r="M105" s="141"/>
    </row>
    <row r="106" spans="1:13" x14ac:dyDescent="0.25">
      <c r="A106" s="6"/>
      <c r="B106" s="6"/>
      <c r="C106" s="102"/>
      <c r="D106" s="102"/>
      <c r="E106" s="102"/>
      <c r="F106" s="103"/>
      <c r="G106" s="6"/>
      <c r="H106" s="103"/>
      <c r="I106" s="6"/>
      <c r="J106" s="141"/>
      <c r="K106" s="141"/>
      <c r="L106" s="141"/>
      <c r="M106" s="141"/>
    </row>
    <row r="107" spans="1:13" x14ac:dyDescent="0.25">
      <c r="A107" s="6"/>
      <c r="B107" s="6"/>
      <c r="C107" s="102"/>
      <c r="D107" s="102"/>
      <c r="E107" s="102"/>
      <c r="F107" s="103"/>
      <c r="G107" s="6"/>
      <c r="H107" s="103"/>
      <c r="I107" s="6"/>
      <c r="J107" s="141"/>
      <c r="K107" s="141"/>
      <c r="L107" s="141"/>
      <c r="M107" s="141"/>
    </row>
    <row r="108" spans="1:13" x14ac:dyDescent="0.25">
      <c r="A108" s="6"/>
      <c r="B108" s="6"/>
      <c r="C108" s="102"/>
      <c r="D108" s="102"/>
      <c r="E108" s="102"/>
      <c r="F108" s="103"/>
      <c r="G108" s="6"/>
      <c r="H108" s="103"/>
      <c r="I108" s="6"/>
      <c r="J108" s="141"/>
      <c r="K108" s="141"/>
      <c r="L108" s="141"/>
      <c r="M108" s="141"/>
    </row>
    <row r="109" spans="1:13" x14ac:dyDescent="0.25">
      <c r="A109" s="6"/>
      <c r="B109" s="6"/>
      <c r="C109" s="102"/>
      <c r="D109" s="102"/>
      <c r="E109" s="102"/>
      <c r="F109" s="103"/>
      <c r="G109" s="6"/>
      <c r="H109" s="103"/>
      <c r="I109" s="6"/>
      <c r="J109" s="141"/>
      <c r="K109" s="141"/>
      <c r="L109" s="141"/>
      <c r="M109" s="141"/>
    </row>
    <row r="110" spans="1:13" x14ac:dyDescent="0.25">
      <c r="A110" s="6"/>
      <c r="B110" s="6"/>
      <c r="C110" s="102"/>
      <c r="D110" s="102"/>
      <c r="E110" s="102"/>
      <c r="F110" s="103"/>
      <c r="G110" s="6"/>
      <c r="H110" s="103"/>
      <c r="I110" s="6"/>
      <c r="J110" s="141"/>
      <c r="K110" s="141"/>
      <c r="L110" s="141"/>
      <c r="M110" s="141"/>
    </row>
    <row r="111" spans="1:13" x14ac:dyDescent="0.25">
      <c r="A111" s="6"/>
      <c r="B111" s="6"/>
      <c r="C111" s="102"/>
      <c r="D111" s="102"/>
      <c r="E111" s="102"/>
      <c r="F111" s="103"/>
      <c r="G111" s="6"/>
      <c r="H111" s="103"/>
      <c r="I111" s="6"/>
      <c r="J111" s="141"/>
      <c r="K111" s="141"/>
      <c r="L111" s="141"/>
      <c r="M111" s="141"/>
    </row>
    <row r="112" spans="1:13" x14ac:dyDescent="0.25">
      <c r="A112" s="6"/>
      <c r="B112" s="6"/>
      <c r="C112" s="102"/>
      <c r="D112" s="102"/>
      <c r="E112" s="102"/>
      <c r="F112" s="103"/>
      <c r="G112" s="6"/>
      <c r="H112" s="103"/>
      <c r="I112" s="6"/>
      <c r="J112" s="141"/>
      <c r="K112" s="141"/>
      <c r="L112" s="141"/>
      <c r="M112" s="141"/>
    </row>
    <row r="113" spans="1:13" x14ac:dyDescent="0.25">
      <c r="A113" s="6"/>
      <c r="B113" s="6"/>
      <c r="C113" s="102"/>
      <c r="D113" s="102"/>
      <c r="E113" s="102"/>
      <c r="F113" s="103"/>
      <c r="G113" s="6"/>
      <c r="H113" s="103"/>
      <c r="I113" s="6"/>
      <c r="J113" s="141"/>
      <c r="K113" s="141"/>
      <c r="L113" s="141"/>
      <c r="M113" s="141"/>
    </row>
    <row r="114" spans="1:13" x14ac:dyDescent="0.25">
      <c r="A114" s="6"/>
      <c r="B114" s="6"/>
      <c r="C114" s="102"/>
      <c r="D114" s="102"/>
      <c r="E114" s="102"/>
      <c r="F114" s="103"/>
      <c r="G114" s="6"/>
      <c r="H114" s="103"/>
      <c r="I114" s="6"/>
      <c r="J114" s="141"/>
      <c r="K114" s="141"/>
      <c r="L114" s="141"/>
      <c r="M114" s="141"/>
    </row>
    <row r="115" spans="1:13" x14ac:dyDescent="0.25">
      <c r="A115" s="6"/>
      <c r="B115" s="6"/>
      <c r="C115" s="102"/>
      <c r="D115" s="102"/>
      <c r="E115" s="102"/>
      <c r="F115" s="103"/>
      <c r="G115" s="6"/>
      <c r="H115" s="103"/>
      <c r="I115" s="6"/>
      <c r="J115" s="141"/>
      <c r="K115" s="141"/>
      <c r="L115" s="141"/>
      <c r="M115" s="141"/>
    </row>
    <row r="116" spans="1:13" x14ac:dyDescent="0.25">
      <c r="A116" s="6"/>
      <c r="B116" s="6"/>
      <c r="C116" s="102"/>
      <c r="D116" s="102"/>
      <c r="E116" s="102"/>
      <c r="F116" s="103"/>
      <c r="G116" s="6"/>
      <c r="H116" s="103"/>
      <c r="I116" s="6"/>
      <c r="J116" s="141"/>
      <c r="K116" s="141"/>
      <c r="L116" s="141"/>
      <c r="M116" s="141"/>
    </row>
    <row r="117" spans="1:13" x14ac:dyDescent="0.25">
      <c r="A117" s="6"/>
      <c r="B117" s="6"/>
      <c r="C117" s="102"/>
      <c r="D117" s="102"/>
      <c r="E117" s="102"/>
      <c r="F117" s="103"/>
      <c r="G117" s="6"/>
      <c r="H117" s="103"/>
      <c r="I117" s="6"/>
      <c r="J117" s="141"/>
      <c r="K117" s="141"/>
      <c r="L117" s="141"/>
      <c r="M117" s="141"/>
    </row>
    <row r="118" spans="1:13" x14ac:dyDescent="0.25">
      <c r="A118" s="6"/>
      <c r="B118" s="6"/>
      <c r="C118" s="102"/>
      <c r="D118" s="102"/>
      <c r="E118" s="102"/>
      <c r="F118" s="103"/>
      <c r="G118" s="6"/>
      <c r="H118" s="103"/>
      <c r="I118" s="6"/>
      <c r="J118" s="141"/>
      <c r="K118" s="141"/>
      <c r="L118" s="141"/>
      <c r="M118" s="141"/>
    </row>
    <row r="119" spans="1:13" x14ac:dyDescent="0.25">
      <c r="A119" s="6"/>
      <c r="B119" s="6"/>
      <c r="C119" s="102"/>
      <c r="D119" s="102"/>
      <c r="E119" s="102"/>
      <c r="F119" s="103"/>
      <c r="G119" s="6"/>
      <c r="H119" s="103"/>
      <c r="I119" s="6"/>
      <c r="J119" s="141"/>
      <c r="K119" s="141"/>
      <c r="L119" s="141"/>
      <c r="M119" s="141"/>
    </row>
    <row r="120" spans="1:13" x14ac:dyDescent="0.25">
      <c r="A120" s="6"/>
      <c r="B120" s="6"/>
      <c r="C120" s="102"/>
      <c r="D120" s="102"/>
      <c r="E120" s="102"/>
      <c r="F120" s="103"/>
      <c r="G120" s="6"/>
      <c r="H120" s="103"/>
      <c r="I120" s="6"/>
      <c r="J120" s="141"/>
      <c r="K120" s="141"/>
      <c r="L120" s="141"/>
      <c r="M120" s="141"/>
    </row>
    <row r="121" spans="1:13" x14ac:dyDescent="0.25">
      <c r="A121" s="6"/>
      <c r="B121" s="6"/>
      <c r="C121" s="102"/>
      <c r="D121" s="102"/>
      <c r="E121" s="102"/>
      <c r="F121" s="103"/>
      <c r="G121" s="6"/>
      <c r="H121" s="103"/>
      <c r="I121" s="6"/>
      <c r="J121" s="141"/>
      <c r="K121" s="141"/>
      <c r="L121" s="141"/>
      <c r="M121" s="141"/>
    </row>
    <row r="122" spans="1:13" x14ac:dyDescent="0.25">
      <c r="A122" s="6"/>
      <c r="B122" s="6"/>
      <c r="C122" s="102"/>
      <c r="D122" s="102"/>
      <c r="E122" s="102"/>
      <c r="F122" s="103"/>
      <c r="G122" s="6"/>
      <c r="H122" s="103"/>
      <c r="I122" s="6"/>
      <c r="J122" s="141"/>
      <c r="K122" s="141"/>
      <c r="L122" s="141"/>
      <c r="M122" s="141"/>
    </row>
    <row r="123" spans="1:13" x14ac:dyDescent="0.25">
      <c r="A123" s="6"/>
      <c r="B123" s="6"/>
      <c r="C123" s="102"/>
      <c r="D123" s="102"/>
      <c r="E123" s="102"/>
      <c r="F123" s="103"/>
      <c r="G123" s="6"/>
      <c r="H123" s="103"/>
      <c r="I123" s="6"/>
      <c r="J123" s="141"/>
      <c r="K123" s="141"/>
      <c r="L123" s="141"/>
      <c r="M123" s="141"/>
    </row>
    <row r="124" spans="1:13" x14ac:dyDescent="0.25">
      <c r="A124" s="6"/>
      <c r="B124" s="6"/>
      <c r="C124" s="102"/>
      <c r="D124" s="102"/>
      <c r="E124" s="102"/>
      <c r="F124" s="103"/>
      <c r="G124" s="6"/>
      <c r="H124" s="103"/>
      <c r="I124" s="6"/>
      <c r="J124" s="141"/>
      <c r="K124" s="141"/>
      <c r="L124" s="141"/>
      <c r="M124" s="141"/>
    </row>
    <row r="125" spans="1:13" x14ac:dyDescent="0.25">
      <c r="A125" s="6"/>
      <c r="B125" s="6"/>
      <c r="C125" s="102"/>
      <c r="D125" s="102"/>
      <c r="E125" s="102"/>
      <c r="F125" s="103"/>
      <c r="G125" s="6"/>
      <c r="H125" s="103"/>
      <c r="I125" s="6"/>
      <c r="J125" s="141"/>
      <c r="K125" s="141"/>
      <c r="L125" s="141"/>
      <c r="M125" s="141"/>
    </row>
    <row r="126" spans="1:13" x14ac:dyDescent="0.25">
      <c r="A126" s="6"/>
      <c r="B126" s="6"/>
      <c r="C126" s="102"/>
      <c r="D126" s="102"/>
      <c r="E126" s="102"/>
      <c r="F126" s="103"/>
      <c r="G126" s="6"/>
      <c r="H126" s="103"/>
      <c r="I126" s="6"/>
      <c r="J126" s="141"/>
      <c r="K126" s="141"/>
      <c r="L126" s="141"/>
      <c r="M126" s="141"/>
    </row>
    <row r="127" spans="1:13" x14ac:dyDescent="0.25">
      <c r="A127" s="6"/>
      <c r="B127" s="6"/>
      <c r="C127" s="102"/>
      <c r="D127" s="102"/>
      <c r="E127" s="102"/>
      <c r="F127" s="103"/>
      <c r="G127" s="6"/>
      <c r="H127" s="103"/>
      <c r="I127" s="6"/>
      <c r="J127" s="141"/>
      <c r="K127" s="141"/>
      <c r="L127" s="141"/>
      <c r="M127" s="141"/>
    </row>
    <row r="128" spans="1:13" x14ac:dyDescent="0.25">
      <c r="A128" s="6"/>
      <c r="B128" s="6"/>
      <c r="C128" s="102"/>
      <c r="D128" s="102"/>
      <c r="E128" s="102"/>
      <c r="F128" s="103"/>
      <c r="G128" s="6"/>
      <c r="H128" s="103"/>
      <c r="I128" s="6"/>
      <c r="J128" s="141"/>
      <c r="K128" s="141"/>
      <c r="L128" s="141"/>
      <c r="M128" s="141"/>
    </row>
    <row r="129" spans="1:13" x14ac:dyDescent="0.25">
      <c r="A129" s="6"/>
      <c r="B129" s="6"/>
      <c r="C129" s="102"/>
      <c r="D129" s="102"/>
      <c r="E129" s="102"/>
      <c r="F129" s="103"/>
      <c r="G129" s="6"/>
      <c r="H129" s="103"/>
      <c r="I129" s="6"/>
      <c r="J129" s="141"/>
      <c r="K129" s="141"/>
      <c r="L129" s="141"/>
      <c r="M129" s="141"/>
    </row>
    <row r="130" spans="1:13" x14ac:dyDescent="0.25">
      <c r="A130" s="6"/>
      <c r="B130" s="6"/>
      <c r="C130" s="102"/>
      <c r="D130" s="102"/>
      <c r="E130" s="102"/>
      <c r="F130" s="103"/>
      <c r="G130" s="6"/>
      <c r="H130" s="103"/>
      <c r="I130" s="6"/>
      <c r="J130" s="141"/>
      <c r="K130" s="141"/>
      <c r="L130" s="141"/>
      <c r="M130" s="141"/>
    </row>
    <row r="131" spans="1:13" x14ac:dyDescent="0.25">
      <c r="A131" s="6"/>
      <c r="B131" s="6"/>
      <c r="C131" s="102"/>
      <c r="D131" s="102"/>
      <c r="E131" s="102"/>
      <c r="F131" s="103"/>
      <c r="G131" s="6"/>
      <c r="H131" s="103"/>
      <c r="I131" s="6"/>
      <c r="J131" s="141"/>
      <c r="K131" s="141"/>
      <c r="L131" s="141"/>
      <c r="M131" s="141"/>
    </row>
    <row r="132" spans="1:13" x14ac:dyDescent="0.25">
      <c r="A132" s="6"/>
      <c r="B132" s="6"/>
      <c r="C132" s="102"/>
      <c r="D132" s="102"/>
      <c r="E132" s="102"/>
      <c r="F132" s="103"/>
      <c r="G132" s="6"/>
      <c r="H132" s="103"/>
      <c r="I132" s="6"/>
      <c r="J132" s="141"/>
      <c r="K132" s="141"/>
      <c r="L132" s="141"/>
      <c r="M132" s="141"/>
    </row>
    <row r="133" spans="1:13" x14ac:dyDescent="0.25">
      <c r="A133" s="6"/>
      <c r="B133" s="6"/>
      <c r="C133" s="102"/>
      <c r="D133" s="102"/>
      <c r="E133" s="102"/>
      <c r="F133" s="103"/>
      <c r="G133" s="6"/>
      <c r="H133" s="103"/>
      <c r="I133" s="6"/>
      <c r="J133" s="141"/>
      <c r="K133" s="141"/>
      <c r="L133" s="141"/>
      <c r="M133" s="141"/>
    </row>
    <row r="134" spans="1:13" x14ac:dyDescent="0.25">
      <c r="A134" s="6"/>
      <c r="B134" s="6"/>
      <c r="C134" s="102"/>
      <c r="D134" s="102"/>
      <c r="E134" s="102"/>
      <c r="F134" s="103"/>
      <c r="G134" s="6"/>
      <c r="H134" s="103"/>
      <c r="I134" s="6"/>
      <c r="J134" s="141"/>
      <c r="K134" s="141"/>
      <c r="L134" s="141"/>
      <c r="M134" s="141"/>
    </row>
    <row r="135" spans="1:13" x14ac:dyDescent="0.25">
      <c r="A135" s="6"/>
      <c r="B135" s="6"/>
      <c r="C135" s="102"/>
      <c r="D135" s="102"/>
      <c r="E135" s="102"/>
      <c r="F135" s="103"/>
      <c r="G135" s="6"/>
      <c r="H135" s="103"/>
      <c r="I135" s="6"/>
      <c r="J135" s="141"/>
      <c r="K135" s="141"/>
      <c r="L135" s="141"/>
      <c r="M135" s="141"/>
    </row>
    <row r="136" spans="1:13" x14ac:dyDescent="0.25">
      <c r="A136" s="6"/>
      <c r="B136" s="6"/>
      <c r="C136" s="102"/>
      <c r="D136" s="102"/>
      <c r="E136" s="102"/>
      <c r="F136" s="103"/>
      <c r="G136" s="6"/>
      <c r="H136" s="103"/>
      <c r="I136" s="6"/>
      <c r="J136" s="141"/>
      <c r="K136" s="141"/>
      <c r="L136" s="141"/>
      <c r="M136" s="141"/>
    </row>
    <row r="137" spans="1:13" x14ac:dyDescent="0.25">
      <c r="A137" s="6"/>
      <c r="B137" s="6"/>
      <c r="C137" s="102"/>
      <c r="D137" s="102"/>
      <c r="E137" s="102"/>
      <c r="F137" s="103"/>
      <c r="G137" s="6"/>
      <c r="H137" s="103"/>
      <c r="I137" s="6"/>
      <c r="J137" s="141"/>
      <c r="K137" s="141"/>
      <c r="L137" s="141"/>
      <c r="M137" s="141"/>
    </row>
    <row r="138" spans="1:13" x14ac:dyDescent="0.25">
      <c r="A138" s="6"/>
      <c r="B138" s="6"/>
      <c r="C138" s="102"/>
      <c r="D138" s="102"/>
      <c r="E138" s="102"/>
      <c r="F138" s="103"/>
      <c r="G138" s="6"/>
      <c r="H138" s="103"/>
      <c r="I138" s="6"/>
      <c r="J138" s="141"/>
      <c r="K138" s="141"/>
      <c r="L138" s="141"/>
      <c r="M138" s="141"/>
    </row>
    <row r="139" spans="1:13" x14ac:dyDescent="0.25">
      <c r="A139" s="6"/>
      <c r="B139" s="6"/>
      <c r="C139" s="102"/>
      <c r="D139" s="102"/>
      <c r="E139" s="102"/>
      <c r="F139" s="103"/>
      <c r="G139" s="6"/>
      <c r="H139" s="103"/>
      <c r="I139" s="6"/>
      <c r="J139" s="141"/>
      <c r="K139" s="141"/>
      <c r="L139" s="141"/>
      <c r="M139" s="141"/>
    </row>
    <row r="140" spans="1:13" x14ac:dyDescent="0.25">
      <c r="A140" s="6"/>
      <c r="B140" s="6"/>
      <c r="C140" s="102"/>
      <c r="D140" s="102"/>
      <c r="E140" s="102"/>
      <c r="F140" s="103"/>
      <c r="G140" s="6"/>
      <c r="H140" s="103"/>
      <c r="I140" s="6"/>
      <c r="J140" s="141"/>
      <c r="K140" s="141"/>
      <c r="L140" s="141"/>
      <c r="M140" s="141"/>
    </row>
    <row r="141" spans="1:13" x14ac:dyDescent="0.25">
      <c r="A141" s="6"/>
      <c r="B141" s="6"/>
      <c r="C141" s="102"/>
      <c r="D141" s="102"/>
      <c r="E141" s="102"/>
      <c r="F141" s="103"/>
      <c r="G141" s="6"/>
      <c r="H141" s="103"/>
      <c r="I141" s="6"/>
      <c r="J141" s="141"/>
      <c r="K141" s="141"/>
      <c r="L141" s="141"/>
      <c r="M141" s="141"/>
    </row>
    <row r="142" spans="1:13" x14ac:dyDescent="0.25">
      <c r="A142" s="6"/>
      <c r="B142" s="6"/>
      <c r="C142" s="102"/>
      <c r="D142" s="102"/>
      <c r="E142" s="102"/>
      <c r="F142" s="103"/>
      <c r="G142" s="6"/>
      <c r="H142" s="103"/>
      <c r="I142" s="6"/>
      <c r="J142" s="141"/>
      <c r="K142" s="141"/>
      <c r="L142" s="141"/>
      <c r="M142" s="141"/>
    </row>
    <row r="143" spans="1:13" x14ac:dyDescent="0.25">
      <c r="A143" s="6"/>
      <c r="B143" s="6"/>
      <c r="C143" s="102"/>
      <c r="D143" s="102"/>
      <c r="E143" s="102"/>
      <c r="F143" s="103"/>
      <c r="G143" s="6"/>
      <c r="H143" s="103"/>
      <c r="I143" s="6"/>
      <c r="J143" s="141"/>
      <c r="K143" s="141"/>
      <c r="L143" s="141"/>
      <c r="M143" s="141"/>
    </row>
    <row r="144" spans="1:13" x14ac:dyDescent="0.25">
      <c r="A144" s="6"/>
      <c r="B144" s="6"/>
      <c r="C144" s="102"/>
      <c r="D144" s="102"/>
      <c r="E144" s="102"/>
      <c r="F144" s="103"/>
      <c r="G144" s="6"/>
      <c r="H144" s="103"/>
      <c r="I144" s="6"/>
      <c r="J144" s="141"/>
      <c r="K144" s="141"/>
      <c r="L144" s="141"/>
      <c r="M144" s="141"/>
    </row>
    <row r="145" spans="1:13" x14ac:dyDescent="0.25">
      <c r="A145" s="6"/>
      <c r="B145" s="6"/>
      <c r="C145" s="102"/>
      <c r="D145" s="102"/>
      <c r="E145" s="102"/>
      <c r="F145" s="103"/>
      <c r="G145" s="6"/>
      <c r="H145" s="103"/>
      <c r="I145" s="6"/>
      <c r="J145" s="141"/>
      <c r="K145" s="141"/>
      <c r="L145" s="141"/>
      <c r="M145" s="141"/>
    </row>
    <row r="146" spans="1:13" x14ac:dyDescent="0.25">
      <c r="A146" s="6"/>
      <c r="B146" s="6"/>
      <c r="C146" s="102"/>
      <c r="D146" s="102"/>
      <c r="E146" s="102"/>
      <c r="F146" s="103"/>
      <c r="G146" s="6"/>
      <c r="H146" s="103"/>
      <c r="I146" s="6"/>
      <c r="J146" s="141"/>
      <c r="K146" s="141"/>
      <c r="L146" s="141"/>
      <c r="M146" s="141"/>
    </row>
    <row r="147" spans="1:13" x14ac:dyDescent="0.25">
      <c r="A147" s="6"/>
      <c r="B147" s="6"/>
      <c r="C147" s="102"/>
      <c r="D147" s="102"/>
      <c r="E147" s="102"/>
      <c r="F147" s="103"/>
      <c r="G147" s="6"/>
      <c r="H147" s="103"/>
      <c r="I147" s="6"/>
      <c r="J147" s="141"/>
      <c r="K147" s="141"/>
      <c r="L147" s="141"/>
      <c r="M147" s="141"/>
    </row>
    <row r="148" spans="1:13" x14ac:dyDescent="0.25">
      <c r="A148" s="6"/>
      <c r="B148" s="6"/>
      <c r="C148" s="102"/>
      <c r="D148" s="102"/>
      <c r="E148" s="102"/>
      <c r="F148" s="103"/>
      <c r="G148" s="6"/>
      <c r="H148" s="103"/>
      <c r="I148" s="6"/>
      <c r="J148" s="141"/>
      <c r="K148" s="141"/>
      <c r="L148" s="141"/>
      <c r="M148" s="141"/>
    </row>
    <row r="149" spans="1:13" x14ac:dyDescent="0.25">
      <c r="A149" s="6"/>
      <c r="B149" s="6"/>
      <c r="C149" s="102"/>
      <c r="D149" s="102"/>
      <c r="E149" s="102"/>
      <c r="F149" s="103"/>
      <c r="G149" s="6"/>
      <c r="H149" s="103"/>
      <c r="I149" s="6"/>
      <c r="J149" s="141"/>
      <c r="K149" s="141"/>
      <c r="L149" s="141"/>
      <c r="M149" s="141"/>
    </row>
    <row r="150" spans="1:13" x14ac:dyDescent="0.25">
      <c r="A150" s="6"/>
      <c r="B150" s="6"/>
      <c r="C150" s="102"/>
      <c r="D150" s="102"/>
      <c r="E150" s="102"/>
      <c r="F150" s="103"/>
      <c r="G150" s="6"/>
      <c r="H150" s="103"/>
      <c r="I150" s="6"/>
      <c r="J150" s="141"/>
      <c r="K150" s="141"/>
      <c r="L150" s="141"/>
      <c r="M150" s="141"/>
    </row>
    <row r="151" spans="1:13" x14ac:dyDescent="0.25">
      <c r="A151" s="6"/>
      <c r="B151" s="6"/>
      <c r="C151" s="102"/>
      <c r="D151" s="102"/>
      <c r="E151" s="102"/>
      <c r="F151" s="103"/>
      <c r="G151" s="6"/>
      <c r="H151" s="103"/>
      <c r="I151" s="6"/>
      <c r="J151" s="141"/>
      <c r="K151" s="141"/>
      <c r="L151" s="141"/>
      <c r="M151" s="141"/>
    </row>
    <row r="152" spans="1:13" x14ac:dyDescent="0.25">
      <c r="A152" s="6"/>
      <c r="B152" s="6"/>
      <c r="C152" s="102"/>
      <c r="D152" s="102"/>
      <c r="E152" s="102"/>
      <c r="F152" s="103"/>
      <c r="G152" s="6"/>
      <c r="H152" s="103"/>
      <c r="I152" s="6"/>
      <c r="J152" s="141"/>
      <c r="K152" s="141"/>
      <c r="L152" s="141"/>
      <c r="M152" s="141"/>
    </row>
    <row r="153" spans="1:13" x14ac:dyDescent="0.25">
      <c r="A153" s="6"/>
      <c r="B153" s="6"/>
      <c r="C153" s="102"/>
      <c r="D153" s="102"/>
      <c r="E153" s="102"/>
      <c r="F153" s="103"/>
      <c r="G153" s="6"/>
      <c r="H153" s="103"/>
      <c r="I153" s="6"/>
      <c r="J153" s="141"/>
      <c r="K153" s="141"/>
      <c r="L153" s="141"/>
      <c r="M153" s="141"/>
    </row>
    <row r="154" spans="1:13" x14ac:dyDescent="0.25">
      <c r="A154" s="6"/>
      <c r="B154" s="6"/>
      <c r="C154" s="102"/>
      <c r="D154" s="102"/>
      <c r="E154" s="102"/>
      <c r="F154" s="103"/>
      <c r="G154" s="6"/>
      <c r="H154" s="103"/>
      <c r="I154" s="6"/>
      <c r="J154" s="141"/>
      <c r="K154" s="141"/>
      <c r="L154" s="141"/>
      <c r="M154" s="141"/>
    </row>
    <row r="155" spans="1:13" x14ac:dyDescent="0.25">
      <c r="A155" s="6"/>
      <c r="B155" s="6"/>
      <c r="C155" s="102"/>
      <c r="D155" s="102"/>
      <c r="E155" s="102"/>
      <c r="F155" s="103"/>
      <c r="G155" s="6"/>
      <c r="H155" s="103"/>
      <c r="I155" s="6"/>
      <c r="J155" s="141"/>
      <c r="K155" s="141"/>
      <c r="L155" s="141"/>
      <c r="M155" s="141"/>
    </row>
    <row r="156" spans="1:13" x14ac:dyDescent="0.25">
      <c r="A156" s="6"/>
      <c r="B156" s="6"/>
      <c r="C156" s="102"/>
      <c r="D156" s="102"/>
      <c r="E156" s="102"/>
      <c r="F156" s="103"/>
      <c r="G156" s="6"/>
      <c r="H156" s="103"/>
      <c r="I156" s="6"/>
      <c r="J156" s="141"/>
      <c r="K156" s="141"/>
      <c r="L156" s="141"/>
      <c r="M156" s="141"/>
    </row>
    <row r="157" spans="1:13" x14ac:dyDescent="0.25">
      <c r="A157" s="6"/>
      <c r="B157" s="6"/>
      <c r="C157" s="102"/>
      <c r="D157" s="102"/>
      <c r="E157" s="102"/>
      <c r="F157" s="103"/>
      <c r="G157" s="6"/>
      <c r="H157" s="103"/>
      <c r="I157" s="6"/>
      <c r="J157" s="141"/>
      <c r="K157" s="141"/>
      <c r="L157" s="141"/>
      <c r="M157" s="141"/>
    </row>
    <row r="158" spans="1:13" x14ac:dyDescent="0.25">
      <c r="A158" s="6"/>
      <c r="B158" s="6"/>
      <c r="C158" s="102"/>
      <c r="D158" s="102"/>
      <c r="E158" s="102"/>
      <c r="F158" s="103"/>
      <c r="G158" s="6"/>
      <c r="H158" s="103"/>
      <c r="I158" s="6"/>
      <c r="J158" s="141"/>
      <c r="K158" s="141"/>
      <c r="L158" s="141"/>
      <c r="M158" s="141"/>
    </row>
    <row r="159" spans="1:13" x14ac:dyDescent="0.25">
      <c r="A159" s="6"/>
      <c r="B159" s="6"/>
      <c r="C159" s="102"/>
      <c r="D159" s="102"/>
      <c r="E159" s="102"/>
      <c r="F159" s="103"/>
      <c r="G159" s="6"/>
      <c r="H159" s="103"/>
      <c r="I159" s="6"/>
      <c r="J159" s="141"/>
      <c r="K159" s="141"/>
      <c r="L159" s="141"/>
      <c r="M159" s="141"/>
    </row>
    <row r="160" spans="1:13" x14ac:dyDescent="0.25">
      <c r="A160" s="6"/>
      <c r="B160" s="6"/>
      <c r="C160" s="102"/>
      <c r="D160" s="102"/>
      <c r="E160" s="102"/>
      <c r="F160" s="103"/>
      <c r="G160" s="6"/>
      <c r="H160" s="103"/>
      <c r="I160" s="6"/>
      <c r="J160" s="141"/>
      <c r="K160" s="141"/>
      <c r="L160" s="141"/>
      <c r="M160" s="141"/>
    </row>
    <row r="161" spans="1:13" x14ac:dyDescent="0.25">
      <c r="A161" s="6"/>
      <c r="B161" s="6"/>
      <c r="C161" s="102"/>
      <c r="D161" s="102"/>
      <c r="E161" s="102"/>
      <c r="F161" s="103"/>
      <c r="G161" s="6"/>
      <c r="H161" s="103"/>
      <c r="I161" s="6"/>
      <c r="J161" s="141"/>
      <c r="K161" s="141"/>
      <c r="L161" s="141"/>
      <c r="M161" s="141"/>
    </row>
    <row r="162" spans="1:13" x14ac:dyDescent="0.25">
      <c r="A162" s="6"/>
      <c r="B162" s="6"/>
      <c r="C162" s="102"/>
      <c r="D162" s="102"/>
      <c r="E162" s="102"/>
      <c r="F162" s="103"/>
      <c r="G162" s="6"/>
      <c r="H162" s="103"/>
      <c r="I162" s="6"/>
      <c r="J162" s="141"/>
      <c r="K162" s="141"/>
      <c r="L162" s="141"/>
      <c r="M162" s="141"/>
    </row>
    <row r="163" spans="1:13" x14ac:dyDescent="0.25">
      <c r="A163" s="6"/>
      <c r="B163" s="6"/>
      <c r="C163" s="102"/>
      <c r="D163" s="102"/>
      <c r="E163" s="102"/>
      <c r="F163" s="103"/>
      <c r="G163" s="6"/>
      <c r="H163" s="103"/>
      <c r="I163" s="6"/>
      <c r="J163" s="141"/>
      <c r="K163" s="141"/>
      <c r="L163" s="141"/>
      <c r="M163" s="141"/>
    </row>
    <row r="164" spans="1:13" x14ac:dyDescent="0.25">
      <c r="A164" s="6"/>
      <c r="B164" s="6"/>
      <c r="C164" s="102"/>
      <c r="D164" s="102"/>
      <c r="E164" s="102"/>
      <c r="F164" s="103"/>
      <c r="G164" s="6"/>
      <c r="H164" s="103"/>
      <c r="I164" s="6"/>
      <c r="J164" s="141"/>
      <c r="K164" s="141"/>
      <c r="L164" s="141"/>
      <c r="M164" s="141"/>
    </row>
    <row r="165" spans="1:13" x14ac:dyDescent="0.25">
      <c r="A165" s="6"/>
      <c r="B165" s="6"/>
      <c r="C165" s="102"/>
      <c r="D165" s="102"/>
      <c r="E165" s="102"/>
      <c r="F165" s="103"/>
      <c r="G165" s="6"/>
      <c r="H165" s="103"/>
      <c r="I165" s="6"/>
      <c r="J165" s="141"/>
      <c r="K165" s="141"/>
      <c r="L165" s="141"/>
      <c r="M165" s="141"/>
    </row>
    <row r="166" spans="1:13" x14ac:dyDescent="0.25">
      <c r="A166" s="6"/>
      <c r="B166" s="6"/>
      <c r="C166" s="102"/>
      <c r="D166" s="102"/>
      <c r="E166" s="102"/>
      <c r="F166" s="103"/>
      <c r="G166" s="6"/>
      <c r="H166" s="103"/>
      <c r="I166" s="6"/>
      <c r="J166" s="141"/>
      <c r="K166" s="141"/>
      <c r="L166" s="141"/>
      <c r="M166" s="141"/>
    </row>
    <row r="167" spans="1:13" x14ac:dyDescent="0.25">
      <c r="A167" s="6"/>
      <c r="B167" s="6"/>
      <c r="C167" s="102"/>
      <c r="D167" s="102"/>
      <c r="E167" s="102"/>
      <c r="F167" s="103"/>
      <c r="G167" s="6"/>
      <c r="H167" s="103"/>
      <c r="I167" s="6"/>
      <c r="J167" s="141"/>
      <c r="K167" s="141"/>
      <c r="L167" s="141"/>
      <c r="M167" s="141"/>
    </row>
    <row r="168" spans="1:13" x14ac:dyDescent="0.25">
      <c r="A168" s="6"/>
      <c r="B168" s="6"/>
      <c r="C168" s="102"/>
      <c r="D168" s="102"/>
      <c r="E168" s="102"/>
      <c r="F168" s="103"/>
      <c r="G168" s="6"/>
      <c r="H168" s="103"/>
      <c r="I168" s="6"/>
      <c r="J168" s="141"/>
      <c r="K168" s="141"/>
      <c r="L168" s="141"/>
      <c r="M168" s="141"/>
    </row>
    <row r="169" spans="1:13" x14ac:dyDescent="0.25">
      <c r="A169" s="6"/>
      <c r="B169" s="6"/>
      <c r="C169" s="102"/>
      <c r="D169" s="102"/>
      <c r="E169" s="102"/>
      <c r="F169" s="103"/>
      <c r="G169" s="6"/>
      <c r="H169" s="103"/>
      <c r="I169" s="6"/>
      <c r="J169" s="141"/>
      <c r="K169" s="141"/>
      <c r="L169" s="141"/>
      <c r="M169" s="141"/>
    </row>
    <row r="170" spans="1:13" x14ac:dyDescent="0.25">
      <c r="A170" s="6"/>
      <c r="B170" s="6"/>
      <c r="C170" s="102"/>
      <c r="D170" s="102"/>
      <c r="E170" s="102"/>
      <c r="F170" s="103"/>
      <c r="G170" s="6"/>
      <c r="H170" s="103"/>
      <c r="I170" s="6"/>
      <c r="J170" s="141"/>
      <c r="K170" s="141"/>
      <c r="L170" s="141"/>
      <c r="M170" s="141"/>
    </row>
    <row r="171" spans="1:13" x14ac:dyDescent="0.25">
      <c r="A171" s="6"/>
      <c r="B171" s="6"/>
      <c r="C171" s="102"/>
      <c r="D171" s="102"/>
      <c r="E171" s="102"/>
      <c r="F171" s="103"/>
      <c r="G171" s="6"/>
      <c r="H171" s="103"/>
      <c r="I171" s="6"/>
      <c r="J171" s="141"/>
      <c r="K171" s="141"/>
      <c r="L171" s="141"/>
      <c r="M171" s="141"/>
    </row>
    <row r="172" spans="1:13" x14ac:dyDescent="0.25">
      <c r="A172" s="6"/>
      <c r="B172" s="6"/>
      <c r="C172" s="102"/>
      <c r="D172" s="102"/>
      <c r="E172" s="102"/>
      <c r="F172" s="103"/>
      <c r="G172" s="6"/>
      <c r="H172" s="103"/>
      <c r="I172" s="6"/>
      <c r="J172" s="141"/>
      <c r="K172" s="141"/>
      <c r="L172" s="141"/>
      <c r="M172" s="141"/>
    </row>
    <row r="173" spans="1:13" x14ac:dyDescent="0.25">
      <c r="A173" s="6"/>
      <c r="B173" s="6"/>
      <c r="C173" s="102"/>
      <c r="D173" s="102"/>
      <c r="E173" s="102"/>
      <c r="F173" s="103"/>
      <c r="G173" s="6"/>
      <c r="H173" s="103"/>
      <c r="I173" s="6"/>
      <c r="J173" s="141"/>
      <c r="K173" s="141"/>
      <c r="L173" s="141"/>
      <c r="M173" s="141"/>
    </row>
    <row r="174" spans="1:13" x14ac:dyDescent="0.25">
      <c r="A174" s="6"/>
      <c r="B174" s="6"/>
      <c r="C174" s="102"/>
      <c r="D174" s="102"/>
      <c r="E174" s="102"/>
      <c r="F174" s="103"/>
      <c r="G174" s="6"/>
      <c r="H174" s="103"/>
      <c r="I174" s="6"/>
      <c r="J174" s="141"/>
      <c r="K174" s="141"/>
      <c r="L174" s="141"/>
      <c r="M174" s="141"/>
    </row>
    <row r="175" spans="1:13" x14ac:dyDescent="0.25">
      <c r="A175" s="6"/>
      <c r="B175" s="6"/>
      <c r="C175" s="102"/>
      <c r="D175" s="102"/>
      <c r="E175" s="102"/>
      <c r="F175" s="103"/>
      <c r="G175" s="6"/>
      <c r="H175" s="103"/>
      <c r="I175" s="6"/>
      <c r="J175" s="141"/>
      <c r="K175" s="141"/>
      <c r="L175" s="141"/>
      <c r="M175" s="141"/>
    </row>
    <row r="176" spans="1:13" x14ac:dyDescent="0.25">
      <c r="A176" s="6"/>
      <c r="B176" s="6"/>
      <c r="C176" s="102"/>
      <c r="D176" s="102"/>
      <c r="E176" s="102"/>
      <c r="F176" s="103"/>
      <c r="G176" s="6"/>
      <c r="H176" s="103"/>
      <c r="I176" s="6"/>
      <c r="J176" s="141"/>
      <c r="K176" s="141"/>
      <c r="L176" s="141"/>
      <c r="M176" s="141"/>
    </row>
    <row r="177" spans="1:13" x14ac:dyDescent="0.25">
      <c r="A177" s="6"/>
      <c r="B177" s="6"/>
      <c r="C177" s="102"/>
      <c r="D177" s="102"/>
      <c r="E177" s="102"/>
      <c r="F177" s="103"/>
      <c r="G177" s="6"/>
      <c r="H177" s="103"/>
      <c r="I177" s="6"/>
      <c r="J177" s="141"/>
      <c r="K177" s="141"/>
      <c r="L177" s="141"/>
      <c r="M177" s="141"/>
    </row>
    <row r="178" spans="1:13" x14ac:dyDescent="0.25">
      <c r="A178" s="6"/>
      <c r="B178" s="6"/>
      <c r="C178" s="102"/>
      <c r="D178" s="102"/>
      <c r="E178" s="102"/>
      <c r="F178" s="103"/>
      <c r="G178" s="6"/>
      <c r="H178" s="103"/>
      <c r="I178" s="6"/>
      <c r="J178" s="141"/>
      <c r="K178" s="141"/>
      <c r="L178" s="141"/>
      <c r="M178" s="141"/>
    </row>
    <row r="179" spans="1:13" x14ac:dyDescent="0.25">
      <c r="A179" s="6"/>
      <c r="B179" s="6"/>
      <c r="C179" s="102"/>
      <c r="D179" s="102"/>
      <c r="E179" s="102"/>
      <c r="F179" s="103"/>
      <c r="G179" s="6"/>
      <c r="H179" s="103"/>
      <c r="I179" s="6"/>
      <c r="J179" s="141"/>
      <c r="K179" s="141"/>
      <c r="L179" s="141"/>
      <c r="M179" s="141"/>
    </row>
    <row r="180" spans="1:13" x14ac:dyDescent="0.25">
      <c r="A180" s="6"/>
      <c r="B180" s="6"/>
      <c r="C180" s="102"/>
      <c r="D180" s="102"/>
      <c r="E180" s="102"/>
      <c r="F180" s="103"/>
      <c r="G180" s="6"/>
      <c r="H180" s="103"/>
      <c r="I180" s="6"/>
      <c r="J180" s="141"/>
      <c r="K180" s="141"/>
      <c r="L180" s="141"/>
      <c r="M180" s="141"/>
    </row>
    <row r="181" spans="1:13" x14ac:dyDescent="0.25">
      <c r="A181" s="6"/>
      <c r="B181" s="6"/>
      <c r="C181" s="102"/>
      <c r="D181" s="102"/>
      <c r="E181" s="102"/>
      <c r="F181" s="103"/>
      <c r="G181" s="6"/>
      <c r="H181" s="103"/>
      <c r="I181" s="6"/>
      <c r="J181" s="141"/>
      <c r="K181" s="141"/>
      <c r="L181" s="141"/>
      <c r="M181" s="141"/>
    </row>
    <row r="182" spans="1:13" x14ac:dyDescent="0.25">
      <c r="A182" s="6"/>
      <c r="B182" s="6"/>
      <c r="C182" s="102"/>
      <c r="D182" s="102"/>
      <c r="E182" s="102"/>
      <c r="F182" s="103"/>
      <c r="G182" s="6"/>
      <c r="H182" s="103"/>
      <c r="I182" s="6"/>
      <c r="J182" s="141"/>
      <c r="K182" s="141"/>
      <c r="L182" s="141"/>
      <c r="M182" s="141"/>
    </row>
    <row r="183" spans="1:13" x14ac:dyDescent="0.25">
      <c r="A183" s="6"/>
      <c r="B183" s="6"/>
      <c r="C183" s="102"/>
      <c r="D183" s="102"/>
      <c r="E183" s="102"/>
      <c r="F183" s="103"/>
      <c r="G183" s="6"/>
      <c r="H183" s="103"/>
      <c r="I183" s="6"/>
      <c r="J183" s="141"/>
      <c r="K183" s="141"/>
      <c r="L183" s="141"/>
      <c r="M183" s="141"/>
    </row>
    <row r="184" spans="1:13" x14ac:dyDescent="0.25">
      <c r="A184" s="6"/>
      <c r="B184" s="6"/>
      <c r="C184" s="102"/>
      <c r="D184" s="102"/>
      <c r="E184" s="102"/>
      <c r="F184" s="103"/>
      <c r="G184" s="6"/>
      <c r="H184" s="103"/>
      <c r="I184" s="6"/>
      <c r="J184" s="141"/>
      <c r="K184" s="141"/>
      <c r="L184" s="141"/>
      <c r="M184" s="141"/>
    </row>
    <row r="185" spans="1:13" x14ac:dyDescent="0.25">
      <c r="A185" s="6"/>
      <c r="B185" s="6"/>
      <c r="C185" s="102"/>
      <c r="D185" s="102"/>
      <c r="E185" s="102"/>
      <c r="F185" s="103"/>
      <c r="G185" s="6"/>
      <c r="H185" s="103"/>
      <c r="I185" s="6"/>
      <c r="J185" s="141"/>
      <c r="K185" s="141"/>
      <c r="L185" s="141"/>
      <c r="M185" s="141"/>
    </row>
    <row r="186" spans="1:13" x14ac:dyDescent="0.25">
      <c r="A186" s="6"/>
      <c r="B186" s="6"/>
      <c r="C186" s="102"/>
      <c r="D186" s="102"/>
      <c r="E186" s="102"/>
      <c r="F186" s="103"/>
      <c r="G186" s="6"/>
      <c r="H186" s="103"/>
      <c r="I186" s="6"/>
      <c r="J186" s="141"/>
      <c r="K186" s="141"/>
      <c r="L186" s="141"/>
      <c r="M186" s="141"/>
    </row>
    <row r="187" spans="1:13" x14ac:dyDescent="0.25">
      <c r="A187" s="6"/>
      <c r="B187" s="6"/>
      <c r="C187" s="102"/>
      <c r="D187" s="102"/>
      <c r="E187" s="102"/>
      <c r="F187" s="103"/>
      <c r="G187" s="6"/>
      <c r="H187" s="103"/>
      <c r="I187" s="6"/>
      <c r="J187" s="141"/>
      <c r="K187" s="141"/>
      <c r="L187" s="141"/>
      <c r="M187" s="141"/>
    </row>
    <row r="188" spans="1:13" x14ac:dyDescent="0.25">
      <c r="A188" s="6"/>
      <c r="B188" s="6"/>
      <c r="C188" s="102"/>
      <c r="D188" s="102"/>
      <c r="E188" s="102"/>
      <c r="F188" s="103"/>
      <c r="G188" s="6"/>
      <c r="H188" s="103"/>
      <c r="I188" s="6"/>
      <c r="J188" s="141"/>
      <c r="K188" s="141"/>
      <c r="L188" s="141"/>
      <c r="M188" s="141"/>
    </row>
    <row r="189" spans="1:13" x14ac:dyDescent="0.25">
      <c r="A189" s="6"/>
      <c r="B189" s="6"/>
      <c r="C189" s="102"/>
      <c r="D189" s="102"/>
      <c r="E189" s="102"/>
      <c r="F189" s="103"/>
      <c r="G189" s="6"/>
      <c r="H189" s="103"/>
      <c r="I189" s="6"/>
      <c r="J189" s="141"/>
      <c r="K189" s="141"/>
      <c r="L189" s="141"/>
      <c r="M189" s="141"/>
    </row>
    <row r="190" spans="1:13" x14ac:dyDescent="0.25">
      <c r="A190" s="6"/>
      <c r="B190" s="6"/>
      <c r="C190" s="102"/>
      <c r="D190" s="102"/>
      <c r="E190" s="102"/>
      <c r="F190" s="103"/>
      <c r="G190" s="6"/>
      <c r="H190" s="103"/>
      <c r="I190" s="6"/>
      <c r="J190" s="141"/>
      <c r="K190" s="141"/>
      <c r="L190" s="141"/>
      <c r="M190" s="141"/>
    </row>
    <row r="191" spans="1:13" x14ac:dyDescent="0.25">
      <c r="A191" s="6"/>
      <c r="B191" s="6"/>
      <c r="C191" s="102"/>
      <c r="D191" s="102"/>
      <c r="E191" s="102"/>
      <c r="F191" s="103"/>
      <c r="G191" s="6"/>
      <c r="H191" s="103"/>
      <c r="I191" s="6"/>
      <c r="J191" s="141"/>
      <c r="K191" s="141"/>
      <c r="L191" s="141"/>
      <c r="M191" s="141"/>
    </row>
    <row r="192" spans="1:13" x14ac:dyDescent="0.25">
      <c r="A192" s="6"/>
      <c r="B192" s="6"/>
      <c r="C192" s="102"/>
      <c r="D192" s="102"/>
      <c r="E192" s="102"/>
      <c r="F192" s="103"/>
      <c r="G192" s="6"/>
      <c r="H192" s="103"/>
      <c r="I192" s="6"/>
      <c r="J192" s="141"/>
      <c r="K192" s="141"/>
      <c r="L192" s="141"/>
      <c r="M192" s="141"/>
    </row>
    <row r="193" spans="1:13" x14ac:dyDescent="0.25">
      <c r="A193" s="6"/>
      <c r="B193" s="6"/>
      <c r="C193" s="102"/>
      <c r="D193" s="102"/>
      <c r="E193" s="102"/>
      <c r="F193" s="103"/>
      <c r="G193" s="6"/>
      <c r="H193" s="103"/>
      <c r="I193" s="6"/>
      <c r="J193" s="141"/>
      <c r="K193" s="141"/>
      <c r="L193" s="141"/>
      <c r="M193" s="141"/>
    </row>
    <row r="194" spans="1:13" x14ac:dyDescent="0.25">
      <c r="A194" s="6"/>
      <c r="B194" s="6"/>
      <c r="C194" s="102"/>
      <c r="D194" s="102"/>
      <c r="E194" s="102"/>
      <c r="F194" s="103"/>
      <c r="G194" s="6"/>
      <c r="H194" s="103"/>
      <c r="I194" s="6"/>
      <c r="J194" s="141"/>
      <c r="K194" s="141"/>
      <c r="L194" s="141"/>
      <c r="M194" s="141"/>
    </row>
    <row r="195" spans="1:13" x14ac:dyDescent="0.25">
      <c r="A195" s="6"/>
      <c r="B195" s="6"/>
      <c r="C195" s="102"/>
      <c r="D195" s="102"/>
      <c r="E195" s="102"/>
      <c r="F195" s="103"/>
      <c r="G195" s="6"/>
      <c r="H195" s="103"/>
      <c r="I195" s="6"/>
      <c r="J195" s="141"/>
      <c r="K195" s="141"/>
      <c r="L195" s="141"/>
      <c r="M195" s="141"/>
    </row>
    <row r="196" spans="1:13" x14ac:dyDescent="0.25">
      <c r="A196" s="6"/>
      <c r="B196" s="6"/>
      <c r="C196" s="102"/>
      <c r="D196" s="102"/>
      <c r="E196" s="102"/>
      <c r="F196" s="103"/>
      <c r="G196" s="6"/>
      <c r="H196" s="103"/>
      <c r="I196" s="6"/>
      <c r="J196" s="141"/>
      <c r="K196" s="141"/>
      <c r="L196" s="141"/>
      <c r="M196" s="141"/>
    </row>
    <row r="197" spans="1:13" x14ac:dyDescent="0.25">
      <c r="A197" s="6"/>
      <c r="B197" s="6"/>
      <c r="C197" s="102"/>
      <c r="D197" s="102"/>
      <c r="E197" s="102"/>
      <c r="F197" s="103"/>
      <c r="G197" s="6"/>
      <c r="H197" s="103"/>
      <c r="I197" s="6"/>
      <c r="J197" s="141"/>
      <c r="K197" s="141"/>
      <c r="L197" s="141"/>
      <c r="M197" s="141"/>
    </row>
    <row r="198" spans="1:13" x14ac:dyDescent="0.25">
      <c r="A198" s="6"/>
      <c r="B198" s="6"/>
      <c r="C198" s="102"/>
      <c r="D198" s="102"/>
      <c r="E198" s="102"/>
      <c r="F198" s="103"/>
      <c r="G198" s="6"/>
      <c r="H198" s="103"/>
      <c r="I198" s="6"/>
      <c r="J198" s="141"/>
      <c r="K198" s="141"/>
      <c r="L198" s="141"/>
      <c r="M198" s="141"/>
    </row>
    <row r="199" spans="1:13" x14ac:dyDescent="0.25">
      <c r="A199" s="6"/>
      <c r="B199" s="6"/>
      <c r="C199" s="102"/>
      <c r="D199" s="102"/>
      <c r="E199" s="102"/>
      <c r="F199" s="103"/>
      <c r="G199" s="6"/>
      <c r="H199" s="103"/>
      <c r="I199" s="6"/>
      <c r="J199" s="141"/>
      <c r="K199" s="141"/>
      <c r="L199" s="141"/>
      <c r="M199" s="141"/>
    </row>
    <row r="200" spans="1:13" x14ac:dyDescent="0.25">
      <c r="A200" s="6"/>
      <c r="B200" s="6"/>
      <c r="C200" s="102"/>
      <c r="D200" s="102"/>
      <c r="E200" s="102"/>
      <c r="F200" s="103"/>
      <c r="G200" s="6"/>
      <c r="H200" s="103"/>
      <c r="I200" s="6"/>
      <c r="J200" s="141"/>
      <c r="K200" s="141"/>
      <c r="L200" s="141"/>
      <c r="M200" s="141"/>
    </row>
    <row r="201" spans="1:13" x14ac:dyDescent="0.25">
      <c r="A201" s="6"/>
      <c r="B201" s="6"/>
      <c r="C201" s="102"/>
      <c r="D201" s="102"/>
      <c r="E201" s="102"/>
      <c r="F201" s="103"/>
      <c r="G201" s="6"/>
      <c r="H201" s="103"/>
      <c r="I201" s="6"/>
      <c r="J201" s="141"/>
      <c r="K201" s="141"/>
      <c r="L201" s="141"/>
      <c r="M201" s="141"/>
    </row>
    <row r="202" spans="1:13" x14ac:dyDescent="0.25">
      <c r="A202" s="6"/>
      <c r="B202" s="6"/>
      <c r="C202" s="102"/>
      <c r="D202" s="102"/>
      <c r="E202" s="102"/>
      <c r="F202" s="103"/>
      <c r="G202" s="6"/>
      <c r="H202" s="103"/>
      <c r="I202" s="6"/>
      <c r="J202" s="141"/>
      <c r="K202" s="141"/>
      <c r="L202" s="141"/>
      <c r="M202" s="141"/>
    </row>
    <row r="203" spans="1:13" x14ac:dyDescent="0.25">
      <c r="A203" s="6"/>
      <c r="B203" s="6"/>
      <c r="C203" s="102"/>
      <c r="D203" s="102"/>
      <c r="E203" s="102"/>
      <c r="F203" s="103"/>
      <c r="G203" s="6"/>
      <c r="H203" s="103"/>
      <c r="I203" s="6"/>
      <c r="J203" s="141"/>
      <c r="K203" s="141"/>
      <c r="L203" s="141"/>
      <c r="M203" s="141"/>
    </row>
    <row r="204" spans="1:13" x14ac:dyDescent="0.25">
      <c r="A204" s="6"/>
      <c r="B204" s="6"/>
      <c r="C204" s="102"/>
      <c r="D204" s="102"/>
      <c r="E204" s="102"/>
      <c r="F204" s="103"/>
      <c r="G204" s="6"/>
      <c r="H204" s="103"/>
      <c r="I204" s="6"/>
      <c r="J204" s="141"/>
      <c r="K204" s="141"/>
      <c r="L204" s="141"/>
      <c r="M204" s="141"/>
    </row>
    <row r="205" spans="1:13" x14ac:dyDescent="0.25">
      <c r="A205" s="6"/>
      <c r="B205" s="6"/>
      <c r="C205" s="102"/>
      <c r="D205" s="102"/>
      <c r="E205" s="102"/>
      <c r="F205" s="103"/>
      <c r="G205" s="6"/>
      <c r="H205" s="103"/>
      <c r="I205" s="6"/>
      <c r="J205" s="141"/>
      <c r="K205" s="141"/>
      <c r="L205" s="141"/>
      <c r="M205" s="141"/>
    </row>
    <row r="206" spans="1:13" x14ac:dyDescent="0.25">
      <c r="A206" s="6"/>
      <c r="B206" s="6"/>
      <c r="C206" s="102"/>
      <c r="D206" s="102"/>
      <c r="E206" s="102"/>
      <c r="F206" s="103"/>
      <c r="G206" s="6"/>
      <c r="H206" s="103"/>
      <c r="I206" s="6"/>
      <c r="J206" s="141"/>
      <c r="K206" s="141"/>
      <c r="L206" s="141"/>
      <c r="M206" s="141"/>
    </row>
    <row r="207" spans="1:13" x14ac:dyDescent="0.25">
      <c r="A207" s="6"/>
      <c r="B207" s="6"/>
      <c r="C207" s="102"/>
      <c r="D207" s="102"/>
      <c r="E207" s="102"/>
      <c r="F207" s="103"/>
      <c r="G207" s="6"/>
      <c r="H207" s="103"/>
      <c r="I207" s="6"/>
      <c r="J207" s="141"/>
      <c r="K207" s="141"/>
      <c r="L207" s="141"/>
      <c r="M207" s="141"/>
    </row>
    <row r="208" spans="1:13" x14ac:dyDescent="0.25">
      <c r="A208" s="6"/>
      <c r="B208" s="6"/>
      <c r="C208" s="102"/>
      <c r="D208" s="102"/>
      <c r="E208" s="102"/>
      <c r="F208" s="103"/>
      <c r="G208" s="6"/>
      <c r="H208" s="103"/>
      <c r="I208" s="6"/>
      <c r="J208" s="141"/>
      <c r="K208" s="141"/>
      <c r="L208" s="141"/>
      <c r="M208" s="141"/>
    </row>
    <row r="209" spans="1:13" x14ac:dyDescent="0.25">
      <c r="A209" s="6"/>
      <c r="B209" s="6"/>
      <c r="C209" s="102"/>
      <c r="D209" s="102"/>
      <c r="E209" s="102"/>
      <c r="F209" s="103"/>
      <c r="G209" s="6"/>
      <c r="H209" s="103"/>
      <c r="I209" s="6"/>
      <c r="J209" s="141"/>
      <c r="K209" s="141"/>
      <c r="L209" s="141"/>
      <c r="M209" s="141"/>
    </row>
    <row r="210" spans="1:13" x14ac:dyDescent="0.25">
      <c r="A210" s="6"/>
      <c r="B210" s="6"/>
      <c r="C210" s="102"/>
      <c r="D210" s="102"/>
      <c r="E210" s="102"/>
      <c r="F210" s="103"/>
      <c r="G210" s="6"/>
      <c r="H210" s="103"/>
      <c r="I210" s="6"/>
      <c r="J210" s="141"/>
      <c r="K210" s="141"/>
      <c r="L210" s="141"/>
      <c r="M210" s="141"/>
    </row>
    <row r="211" spans="1:13" x14ac:dyDescent="0.25">
      <c r="A211" s="6"/>
      <c r="B211" s="6"/>
      <c r="C211" s="102"/>
      <c r="D211" s="102"/>
      <c r="E211" s="102"/>
      <c r="F211" s="103"/>
      <c r="G211" s="6"/>
      <c r="H211" s="103"/>
      <c r="I211" s="6"/>
      <c r="J211" s="141"/>
      <c r="K211" s="141"/>
      <c r="L211" s="141"/>
      <c r="M211" s="141"/>
    </row>
    <row r="212" spans="1:13" x14ac:dyDescent="0.25">
      <c r="A212" s="6"/>
      <c r="B212" s="6"/>
      <c r="C212" s="102"/>
      <c r="D212" s="102"/>
      <c r="E212" s="102"/>
      <c r="F212" s="103"/>
      <c r="G212" s="6"/>
      <c r="H212" s="103"/>
      <c r="I212" s="6"/>
      <c r="J212" s="141"/>
      <c r="K212" s="141"/>
      <c r="L212" s="141"/>
      <c r="M212" s="141"/>
    </row>
    <row r="213" spans="1:13" x14ac:dyDescent="0.25">
      <c r="A213" s="6"/>
      <c r="B213" s="6"/>
      <c r="C213" s="102"/>
      <c r="D213" s="102"/>
      <c r="E213" s="102"/>
      <c r="F213" s="103"/>
      <c r="G213" s="6"/>
      <c r="H213" s="103"/>
      <c r="I213" s="6"/>
      <c r="J213" s="141"/>
      <c r="K213" s="141"/>
      <c r="L213" s="141"/>
      <c r="M213" s="141"/>
    </row>
    <row r="214" spans="1:13" x14ac:dyDescent="0.25">
      <c r="A214" s="6"/>
      <c r="B214" s="6"/>
      <c r="C214" s="102"/>
      <c r="D214" s="102"/>
      <c r="E214" s="102"/>
      <c r="F214" s="103"/>
      <c r="G214" s="6"/>
      <c r="H214" s="103"/>
      <c r="I214" s="6"/>
      <c r="J214" s="141"/>
      <c r="K214" s="141"/>
      <c r="L214" s="141"/>
      <c r="M214" s="141"/>
    </row>
    <row r="215" spans="1:13" x14ac:dyDescent="0.25">
      <c r="A215" s="6"/>
      <c r="B215" s="6"/>
      <c r="C215" s="102"/>
      <c r="D215" s="102"/>
      <c r="E215" s="102"/>
      <c r="F215" s="103"/>
      <c r="G215" s="6"/>
      <c r="H215" s="103"/>
      <c r="I215" s="6"/>
      <c r="J215" s="141"/>
      <c r="K215" s="141"/>
      <c r="L215" s="141"/>
      <c r="M215" s="141"/>
    </row>
    <row r="216" spans="1:13" x14ac:dyDescent="0.25">
      <c r="A216" s="6"/>
      <c r="B216" s="6"/>
      <c r="C216" s="102"/>
      <c r="D216" s="102"/>
      <c r="E216" s="102"/>
      <c r="F216" s="103"/>
      <c r="G216" s="6"/>
      <c r="H216" s="103"/>
      <c r="I216" s="6"/>
      <c r="J216" s="141"/>
      <c r="K216" s="141"/>
      <c r="L216" s="141"/>
      <c r="M216" s="141"/>
    </row>
    <row r="217" spans="1:13" x14ac:dyDescent="0.25">
      <c r="A217" s="6"/>
      <c r="B217" s="6"/>
      <c r="C217" s="102"/>
      <c r="D217" s="102"/>
      <c r="E217" s="102"/>
      <c r="F217" s="103"/>
      <c r="G217" s="6"/>
      <c r="H217" s="103"/>
      <c r="I217" s="6"/>
      <c r="J217" s="141"/>
      <c r="K217" s="141"/>
      <c r="L217" s="141"/>
      <c r="M217" s="141"/>
    </row>
    <row r="218" spans="1:13" x14ac:dyDescent="0.25">
      <c r="A218" s="6"/>
      <c r="B218" s="6"/>
      <c r="C218" s="102"/>
      <c r="D218" s="102"/>
      <c r="E218" s="102"/>
      <c r="F218" s="103"/>
      <c r="G218" s="6"/>
      <c r="H218" s="103"/>
      <c r="I218" s="6"/>
      <c r="J218" s="141"/>
      <c r="K218" s="141"/>
      <c r="L218" s="141"/>
      <c r="M218" s="141"/>
    </row>
    <row r="219" spans="1:13" x14ac:dyDescent="0.25">
      <c r="A219" s="6"/>
      <c r="B219" s="6"/>
      <c r="C219" s="102"/>
      <c r="D219" s="102"/>
      <c r="E219" s="102"/>
      <c r="F219" s="103"/>
      <c r="G219" s="6"/>
      <c r="H219" s="103"/>
      <c r="I219" s="6"/>
      <c r="J219" s="141"/>
      <c r="K219" s="141"/>
      <c r="L219" s="141"/>
      <c r="M219" s="141"/>
    </row>
    <row r="220" spans="1:13" x14ac:dyDescent="0.25">
      <c r="A220" s="6"/>
      <c r="B220" s="6"/>
      <c r="C220" s="102"/>
      <c r="D220" s="102"/>
      <c r="E220" s="102"/>
      <c r="F220" s="103"/>
      <c r="G220" s="6"/>
      <c r="H220" s="103"/>
      <c r="I220" s="6"/>
      <c r="J220" s="141"/>
      <c r="K220" s="141"/>
      <c r="L220" s="141"/>
      <c r="M220" s="141"/>
    </row>
    <row r="221" spans="1:13" x14ac:dyDescent="0.25">
      <c r="A221" s="6"/>
      <c r="B221" s="6"/>
      <c r="C221" s="102"/>
      <c r="D221" s="102"/>
      <c r="E221" s="102"/>
      <c r="F221" s="103"/>
      <c r="G221" s="6"/>
      <c r="H221" s="103"/>
      <c r="I221" s="6"/>
      <c r="J221" s="141"/>
      <c r="K221" s="141"/>
      <c r="L221" s="141"/>
      <c r="M221" s="141"/>
    </row>
    <row r="222" spans="1:13" x14ac:dyDescent="0.25">
      <c r="A222" s="6"/>
      <c r="B222" s="6"/>
      <c r="C222" s="102"/>
      <c r="D222" s="102"/>
      <c r="E222" s="102"/>
      <c r="F222" s="103"/>
      <c r="G222" s="6"/>
      <c r="H222" s="103"/>
      <c r="I222" s="6"/>
      <c r="J222" s="141"/>
      <c r="K222" s="141"/>
      <c r="L222" s="141"/>
      <c r="M222" s="141"/>
    </row>
    <row r="223" spans="1:13" x14ac:dyDescent="0.25">
      <c r="A223" s="6"/>
      <c r="B223" s="6"/>
      <c r="C223" s="102"/>
      <c r="D223" s="102"/>
      <c r="E223" s="102"/>
      <c r="F223" s="103"/>
      <c r="G223" s="6"/>
      <c r="H223" s="103"/>
      <c r="I223" s="6"/>
      <c r="J223" s="141"/>
      <c r="K223" s="141"/>
      <c r="L223" s="141"/>
      <c r="M223" s="141"/>
    </row>
    <row r="224" spans="1:13" x14ac:dyDescent="0.25">
      <c r="A224" s="6"/>
      <c r="B224" s="6"/>
      <c r="C224" s="102"/>
      <c r="D224" s="102"/>
      <c r="E224" s="102"/>
      <c r="F224" s="103"/>
      <c r="G224" s="6"/>
      <c r="H224" s="103"/>
      <c r="I224" s="6"/>
      <c r="J224" s="141"/>
      <c r="K224" s="141"/>
      <c r="L224" s="141"/>
      <c r="M224" s="141"/>
    </row>
    <row r="225" spans="1:13" x14ac:dyDescent="0.25">
      <c r="A225" s="6"/>
      <c r="B225" s="6"/>
      <c r="C225" s="102"/>
      <c r="D225" s="102"/>
      <c r="E225" s="102"/>
      <c r="F225" s="103"/>
      <c r="G225" s="6"/>
      <c r="H225" s="103"/>
      <c r="I225" s="6"/>
      <c r="J225" s="141"/>
      <c r="K225" s="141"/>
      <c r="L225" s="141"/>
      <c r="M225" s="141"/>
    </row>
    <row r="226" spans="1:13" x14ac:dyDescent="0.25">
      <c r="A226" s="6"/>
      <c r="B226" s="6"/>
      <c r="C226" s="102"/>
      <c r="D226" s="102"/>
      <c r="E226" s="102"/>
      <c r="F226" s="103"/>
      <c r="G226" s="6"/>
      <c r="H226" s="103"/>
      <c r="I226" s="6"/>
      <c r="J226" s="141"/>
      <c r="K226" s="141"/>
      <c r="L226" s="141"/>
      <c r="M226" s="141"/>
    </row>
    <row r="227" spans="1:13" x14ac:dyDescent="0.25">
      <c r="A227" s="6"/>
      <c r="B227" s="6"/>
      <c r="C227" s="102"/>
      <c r="D227" s="102"/>
      <c r="E227" s="102"/>
      <c r="F227" s="103"/>
      <c r="G227" s="6"/>
      <c r="H227" s="103"/>
      <c r="I227" s="6"/>
      <c r="J227" s="141"/>
      <c r="K227" s="141"/>
      <c r="L227" s="141"/>
      <c r="M227" s="141"/>
    </row>
    <row r="228" spans="1:13" x14ac:dyDescent="0.25">
      <c r="A228" s="6"/>
      <c r="B228" s="6"/>
      <c r="C228" s="102"/>
      <c r="D228" s="102"/>
      <c r="E228" s="102"/>
      <c r="F228" s="103"/>
      <c r="G228" s="6"/>
      <c r="H228" s="103"/>
      <c r="I228" s="6"/>
      <c r="J228" s="141"/>
      <c r="K228" s="141"/>
      <c r="L228" s="141"/>
      <c r="M228" s="141"/>
    </row>
    <row r="229" spans="1:13" x14ac:dyDescent="0.25">
      <c r="A229" s="6"/>
      <c r="B229" s="6"/>
      <c r="C229" s="102"/>
      <c r="D229" s="102"/>
      <c r="E229" s="102"/>
      <c r="F229" s="103"/>
      <c r="G229" s="6"/>
      <c r="H229" s="103"/>
      <c r="I229" s="6"/>
      <c r="J229" s="141"/>
      <c r="K229" s="141"/>
      <c r="L229" s="141"/>
      <c r="M229" s="141"/>
    </row>
    <row r="230" spans="1:13" x14ac:dyDescent="0.25">
      <c r="A230" s="6"/>
      <c r="B230" s="6"/>
      <c r="C230" s="102"/>
      <c r="D230" s="102"/>
      <c r="E230" s="102"/>
      <c r="F230" s="103"/>
      <c r="G230" s="6"/>
      <c r="H230" s="103"/>
      <c r="I230" s="6"/>
      <c r="J230" s="141"/>
      <c r="K230" s="141"/>
      <c r="L230" s="141"/>
      <c r="M230" s="141"/>
    </row>
    <row r="231" spans="1:13" x14ac:dyDescent="0.25">
      <c r="A231" s="6"/>
      <c r="B231" s="6"/>
      <c r="C231" s="102"/>
      <c r="D231" s="102"/>
      <c r="E231" s="102"/>
      <c r="F231" s="103"/>
      <c r="G231" s="6"/>
      <c r="H231" s="103"/>
      <c r="I231" s="6"/>
      <c r="J231" s="141"/>
      <c r="K231" s="141"/>
      <c r="L231" s="141"/>
      <c r="M231" s="141"/>
    </row>
    <row r="232" spans="1:13" x14ac:dyDescent="0.25">
      <c r="A232" s="6"/>
      <c r="B232" s="6"/>
      <c r="C232" s="102"/>
      <c r="D232" s="102"/>
      <c r="E232" s="102"/>
      <c r="F232" s="103"/>
      <c r="G232" s="6"/>
      <c r="H232" s="103"/>
      <c r="I232" s="6"/>
      <c r="J232" s="141"/>
      <c r="K232" s="141"/>
      <c r="L232" s="141"/>
      <c r="M232" s="141"/>
    </row>
    <row r="233" spans="1:13" x14ac:dyDescent="0.25">
      <c r="A233" s="6"/>
      <c r="B233" s="6"/>
      <c r="C233" s="102"/>
      <c r="D233" s="102"/>
      <c r="E233" s="102"/>
      <c r="F233" s="103"/>
      <c r="G233" s="6"/>
      <c r="H233" s="103"/>
      <c r="I233" s="6"/>
      <c r="J233" s="141"/>
      <c r="K233" s="141"/>
      <c r="L233" s="141"/>
      <c r="M233" s="141"/>
    </row>
    <row r="234" spans="1:13" x14ac:dyDescent="0.25">
      <c r="A234" s="6"/>
      <c r="B234" s="6"/>
      <c r="C234" s="102"/>
      <c r="D234" s="102"/>
      <c r="E234" s="102"/>
      <c r="F234" s="103"/>
      <c r="G234" s="6"/>
      <c r="H234" s="103"/>
      <c r="I234" s="6"/>
      <c r="J234" s="141"/>
      <c r="K234" s="141"/>
      <c r="L234" s="141"/>
      <c r="M234" s="141"/>
    </row>
    <row r="235" spans="1:13" x14ac:dyDescent="0.25">
      <c r="A235" s="6"/>
      <c r="B235" s="6"/>
      <c r="C235" s="102"/>
      <c r="D235" s="102"/>
      <c r="E235" s="102"/>
      <c r="F235" s="103"/>
      <c r="G235" s="6"/>
      <c r="H235" s="103"/>
      <c r="I235" s="6"/>
      <c r="J235" s="141"/>
      <c r="K235" s="141"/>
      <c r="L235" s="141"/>
      <c r="M235" s="141"/>
    </row>
    <row r="236" spans="1:13" x14ac:dyDescent="0.25">
      <c r="A236" s="6"/>
      <c r="B236" s="6"/>
      <c r="C236" s="102"/>
      <c r="D236" s="102"/>
      <c r="E236" s="102"/>
      <c r="F236" s="103"/>
      <c r="G236" s="6"/>
      <c r="H236" s="103"/>
      <c r="I236" s="6"/>
      <c r="J236" s="141"/>
      <c r="K236" s="141"/>
      <c r="L236" s="141"/>
      <c r="M236" s="141"/>
    </row>
    <row r="237" spans="1:13" x14ac:dyDescent="0.25">
      <c r="A237" s="6"/>
      <c r="B237" s="6"/>
      <c r="C237" s="102"/>
      <c r="D237" s="102"/>
      <c r="E237" s="102"/>
      <c r="F237" s="103"/>
      <c r="G237" s="6"/>
      <c r="H237" s="103"/>
      <c r="I237" s="6"/>
      <c r="J237" s="141"/>
      <c r="K237" s="141"/>
      <c r="L237" s="141"/>
      <c r="M237" s="141"/>
    </row>
    <row r="238" spans="1:13" x14ac:dyDescent="0.25">
      <c r="A238" s="6"/>
      <c r="B238" s="6"/>
      <c r="C238" s="102"/>
      <c r="D238" s="102"/>
      <c r="E238" s="102"/>
      <c r="F238" s="103"/>
      <c r="G238" s="6"/>
      <c r="H238" s="103"/>
      <c r="I238" s="6"/>
      <c r="J238" s="141"/>
      <c r="K238" s="141"/>
      <c r="L238" s="141"/>
      <c r="M238" s="141"/>
    </row>
    <row r="239" spans="1:13" x14ac:dyDescent="0.25">
      <c r="A239" s="6"/>
      <c r="B239" s="6"/>
      <c r="C239" s="102"/>
      <c r="D239" s="102"/>
      <c r="E239" s="102"/>
      <c r="F239" s="103"/>
      <c r="G239" s="6"/>
      <c r="H239" s="103"/>
      <c r="I239" s="6"/>
      <c r="J239" s="141"/>
      <c r="K239" s="141"/>
      <c r="L239" s="141"/>
      <c r="M239" s="141"/>
    </row>
    <row r="240" spans="1:13" x14ac:dyDescent="0.25">
      <c r="A240" s="6"/>
      <c r="B240" s="6"/>
      <c r="C240" s="102"/>
      <c r="D240" s="102"/>
      <c r="E240" s="102"/>
      <c r="F240" s="103"/>
      <c r="G240" s="6"/>
      <c r="H240" s="103"/>
      <c r="I240" s="6"/>
      <c r="J240" s="141"/>
      <c r="K240" s="141"/>
      <c r="L240" s="141"/>
      <c r="M240" s="141"/>
    </row>
    <row r="241" spans="1:13" x14ac:dyDescent="0.25">
      <c r="A241" s="6"/>
      <c r="B241" s="6"/>
      <c r="C241" s="102"/>
      <c r="D241" s="102"/>
      <c r="E241" s="102"/>
      <c r="F241" s="103"/>
      <c r="G241" s="6"/>
      <c r="H241" s="103"/>
      <c r="I241" s="6"/>
      <c r="J241" s="141"/>
      <c r="K241" s="141"/>
      <c r="L241" s="141"/>
      <c r="M241" s="141"/>
    </row>
    <row r="242" spans="1:13" x14ac:dyDescent="0.25">
      <c r="A242" s="6"/>
      <c r="B242" s="6"/>
      <c r="C242" s="102"/>
      <c r="D242" s="102"/>
      <c r="E242" s="102"/>
      <c r="F242" s="103"/>
      <c r="G242" s="6"/>
      <c r="H242" s="103"/>
      <c r="I242" s="6"/>
      <c r="J242" s="141"/>
      <c r="K242" s="141"/>
      <c r="L242" s="141"/>
      <c r="M242" s="141"/>
    </row>
    <row r="243" spans="1:13" x14ac:dyDescent="0.25">
      <c r="A243" s="6"/>
      <c r="B243" s="6"/>
      <c r="C243" s="102"/>
      <c r="D243" s="102"/>
      <c r="E243" s="102"/>
      <c r="F243" s="103"/>
      <c r="G243" s="6"/>
      <c r="H243" s="103"/>
      <c r="I243" s="6"/>
      <c r="J243" s="141"/>
      <c r="K243" s="141"/>
      <c r="L243" s="141"/>
      <c r="M243" s="141"/>
    </row>
    <row r="244" spans="1:13" x14ac:dyDescent="0.25">
      <c r="A244" s="6"/>
      <c r="B244" s="6"/>
      <c r="C244" s="102"/>
      <c r="D244" s="102"/>
      <c r="E244" s="102"/>
      <c r="F244" s="103"/>
      <c r="G244" s="6"/>
      <c r="H244" s="103"/>
      <c r="I244" s="6"/>
      <c r="J244" s="141"/>
      <c r="K244" s="141"/>
      <c r="L244" s="141"/>
      <c r="M244" s="141"/>
    </row>
    <row r="245" spans="1:13" x14ac:dyDescent="0.25">
      <c r="A245" s="6"/>
      <c r="B245" s="6"/>
      <c r="C245" s="102"/>
      <c r="D245" s="102"/>
      <c r="E245" s="102"/>
      <c r="F245" s="103"/>
      <c r="G245" s="6"/>
      <c r="H245" s="103"/>
      <c r="I245" s="6"/>
      <c r="J245" s="141"/>
      <c r="K245" s="141"/>
      <c r="L245" s="141"/>
      <c r="M245" s="141"/>
    </row>
    <row r="246" spans="1:13" x14ac:dyDescent="0.25">
      <c r="A246" s="6"/>
      <c r="B246" s="6"/>
      <c r="C246" s="102"/>
      <c r="D246" s="102"/>
      <c r="E246" s="102"/>
      <c r="F246" s="103"/>
      <c r="G246" s="6"/>
      <c r="H246" s="103"/>
      <c r="I246" s="6"/>
      <c r="J246" s="141"/>
      <c r="K246" s="141"/>
      <c r="L246" s="141"/>
      <c r="M246" s="141"/>
    </row>
    <row r="247" spans="1:13" x14ac:dyDescent="0.25">
      <c r="A247" s="6"/>
      <c r="B247" s="6"/>
      <c r="C247" s="102"/>
      <c r="D247" s="102"/>
      <c r="E247" s="102"/>
      <c r="F247" s="103"/>
      <c r="G247" s="6"/>
      <c r="H247" s="103"/>
      <c r="I247" s="6"/>
      <c r="J247" s="141"/>
      <c r="K247" s="141"/>
      <c r="L247" s="141"/>
      <c r="M247" s="141"/>
    </row>
    <row r="248" spans="1:13" x14ac:dyDescent="0.25">
      <c r="A248" s="6"/>
      <c r="B248" s="6"/>
      <c r="C248" s="102"/>
      <c r="D248" s="102"/>
      <c r="E248" s="102"/>
      <c r="F248" s="103"/>
      <c r="G248" s="6"/>
      <c r="H248" s="103"/>
      <c r="I248" s="6"/>
      <c r="J248" s="141"/>
      <c r="K248" s="141"/>
      <c r="L248" s="141"/>
      <c r="M248" s="141"/>
    </row>
    <row r="249" spans="1:13" x14ac:dyDescent="0.25">
      <c r="A249" s="6"/>
      <c r="B249" s="6"/>
      <c r="C249" s="102"/>
      <c r="D249" s="102"/>
      <c r="E249" s="102"/>
      <c r="F249" s="103"/>
      <c r="G249" s="6"/>
      <c r="H249" s="103"/>
      <c r="I249" s="6"/>
      <c r="J249" s="141"/>
      <c r="K249" s="141"/>
      <c r="L249" s="141"/>
      <c r="M249" s="141"/>
    </row>
    <row r="250" spans="1:13" x14ac:dyDescent="0.25">
      <c r="A250" s="6"/>
      <c r="B250" s="6"/>
      <c r="C250" s="102"/>
      <c r="D250" s="102"/>
      <c r="E250" s="102"/>
      <c r="F250" s="103"/>
      <c r="G250" s="6"/>
      <c r="H250" s="103"/>
      <c r="I250" s="6"/>
      <c r="J250" s="141"/>
      <c r="K250" s="141"/>
      <c r="L250" s="141"/>
      <c r="M250" s="141"/>
    </row>
    <row r="251" spans="1:13" x14ac:dyDescent="0.25">
      <c r="A251" s="6"/>
      <c r="B251" s="6"/>
      <c r="C251" s="102"/>
      <c r="D251" s="102"/>
      <c r="E251" s="102"/>
      <c r="F251" s="103"/>
      <c r="G251" s="6"/>
      <c r="H251" s="103"/>
      <c r="I251" s="6"/>
      <c r="J251" s="141"/>
      <c r="K251" s="141"/>
      <c r="L251" s="141"/>
      <c r="M251" s="141"/>
    </row>
    <row r="252" spans="1:13" x14ac:dyDescent="0.25">
      <c r="A252" s="6"/>
      <c r="B252" s="6"/>
      <c r="C252" s="102"/>
      <c r="D252" s="102"/>
      <c r="E252" s="102"/>
      <c r="F252" s="103"/>
      <c r="G252" s="6"/>
      <c r="H252" s="103"/>
      <c r="I252" s="6"/>
      <c r="J252" s="141"/>
      <c r="K252" s="141"/>
      <c r="L252" s="141"/>
      <c r="M252" s="141"/>
    </row>
    <row r="253" spans="1:13" x14ac:dyDescent="0.25">
      <c r="A253" s="6"/>
      <c r="B253" s="6"/>
      <c r="C253" s="102"/>
      <c r="D253" s="102"/>
      <c r="E253" s="102"/>
      <c r="F253" s="103"/>
      <c r="G253" s="6"/>
      <c r="H253" s="103"/>
      <c r="I253" s="6"/>
      <c r="J253" s="141"/>
      <c r="K253" s="141"/>
      <c r="L253" s="141"/>
      <c r="M253" s="141"/>
    </row>
    <row r="254" spans="1:13" x14ac:dyDescent="0.25">
      <c r="A254" s="6"/>
      <c r="B254" s="6"/>
      <c r="C254" s="102"/>
      <c r="D254" s="102"/>
      <c r="E254" s="102"/>
      <c r="F254" s="103"/>
      <c r="G254" s="6"/>
      <c r="H254" s="103"/>
      <c r="I254" s="6"/>
      <c r="J254" s="141"/>
      <c r="K254" s="141"/>
      <c r="L254" s="141"/>
      <c r="M254" s="141"/>
    </row>
    <row r="255" spans="1:13" x14ac:dyDescent="0.25">
      <c r="A255" s="6"/>
      <c r="B255" s="6"/>
      <c r="C255" s="102"/>
      <c r="D255" s="102"/>
      <c r="E255" s="102"/>
      <c r="F255" s="103"/>
      <c r="G255" s="6"/>
      <c r="H255" s="103"/>
      <c r="I255" s="6"/>
      <c r="J255" s="141"/>
      <c r="K255" s="141"/>
      <c r="L255" s="141"/>
      <c r="M255" s="141"/>
    </row>
    <row r="256" spans="1:13" x14ac:dyDescent="0.25">
      <c r="A256" s="6"/>
      <c r="B256" s="6"/>
      <c r="C256" s="102"/>
      <c r="D256" s="102"/>
      <c r="E256" s="102"/>
      <c r="F256" s="103"/>
      <c r="G256" s="6"/>
      <c r="H256" s="103"/>
      <c r="I256" s="6"/>
      <c r="J256" s="141"/>
      <c r="K256" s="141"/>
      <c r="L256" s="141"/>
      <c r="M256" s="141"/>
    </row>
    <row r="257" spans="1:13" x14ac:dyDescent="0.25">
      <c r="A257" s="6"/>
      <c r="B257" s="6"/>
      <c r="C257" s="102"/>
      <c r="D257" s="102"/>
      <c r="E257" s="102"/>
      <c r="F257" s="103"/>
      <c r="G257" s="6"/>
      <c r="H257" s="103"/>
      <c r="I257" s="6"/>
      <c r="J257" s="141"/>
      <c r="K257" s="141"/>
      <c r="L257" s="141"/>
      <c r="M257" s="141"/>
    </row>
    <row r="258" spans="1:13" x14ac:dyDescent="0.25">
      <c r="A258" s="6"/>
      <c r="B258" s="6"/>
      <c r="C258" s="102"/>
      <c r="D258" s="102"/>
      <c r="E258" s="102"/>
      <c r="F258" s="103"/>
      <c r="G258" s="6"/>
      <c r="H258" s="103"/>
      <c r="I258" s="6"/>
      <c r="J258" s="141"/>
      <c r="K258" s="141"/>
      <c r="L258" s="141"/>
      <c r="M258" s="141"/>
    </row>
    <row r="259" spans="1:13" x14ac:dyDescent="0.25">
      <c r="A259" s="6"/>
      <c r="B259" s="6"/>
      <c r="C259" s="102"/>
      <c r="D259" s="102"/>
      <c r="E259" s="102"/>
      <c r="F259" s="103"/>
      <c r="G259" s="6"/>
      <c r="H259" s="103"/>
      <c r="I259" s="6"/>
      <c r="J259" s="141"/>
      <c r="K259" s="141"/>
      <c r="L259" s="141"/>
      <c r="M259" s="141"/>
    </row>
    <row r="260" spans="1:13" x14ac:dyDescent="0.25">
      <c r="A260" s="6"/>
      <c r="B260" s="6"/>
      <c r="C260" s="102"/>
      <c r="D260" s="102"/>
      <c r="E260" s="102"/>
      <c r="F260" s="103"/>
      <c r="G260" s="6"/>
      <c r="H260" s="103"/>
      <c r="I260" s="6"/>
      <c r="J260" s="141"/>
      <c r="K260" s="141"/>
      <c r="L260" s="141"/>
      <c r="M260" s="141"/>
    </row>
    <row r="261" spans="1:13" x14ac:dyDescent="0.25">
      <c r="A261" s="6"/>
      <c r="B261" s="6"/>
      <c r="C261" s="102"/>
      <c r="D261" s="102"/>
      <c r="E261" s="102"/>
      <c r="F261" s="103"/>
      <c r="G261" s="6"/>
      <c r="H261" s="103"/>
      <c r="I261" s="6"/>
      <c r="J261" s="141"/>
      <c r="K261" s="141"/>
      <c r="L261" s="141"/>
      <c r="M261" s="141"/>
    </row>
    <row r="262" spans="1:13" x14ac:dyDescent="0.25">
      <c r="A262" s="6"/>
      <c r="B262" s="6"/>
      <c r="C262" s="102"/>
      <c r="D262" s="102"/>
      <c r="E262" s="102"/>
      <c r="F262" s="103"/>
      <c r="G262" s="6"/>
      <c r="H262" s="103"/>
      <c r="I262" s="6"/>
      <c r="J262" s="141"/>
      <c r="K262" s="141"/>
      <c r="L262" s="141"/>
      <c r="M262" s="141"/>
    </row>
    <row r="263" spans="1:13" x14ac:dyDescent="0.25">
      <c r="A263" s="6"/>
      <c r="B263" s="6"/>
      <c r="C263" s="102"/>
      <c r="D263" s="102"/>
      <c r="E263" s="102"/>
      <c r="F263" s="103"/>
      <c r="G263" s="6"/>
      <c r="H263" s="103"/>
      <c r="I263" s="6"/>
      <c r="J263" s="141"/>
      <c r="K263" s="141"/>
      <c r="L263" s="141"/>
      <c r="M263" s="141"/>
    </row>
    <row r="264" spans="1:13" x14ac:dyDescent="0.25">
      <c r="A264" s="6"/>
      <c r="B264" s="6"/>
      <c r="C264" s="102"/>
      <c r="D264" s="102"/>
      <c r="E264" s="102"/>
      <c r="F264" s="103"/>
      <c r="G264" s="6"/>
      <c r="H264" s="103"/>
      <c r="I264" s="6"/>
      <c r="J264" s="141"/>
      <c r="K264" s="141"/>
      <c r="L264" s="141"/>
      <c r="M264" s="141"/>
    </row>
    <row r="265" spans="1:13" x14ac:dyDescent="0.25">
      <c r="A265" s="6"/>
      <c r="B265" s="6"/>
      <c r="C265" s="102"/>
      <c r="D265" s="102"/>
      <c r="E265" s="102"/>
      <c r="F265" s="103"/>
      <c r="G265" s="6"/>
      <c r="H265" s="103"/>
      <c r="I265" s="6"/>
      <c r="J265" s="141"/>
      <c r="K265" s="141"/>
      <c r="L265" s="141"/>
      <c r="M265" s="141"/>
    </row>
    <row r="266" spans="1:13" x14ac:dyDescent="0.25">
      <c r="A266" s="6"/>
      <c r="B266" s="6"/>
      <c r="C266" s="102"/>
      <c r="D266" s="102"/>
      <c r="E266" s="102"/>
      <c r="F266" s="103"/>
      <c r="G266" s="6"/>
      <c r="H266" s="103"/>
      <c r="I266" s="6"/>
      <c r="J266" s="141"/>
      <c r="K266" s="141"/>
      <c r="L266" s="141"/>
      <c r="M266" s="141"/>
    </row>
    <row r="267" spans="1:13" x14ac:dyDescent="0.25">
      <c r="A267" s="6"/>
      <c r="B267" s="6"/>
      <c r="C267" s="102"/>
      <c r="D267" s="102"/>
      <c r="E267" s="102"/>
      <c r="F267" s="103"/>
      <c r="G267" s="6"/>
      <c r="H267" s="103"/>
      <c r="I267" s="6"/>
      <c r="J267" s="141"/>
      <c r="K267" s="141"/>
      <c r="L267" s="141"/>
      <c r="M267" s="141"/>
    </row>
    <row r="268" spans="1:13" x14ac:dyDescent="0.25">
      <c r="A268" s="6"/>
      <c r="B268" s="6"/>
      <c r="C268" s="102"/>
      <c r="D268" s="102"/>
      <c r="E268" s="102"/>
      <c r="F268" s="103"/>
      <c r="G268" s="6"/>
      <c r="H268" s="103"/>
      <c r="I268" s="6"/>
      <c r="J268" s="141"/>
      <c r="K268" s="141"/>
      <c r="L268" s="141"/>
      <c r="M268" s="141"/>
    </row>
    <row r="269" spans="1:13" x14ac:dyDescent="0.25">
      <c r="A269" s="6"/>
      <c r="B269" s="6"/>
      <c r="C269" s="102"/>
      <c r="D269" s="102"/>
      <c r="E269" s="102"/>
      <c r="F269" s="103"/>
      <c r="G269" s="6"/>
      <c r="H269" s="103"/>
      <c r="I269" s="6"/>
      <c r="J269" s="141"/>
      <c r="K269" s="141"/>
      <c r="L269" s="141"/>
      <c r="M269" s="141"/>
    </row>
    <row r="270" spans="1:13" x14ac:dyDescent="0.25">
      <c r="A270" s="6"/>
      <c r="B270" s="6"/>
      <c r="C270" s="102"/>
      <c r="D270" s="102"/>
      <c r="E270" s="102"/>
      <c r="F270" s="103"/>
      <c r="G270" s="6"/>
      <c r="H270" s="103"/>
      <c r="I270" s="6"/>
      <c r="J270" s="141"/>
      <c r="K270" s="141"/>
      <c r="L270" s="141"/>
      <c r="M270" s="141"/>
    </row>
    <row r="271" spans="1:13" x14ac:dyDescent="0.25">
      <c r="A271" s="6"/>
      <c r="B271" s="6"/>
      <c r="C271" s="102"/>
      <c r="D271" s="102"/>
      <c r="E271" s="102"/>
      <c r="F271" s="103"/>
      <c r="G271" s="6"/>
      <c r="H271" s="103"/>
      <c r="I271" s="6"/>
      <c r="J271" s="141"/>
      <c r="K271" s="141"/>
      <c r="L271" s="141"/>
      <c r="M271" s="141"/>
    </row>
    <row r="272" spans="1:13" x14ac:dyDescent="0.25">
      <c r="A272" s="6"/>
      <c r="B272" s="6"/>
      <c r="C272" s="102"/>
      <c r="D272" s="102"/>
      <c r="E272" s="102"/>
      <c r="F272" s="103"/>
      <c r="G272" s="6"/>
      <c r="H272" s="103"/>
      <c r="I272" s="6"/>
      <c r="J272" s="141"/>
      <c r="K272" s="141"/>
      <c r="L272" s="141"/>
      <c r="M272" s="141"/>
    </row>
    <row r="273" spans="1:13" x14ac:dyDescent="0.25">
      <c r="A273" s="6"/>
      <c r="B273" s="6"/>
      <c r="C273" s="102"/>
      <c r="D273" s="102"/>
      <c r="E273" s="102"/>
      <c r="F273" s="103"/>
      <c r="G273" s="6"/>
      <c r="H273" s="103"/>
      <c r="I273" s="6"/>
      <c r="J273" s="141"/>
      <c r="K273" s="141"/>
      <c r="L273" s="141"/>
      <c r="M273" s="141"/>
    </row>
    <row r="274" spans="1:13" x14ac:dyDescent="0.25">
      <c r="A274" s="6"/>
      <c r="B274" s="6"/>
      <c r="C274" s="102"/>
      <c r="D274" s="102"/>
      <c r="E274" s="102"/>
      <c r="F274" s="103"/>
      <c r="G274" s="6"/>
      <c r="H274" s="103"/>
      <c r="I274" s="6"/>
      <c r="J274" s="141"/>
      <c r="K274" s="141"/>
      <c r="L274" s="141"/>
      <c r="M274" s="141"/>
    </row>
    <row r="275" spans="1:13" x14ac:dyDescent="0.25">
      <c r="A275" s="6"/>
      <c r="B275" s="6"/>
      <c r="C275" s="102"/>
      <c r="D275" s="102"/>
      <c r="E275" s="102"/>
      <c r="F275" s="103"/>
      <c r="G275" s="6"/>
      <c r="H275" s="103"/>
      <c r="I275" s="6"/>
      <c r="J275" s="141"/>
      <c r="K275" s="141"/>
      <c r="L275" s="141"/>
      <c r="M275" s="141"/>
    </row>
    <row r="276" spans="1:13" x14ac:dyDescent="0.25">
      <c r="A276" s="6"/>
      <c r="B276" s="6"/>
      <c r="C276" s="102"/>
      <c r="D276" s="102"/>
      <c r="E276" s="102"/>
      <c r="F276" s="103"/>
      <c r="G276" s="6"/>
      <c r="H276" s="103"/>
      <c r="I276" s="6"/>
      <c r="J276" s="141"/>
      <c r="K276" s="141"/>
      <c r="L276" s="141"/>
      <c r="M276" s="141"/>
    </row>
    <row r="277" spans="1:13" x14ac:dyDescent="0.25">
      <c r="A277" s="6"/>
      <c r="B277" s="6"/>
      <c r="C277" s="102"/>
      <c r="D277" s="102"/>
      <c r="E277" s="102"/>
      <c r="F277" s="103"/>
      <c r="G277" s="6"/>
      <c r="H277" s="103"/>
      <c r="I277" s="6"/>
      <c r="J277" s="141"/>
      <c r="K277" s="141"/>
      <c r="L277" s="141"/>
      <c r="M277" s="141"/>
    </row>
    <row r="278" spans="1:13" x14ac:dyDescent="0.25">
      <c r="A278" s="6"/>
      <c r="B278" s="6"/>
      <c r="C278" s="102"/>
      <c r="D278" s="102"/>
      <c r="E278" s="102"/>
      <c r="F278" s="103"/>
      <c r="G278" s="6"/>
      <c r="H278" s="103"/>
      <c r="I278" s="6"/>
      <c r="J278" s="141"/>
      <c r="K278" s="141"/>
      <c r="L278" s="141"/>
      <c r="M278" s="141"/>
    </row>
    <row r="279" spans="1:13" x14ac:dyDescent="0.25">
      <c r="A279" s="6"/>
      <c r="B279" s="6"/>
      <c r="C279" s="102"/>
      <c r="D279" s="102"/>
      <c r="E279" s="102"/>
      <c r="F279" s="103"/>
      <c r="G279" s="6"/>
      <c r="H279" s="103"/>
      <c r="I279" s="6"/>
      <c r="J279" s="141"/>
      <c r="K279" s="141"/>
      <c r="L279" s="141"/>
      <c r="M279" s="141"/>
    </row>
    <row r="280" spans="1:13" x14ac:dyDescent="0.25">
      <c r="A280" s="6"/>
      <c r="B280" s="6"/>
      <c r="C280" s="102"/>
      <c r="D280" s="102"/>
      <c r="E280" s="102"/>
      <c r="F280" s="103"/>
      <c r="G280" s="6"/>
      <c r="H280" s="103"/>
      <c r="I280" s="6"/>
      <c r="J280" s="141"/>
      <c r="K280" s="141"/>
      <c r="L280" s="141"/>
      <c r="M280" s="141"/>
    </row>
    <row r="281" spans="1:13" x14ac:dyDescent="0.25">
      <c r="A281" s="6"/>
      <c r="B281" s="6"/>
      <c r="C281" s="102"/>
      <c r="D281" s="102"/>
      <c r="E281" s="102"/>
      <c r="F281" s="103"/>
      <c r="G281" s="6"/>
      <c r="H281" s="103"/>
      <c r="I281" s="6"/>
      <c r="J281" s="141"/>
      <c r="K281" s="141"/>
      <c r="L281" s="141"/>
      <c r="M281" s="141"/>
    </row>
    <row r="282" spans="1:13" x14ac:dyDescent="0.25">
      <c r="A282" s="6"/>
      <c r="B282" s="6"/>
      <c r="C282" s="102"/>
      <c r="D282" s="102"/>
      <c r="E282" s="102"/>
      <c r="F282" s="103"/>
      <c r="G282" s="6"/>
      <c r="H282" s="103"/>
      <c r="I282" s="6"/>
      <c r="J282" s="141"/>
      <c r="K282" s="141"/>
      <c r="L282" s="141"/>
      <c r="M282" s="141"/>
    </row>
    <row r="283" spans="1:13" x14ac:dyDescent="0.25">
      <c r="A283" s="6"/>
      <c r="B283" s="6"/>
      <c r="C283" s="102"/>
      <c r="D283" s="102"/>
      <c r="E283" s="102"/>
      <c r="F283" s="103"/>
      <c r="G283" s="6"/>
      <c r="H283" s="103"/>
      <c r="I283" s="6"/>
      <c r="J283" s="141"/>
      <c r="K283" s="141"/>
      <c r="L283" s="141"/>
      <c r="M283" s="141"/>
    </row>
    <row r="284" spans="1:13" x14ac:dyDescent="0.25">
      <c r="A284" s="6"/>
      <c r="B284" s="6"/>
      <c r="C284" s="102"/>
      <c r="D284" s="102"/>
      <c r="E284" s="102"/>
      <c r="F284" s="103"/>
      <c r="G284" s="6"/>
      <c r="H284" s="103"/>
      <c r="I284" s="6"/>
      <c r="J284" s="141"/>
      <c r="K284" s="141"/>
      <c r="L284" s="141"/>
      <c r="M284" s="141"/>
    </row>
    <row r="285" spans="1:13" x14ac:dyDescent="0.25">
      <c r="A285" s="6"/>
      <c r="B285" s="6"/>
      <c r="C285" s="102"/>
      <c r="D285" s="102"/>
      <c r="E285" s="102"/>
      <c r="F285" s="103"/>
      <c r="G285" s="6"/>
      <c r="H285" s="103"/>
      <c r="I285" s="6"/>
      <c r="J285" s="141"/>
      <c r="K285" s="141"/>
      <c r="L285" s="141"/>
      <c r="M285" s="141"/>
    </row>
    <row r="286" spans="1:13" x14ac:dyDescent="0.25">
      <c r="A286" s="6"/>
      <c r="B286" s="6"/>
      <c r="C286" s="102"/>
      <c r="D286" s="102"/>
      <c r="E286" s="102"/>
      <c r="F286" s="103"/>
      <c r="G286" s="6"/>
      <c r="H286" s="103"/>
      <c r="I286" s="6"/>
      <c r="J286" s="141"/>
      <c r="K286" s="141"/>
      <c r="L286" s="141"/>
      <c r="M286" s="141"/>
    </row>
    <row r="287" spans="1:13" x14ac:dyDescent="0.25">
      <c r="A287" s="6"/>
      <c r="B287" s="6"/>
      <c r="C287" s="102"/>
      <c r="D287" s="102"/>
      <c r="E287" s="102"/>
      <c r="F287" s="103"/>
      <c r="G287" s="6"/>
      <c r="H287" s="103"/>
      <c r="I287" s="6"/>
      <c r="J287" s="141"/>
      <c r="K287" s="141"/>
      <c r="L287" s="141"/>
      <c r="M287" s="141"/>
    </row>
    <row r="288" spans="1:13" x14ac:dyDescent="0.25">
      <c r="A288" s="6"/>
      <c r="B288" s="6"/>
      <c r="C288" s="102"/>
      <c r="D288" s="102"/>
      <c r="E288" s="102"/>
      <c r="F288" s="103"/>
      <c r="G288" s="6"/>
      <c r="H288" s="103"/>
      <c r="I288" s="6"/>
      <c r="J288" s="141"/>
      <c r="K288" s="141"/>
      <c r="L288" s="141"/>
      <c r="M288" s="141"/>
    </row>
    <row r="289" spans="1:13" x14ac:dyDescent="0.25">
      <c r="A289" s="6"/>
      <c r="B289" s="6"/>
      <c r="C289" s="102"/>
      <c r="D289" s="102"/>
      <c r="E289" s="102"/>
      <c r="F289" s="103"/>
      <c r="G289" s="6"/>
      <c r="H289" s="103"/>
      <c r="I289" s="6"/>
      <c r="J289" s="141"/>
      <c r="K289" s="141"/>
      <c r="L289" s="141"/>
      <c r="M289" s="141"/>
    </row>
    <row r="290" spans="1:13" x14ac:dyDescent="0.25">
      <c r="A290" s="6"/>
      <c r="B290" s="6"/>
      <c r="C290" s="102"/>
      <c r="D290" s="102"/>
      <c r="E290" s="102"/>
      <c r="F290" s="103"/>
      <c r="G290" s="6"/>
      <c r="H290" s="103"/>
      <c r="I290" s="6"/>
      <c r="J290" s="141"/>
      <c r="K290" s="141"/>
      <c r="L290" s="141"/>
      <c r="M290" s="141"/>
    </row>
    <row r="291" spans="1:13" x14ac:dyDescent="0.25">
      <c r="A291" s="6"/>
      <c r="B291" s="6"/>
      <c r="C291" s="102"/>
      <c r="D291" s="102"/>
      <c r="E291" s="102"/>
      <c r="F291" s="103"/>
      <c r="G291" s="6"/>
      <c r="H291" s="103"/>
      <c r="I291" s="6"/>
      <c r="J291" s="141"/>
      <c r="K291" s="141"/>
      <c r="L291" s="141"/>
      <c r="M291" s="141"/>
    </row>
    <row r="292" spans="1:13" x14ac:dyDescent="0.25">
      <c r="A292" s="6"/>
      <c r="B292" s="6"/>
      <c r="C292" s="102"/>
      <c r="D292" s="102"/>
      <c r="E292" s="102"/>
      <c r="F292" s="103"/>
      <c r="G292" s="6"/>
      <c r="H292" s="103"/>
      <c r="I292" s="6"/>
      <c r="J292" s="141"/>
      <c r="K292" s="141"/>
      <c r="L292" s="141"/>
      <c r="M292" s="141"/>
    </row>
    <row r="293" spans="1:13" x14ac:dyDescent="0.25">
      <c r="A293" s="6"/>
      <c r="B293" s="6"/>
      <c r="C293" s="102"/>
      <c r="D293" s="102"/>
      <c r="E293" s="102"/>
      <c r="F293" s="103"/>
      <c r="G293" s="6"/>
      <c r="H293" s="103"/>
      <c r="I293" s="6"/>
      <c r="J293" s="141"/>
      <c r="K293" s="141"/>
      <c r="L293" s="141"/>
      <c r="M293" s="141"/>
    </row>
    <row r="294" spans="1:13" x14ac:dyDescent="0.25">
      <c r="A294" s="6"/>
      <c r="B294" s="6"/>
      <c r="C294" s="102"/>
      <c r="D294" s="102"/>
      <c r="E294" s="102"/>
      <c r="F294" s="103"/>
      <c r="G294" s="6"/>
      <c r="H294" s="103"/>
      <c r="I294" s="6"/>
      <c r="J294" s="141"/>
      <c r="K294" s="141"/>
      <c r="L294" s="141"/>
      <c r="M294" s="141"/>
    </row>
    <row r="295" spans="1:13" x14ac:dyDescent="0.25">
      <c r="A295" s="6"/>
      <c r="B295" s="6"/>
      <c r="C295" s="102"/>
      <c r="D295" s="102"/>
      <c r="E295" s="102"/>
      <c r="F295" s="103"/>
      <c r="G295" s="6"/>
      <c r="H295" s="103"/>
      <c r="I295" s="6"/>
      <c r="J295" s="141"/>
      <c r="K295" s="141"/>
      <c r="L295" s="141"/>
      <c r="M295" s="141"/>
    </row>
    <row r="296" spans="1:13" x14ac:dyDescent="0.25">
      <c r="A296" s="6"/>
      <c r="B296" s="6"/>
      <c r="C296" s="102"/>
      <c r="D296" s="102"/>
      <c r="E296" s="102"/>
      <c r="F296" s="103"/>
      <c r="G296" s="6"/>
      <c r="H296" s="103"/>
      <c r="I296" s="6"/>
      <c r="J296" s="141"/>
      <c r="K296" s="141"/>
      <c r="L296" s="141"/>
      <c r="M296" s="141"/>
    </row>
    <row r="297" spans="1:13" x14ac:dyDescent="0.25">
      <c r="A297" s="6"/>
      <c r="B297" s="6"/>
      <c r="C297" s="102"/>
      <c r="D297" s="102"/>
      <c r="E297" s="102"/>
      <c r="F297" s="103"/>
      <c r="G297" s="6"/>
      <c r="H297" s="103"/>
      <c r="I297" s="6"/>
      <c r="J297" s="141"/>
      <c r="K297" s="141"/>
      <c r="L297" s="141"/>
      <c r="M297" s="141"/>
    </row>
    <row r="298" spans="1:13" x14ac:dyDescent="0.25">
      <c r="A298" s="6"/>
      <c r="B298" s="6"/>
      <c r="C298" s="102"/>
      <c r="D298" s="102"/>
      <c r="E298" s="102"/>
      <c r="F298" s="103"/>
      <c r="G298" s="6"/>
      <c r="H298" s="103"/>
      <c r="I298" s="6"/>
      <c r="J298" s="141"/>
      <c r="K298" s="141"/>
      <c r="L298" s="141"/>
      <c r="M298" s="141"/>
    </row>
    <row r="299" spans="1:13" x14ac:dyDescent="0.25">
      <c r="A299" s="6"/>
      <c r="B299" s="6"/>
      <c r="C299" s="102"/>
      <c r="D299" s="102"/>
      <c r="E299" s="102"/>
      <c r="F299" s="103"/>
      <c r="G299" s="6"/>
      <c r="H299" s="103"/>
      <c r="I299" s="6"/>
      <c r="J299" s="141"/>
      <c r="K299" s="141"/>
      <c r="L299" s="141"/>
      <c r="M299" s="141"/>
    </row>
    <row r="300" spans="1:13" x14ac:dyDescent="0.25">
      <c r="A300" s="6"/>
      <c r="B300" s="6"/>
      <c r="C300" s="102"/>
      <c r="D300" s="102"/>
      <c r="E300" s="102"/>
      <c r="F300" s="103"/>
      <c r="G300" s="6"/>
      <c r="H300" s="103"/>
      <c r="I300" s="6"/>
      <c r="J300" s="141"/>
      <c r="K300" s="141"/>
      <c r="L300" s="141"/>
      <c r="M300" s="141"/>
    </row>
    <row r="301" spans="1:13" x14ac:dyDescent="0.25">
      <c r="A301" s="6"/>
      <c r="B301" s="6"/>
      <c r="C301" s="102"/>
      <c r="D301" s="102"/>
      <c r="E301" s="102"/>
      <c r="F301" s="103"/>
      <c r="G301" s="6"/>
      <c r="H301" s="103"/>
      <c r="I301" s="6"/>
      <c r="J301" s="141"/>
      <c r="K301" s="141"/>
      <c r="L301" s="141"/>
      <c r="M301" s="141"/>
    </row>
    <row r="302" spans="1:13" x14ac:dyDescent="0.25">
      <c r="A302" s="6"/>
      <c r="B302" s="6"/>
      <c r="C302" s="102"/>
      <c r="D302" s="102"/>
      <c r="E302" s="102"/>
      <c r="F302" s="103"/>
      <c r="G302" s="6"/>
      <c r="H302" s="103"/>
      <c r="I302" s="6"/>
      <c r="J302" s="141"/>
      <c r="K302" s="141"/>
      <c r="L302" s="141"/>
      <c r="M302" s="141"/>
    </row>
    <row r="303" spans="1:13" x14ac:dyDescent="0.25">
      <c r="A303" s="6"/>
      <c r="B303" s="6"/>
      <c r="C303" s="102"/>
      <c r="D303" s="102"/>
      <c r="E303" s="102"/>
      <c r="F303" s="103"/>
      <c r="G303" s="6"/>
      <c r="H303" s="103"/>
      <c r="I303" s="6"/>
      <c r="J303" s="141"/>
      <c r="K303" s="141"/>
      <c r="L303" s="141"/>
      <c r="M303" s="141"/>
    </row>
    <row r="304" spans="1:13" x14ac:dyDescent="0.25">
      <c r="A304" s="6"/>
      <c r="B304" s="6"/>
      <c r="C304" s="102"/>
      <c r="D304" s="102"/>
      <c r="E304" s="102"/>
      <c r="F304" s="103"/>
      <c r="G304" s="6"/>
      <c r="H304" s="103"/>
      <c r="I304" s="6"/>
      <c r="J304" s="141"/>
      <c r="K304" s="141"/>
      <c r="L304" s="141"/>
      <c r="M304" s="141"/>
    </row>
    <row r="305" spans="1:13" x14ac:dyDescent="0.25">
      <c r="A305" s="6"/>
      <c r="B305" s="6"/>
      <c r="C305" s="102"/>
      <c r="D305" s="102"/>
      <c r="E305" s="102"/>
      <c r="F305" s="103"/>
      <c r="G305" s="6"/>
      <c r="H305" s="103"/>
      <c r="I305" s="6"/>
      <c r="J305" s="141"/>
      <c r="K305" s="141"/>
      <c r="L305" s="141"/>
      <c r="M305" s="141"/>
    </row>
    <row r="306" spans="1:13" x14ac:dyDescent="0.25">
      <c r="A306" s="6"/>
      <c r="B306" s="6"/>
      <c r="C306" s="102"/>
      <c r="D306" s="102"/>
      <c r="E306" s="102"/>
      <c r="F306" s="103"/>
      <c r="G306" s="6"/>
      <c r="H306" s="103"/>
      <c r="I306" s="6"/>
      <c r="J306" s="141"/>
      <c r="K306" s="141"/>
      <c r="L306" s="141"/>
      <c r="M306" s="141"/>
    </row>
    <row r="307" spans="1:13" x14ac:dyDescent="0.25">
      <c r="A307" s="6"/>
      <c r="B307" s="6"/>
      <c r="C307" s="102"/>
      <c r="D307" s="102"/>
      <c r="E307" s="102"/>
      <c r="F307" s="103"/>
      <c r="G307" s="6"/>
      <c r="H307" s="103"/>
      <c r="I307" s="6"/>
      <c r="J307" s="141"/>
      <c r="K307" s="141"/>
      <c r="L307" s="141"/>
      <c r="M307" s="141"/>
    </row>
    <row r="308" spans="1:13" x14ac:dyDescent="0.25">
      <c r="A308" s="6"/>
      <c r="B308" s="6"/>
      <c r="C308" s="102"/>
      <c r="D308" s="102"/>
      <c r="E308" s="102"/>
      <c r="F308" s="103"/>
      <c r="G308" s="6"/>
      <c r="H308" s="103"/>
      <c r="I308" s="6"/>
      <c r="J308" s="141"/>
      <c r="K308" s="141"/>
      <c r="L308" s="141"/>
      <c r="M308" s="141"/>
    </row>
    <row r="309" spans="1:13" x14ac:dyDescent="0.25">
      <c r="A309" s="6"/>
      <c r="B309" s="6"/>
      <c r="C309" s="102"/>
      <c r="D309" s="102"/>
      <c r="E309" s="102"/>
      <c r="F309" s="103"/>
      <c r="G309" s="6"/>
      <c r="H309" s="103"/>
      <c r="I309" s="6"/>
      <c r="J309" s="141"/>
      <c r="K309" s="141"/>
      <c r="L309" s="141"/>
      <c r="M309" s="141"/>
    </row>
    <row r="310" spans="1:13" x14ac:dyDescent="0.25">
      <c r="A310" s="6"/>
      <c r="B310" s="6"/>
      <c r="C310" s="102"/>
      <c r="D310" s="102"/>
      <c r="E310" s="102"/>
      <c r="F310" s="103"/>
      <c r="G310" s="6"/>
      <c r="H310" s="103"/>
      <c r="I310" s="6"/>
      <c r="J310" s="141"/>
      <c r="K310" s="141"/>
      <c r="L310" s="141"/>
      <c r="M310" s="141"/>
    </row>
    <row r="311" spans="1:13" x14ac:dyDescent="0.25">
      <c r="A311" s="6"/>
      <c r="B311" s="6"/>
      <c r="C311" s="102"/>
      <c r="D311" s="102"/>
      <c r="E311" s="102"/>
      <c r="F311" s="103"/>
      <c r="G311" s="6"/>
      <c r="H311" s="103"/>
      <c r="I311" s="6"/>
      <c r="J311" s="141"/>
      <c r="K311" s="141"/>
      <c r="L311" s="141"/>
      <c r="M311" s="141"/>
    </row>
    <row r="312" spans="1:13" x14ac:dyDescent="0.25">
      <c r="A312" s="6"/>
      <c r="B312" s="6"/>
      <c r="C312" s="102"/>
      <c r="D312" s="102"/>
      <c r="E312" s="102"/>
      <c r="F312" s="103"/>
      <c r="G312" s="6"/>
      <c r="H312" s="103"/>
      <c r="I312" s="6"/>
      <c r="J312" s="141"/>
      <c r="K312" s="141"/>
      <c r="L312" s="141"/>
      <c r="M312" s="141"/>
    </row>
    <row r="313" spans="1:13" x14ac:dyDescent="0.25">
      <c r="A313" s="6"/>
      <c r="B313" s="6"/>
      <c r="C313" s="102"/>
      <c r="D313" s="102"/>
      <c r="E313" s="102"/>
      <c r="F313" s="103"/>
      <c r="G313" s="6"/>
      <c r="H313" s="103"/>
      <c r="I313" s="6"/>
      <c r="J313" s="141"/>
      <c r="K313" s="141"/>
      <c r="L313" s="141"/>
      <c r="M313" s="141"/>
    </row>
    <row r="314" spans="1:13" x14ac:dyDescent="0.25">
      <c r="A314" s="6"/>
      <c r="B314" s="6"/>
      <c r="C314" s="102"/>
      <c r="D314" s="102"/>
      <c r="E314" s="102"/>
      <c r="F314" s="103"/>
      <c r="G314" s="6"/>
      <c r="H314" s="103"/>
      <c r="I314" s="6"/>
      <c r="J314" s="141"/>
      <c r="K314" s="141"/>
      <c r="L314" s="141"/>
      <c r="M314" s="141"/>
    </row>
    <row r="315" spans="1:13" x14ac:dyDescent="0.25">
      <c r="A315" s="6"/>
      <c r="B315" s="6"/>
      <c r="C315" s="102"/>
      <c r="D315" s="102"/>
      <c r="E315" s="102"/>
      <c r="F315" s="103"/>
      <c r="G315" s="6"/>
      <c r="H315" s="103"/>
      <c r="I315" s="6"/>
      <c r="J315" s="141"/>
      <c r="K315" s="141"/>
      <c r="L315" s="141"/>
      <c r="M315" s="141"/>
    </row>
    <row r="316" spans="1:13" x14ac:dyDescent="0.25">
      <c r="A316" s="6"/>
      <c r="B316" s="6"/>
      <c r="C316" s="102"/>
      <c r="D316" s="102"/>
      <c r="E316" s="102"/>
      <c r="F316" s="103"/>
      <c r="G316" s="6"/>
      <c r="H316" s="103"/>
      <c r="I316" s="6"/>
      <c r="J316" s="141"/>
      <c r="K316" s="141"/>
      <c r="L316" s="141"/>
      <c r="M316" s="141"/>
    </row>
    <row r="317" spans="1:13" x14ac:dyDescent="0.25">
      <c r="A317" s="6"/>
      <c r="B317" s="6"/>
      <c r="C317" s="102"/>
      <c r="D317" s="102"/>
      <c r="E317" s="102"/>
      <c r="F317" s="103"/>
      <c r="G317" s="6"/>
      <c r="H317" s="103"/>
      <c r="I317" s="6"/>
      <c r="J317" s="141"/>
      <c r="K317" s="141"/>
      <c r="L317" s="141"/>
      <c r="M317" s="141"/>
    </row>
    <row r="318" spans="1:13" x14ac:dyDescent="0.25">
      <c r="A318" s="6"/>
      <c r="B318" s="6"/>
      <c r="C318" s="102"/>
      <c r="D318" s="102"/>
      <c r="E318" s="102"/>
      <c r="F318" s="103"/>
      <c r="G318" s="6"/>
      <c r="H318" s="103"/>
      <c r="I318" s="6"/>
      <c r="J318" s="141"/>
      <c r="K318" s="141"/>
      <c r="L318" s="141"/>
      <c r="M318" s="141"/>
    </row>
    <row r="319" spans="1:13" x14ac:dyDescent="0.25">
      <c r="A319" s="6"/>
      <c r="B319" s="6"/>
      <c r="C319" s="102"/>
      <c r="D319" s="102"/>
      <c r="E319" s="102"/>
      <c r="F319" s="103"/>
      <c r="G319" s="6"/>
      <c r="H319" s="103"/>
      <c r="I319" s="6"/>
      <c r="J319" s="141"/>
      <c r="K319" s="141"/>
      <c r="L319" s="141"/>
      <c r="M319" s="141"/>
    </row>
    <row r="320" spans="1:13" x14ac:dyDescent="0.25">
      <c r="A320" s="6"/>
      <c r="B320" s="6"/>
      <c r="C320" s="102"/>
      <c r="D320" s="102"/>
      <c r="E320" s="102"/>
      <c r="F320" s="103"/>
      <c r="G320" s="6"/>
      <c r="H320" s="103"/>
      <c r="I320" s="6"/>
      <c r="J320" s="141"/>
      <c r="K320" s="141"/>
      <c r="L320" s="141"/>
      <c r="M320" s="141"/>
    </row>
    <row r="321" spans="1:13" x14ac:dyDescent="0.25">
      <c r="A321" s="6"/>
      <c r="B321" s="6"/>
      <c r="C321" s="102"/>
      <c r="D321" s="102"/>
      <c r="E321" s="102"/>
      <c r="F321" s="103"/>
      <c r="G321" s="6"/>
      <c r="H321" s="103"/>
      <c r="I321" s="6"/>
      <c r="J321" s="141"/>
      <c r="K321" s="141"/>
      <c r="L321" s="141"/>
      <c r="M321" s="141"/>
    </row>
    <row r="322" spans="1:13" x14ac:dyDescent="0.25">
      <c r="A322" s="6"/>
      <c r="B322" s="6"/>
      <c r="C322" s="102"/>
      <c r="D322" s="102"/>
      <c r="E322" s="102"/>
      <c r="F322" s="103"/>
      <c r="G322" s="6"/>
      <c r="H322" s="103"/>
      <c r="I322" s="6"/>
      <c r="J322" s="141"/>
      <c r="K322" s="141"/>
      <c r="L322" s="141"/>
      <c r="M322" s="141"/>
    </row>
    <row r="323" spans="1:13" x14ac:dyDescent="0.25">
      <c r="A323" s="6"/>
      <c r="B323" s="6"/>
      <c r="C323" s="102"/>
      <c r="D323" s="102"/>
      <c r="E323" s="102"/>
      <c r="F323" s="103"/>
      <c r="G323" s="6"/>
      <c r="H323" s="103"/>
      <c r="I323" s="6"/>
      <c r="J323" s="141"/>
      <c r="K323" s="141"/>
      <c r="L323" s="141"/>
      <c r="M323" s="141"/>
    </row>
    <row r="324" spans="1:13" x14ac:dyDescent="0.25">
      <c r="A324" s="6"/>
      <c r="B324" s="6"/>
      <c r="C324" s="102"/>
      <c r="D324" s="102"/>
      <c r="E324" s="102"/>
      <c r="F324" s="103"/>
      <c r="G324" s="6"/>
      <c r="H324" s="103"/>
      <c r="I324" s="6"/>
      <c r="J324" s="141"/>
      <c r="K324" s="141"/>
      <c r="L324" s="141"/>
      <c r="M324" s="141"/>
    </row>
    <row r="325" spans="1:13" x14ac:dyDescent="0.25">
      <c r="A325" s="6"/>
      <c r="B325" s="6"/>
      <c r="C325" s="102"/>
      <c r="D325" s="102"/>
      <c r="E325" s="102"/>
      <c r="F325" s="103"/>
      <c r="G325" s="6"/>
      <c r="H325" s="103"/>
      <c r="I325" s="6"/>
      <c r="J325" s="141"/>
      <c r="K325" s="141"/>
      <c r="L325" s="141"/>
      <c r="M325" s="141"/>
    </row>
    <row r="326" spans="1:13" x14ac:dyDescent="0.25">
      <c r="A326" s="6"/>
      <c r="B326" s="6"/>
      <c r="C326" s="102"/>
      <c r="D326" s="102"/>
      <c r="E326" s="102"/>
      <c r="F326" s="103"/>
      <c r="G326" s="6"/>
      <c r="H326" s="103"/>
      <c r="I326" s="6"/>
      <c r="J326" s="141"/>
      <c r="K326" s="141"/>
      <c r="L326" s="141"/>
      <c r="M326" s="141"/>
    </row>
    <row r="327" spans="1:13" x14ac:dyDescent="0.25">
      <c r="A327" s="6"/>
      <c r="B327" s="6"/>
      <c r="C327" s="102"/>
      <c r="D327" s="102"/>
      <c r="E327" s="102"/>
      <c r="F327" s="103"/>
      <c r="G327" s="6"/>
      <c r="H327" s="103"/>
      <c r="I327" s="6"/>
      <c r="J327" s="141"/>
      <c r="K327" s="141"/>
      <c r="L327" s="141"/>
      <c r="M327" s="141"/>
    </row>
    <row r="328" spans="1:13" x14ac:dyDescent="0.25">
      <c r="A328" s="6"/>
      <c r="B328" s="6"/>
      <c r="C328" s="102"/>
      <c r="D328" s="102"/>
      <c r="E328" s="102"/>
      <c r="F328" s="103"/>
      <c r="G328" s="6"/>
      <c r="H328" s="103"/>
      <c r="I328" s="6"/>
      <c r="J328" s="141"/>
      <c r="K328" s="141"/>
      <c r="L328" s="141"/>
      <c r="M328" s="141"/>
    </row>
    <row r="329" spans="1:13" x14ac:dyDescent="0.25">
      <c r="A329" s="6"/>
      <c r="B329" s="6"/>
      <c r="C329" s="102"/>
      <c r="D329" s="102"/>
      <c r="E329" s="102"/>
      <c r="F329" s="103"/>
      <c r="G329" s="6"/>
      <c r="H329" s="103"/>
      <c r="I329" s="6"/>
      <c r="J329" s="141"/>
      <c r="K329" s="141"/>
      <c r="L329" s="141"/>
      <c r="M329" s="141"/>
    </row>
    <row r="330" spans="1:13" x14ac:dyDescent="0.25">
      <c r="A330" s="6"/>
      <c r="B330" s="6"/>
      <c r="C330" s="102"/>
      <c r="D330" s="102"/>
      <c r="E330" s="102"/>
      <c r="F330" s="103"/>
      <c r="G330" s="6"/>
      <c r="H330" s="103"/>
      <c r="I330" s="6"/>
      <c r="J330" s="141"/>
      <c r="K330" s="141"/>
      <c r="L330" s="141"/>
      <c r="M330" s="141"/>
    </row>
    <row r="331" spans="1:13" x14ac:dyDescent="0.25">
      <c r="A331" s="6"/>
      <c r="B331" s="6"/>
      <c r="C331" s="102"/>
      <c r="D331" s="102"/>
      <c r="E331" s="102"/>
      <c r="F331" s="103"/>
      <c r="G331" s="6"/>
      <c r="H331" s="103"/>
      <c r="I331" s="6"/>
      <c r="J331" s="141"/>
      <c r="K331" s="141"/>
      <c r="L331" s="141"/>
      <c r="M331" s="141"/>
    </row>
    <row r="332" spans="1:13" x14ac:dyDescent="0.25">
      <c r="A332" s="6"/>
      <c r="B332" s="6"/>
      <c r="C332" s="102"/>
      <c r="D332" s="102"/>
      <c r="E332" s="102"/>
      <c r="F332" s="103"/>
      <c r="G332" s="6"/>
      <c r="H332" s="103"/>
      <c r="I332" s="6"/>
      <c r="J332" s="141"/>
      <c r="K332" s="141"/>
      <c r="L332" s="141"/>
      <c r="M332" s="141"/>
    </row>
    <row r="333" spans="1:13" x14ac:dyDescent="0.25">
      <c r="A333" s="6"/>
      <c r="B333" s="6"/>
      <c r="C333" s="102"/>
      <c r="D333" s="102"/>
      <c r="E333" s="102"/>
      <c r="F333" s="103"/>
      <c r="G333" s="6"/>
      <c r="H333" s="103"/>
      <c r="I333" s="6"/>
      <c r="J333" s="141"/>
      <c r="K333" s="141"/>
      <c r="L333" s="141"/>
      <c r="M333" s="141"/>
    </row>
    <row r="334" spans="1:13" x14ac:dyDescent="0.25">
      <c r="A334" s="6"/>
      <c r="B334" s="6"/>
      <c r="C334" s="102"/>
      <c r="D334" s="102"/>
      <c r="E334" s="102"/>
      <c r="F334" s="103"/>
      <c r="G334" s="6"/>
      <c r="H334" s="103"/>
      <c r="I334" s="6"/>
      <c r="J334" s="141"/>
      <c r="K334" s="141"/>
      <c r="L334" s="141"/>
      <c r="M334" s="141"/>
    </row>
    <row r="335" spans="1:13" x14ac:dyDescent="0.25">
      <c r="A335" s="6"/>
      <c r="B335" s="6"/>
      <c r="C335" s="102"/>
      <c r="D335" s="102"/>
      <c r="E335" s="102"/>
      <c r="F335" s="103"/>
      <c r="G335" s="6"/>
      <c r="H335" s="103"/>
      <c r="I335" s="6"/>
      <c r="J335" s="141"/>
      <c r="K335" s="141"/>
      <c r="L335" s="141"/>
      <c r="M335" s="141"/>
    </row>
    <row r="336" spans="1:13" x14ac:dyDescent="0.25">
      <c r="A336" s="6"/>
      <c r="B336" s="6"/>
      <c r="C336" s="102"/>
      <c r="D336" s="102"/>
      <c r="E336" s="102"/>
      <c r="F336" s="103"/>
      <c r="G336" s="6"/>
      <c r="H336" s="103"/>
      <c r="I336" s="6"/>
      <c r="J336" s="141"/>
      <c r="K336" s="141"/>
      <c r="L336" s="141"/>
      <c r="M336" s="141"/>
    </row>
    <row r="337" spans="1:13" x14ac:dyDescent="0.25">
      <c r="A337" s="6"/>
      <c r="B337" s="6"/>
      <c r="C337" s="102"/>
      <c r="D337" s="102"/>
      <c r="E337" s="102"/>
      <c r="F337" s="103"/>
      <c r="G337" s="6"/>
      <c r="H337" s="103"/>
      <c r="I337" s="6"/>
      <c r="J337" s="141"/>
      <c r="K337" s="141"/>
      <c r="L337" s="141"/>
      <c r="M337" s="141"/>
    </row>
    <row r="338" spans="1:13" x14ac:dyDescent="0.25">
      <c r="A338" s="6"/>
      <c r="B338" s="6"/>
      <c r="C338" s="102"/>
      <c r="D338" s="102"/>
      <c r="E338" s="102"/>
      <c r="F338" s="103"/>
      <c r="G338" s="6"/>
      <c r="H338" s="103"/>
      <c r="I338" s="6"/>
      <c r="J338" s="141"/>
      <c r="K338" s="141"/>
      <c r="L338" s="141"/>
      <c r="M338" s="141"/>
    </row>
    <row r="339" spans="1:13" x14ac:dyDescent="0.25">
      <c r="A339" s="6"/>
      <c r="B339" s="6"/>
      <c r="C339" s="102"/>
      <c r="D339" s="102"/>
      <c r="E339" s="102"/>
      <c r="F339" s="103"/>
      <c r="G339" s="6"/>
      <c r="H339" s="103"/>
      <c r="I339" s="6"/>
      <c r="J339" s="141"/>
      <c r="K339" s="141"/>
      <c r="L339" s="141"/>
      <c r="M339" s="141"/>
    </row>
    <row r="340" spans="1:13" x14ac:dyDescent="0.25">
      <c r="A340" s="6"/>
      <c r="B340" s="6"/>
      <c r="C340" s="102"/>
      <c r="D340" s="102"/>
      <c r="E340" s="102"/>
      <c r="F340" s="103"/>
      <c r="G340" s="6"/>
      <c r="H340" s="103"/>
      <c r="I340" s="6"/>
      <c r="J340" s="141"/>
      <c r="K340" s="141"/>
      <c r="L340" s="141"/>
      <c r="M340" s="141"/>
    </row>
    <row r="341" spans="1:13" x14ac:dyDescent="0.25">
      <c r="A341" s="6"/>
      <c r="B341" s="6"/>
      <c r="C341" s="102"/>
      <c r="D341" s="102"/>
      <c r="E341" s="102"/>
      <c r="F341" s="103"/>
      <c r="G341" s="6"/>
      <c r="H341" s="103"/>
      <c r="I341" s="6"/>
      <c r="J341" s="141"/>
      <c r="K341" s="141"/>
      <c r="L341" s="141"/>
      <c r="M341" s="141"/>
    </row>
    <row r="342" spans="1:13" x14ac:dyDescent="0.25">
      <c r="A342" s="6"/>
      <c r="B342" s="6"/>
      <c r="C342" s="102"/>
      <c r="D342" s="102"/>
      <c r="E342" s="102"/>
      <c r="F342" s="103"/>
      <c r="G342" s="6"/>
      <c r="H342" s="103"/>
      <c r="I342" s="6"/>
      <c r="J342" s="141"/>
      <c r="K342" s="141"/>
      <c r="L342" s="141"/>
      <c r="M342" s="141"/>
    </row>
    <row r="343" spans="1:13" x14ac:dyDescent="0.25">
      <c r="A343" s="6"/>
      <c r="B343" s="6"/>
      <c r="C343" s="102"/>
      <c r="D343" s="102"/>
      <c r="E343" s="102"/>
      <c r="F343" s="103"/>
      <c r="G343" s="6"/>
      <c r="H343" s="103"/>
      <c r="I343" s="6"/>
      <c r="J343" s="141"/>
      <c r="K343" s="141"/>
      <c r="L343" s="141"/>
      <c r="M343" s="141"/>
    </row>
    <row r="344" spans="1:13" x14ac:dyDescent="0.25">
      <c r="A344" s="6"/>
      <c r="B344" s="6"/>
      <c r="C344" s="102"/>
      <c r="D344" s="102"/>
      <c r="E344" s="102"/>
      <c r="F344" s="103"/>
      <c r="G344" s="6"/>
      <c r="H344" s="103"/>
      <c r="I344" s="6"/>
      <c r="J344" s="141"/>
      <c r="K344" s="141"/>
      <c r="L344" s="141"/>
      <c r="M344" s="141"/>
    </row>
    <row r="345" spans="1:13" x14ac:dyDescent="0.25">
      <c r="A345" s="6"/>
      <c r="B345" s="6"/>
      <c r="C345" s="102"/>
      <c r="D345" s="102"/>
      <c r="E345" s="102"/>
      <c r="F345" s="103"/>
      <c r="G345" s="6"/>
      <c r="H345" s="103"/>
      <c r="I345" s="6"/>
      <c r="J345" s="141"/>
      <c r="K345" s="141"/>
      <c r="L345" s="141"/>
      <c r="M345" s="141"/>
    </row>
    <row r="346" spans="1:13" x14ac:dyDescent="0.25">
      <c r="A346" s="6"/>
      <c r="B346" s="6"/>
      <c r="C346" s="102"/>
      <c r="D346" s="102"/>
      <c r="E346" s="102"/>
      <c r="F346" s="103"/>
      <c r="G346" s="6"/>
      <c r="H346" s="103"/>
      <c r="I346" s="6"/>
      <c r="J346" s="141"/>
      <c r="K346" s="141"/>
      <c r="L346" s="141"/>
      <c r="M346" s="141"/>
    </row>
    <row r="347" spans="1:13" x14ac:dyDescent="0.25">
      <c r="A347" s="6"/>
      <c r="B347" s="6"/>
      <c r="C347" s="102"/>
      <c r="D347" s="102"/>
      <c r="E347" s="102"/>
      <c r="F347" s="103"/>
      <c r="G347" s="6"/>
      <c r="H347" s="103"/>
      <c r="I347" s="6"/>
      <c r="J347" s="141"/>
      <c r="K347" s="141"/>
      <c r="L347" s="141"/>
      <c r="M347" s="141"/>
    </row>
    <row r="348" spans="1:13" x14ac:dyDescent="0.25">
      <c r="A348" s="6"/>
      <c r="B348" s="6"/>
      <c r="C348" s="102"/>
      <c r="D348" s="102"/>
      <c r="E348" s="102"/>
      <c r="F348" s="103"/>
      <c r="G348" s="6"/>
      <c r="H348" s="103"/>
      <c r="I348" s="6"/>
      <c r="J348" s="141"/>
      <c r="K348" s="141"/>
      <c r="L348" s="141"/>
      <c r="M348" s="141"/>
    </row>
    <row r="349" spans="1:13" x14ac:dyDescent="0.25">
      <c r="A349" s="6"/>
      <c r="B349" s="6"/>
      <c r="C349" s="102"/>
      <c r="D349" s="102"/>
      <c r="E349" s="102"/>
      <c r="F349" s="103"/>
      <c r="G349" s="6"/>
      <c r="H349" s="103"/>
      <c r="I349" s="6"/>
      <c r="J349" s="141"/>
      <c r="K349" s="141"/>
      <c r="L349" s="141"/>
      <c r="M349" s="141"/>
    </row>
    <row r="350" spans="1:13" x14ac:dyDescent="0.25">
      <c r="A350" s="6"/>
      <c r="B350" s="6"/>
      <c r="C350" s="102"/>
      <c r="D350" s="102"/>
      <c r="E350" s="102"/>
      <c r="F350" s="103"/>
      <c r="G350" s="6"/>
      <c r="H350" s="103"/>
      <c r="I350" s="6"/>
      <c r="J350" s="141"/>
      <c r="K350" s="141"/>
      <c r="L350" s="141"/>
      <c r="M350" s="141"/>
    </row>
    <row r="351" spans="1:13" x14ac:dyDescent="0.25">
      <c r="A351" s="6"/>
      <c r="B351" s="6"/>
      <c r="C351" s="102"/>
      <c r="D351" s="102"/>
      <c r="E351" s="102"/>
      <c r="F351" s="103"/>
      <c r="G351" s="6"/>
      <c r="H351" s="103"/>
      <c r="I351" s="6"/>
      <c r="J351" s="141"/>
      <c r="K351" s="141"/>
      <c r="L351" s="141"/>
      <c r="M351" s="141"/>
    </row>
    <row r="352" spans="1:13" x14ac:dyDescent="0.25">
      <c r="A352" s="6"/>
      <c r="B352" s="6"/>
      <c r="C352" s="102"/>
      <c r="D352" s="102"/>
      <c r="E352" s="102"/>
      <c r="F352" s="103"/>
      <c r="G352" s="6"/>
      <c r="H352" s="103"/>
      <c r="I352" s="6"/>
      <c r="J352" s="141"/>
      <c r="K352" s="141"/>
      <c r="L352" s="141"/>
      <c r="M352" s="141"/>
    </row>
    <row r="353" spans="1:13" x14ac:dyDescent="0.25">
      <c r="A353" s="6"/>
      <c r="B353" s="6"/>
      <c r="C353" s="102"/>
      <c r="D353" s="102"/>
      <c r="E353" s="102"/>
      <c r="F353" s="103"/>
      <c r="G353" s="6"/>
      <c r="H353" s="103"/>
      <c r="I353" s="6"/>
      <c r="J353" s="141"/>
      <c r="K353" s="141"/>
      <c r="L353" s="141"/>
      <c r="M353" s="141"/>
    </row>
    <row r="354" spans="1:13" x14ac:dyDescent="0.25">
      <c r="A354" s="6"/>
      <c r="B354" s="6"/>
      <c r="C354" s="102"/>
      <c r="D354" s="102"/>
      <c r="E354" s="102"/>
      <c r="F354" s="103"/>
      <c r="G354" s="6"/>
      <c r="H354" s="103"/>
      <c r="I354" s="6"/>
      <c r="J354" s="141"/>
      <c r="K354" s="141"/>
      <c r="L354" s="141"/>
      <c r="M354" s="141"/>
    </row>
    <row r="355" spans="1:13" x14ac:dyDescent="0.25">
      <c r="A355" s="6"/>
      <c r="B355" s="6"/>
      <c r="C355" s="102"/>
      <c r="D355" s="102"/>
      <c r="E355" s="102"/>
      <c r="F355" s="103"/>
      <c r="G355" s="6"/>
      <c r="H355" s="103"/>
      <c r="I355" s="6"/>
      <c r="J355" s="141"/>
      <c r="K355" s="141"/>
      <c r="L355" s="141"/>
      <c r="M355" s="141"/>
    </row>
    <row r="356" spans="1:13" x14ac:dyDescent="0.25">
      <c r="A356" s="6"/>
      <c r="B356" s="6"/>
      <c r="C356" s="102"/>
      <c r="D356" s="102"/>
      <c r="E356" s="102"/>
      <c r="F356" s="103"/>
      <c r="G356" s="6"/>
      <c r="H356" s="103"/>
      <c r="I356" s="6"/>
      <c r="J356" s="141"/>
      <c r="K356" s="141"/>
      <c r="L356" s="141"/>
      <c r="M356" s="141"/>
    </row>
    <row r="357" spans="1:13" x14ac:dyDescent="0.25">
      <c r="A357" s="6"/>
      <c r="B357" s="6"/>
      <c r="C357" s="102"/>
      <c r="D357" s="102"/>
      <c r="E357" s="102"/>
      <c r="F357" s="103"/>
      <c r="G357" s="6"/>
      <c r="H357" s="103"/>
      <c r="I357" s="6"/>
      <c r="J357" s="141"/>
      <c r="K357" s="141"/>
      <c r="L357" s="141"/>
      <c r="M357" s="141"/>
    </row>
    <row r="358" spans="1:13" x14ac:dyDescent="0.25">
      <c r="A358" s="6"/>
      <c r="B358" s="6"/>
      <c r="C358" s="102"/>
      <c r="D358" s="102"/>
      <c r="E358" s="102"/>
      <c r="F358" s="103"/>
      <c r="G358" s="6"/>
      <c r="H358" s="103"/>
      <c r="I358" s="6"/>
      <c r="J358" s="141"/>
      <c r="K358" s="141"/>
      <c r="L358" s="141"/>
      <c r="M358" s="141"/>
    </row>
    <row r="359" spans="1:13" x14ac:dyDescent="0.25">
      <c r="A359" s="6"/>
      <c r="B359" s="6"/>
      <c r="C359" s="102"/>
      <c r="D359" s="102"/>
      <c r="E359" s="102"/>
      <c r="F359" s="103"/>
      <c r="G359" s="6"/>
      <c r="H359" s="103"/>
      <c r="I359" s="6"/>
      <c r="J359" s="141"/>
      <c r="K359" s="141"/>
      <c r="L359" s="141"/>
      <c r="M359" s="141"/>
    </row>
    <row r="360" spans="1:13" x14ac:dyDescent="0.25">
      <c r="A360" s="6"/>
      <c r="B360" s="6"/>
      <c r="C360" s="102"/>
      <c r="D360" s="102"/>
      <c r="E360" s="102"/>
      <c r="F360" s="103"/>
      <c r="G360" s="6"/>
      <c r="H360" s="103"/>
      <c r="I360" s="6"/>
      <c r="J360" s="141"/>
      <c r="K360" s="141"/>
      <c r="L360" s="141"/>
      <c r="M360" s="141"/>
    </row>
    <row r="361" spans="1:13" x14ac:dyDescent="0.25">
      <c r="A361" s="6"/>
      <c r="B361" s="6"/>
      <c r="C361" s="102"/>
      <c r="D361" s="102"/>
      <c r="E361" s="102"/>
      <c r="F361" s="103"/>
      <c r="G361" s="6"/>
      <c r="H361" s="103"/>
      <c r="I361" s="6"/>
      <c r="J361" s="141"/>
      <c r="K361" s="141"/>
      <c r="L361" s="141"/>
      <c r="M361" s="141"/>
    </row>
    <row r="362" spans="1:13" x14ac:dyDescent="0.25">
      <c r="A362" s="6"/>
      <c r="B362" s="6"/>
      <c r="C362" s="102"/>
      <c r="D362" s="102"/>
      <c r="E362" s="102"/>
      <c r="F362" s="103"/>
      <c r="G362" s="6"/>
      <c r="H362" s="103"/>
      <c r="I362" s="6"/>
      <c r="J362" s="141"/>
      <c r="K362" s="141"/>
      <c r="L362" s="141"/>
      <c r="M362" s="141"/>
    </row>
    <row r="363" spans="1:13" x14ac:dyDescent="0.25">
      <c r="A363" s="6"/>
      <c r="B363" s="6"/>
      <c r="C363" s="102"/>
      <c r="D363" s="102"/>
      <c r="E363" s="102"/>
      <c r="F363" s="103"/>
      <c r="G363" s="6"/>
      <c r="H363" s="103"/>
      <c r="I363" s="6"/>
      <c r="J363" s="141"/>
      <c r="K363" s="141"/>
      <c r="L363" s="141"/>
      <c r="M363" s="141"/>
    </row>
    <row r="364" spans="1:13" x14ac:dyDescent="0.25">
      <c r="A364" s="6"/>
      <c r="B364" s="6"/>
      <c r="C364" s="102"/>
      <c r="D364" s="102"/>
      <c r="E364" s="102"/>
      <c r="F364" s="103"/>
      <c r="G364" s="6"/>
      <c r="H364" s="103"/>
      <c r="I364" s="6"/>
      <c r="J364" s="141"/>
      <c r="K364" s="141"/>
      <c r="L364" s="141"/>
      <c r="M364" s="141"/>
    </row>
    <row r="365" spans="1:13" x14ac:dyDescent="0.25">
      <c r="A365" s="6"/>
      <c r="B365" s="6"/>
      <c r="C365" s="102"/>
      <c r="D365" s="102"/>
      <c r="E365" s="102"/>
      <c r="F365" s="103"/>
      <c r="G365" s="6"/>
      <c r="H365" s="103"/>
      <c r="I365" s="6"/>
      <c r="J365" s="141"/>
      <c r="K365" s="141"/>
      <c r="L365" s="141"/>
      <c r="M365" s="141"/>
    </row>
    <row r="366" spans="1:13" x14ac:dyDescent="0.25">
      <c r="A366" s="6"/>
      <c r="B366" s="6"/>
      <c r="C366" s="102"/>
      <c r="D366" s="102"/>
      <c r="E366" s="102"/>
      <c r="F366" s="103"/>
      <c r="G366" s="6"/>
      <c r="H366" s="103"/>
      <c r="I366" s="6"/>
      <c r="J366" s="141"/>
      <c r="K366" s="141"/>
      <c r="L366" s="141"/>
      <c r="M366" s="141"/>
    </row>
    <row r="367" spans="1:13" x14ac:dyDescent="0.25">
      <c r="A367" s="6"/>
      <c r="B367" s="6"/>
      <c r="C367" s="102"/>
      <c r="D367" s="102"/>
      <c r="E367" s="102"/>
      <c r="F367" s="103"/>
      <c r="G367" s="6"/>
      <c r="H367" s="103"/>
      <c r="I367" s="6"/>
      <c r="J367" s="141"/>
      <c r="K367" s="141"/>
      <c r="L367" s="141"/>
      <c r="M367" s="141"/>
    </row>
    <row r="368" spans="1:13" x14ac:dyDescent="0.25">
      <c r="A368" s="6"/>
      <c r="B368" s="6"/>
      <c r="C368" s="102"/>
      <c r="D368" s="102"/>
      <c r="E368" s="102"/>
      <c r="F368" s="103"/>
      <c r="G368" s="6"/>
      <c r="H368" s="103"/>
      <c r="I368" s="6"/>
      <c r="J368" s="141"/>
      <c r="K368" s="141"/>
      <c r="L368" s="141"/>
      <c r="M368" s="141"/>
    </row>
    <row r="369" spans="1:13" x14ac:dyDescent="0.25">
      <c r="A369" s="6"/>
      <c r="B369" s="6"/>
      <c r="C369" s="102"/>
      <c r="D369" s="102"/>
      <c r="E369" s="102"/>
      <c r="F369" s="103"/>
      <c r="G369" s="6"/>
      <c r="H369" s="103"/>
      <c r="I369" s="6"/>
      <c r="J369" s="141"/>
      <c r="K369" s="141"/>
      <c r="L369" s="141"/>
      <c r="M369" s="141"/>
    </row>
    <row r="370" spans="1:13" x14ac:dyDescent="0.25">
      <c r="A370" s="6"/>
      <c r="B370" s="6"/>
      <c r="C370" s="102"/>
      <c r="D370" s="102"/>
      <c r="E370" s="102"/>
      <c r="F370" s="103"/>
      <c r="G370" s="6"/>
      <c r="H370" s="103"/>
      <c r="I370" s="6"/>
      <c r="J370" s="141"/>
      <c r="K370" s="141"/>
      <c r="L370" s="141"/>
      <c r="M370" s="141"/>
    </row>
    <row r="371" spans="1:13" x14ac:dyDescent="0.25">
      <c r="A371" s="6"/>
      <c r="B371" s="6"/>
      <c r="C371" s="102"/>
      <c r="D371" s="102"/>
      <c r="E371" s="102"/>
      <c r="F371" s="103"/>
      <c r="G371" s="6"/>
      <c r="H371" s="103"/>
      <c r="I371" s="6"/>
      <c r="J371" s="141"/>
      <c r="K371" s="141"/>
      <c r="L371" s="141"/>
      <c r="M371" s="141"/>
    </row>
    <row r="372" spans="1:13" x14ac:dyDescent="0.25">
      <c r="A372" s="6"/>
      <c r="B372" s="6"/>
      <c r="C372" s="102"/>
      <c r="D372" s="102"/>
      <c r="E372" s="102"/>
      <c r="F372" s="103"/>
      <c r="G372" s="6"/>
      <c r="H372" s="103"/>
      <c r="I372" s="6"/>
      <c r="J372" s="141"/>
      <c r="K372" s="141"/>
      <c r="L372" s="141"/>
      <c r="M372" s="141"/>
    </row>
    <row r="373" spans="1:13" x14ac:dyDescent="0.25">
      <c r="A373" s="6"/>
      <c r="B373" s="6"/>
      <c r="C373" s="102"/>
      <c r="D373" s="102"/>
      <c r="E373" s="102"/>
      <c r="F373" s="103"/>
      <c r="G373" s="6"/>
      <c r="H373" s="103"/>
      <c r="I373" s="6"/>
      <c r="J373" s="141"/>
      <c r="K373" s="141"/>
      <c r="L373" s="141"/>
      <c r="M373" s="141"/>
    </row>
    <row r="374" spans="1:13" x14ac:dyDescent="0.25">
      <c r="A374" s="6"/>
      <c r="B374" s="6"/>
      <c r="C374" s="102"/>
      <c r="D374" s="102"/>
      <c r="E374" s="102"/>
      <c r="F374" s="103"/>
      <c r="G374" s="6"/>
      <c r="H374" s="103"/>
      <c r="I374" s="6"/>
      <c r="J374" s="141"/>
      <c r="K374" s="141"/>
      <c r="L374" s="141"/>
      <c r="M374" s="141"/>
    </row>
    <row r="375" spans="1:13" x14ac:dyDescent="0.25">
      <c r="A375" s="6"/>
      <c r="B375" s="6"/>
      <c r="C375" s="102"/>
      <c r="D375" s="102"/>
      <c r="E375" s="102"/>
      <c r="F375" s="103"/>
      <c r="G375" s="6"/>
      <c r="H375" s="103"/>
      <c r="I375" s="6"/>
      <c r="J375" s="141"/>
      <c r="K375" s="141"/>
      <c r="L375" s="141"/>
      <c r="M375" s="141"/>
    </row>
    <row r="376" spans="1:13" x14ac:dyDescent="0.25">
      <c r="A376" s="6"/>
      <c r="B376" s="6"/>
      <c r="C376" s="102"/>
      <c r="D376" s="102"/>
      <c r="E376" s="102"/>
      <c r="F376" s="103"/>
      <c r="G376" s="6"/>
      <c r="H376" s="103"/>
      <c r="I376" s="6"/>
      <c r="J376" s="141"/>
      <c r="K376" s="141"/>
      <c r="L376" s="141"/>
      <c r="M376" s="141"/>
    </row>
    <row r="377" spans="1:13" x14ac:dyDescent="0.25">
      <c r="A377" s="6"/>
      <c r="B377" s="6"/>
      <c r="C377" s="102"/>
      <c r="D377" s="102"/>
      <c r="E377" s="102"/>
      <c r="F377" s="103"/>
      <c r="G377" s="6"/>
      <c r="H377" s="103"/>
      <c r="I377" s="6"/>
      <c r="J377" s="141"/>
      <c r="K377" s="141"/>
      <c r="L377" s="141"/>
      <c r="M377" s="141"/>
    </row>
    <row r="378" spans="1:13" x14ac:dyDescent="0.25">
      <c r="A378" s="6"/>
      <c r="B378" s="6"/>
      <c r="C378" s="102"/>
      <c r="D378" s="102"/>
      <c r="E378" s="102"/>
      <c r="F378" s="103"/>
      <c r="G378" s="6"/>
      <c r="H378" s="103"/>
      <c r="I378" s="6"/>
      <c r="J378" s="141"/>
      <c r="K378" s="141"/>
      <c r="L378" s="141"/>
      <c r="M378" s="141"/>
    </row>
    <row r="379" spans="1:13" x14ac:dyDescent="0.25">
      <c r="A379" s="6"/>
      <c r="B379" s="6"/>
      <c r="C379" s="102"/>
      <c r="D379" s="102"/>
      <c r="E379" s="102"/>
      <c r="F379" s="103"/>
      <c r="G379" s="6"/>
      <c r="H379" s="103"/>
      <c r="I379" s="6"/>
      <c r="J379" s="141"/>
      <c r="K379" s="141"/>
      <c r="L379" s="141"/>
      <c r="M379" s="141"/>
    </row>
    <row r="380" spans="1:13" x14ac:dyDescent="0.25">
      <c r="A380" s="6"/>
      <c r="B380" s="6"/>
      <c r="C380" s="102"/>
      <c r="D380" s="102"/>
      <c r="E380" s="102"/>
      <c r="F380" s="103"/>
      <c r="G380" s="6"/>
      <c r="H380" s="103"/>
      <c r="I380" s="6"/>
      <c r="J380" s="141"/>
      <c r="K380" s="141"/>
      <c r="L380" s="141"/>
      <c r="M380" s="141"/>
    </row>
    <row r="381" spans="1:13" x14ac:dyDescent="0.25">
      <c r="A381" s="6"/>
      <c r="B381" s="6"/>
      <c r="C381" s="102"/>
      <c r="D381" s="102"/>
      <c r="E381" s="102"/>
      <c r="F381" s="103"/>
      <c r="G381" s="6"/>
      <c r="H381" s="103"/>
      <c r="I381" s="6"/>
      <c r="J381" s="141"/>
      <c r="K381" s="141"/>
      <c r="L381" s="141"/>
      <c r="M381" s="141"/>
    </row>
    <row r="382" spans="1:13" x14ac:dyDescent="0.25">
      <c r="A382" s="6"/>
      <c r="B382" s="6"/>
      <c r="C382" s="102"/>
      <c r="D382" s="102"/>
      <c r="E382" s="102"/>
      <c r="F382" s="103"/>
      <c r="G382" s="6"/>
      <c r="H382" s="103"/>
      <c r="I382" s="6"/>
      <c r="J382" s="141"/>
      <c r="K382" s="141"/>
      <c r="L382" s="141"/>
      <c r="M382" s="141"/>
    </row>
    <row r="383" spans="1:13" x14ac:dyDescent="0.25">
      <c r="A383" s="6"/>
      <c r="B383" s="6"/>
      <c r="C383" s="102"/>
      <c r="D383" s="102"/>
      <c r="E383" s="102"/>
      <c r="F383" s="103"/>
      <c r="G383" s="6"/>
      <c r="H383" s="103"/>
      <c r="I383" s="6"/>
      <c r="J383" s="141"/>
      <c r="K383" s="141"/>
      <c r="L383" s="141"/>
      <c r="M383" s="141"/>
    </row>
    <row r="384" spans="1:13" x14ac:dyDescent="0.25">
      <c r="A384" s="6"/>
      <c r="B384" s="6"/>
      <c r="C384" s="102"/>
      <c r="D384" s="102"/>
      <c r="E384" s="102"/>
      <c r="F384" s="103"/>
      <c r="G384" s="6"/>
      <c r="H384" s="103"/>
      <c r="I384" s="6"/>
      <c r="J384" s="141"/>
      <c r="K384" s="141"/>
      <c r="L384" s="141"/>
      <c r="M384" s="141"/>
    </row>
    <row r="385" spans="1:13" x14ac:dyDescent="0.25">
      <c r="A385" s="6"/>
      <c r="B385" s="6"/>
      <c r="C385" s="102"/>
      <c r="D385" s="102"/>
      <c r="E385" s="102"/>
      <c r="F385" s="103"/>
      <c r="G385" s="6"/>
      <c r="H385" s="103"/>
      <c r="I385" s="6"/>
      <c r="J385" s="141"/>
      <c r="K385" s="141"/>
      <c r="L385" s="141"/>
      <c r="M385" s="141"/>
    </row>
    <row r="386" spans="1:13" x14ac:dyDescent="0.25">
      <c r="A386" s="6"/>
      <c r="B386" s="6"/>
      <c r="C386" s="102"/>
      <c r="D386" s="102"/>
      <c r="E386" s="102"/>
      <c r="F386" s="103"/>
      <c r="G386" s="6"/>
      <c r="H386" s="103"/>
      <c r="I386" s="6"/>
      <c r="J386" s="141"/>
      <c r="K386" s="141"/>
      <c r="L386" s="141"/>
      <c r="M386" s="141"/>
    </row>
    <row r="387" spans="1:13" x14ac:dyDescent="0.25">
      <c r="A387" s="6"/>
      <c r="B387" s="6"/>
      <c r="C387" s="102"/>
      <c r="D387" s="102"/>
      <c r="E387" s="102"/>
      <c r="F387" s="103"/>
      <c r="G387" s="6"/>
      <c r="H387" s="103"/>
      <c r="I387" s="6"/>
      <c r="J387" s="141"/>
      <c r="K387" s="141"/>
      <c r="L387" s="141"/>
      <c r="M387" s="141"/>
    </row>
    <row r="388" spans="1:13" x14ac:dyDescent="0.25">
      <c r="A388" s="6"/>
      <c r="B388" s="6"/>
      <c r="C388" s="102"/>
      <c r="D388" s="102"/>
      <c r="E388" s="102"/>
      <c r="F388" s="103"/>
      <c r="G388" s="6"/>
      <c r="H388" s="103"/>
      <c r="I388" s="6"/>
      <c r="J388" s="141"/>
      <c r="K388" s="141"/>
      <c r="L388" s="141"/>
      <c r="M388" s="141"/>
    </row>
    <row r="389" spans="1:13" x14ac:dyDescent="0.25">
      <c r="A389" s="6"/>
      <c r="B389" s="6"/>
      <c r="C389" s="102"/>
      <c r="D389" s="102"/>
      <c r="E389" s="102"/>
      <c r="F389" s="103"/>
      <c r="G389" s="6"/>
      <c r="H389" s="103"/>
      <c r="I389" s="6"/>
      <c r="J389" s="141"/>
      <c r="K389" s="141"/>
      <c r="L389" s="141"/>
      <c r="M389" s="141"/>
    </row>
    <row r="390" spans="1:13" x14ac:dyDescent="0.25">
      <c r="A390" s="6"/>
      <c r="B390" s="6"/>
      <c r="C390" s="102"/>
      <c r="D390" s="102"/>
      <c r="E390" s="102"/>
      <c r="F390" s="103"/>
      <c r="G390" s="6"/>
      <c r="H390" s="103"/>
      <c r="I390" s="6"/>
      <c r="J390" s="141"/>
      <c r="K390" s="141"/>
      <c r="L390" s="141"/>
      <c r="M390" s="141"/>
    </row>
    <row r="391" spans="1:13" x14ac:dyDescent="0.25">
      <c r="A391" s="6"/>
      <c r="B391" s="6"/>
      <c r="C391" s="102"/>
      <c r="D391" s="102"/>
      <c r="E391" s="102"/>
      <c r="F391" s="103"/>
      <c r="G391" s="6"/>
      <c r="H391" s="103"/>
      <c r="I391" s="6"/>
      <c r="J391" s="141"/>
      <c r="K391" s="141"/>
      <c r="L391" s="141"/>
      <c r="M391" s="141"/>
    </row>
    <row r="392" spans="1:13" x14ac:dyDescent="0.25">
      <c r="A392" s="6"/>
      <c r="B392" s="6"/>
      <c r="C392" s="102"/>
      <c r="D392" s="102"/>
      <c r="E392" s="102"/>
      <c r="F392" s="103"/>
      <c r="G392" s="6"/>
      <c r="H392" s="103"/>
      <c r="I392" s="6"/>
      <c r="J392" s="141"/>
      <c r="K392" s="141"/>
      <c r="L392" s="141"/>
      <c r="M392" s="141"/>
    </row>
    <row r="393" spans="1:13" x14ac:dyDescent="0.25">
      <c r="A393" s="6"/>
      <c r="B393" s="6"/>
      <c r="C393" s="102"/>
      <c r="D393" s="102"/>
      <c r="E393" s="102"/>
      <c r="F393" s="103"/>
      <c r="G393" s="6"/>
      <c r="H393" s="103"/>
      <c r="I393" s="6"/>
      <c r="J393" s="141"/>
      <c r="K393" s="141"/>
      <c r="L393" s="141"/>
      <c r="M393" s="141"/>
    </row>
    <row r="394" spans="1:13" x14ac:dyDescent="0.25">
      <c r="A394" s="6"/>
      <c r="B394" s="6"/>
      <c r="C394" s="102"/>
      <c r="D394" s="102"/>
      <c r="E394" s="102"/>
      <c r="F394" s="103"/>
      <c r="G394" s="6"/>
      <c r="H394" s="103"/>
      <c r="I394" s="6"/>
      <c r="J394" s="141"/>
      <c r="K394" s="141"/>
      <c r="L394" s="141"/>
      <c r="M394" s="141"/>
    </row>
    <row r="395" spans="1:13" x14ac:dyDescent="0.25">
      <c r="A395" s="6"/>
      <c r="B395" s="6"/>
      <c r="C395" s="102"/>
      <c r="D395" s="102"/>
      <c r="E395" s="102"/>
      <c r="F395" s="103"/>
      <c r="G395" s="6"/>
      <c r="H395" s="103"/>
      <c r="I395" s="6"/>
      <c r="J395" s="141"/>
      <c r="K395" s="141"/>
      <c r="L395" s="141"/>
      <c r="M395" s="141"/>
    </row>
    <row r="396" spans="1:13" x14ac:dyDescent="0.25">
      <c r="A396" s="6"/>
      <c r="B396" s="6"/>
      <c r="C396" s="102"/>
      <c r="D396" s="102"/>
      <c r="E396" s="102"/>
      <c r="F396" s="103"/>
      <c r="G396" s="6"/>
      <c r="H396" s="103"/>
      <c r="I396" s="6"/>
      <c r="J396" s="141"/>
      <c r="K396" s="141"/>
      <c r="L396" s="141"/>
      <c r="M396" s="141"/>
    </row>
    <row r="397" spans="1:13" x14ac:dyDescent="0.25">
      <c r="A397" s="6"/>
      <c r="B397" s="6"/>
      <c r="C397" s="102"/>
      <c r="D397" s="102"/>
      <c r="E397" s="102"/>
      <c r="F397" s="103"/>
      <c r="G397" s="6"/>
      <c r="H397" s="103"/>
      <c r="I397" s="6"/>
      <c r="J397" s="141"/>
      <c r="K397" s="141"/>
      <c r="L397" s="141"/>
      <c r="M397" s="141"/>
    </row>
    <row r="398" spans="1:13" x14ac:dyDescent="0.25">
      <c r="A398" s="6"/>
      <c r="B398" s="6"/>
      <c r="C398" s="102"/>
      <c r="D398" s="102"/>
      <c r="E398" s="102"/>
      <c r="F398" s="103"/>
      <c r="G398" s="6"/>
      <c r="H398" s="103"/>
      <c r="I398" s="6"/>
      <c r="J398" s="141"/>
      <c r="K398" s="141"/>
      <c r="L398" s="141"/>
      <c r="M398" s="141"/>
    </row>
    <row r="399" spans="1:13" x14ac:dyDescent="0.25">
      <c r="A399" s="6"/>
      <c r="B399" s="6"/>
      <c r="C399" s="102"/>
      <c r="D399" s="102"/>
      <c r="E399" s="102"/>
      <c r="F399" s="103"/>
      <c r="G399" s="6"/>
      <c r="H399" s="103"/>
      <c r="I399" s="6"/>
      <c r="J399" s="141"/>
      <c r="K399" s="141"/>
      <c r="L399" s="141"/>
      <c r="M399" s="141"/>
    </row>
    <row r="400" spans="1:13" x14ac:dyDescent="0.25">
      <c r="A400" s="6"/>
      <c r="B400" s="6"/>
      <c r="C400" s="102"/>
      <c r="D400" s="102"/>
      <c r="E400" s="102"/>
      <c r="F400" s="103"/>
      <c r="G400" s="6"/>
      <c r="H400" s="103"/>
      <c r="I400" s="6"/>
      <c r="J400" s="141"/>
      <c r="K400" s="141"/>
      <c r="L400" s="141"/>
      <c r="M400" s="141"/>
    </row>
    <row r="401" spans="1:13" x14ac:dyDescent="0.25">
      <c r="A401" s="6"/>
      <c r="B401" s="6"/>
      <c r="C401" s="102"/>
      <c r="D401" s="102"/>
      <c r="E401" s="102"/>
      <c r="F401" s="103"/>
      <c r="G401" s="6"/>
      <c r="H401" s="103"/>
      <c r="I401" s="6"/>
      <c r="J401" s="141"/>
      <c r="K401" s="141"/>
      <c r="L401" s="141"/>
      <c r="M401" s="141"/>
    </row>
    <row r="402" spans="1:13" x14ac:dyDescent="0.25">
      <c r="A402" s="6"/>
      <c r="B402" s="6"/>
      <c r="C402" s="102"/>
      <c r="D402" s="102"/>
      <c r="E402" s="102"/>
      <c r="F402" s="103"/>
      <c r="G402" s="6"/>
      <c r="H402" s="103"/>
      <c r="I402" s="6"/>
      <c r="J402" s="141"/>
      <c r="K402" s="141"/>
      <c r="L402" s="141"/>
      <c r="M402" s="141"/>
    </row>
    <row r="403" spans="1:13" x14ac:dyDescent="0.25">
      <c r="A403" s="6"/>
      <c r="B403" s="6"/>
      <c r="C403" s="102"/>
      <c r="D403" s="102"/>
      <c r="E403" s="102"/>
      <c r="F403" s="103"/>
      <c r="G403" s="6"/>
      <c r="H403" s="103"/>
      <c r="I403" s="6"/>
      <c r="J403" s="141"/>
      <c r="K403" s="141"/>
      <c r="L403" s="141"/>
      <c r="M403" s="141"/>
    </row>
    <row r="404" spans="1:13" x14ac:dyDescent="0.25">
      <c r="A404" s="6"/>
      <c r="B404" s="6"/>
      <c r="C404" s="102"/>
      <c r="D404" s="102"/>
      <c r="E404" s="102"/>
      <c r="F404" s="103"/>
      <c r="G404" s="6"/>
      <c r="H404" s="103"/>
      <c r="I404" s="6"/>
      <c r="J404" s="141"/>
      <c r="K404" s="141"/>
      <c r="L404" s="141"/>
      <c r="M404" s="141"/>
    </row>
    <row r="405" spans="1:13" x14ac:dyDescent="0.25">
      <c r="A405" s="6"/>
      <c r="B405" s="6"/>
      <c r="C405" s="102"/>
      <c r="D405" s="102"/>
      <c r="E405" s="102"/>
      <c r="F405" s="103"/>
      <c r="G405" s="6"/>
      <c r="H405" s="103"/>
      <c r="I405" s="6"/>
      <c r="J405" s="141"/>
      <c r="K405" s="141"/>
      <c r="L405" s="141"/>
      <c r="M405" s="141"/>
    </row>
    <row r="406" spans="1:13" x14ac:dyDescent="0.25">
      <c r="A406" s="6"/>
      <c r="B406" s="6"/>
      <c r="C406" s="102"/>
      <c r="D406" s="102"/>
      <c r="E406" s="102"/>
      <c r="F406" s="103"/>
      <c r="G406" s="6"/>
      <c r="H406" s="103"/>
      <c r="I406" s="6"/>
      <c r="J406" s="141"/>
      <c r="K406" s="141"/>
      <c r="L406" s="141"/>
      <c r="M406" s="141"/>
    </row>
    <row r="407" spans="1:13" x14ac:dyDescent="0.25">
      <c r="A407" s="6"/>
      <c r="B407" s="6"/>
      <c r="C407" s="102"/>
      <c r="D407" s="102"/>
      <c r="E407" s="102"/>
      <c r="F407" s="103"/>
      <c r="G407" s="6"/>
      <c r="H407" s="103"/>
      <c r="I407" s="6"/>
      <c r="J407" s="141"/>
      <c r="K407" s="141"/>
      <c r="L407" s="141"/>
      <c r="M407" s="141"/>
    </row>
    <row r="408" spans="1:13" x14ac:dyDescent="0.25">
      <c r="A408" s="6"/>
      <c r="B408" s="6"/>
      <c r="C408" s="102"/>
      <c r="D408" s="102"/>
      <c r="E408" s="102"/>
      <c r="F408" s="103"/>
      <c r="G408" s="6"/>
      <c r="H408" s="103"/>
      <c r="I408" s="6"/>
      <c r="J408" s="141"/>
      <c r="K408" s="141"/>
      <c r="L408" s="141"/>
      <c r="M408" s="141"/>
    </row>
    <row r="409" spans="1:13" x14ac:dyDescent="0.25">
      <c r="A409" s="6"/>
      <c r="B409" s="6"/>
      <c r="C409" s="102"/>
      <c r="D409" s="102"/>
      <c r="E409" s="102"/>
      <c r="F409" s="103"/>
      <c r="G409" s="6"/>
      <c r="H409" s="103"/>
      <c r="I409" s="6"/>
      <c r="J409" s="141"/>
      <c r="K409" s="141"/>
      <c r="L409" s="141"/>
      <c r="M409" s="141"/>
    </row>
    <row r="410" spans="1:13" x14ac:dyDescent="0.25">
      <c r="A410" s="6"/>
      <c r="B410" s="6"/>
      <c r="C410" s="102"/>
      <c r="D410" s="102"/>
      <c r="E410" s="102"/>
      <c r="F410" s="103"/>
      <c r="G410" s="6"/>
      <c r="H410" s="103"/>
      <c r="I410" s="6"/>
      <c r="J410" s="141"/>
      <c r="K410" s="141"/>
      <c r="L410" s="141"/>
      <c r="M410" s="141"/>
    </row>
    <row r="411" spans="1:13" x14ac:dyDescent="0.25">
      <c r="A411" s="6"/>
      <c r="B411" s="6"/>
      <c r="C411" s="102"/>
      <c r="D411" s="102"/>
      <c r="E411" s="102"/>
      <c r="F411" s="103"/>
      <c r="G411" s="6"/>
      <c r="H411" s="103"/>
      <c r="I411" s="6"/>
      <c r="J411" s="141"/>
      <c r="K411" s="141"/>
      <c r="L411" s="141"/>
      <c r="M411" s="141"/>
    </row>
    <row r="412" spans="1:13" x14ac:dyDescent="0.25">
      <c r="A412" s="6"/>
      <c r="B412" s="6"/>
      <c r="C412" s="102"/>
      <c r="D412" s="102"/>
      <c r="E412" s="102"/>
      <c r="F412" s="103"/>
      <c r="G412" s="6"/>
      <c r="H412" s="103"/>
      <c r="I412" s="6"/>
      <c r="J412" s="141"/>
      <c r="K412" s="141"/>
      <c r="L412" s="141"/>
      <c r="M412" s="141"/>
    </row>
    <row r="413" spans="1:13" x14ac:dyDescent="0.25">
      <c r="A413" s="6"/>
      <c r="B413" s="6"/>
      <c r="C413" s="102"/>
      <c r="D413" s="102"/>
      <c r="E413" s="102"/>
      <c r="F413" s="103"/>
      <c r="G413" s="6"/>
      <c r="H413" s="103"/>
      <c r="I413" s="6"/>
      <c r="J413" s="141"/>
      <c r="K413" s="141"/>
      <c r="L413" s="141"/>
      <c r="M413" s="141"/>
    </row>
    <row r="414" spans="1:13" x14ac:dyDescent="0.25">
      <c r="A414" s="6"/>
      <c r="B414" s="6"/>
      <c r="C414" s="102"/>
      <c r="D414" s="102"/>
      <c r="E414" s="102"/>
      <c r="F414" s="103"/>
      <c r="G414" s="6"/>
      <c r="H414" s="103"/>
      <c r="I414" s="6"/>
      <c r="J414" s="141"/>
      <c r="K414" s="141"/>
      <c r="L414" s="141"/>
      <c r="M414" s="141"/>
    </row>
    <row r="415" spans="1:13" x14ac:dyDescent="0.25">
      <c r="A415" s="6"/>
      <c r="B415" s="6"/>
      <c r="C415" s="102"/>
      <c r="D415" s="102"/>
      <c r="E415" s="102"/>
      <c r="F415" s="103"/>
      <c r="G415" s="6"/>
      <c r="H415" s="103"/>
      <c r="I415" s="6"/>
      <c r="J415" s="141"/>
      <c r="K415" s="141"/>
      <c r="L415" s="141"/>
      <c r="M415" s="141"/>
    </row>
    <row r="416" spans="1:13" x14ac:dyDescent="0.25">
      <c r="A416" s="6"/>
      <c r="B416" s="6"/>
      <c r="C416" s="102"/>
      <c r="D416" s="102"/>
      <c r="E416" s="102"/>
      <c r="F416" s="103"/>
      <c r="G416" s="6"/>
      <c r="H416" s="103"/>
      <c r="I416" s="6"/>
      <c r="J416" s="141"/>
      <c r="K416" s="141"/>
      <c r="L416" s="141"/>
      <c r="M416" s="141"/>
    </row>
    <row r="417" spans="1:13" x14ac:dyDescent="0.25">
      <c r="A417" s="6"/>
      <c r="B417" s="6"/>
      <c r="C417" s="102"/>
      <c r="D417" s="102"/>
      <c r="E417" s="102"/>
      <c r="F417" s="103"/>
      <c r="G417" s="6"/>
      <c r="H417" s="103"/>
      <c r="I417" s="6"/>
      <c r="J417" s="141"/>
      <c r="K417" s="141"/>
      <c r="L417" s="141"/>
      <c r="M417" s="141"/>
    </row>
    <row r="418" spans="1:13" x14ac:dyDescent="0.25">
      <c r="A418" s="6"/>
      <c r="B418" s="6"/>
      <c r="C418" s="102"/>
      <c r="D418" s="102"/>
      <c r="E418" s="102"/>
      <c r="F418" s="103"/>
      <c r="G418" s="6"/>
      <c r="H418" s="103"/>
      <c r="I418" s="6"/>
      <c r="J418" s="141"/>
      <c r="K418" s="141"/>
      <c r="L418" s="141"/>
      <c r="M418" s="141"/>
    </row>
    <row r="419" spans="1:13" x14ac:dyDescent="0.25">
      <c r="A419" s="6"/>
      <c r="B419" s="6"/>
      <c r="C419" s="102"/>
      <c r="D419" s="102"/>
      <c r="E419" s="102"/>
      <c r="F419" s="103"/>
      <c r="G419" s="6"/>
      <c r="H419" s="103"/>
      <c r="I419" s="6"/>
      <c r="J419" s="141"/>
      <c r="K419" s="141"/>
      <c r="L419" s="141"/>
      <c r="M419" s="141"/>
    </row>
    <row r="420" spans="1:13" x14ac:dyDescent="0.25">
      <c r="A420" s="6"/>
      <c r="B420" s="6"/>
      <c r="C420" s="102"/>
      <c r="D420" s="102"/>
      <c r="E420" s="102"/>
      <c r="F420" s="103"/>
      <c r="G420" s="6"/>
      <c r="H420" s="103"/>
      <c r="I420" s="6"/>
      <c r="J420" s="141"/>
      <c r="K420" s="141"/>
      <c r="L420" s="141"/>
      <c r="M420" s="141"/>
    </row>
    <row r="421" spans="1:13" x14ac:dyDescent="0.25">
      <c r="A421" s="6"/>
      <c r="B421" s="6"/>
      <c r="C421" s="102"/>
      <c r="D421" s="102"/>
      <c r="E421" s="102"/>
      <c r="F421" s="103"/>
      <c r="G421" s="6"/>
      <c r="H421" s="103"/>
      <c r="I421" s="6"/>
      <c r="J421" s="141"/>
      <c r="K421" s="141"/>
      <c r="L421" s="141"/>
      <c r="M421" s="141"/>
    </row>
    <row r="422" spans="1:13" x14ac:dyDescent="0.25">
      <c r="A422" s="6"/>
      <c r="B422" s="6"/>
      <c r="C422" s="102"/>
      <c r="D422" s="102"/>
      <c r="E422" s="102"/>
      <c r="F422" s="103"/>
      <c r="G422" s="6"/>
      <c r="H422" s="103"/>
      <c r="I422" s="6"/>
      <c r="J422" s="141"/>
      <c r="K422" s="141"/>
      <c r="L422" s="141"/>
      <c r="M422" s="141"/>
    </row>
    <row r="423" spans="1:13" x14ac:dyDescent="0.25">
      <c r="A423" s="6"/>
      <c r="B423" s="6"/>
      <c r="C423" s="102"/>
      <c r="D423" s="102"/>
      <c r="E423" s="102"/>
      <c r="F423" s="103"/>
      <c r="G423" s="6"/>
      <c r="H423" s="103"/>
      <c r="I423" s="6"/>
      <c r="J423" s="141"/>
      <c r="K423" s="141"/>
      <c r="L423" s="141"/>
      <c r="M423" s="141"/>
    </row>
    <row r="424" spans="1:13" x14ac:dyDescent="0.25">
      <c r="A424" s="6"/>
      <c r="B424" s="6"/>
      <c r="C424" s="102"/>
      <c r="D424" s="102"/>
      <c r="E424" s="102"/>
      <c r="F424" s="103"/>
      <c r="G424" s="6"/>
      <c r="H424" s="103"/>
      <c r="I424" s="6"/>
      <c r="J424" s="141"/>
      <c r="K424" s="141"/>
      <c r="L424" s="141"/>
      <c r="M424" s="141"/>
    </row>
    <row r="425" spans="1:13" x14ac:dyDescent="0.25">
      <c r="A425" s="6"/>
      <c r="B425" s="6"/>
      <c r="C425" s="102"/>
      <c r="D425" s="102"/>
      <c r="E425" s="102"/>
      <c r="F425" s="103"/>
      <c r="G425" s="6"/>
      <c r="H425" s="103"/>
      <c r="I425" s="6"/>
      <c r="J425" s="141"/>
      <c r="K425" s="141"/>
      <c r="L425" s="141"/>
      <c r="M425" s="141"/>
    </row>
    <row r="426" spans="1:13" x14ac:dyDescent="0.25">
      <c r="A426" s="6"/>
      <c r="B426" s="6"/>
      <c r="C426" s="102"/>
      <c r="D426" s="102"/>
      <c r="E426" s="102"/>
      <c r="F426" s="103"/>
      <c r="G426" s="6"/>
      <c r="H426" s="103"/>
      <c r="I426" s="6"/>
      <c r="J426" s="141"/>
      <c r="K426" s="141"/>
      <c r="L426" s="141"/>
      <c r="M426" s="141"/>
    </row>
    <row r="427" spans="1:13" x14ac:dyDescent="0.25">
      <c r="A427" s="6"/>
      <c r="B427" s="6"/>
      <c r="C427" s="102"/>
      <c r="D427" s="102"/>
      <c r="E427" s="102"/>
      <c r="F427" s="103"/>
      <c r="G427" s="6"/>
      <c r="H427" s="103"/>
      <c r="I427" s="6"/>
      <c r="J427" s="141"/>
      <c r="K427" s="141"/>
      <c r="L427" s="141"/>
      <c r="M427" s="141"/>
    </row>
    <row r="428" spans="1:13" x14ac:dyDescent="0.25">
      <c r="A428" s="6"/>
      <c r="B428" s="6"/>
      <c r="C428" s="102"/>
      <c r="D428" s="102"/>
      <c r="E428" s="102"/>
      <c r="F428" s="103"/>
      <c r="G428" s="6"/>
      <c r="H428" s="103"/>
      <c r="I428" s="6"/>
      <c r="J428" s="141"/>
      <c r="K428" s="141"/>
      <c r="L428" s="141"/>
      <c r="M428" s="141"/>
    </row>
    <row r="429" spans="1:13" x14ac:dyDescent="0.25">
      <c r="A429" s="6"/>
      <c r="B429" s="6"/>
      <c r="C429" s="102"/>
      <c r="D429" s="102"/>
      <c r="E429" s="102"/>
      <c r="F429" s="103"/>
      <c r="G429" s="6"/>
      <c r="H429" s="103"/>
      <c r="I429" s="6"/>
      <c r="J429" s="141"/>
      <c r="K429" s="141"/>
      <c r="L429" s="141"/>
      <c r="M429" s="141"/>
    </row>
    <row r="430" spans="1:13" x14ac:dyDescent="0.25">
      <c r="A430" s="6"/>
      <c r="B430" s="6"/>
      <c r="C430" s="102"/>
      <c r="D430" s="102"/>
      <c r="E430" s="102"/>
      <c r="F430" s="103"/>
      <c r="G430" s="6"/>
      <c r="H430" s="103"/>
      <c r="I430" s="6"/>
      <c r="J430" s="141"/>
      <c r="K430" s="141"/>
      <c r="L430" s="141"/>
      <c r="M430" s="141"/>
    </row>
    <row r="431" spans="1:13" x14ac:dyDescent="0.25">
      <c r="A431" s="6"/>
      <c r="B431" s="6"/>
      <c r="C431" s="102"/>
      <c r="D431" s="102"/>
      <c r="E431" s="102"/>
      <c r="F431" s="103"/>
      <c r="G431" s="6"/>
      <c r="H431" s="103"/>
      <c r="I431" s="6"/>
      <c r="J431" s="141"/>
      <c r="K431" s="141"/>
      <c r="L431" s="141"/>
      <c r="M431" s="141"/>
    </row>
    <row r="432" spans="1:13" x14ac:dyDescent="0.25">
      <c r="A432" s="6"/>
      <c r="B432" s="6"/>
      <c r="C432" s="102"/>
      <c r="D432" s="102"/>
      <c r="E432" s="102"/>
      <c r="F432" s="103"/>
      <c r="G432" s="6"/>
      <c r="H432" s="103"/>
      <c r="I432" s="6"/>
      <c r="J432" s="141"/>
      <c r="K432" s="141"/>
      <c r="L432" s="141"/>
      <c r="M432" s="141"/>
    </row>
    <row r="433" spans="1:13" x14ac:dyDescent="0.25">
      <c r="A433" s="6"/>
      <c r="B433" s="6"/>
      <c r="C433" s="102"/>
      <c r="D433" s="102"/>
      <c r="E433" s="102"/>
      <c r="F433" s="103"/>
      <c r="G433" s="6"/>
      <c r="H433" s="103"/>
      <c r="I433" s="6"/>
      <c r="J433" s="141"/>
      <c r="K433" s="141"/>
      <c r="L433" s="141"/>
      <c r="M433" s="141"/>
    </row>
    <row r="434" spans="1:13" x14ac:dyDescent="0.25">
      <c r="A434" s="6"/>
      <c r="B434" s="6"/>
      <c r="C434" s="102"/>
      <c r="D434" s="102"/>
      <c r="E434" s="102"/>
      <c r="F434" s="103"/>
      <c r="G434" s="6"/>
      <c r="H434" s="103"/>
      <c r="I434" s="6"/>
      <c r="J434" s="141"/>
      <c r="K434" s="141"/>
      <c r="L434" s="141"/>
      <c r="M434" s="141"/>
    </row>
    <row r="435" spans="1:13" x14ac:dyDescent="0.25">
      <c r="A435" s="6"/>
      <c r="B435" s="6"/>
      <c r="C435" s="102"/>
      <c r="D435" s="102"/>
      <c r="E435" s="102"/>
      <c r="F435" s="103"/>
      <c r="G435" s="6"/>
      <c r="H435" s="103"/>
      <c r="I435" s="6"/>
      <c r="J435" s="141"/>
      <c r="K435" s="141"/>
      <c r="L435" s="141"/>
      <c r="M435" s="141"/>
    </row>
    <row r="436" spans="1:13" x14ac:dyDescent="0.25">
      <c r="A436" s="6"/>
      <c r="B436" s="6"/>
      <c r="C436" s="102"/>
      <c r="D436" s="102"/>
      <c r="E436" s="102"/>
      <c r="F436" s="103"/>
      <c r="G436" s="6"/>
      <c r="H436" s="103"/>
      <c r="I436" s="6"/>
      <c r="J436" s="141"/>
      <c r="K436" s="141"/>
      <c r="L436" s="141"/>
      <c r="M436" s="141"/>
    </row>
    <row r="437" spans="1:13" x14ac:dyDescent="0.25">
      <c r="A437" s="6"/>
      <c r="B437" s="6"/>
      <c r="C437" s="102"/>
      <c r="D437" s="102"/>
      <c r="E437" s="102"/>
      <c r="F437" s="103"/>
      <c r="G437" s="6"/>
      <c r="H437" s="103"/>
      <c r="I437" s="6"/>
      <c r="J437" s="141"/>
      <c r="K437" s="141"/>
      <c r="L437" s="141"/>
      <c r="M437" s="141"/>
    </row>
    <row r="438" spans="1:13" x14ac:dyDescent="0.25">
      <c r="A438" s="6"/>
      <c r="B438" s="6"/>
      <c r="C438" s="102"/>
      <c r="D438" s="102"/>
      <c r="E438" s="102"/>
      <c r="F438" s="103"/>
      <c r="G438" s="6"/>
      <c r="H438" s="103"/>
      <c r="I438" s="6"/>
      <c r="J438" s="141"/>
      <c r="K438" s="141"/>
      <c r="L438" s="141"/>
      <c r="M438" s="141"/>
    </row>
    <row r="439" spans="1:13" x14ac:dyDescent="0.25">
      <c r="A439" s="6"/>
      <c r="B439" s="6"/>
      <c r="C439" s="102"/>
      <c r="D439" s="102"/>
      <c r="E439" s="102"/>
      <c r="F439" s="103"/>
      <c r="G439" s="6"/>
      <c r="H439" s="103"/>
      <c r="I439" s="6"/>
      <c r="J439" s="141"/>
      <c r="K439" s="141"/>
      <c r="L439" s="141"/>
      <c r="M439" s="141"/>
    </row>
    <row r="440" spans="1:13" x14ac:dyDescent="0.25">
      <c r="A440" s="6"/>
      <c r="B440" s="6"/>
      <c r="C440" s="102"/>
      <c r="D440" s="102"/>
      <c r="E440" s="102"/>
      <c r="F440" s="103"/>
      <c r="G440" s="6"/>
      <c r="H440" s="103"/>
      <c r="I440" s="6"/>
      <c r="J440" s="141"/>
      <c r="K440" s="141"/>
      <c r="L440" s="141"/>
      <c r="M440" s="141"/>
    </row>
    <row r="441" spans="1:13" x14ac:dyDescent="0.25">
      <c r="A441" s="6"/>
      <c r="B441" s="6"/>
      <c r="C441" s="102"/>
      <c r="D441" s="102"/>
      <c r="E441" s="102"/>
      <c r="F441" s="103"/>
      <c r="G441" s="6"/>
      <c r="H441" s="103"/>
      <c r="I441" s="6"/>
      <c r="J441" s="141"/>
      <c r="K441" s="141"/>
      <c r="L441" s="141"/>
      <c r="M441" s="141"/>
    </row>
    <row r="442" spans="1:13" x14ac:dyDescent="0.25">
      <c r="A442" s="6"/>
      <c r="B442" s="6"/>
      <c r="C442" s="102"/>
      <c r="D442" s="102"/>
      <c r="E442" s="102"/>
      <c r="F442" s="103"/>
      <c r="G442" s="6"/>
      <c r="H442" s="103"/>
      <c r="I442" s="6"/>
      <c r="J442" s="141"/>
      <c r="K442" s="141"/>
      <c r="L442" s="141"/>
      <c r="M442" s="141"/>
    </row>
    <row r="443" spans="1:13" x14ac:dyDescent="0.25">
      <c r="A443" s="6"/>
      <c r="B443" s="6"/>
      <c r="C443" s="102"/>
      <c r="D443" s="102"/>
      <c r="E443" s="102"/>
      <c r="F443" s="103"/>
      <c r="G443" s="6"/>
      <c r="H443" s="103"/>
      <c r="I443" s="6"/>
      <c r="J443" s="141"/>
      <c r="K443" s="141"/>
      <c r="L443" s="141"/>
      <c r="M443" s="141"/>
    </row>
    <row r="444" spans="1:13" x14ac:dyDescent="0.25">
      <c r="A444" s="6"/>
      <c r="B444" s="6"/>
      <c r="C444" s="102"/>
      <c r="D444" s="102"/>
      <c r="E444" s="102"/>
      <c r="F444" s="103"/>
      <c r="G444" s="6"/>
      <c r="H444" s="103"/>
      <c r="I444" s="6"/>
      <c r="J444" s="141"/>
      <c r="K444" s="141"/>
      <c r="L444" s="141"/>
      <c r="M444" s="141"/>
    </row>
    <row r="445" spans="1:13" x14ac:dyDescent="0.25">
      <c r="A445" s="6"/>
      <c r="B445" s="6"/>
      <c r="C445" s="102"/>
      <c r="D445" s="102"/>
      <c r="E445" s="102"/>
      <c r="F445" s="103"/>
      <c r="G445" s="6"/>
      <c r="H445" s="103"/>
      <c r="I445" s="6"/>
      <c r="J445" s="141"/>
      <c r="K445" s="141"/>
      <c r="L445" s="141"/>
      <c r="M445" s="141"/>
    </row>
    <row r="446" spans="1:13" x14ac:dyDescent="0.25">
      <c r="A446" s="6"/>
      <c r="B446" s="6"/>
      <c r="C446" s="102"/>
      <c r="D446" s="102"/>
      <c r="E446" s="102"/>
      <c r="F446" s="103"/>
      <c r="G446" s="6"/>
      <c r="H446" s="103"/>
      <c r="I446" s="6"/>
      <c r="J446" s="141"/>
      <c r="K446" s="141"/>
      <c r="L446" s="141"/>
      <c r="M446" s="141"/>
    </row>
    <row r="447" spans="1:13" x14ac:dyDescent="0.25">
      <c r="A447" s="6"/>
      <c r="B447" s="6"/>
      <c r="C447" s="102"/>
      <c r="D447" s="102"/>
      <c r="E447" s="102"/>
      <c r="F447" s="103"/>
      <c r="G447" s="6"/>
      <c r="H447" s="103"/>
      <c r="I447" s="6"/>
      <c r="J447" s="141"/>
      <c r="K447" s="141"/>
      <c r="L447" s="141"/>
      <c r="M447" s="141"/>
    </row>
    <row r="448" spans="1:13" x14ac:dyDescent="0.25">
      <c r="A448" s="6"/>
      <c r="B448" s="6"/>
      <c r="C448" s="102"/>
      <c r="D448" s="102"/>
      <c r="E448" s="102"/>
      <c r="F448" s="103"/>
      <c r="G448" s="6"/>
      <c r="H448" s="103"/>
      <c r="I448" s="6"/>
      <c r="J448" s="141"/>
      <c r="K448" s="141"/>
      <c r="L448" s="141"/>
      <c r="M448" s="141"/>
    </row>
    <row r="449" spans="1:13" x14ac:dyDescent="0.25">
      <c r="A449" s="6"/>
      <c r="B449" s="6"/>
      <c r="C449" s="102"/>
      <c r="D449" s="102"/>
      <c r="E449" s="102"/>
      <c r="F449" s="103"/>
      <c r="G449" s="6"/>
      <c r="H449" s="103"/>
      <c r="I449" s="6"/>
      <c r="J449" s="141"/>
      <c r="K449" s="141"/>
      <c r="L449" s="141"/>
      <c r="M449" s="141"/>
    </row>
    <row r="450" spans="1:13" x14ac:dyDescent="0.25">
      <c r="A450" s="6"/>
      <c r="B450" s="6"/>
      <c r="C450" s="102"/>
      <c r="D450" s="102"/>
      <c r="E450" s="102"/>
      <c r="F450" s="103"/>
      <c r="G450" s="6"/>
      <c r="H450" s="103"/>
      <c r="I450" s="6"/>
      <c r="J450" s="141"/>
      <c r="K450" s="141"/>
      <c r="L450" s="141"/>
      <c r="M450" s="141"/>
    </row>
    <row r="451" spans="1:13" x14ac:dyDescent="0.25">
      <c r="A451" s="6"/>
      <c r="B451" s="6"/>
      <c r="C451" s="102"/>
      <c r="D451" s="102"/>
      <c r="E451" s="102"/>
      <c r="F451" s="103"/>
      <c r="G451" s="6"/>
      <c r="H451" s="103"/>
      <c r="I451" s="6"/>
      <c r="J451" s="141"/>
      <c r="K451" s="141"/>
      <c r="L451" s="141"/>
      <c r="M451" s="141"/>
    </row>
    <row r="452" spans="1:13" x14ac:dyDescent="0.25">
      <c r="A452" s="6"/>
      <c r="B452" s="6"/>
      <c r="C452" s="102"/>
      <c r="D452" s="102"/>
      <c r="E452" s="102"/>
      <c r="F452" s="103"/>
      <c r="G452" s="6"/>
      <c r="H452" s="103"/>
      <c r="I452" s="6"/>
      <c r="J452" s="141"/>
      <c r="K452" s="141"/>
      <c r="L452" s="141"/>
      <c r="M452" s="141"/>
    </row>
    <row r="453" spans="1:13" x14ac:dyDescent="0.25">
      <c r="A453" s="6"/>
      <c r="B453" s="6"/>
      <c r="C453" s="102"/>
      <c r="D453" s="102"/>
      <c r="E453" s="102"/>
      <c r="F453" s="103"/>
      <c r="G453" s="6"/>
      <c r="H453" s="103"/>
      <c r="I453" s="6"/>
      <c r="J453" s="141"/>
      <c r="K453" s="141"/>
      <c r="L453" s="141"/>
      <c r="M453" s="141"/>
    </row>
    <row r="454" spans="1:13" x14ac:dyDescent="0.25">
      <c r="A454" s="6"/>
      <c r="B454" s="6"/>
      <c r="C454" s="102"/>
      <c r="D454" s="102"/>
      <c r="E454" s="102"/>
      <c r="F454" s="103"/>
      <c r="G454" s="6"/>
      <c r="H454" s="103"/>
      <c r="I454" s="6"/>
      <c r="J454" s="141"/>
      <c r="K454" s="141"/>
      <c r="L454" s="141"/>
      <c r="M454" s="141"/>
    </row>
    <row r="455" spans="1:13" x14ac:dyDescent="0.25">
      <c r="A455" s="6"/>
      <c r="B455" s="6"/>
      <c r="C455" s="102"/>
      <c r="D455" s="102"/>
      <c r="E455" s="102"/>
      <c r="F455" s="103"/>
      <c r="G455" s="6"/>
      <c r="H455" s="103"/>
      <c r="I455" s="6"/>
      <c r="J455" s="141"/>
      <c r="K455" s="141"/>
      <c r="L455" s="141"/>
      <c r="M455" s="141"/>
    </row>
    <row r="456" spans="1:13" x14ac:dyDescent="0.25">
      <c r="A456" s="6"/>
      <c r="B456" s="6"/>
      <c r="C456" s="102"/>
      <c r="D456" s="102"/>
      <c r="E456" s="102"/>
      <c r="F456" s="103"/>
      <c r="G456" s="6"/>
      <c r="H456" s="103"/>
      <c r="I456" s="6"/>
      <c r="J456" s="141"/>
      <c r="K456" s="141"/>
      <c r="L456" s="141"/>
      <c r="M456" s="141"/>
    </row>
    <row r="457" spans="1:13" x14ac:dyDescent="0.25">
      <c r="A457" s="6"/>
      <c r="B457" s="6"/>
      <c r="C457" s="102"/>
      <c r="D457" s="102"/>
      <c r="E457" s="102"/>
      <c r="F457" s="103"/>
      <c r="G457" s="6"/>
      <c r="H457" s="103"/>
      <c r="I457" s="6"/>
      <c r="J457" s="141"/>
      <c r="K457" s="141"/>
      <c r="L457" s="141"/>
      <c r="M457" s="141"/>
    </row>
    <row r="458" spans="1:13" x14ac:dyDescent="0.25">
      <c r="A458" s="6"/>
      <c r="B458" s="6"/>
      <c r="C458" s="102"/>
      <c r="D458" s="102"/>
      <c r="E458" s="102"/>
      <c r="F458" s="103"/>
      <c r="G458" s="6"/>
      <c r="H458" s="103"/>
      <c r="I458" s="6"/>
      <c r="J458" s="141"/>
      <c r="K458" s="141"/>
      <c r="L458" s="141"/>
      <c r="M458" s="141"/>
    </row>
    <row r="459" spans="1:13" x14ac:dyDescent="0.25">
      <c r="A459" s="6"/>
      <c r="B459" s="6"/>
      <c r="C459" s="102"/>
      <c r="D459" s="102"/>
      <c r="E459" s="102"/>
      <c r="F459" s="103"/>
      <c r="G459" s="6"/>
      <c r="H459" s="103"/>
      <c r="I459" s="6"/>
      <c r="J459" s="141"/>
      <c r="K459" s="141"/>
      <c r="L459" s="141"/>
      <c r="M459" s="141"/>
    </row>
    <row r="460" spans="1:13" x14ac:dyDescent="0.25">
      <c r="A460" s="6"/>
      <c r="B460" s="6"/>
      <c r="C460" s="102"/>
      <c r="D460" s="102"/>
      <c r="E460" s="102"/>
      <c r="F460" s="103"/>
      <c r="G460" s="6"/>
      <c r="H460" s="103"/>
      <c r="I460" s="6"/>
      <c r="J460" s="141"/>
      <c r="K460" s="141"/>
      <c r="L460" s="141"/>
      <c r="M460" s="141"/>
    </row>
    <row r="461" spans="1:13" x14ac:dyDescent="0.25">
      <c r="A461" s="6"/>
      <c r="B461" s="6"/>
      <c r="C461" s="102"/>
      <c r="D461" s="102"/>
      <c r="E461" s="102"/>
      <c r="F461" s="103"/>
      <c r="G461" s="6"/>
      <c r="H461" s="103"/>
      <c r="I461" s="6"/>
      <c r="J461" s="141"/>
      <c r="K461" s="141"/>
      <c r="L461" s="141"/>
      <c r="M461" s="141"/>
    </row>
    <row r="462" spans="1:13" x14ac:dyDescent="0.25">
      <c r="A462" s="6"/>
      <c r="B462" s="6"/>
      <c r="C462" s="102"/>
      <c r="D462" s="102"/>
      <c r="E462" s="102"/>
      <c r="F462" s="103"/>
      <c r="G462" s="6"/>
      <c r="H462" s="103"/>
      <c r="I462" s="6"/>
      <c r="J462" s="141"/>
      <c r="K462" s="141"/>
      <c r="L462" s="141"/>
      <c r="M462" s="141"/>
    </row>
    <row r="463" spans="1:13" x14ac:dyDescent="0.25">
      <c r="A463" s="6"/>
      <c r="B463" s="6"/>
      <c r="C463" s="102"/>
      <c r="D463" s="102"/>
      <c r="E463" s="102"/>
      <c r="F463" s="103"/>
      <c r="G463" s="6"/>
      <c r="H463" s="103"/>
      <c r="I463" s="6"/>
      <c r="J463" s="141"/>
      <c r="K463" s="141"/>
      <c r="L463" s="141"/>
      <c r="M463" s="141"/>
    </row>
    <row r="464" spans="1:13" x14ac:dyDescent="0.25">
      <c r="A464" s="6"/>
      <c r="B464" s="6"/>
      <c r="C464" s="102"/>
      <c r="D464" s="102"/>
      <c r="E464" s="102"/>
      <c r="F464" s="103"/>
      <c r="G464" s="6"/>
      <c r="H464" s="103"/>
      <c r="I464" s="6"/>
      <c r="J464" s="141"/>
      <c r="K464" s="141"/>
      <c r="L464" s="141"/>
      <c r="M464" s="141"/>
    </row>
    <row r="465" spans="1:13" x14ac:dyDescent="0.25">
      <c r="A465" s="6"/>
      <c r="B465" s="6"/>
      <c r="C465" s="102"/>
      <c r="D465" s="102"/>
      <c r="E465" s="102"/>
      <c r="F465" s="103"/>
      <c r="G465" s="6"/>
      <c r="H465" s="103"/>
      <c r="I465" s="6"/>
      <c r="J465" s="141"/>
      <c r="K465" s="141"/>
      <c r="L465" s="141"/>
      <c r="M465" s="141"/>
    </row>
    <row r="466" spans="1:13" x14ac:dyDescent="0.25">
      <c r="A466" s="6"/>
      <c r="B466" s="6"/>
      <c r="C466" s="102"/>
      <c r="D466" s="102"/>
      <c r="E466" s="102"/>
      <c r="F466" s="103"/>
      <c r="G466" s="6"/>
      <c r="H466" s="103"/>
      <c r="I466" s="6"/>
      <c r="J466" s="141"/>
      <c r="K466" s="141"/>
      <c r="L466" s="141"/>
      <c r="M466" s="141"/>
    </row>
    <row r="467" spans="1:13" x14ac:dyDescent="0.25">
      <c r="A467" s="6"/>
      <c r="B467" s="6"/>
      <c r="C467" s="102"/>
      <c r="D467" s="102"/>
      <c r="E467" s="102"/>
      <c r="F467" s="103"/>
      <c r="G467" s="6"/>
      <c r="H467" s="103"/>
      <c r="I467" s="6"/>
      <c r="J467" s="141"/>
      <c r="K467" s="141"/>
      <c r="L467" s="141"/>
      <c r="M467" s="141"/>
    </row>
    <row r="468" spans="1:13" x14ac:dyDescent="0.25">
      <c r="A468" s="6"/>
      <c r="B468" s="6"/>
      <c r="C468" s="102"/>
      <c r="D468" s="102"/>
      <c r="E468" s="102"/>
      <c r="F468" s="103"/>
      <c r="G468" s="6"/>
      <c r="H468" s="103"/>
      <c r="I468" s="6"/>
      <c r="J468" s="141"/>
      <c r="K468" s="141"/>
      <c r="L468" s="141"/>
      <c r="M468" s="141"/>
    </row>
    <row r="469" spans="1:13" x14ac:dyDescent="0.25">
      <c r="A469" s="6"/>
      <c r="B469" s="6"/>
      <c r="C469" s="102"/>
      <c r="D469" s="102"/>
      <c r="E469" s="102"/>
      <c r="F469" s="103"/>
      <c r="G469" s="6"/>
      <c r="H469" s="103"/>
      <c r="I469" s="6"/>
      <c r="J469" s="141"/>
      <c r="K469" s="141"/>
      <c r="L469" s="141"/>
      <c r="M469" s="141"/>
    </row>
    <row r="470" spans="1:13" x14ac:dyDescent="0.25">
      <c r="A470" s="6"/>
      <c r="B470" s="6"/>
      <c r="C470" s="102"/>
      <c r="D470" s="102"/>
      <c r="E470" s="102"/>
      <c r="F470" s="103"/>
      <c r="G470" s="6"/>
      <c r="H470" s="103"/>
      <c r="I470" s="6"/>
      <c r="J470" s="141"/>
      <c r="K470" s="141"/>
      <c r="L470" s="141"/>
      <c r="M470" s="141"/>
    </row>
    <row r="471" spans="1:13" x14ac:dyDescent="0.25">
      <c r="A471" s="6"/>
      <c r="B471" s="6"/>
      <c r="C471" s="102"/>
      <c r="D471" s="102"/>
      <c r="E471" s="102"/>
      <c r="F471" s="103"/>
      <c r="G471" s="6"/>
      <c r="H471" s="103"/>
      <c r="I471" s="6"/>
      <c r="J471" s="141"/>
      <c r="K471" s="141"/>
      <c r="L471" s="141"/>
      <c r="M471" s="141"/>
    </row>
    <row r="472" spans="1:13" x14ac:dyDescent="0.25">
      <c r="A472" s="6"/>
      <c r="B472" s="6"/>
      <c r="C472" s="102"/>
      <c r="D472" s="102"/>
      <c r="E472" s="102"/>
      <c r="F472" s="103"/>
      <c r="G472" s="6"/>
      <c r="H472" s="103"/>
      <c r="I472" s="6"/>
      <c r="J472" s="141"/>
      <c r="K472" s="141"/>
      <c r="L472" s="141"/>
      <c r="M472" s="141"/>
    </row>
    <row r="473" spans="1:13" x14ac:dyDescent="0.25">
      <c r="A473" s="6"/>
      <c r="B473" s="6"/>
      <c r="C473" s="102"/>
      <c r="D473" s="102"/>
      <c r="E473" s="102"/>
      <c r="F473" s="103"/>
      <c r="G473" s="6"/>
      <c r="H473" s="103"/>
      <c r="I473" s="6"/>
      <c r="J473" s="141"/>
      <c r="K473" s="141"/>
      <c r="L473" s="141"/>
      <c r="M473" s="141"/>
    </row>
    <row r="474" spans="1:13" x14ac:dyDescent="0.25">
      <c r="A474" s="6"/>
      <c r="B474" s="6"/>
      <c r="C474" s="102"/>
      <c r="D474" s="102"/>
      <c r="E474" s="102"/>
      <c r="F474" s="103"/>
      <c r="G474" s="6"/>
      <c r="H474" s="103"/>
      <c r="I474" s="6"/>
      <c r="J474" s="141"/>
      <c r="K474" s="141"/>
      <c r="L474" s="141"/>
      <c r="M474" s="141"/>
    </row>
    <row r="475" spans="1:13" x14ac:dyDescent="0.25">
      <c r="A475" s="6"/>
      <c r="B475" s="6"/>
      <c r="C475" s="102"/>
      <c r="D475" s="102"/>
      <c r="E475" s="102"/>
      <c r="F475" s="103"/>
      <c r="G475" s="6"/>
      <c r="H475" s="103"/>
      <c r="I475" s="6"/>
      <c r="J475" s="141"/>
      <c r="K475" s="141"/>
      <c r="L475" s="141"/>
      <c r="M475" s="141"/>
    </row>
    <row r="476" spans="1:13" x14ac:dyDescent="0.25">
      <c r="A476" s="6"/>
      <c r="B476" s="6"/>
      <c r="C476" s="102"/>
      <c r="D476" s="102"/>
      <c r="E476" s="102"/>
      <c r="F476" s="103"/>
      <c r="G476" s="6"/>
      <c r="H476" s="103"/>
      <c r="I476" s="6"/>
      <c r="J476" s="141"/>
      <c r="K476" s="141"/>
      <c r="L476" s="141"/>
      <c r="M476" s="141"/>
    </row>
    <row r="477" spans="1:13" x14ac:dyDescent="0.25">
      <c r="A477" s="6"/>
      <c r="B477" s="6"/>
      <c r="C477" s="102"/>
      <c r="D477" s="102"/>
      <c r="E477" s="102"/>
      <c r="F477" s="103"/>
      <c r="G477" s="6"/>
      <c r="H477" s="103"/>
      <c r="I477" s="6"/>
      <c r="J477" s="141"/>
      <c r="K477" s="141"/>
      <c r="L477" s="141"/>
      <c r="M477" s="141"/>
    </row>
    <row r="478" spans="1:13" x14ac:dyDescent="0.25">
      <c r="A478" s="6"/>
      <c r="B478" s="6"/>
      <c r="C478" s="102"/>
      <c r="D478" s="102"/>
      <c r="E478" s="102"/>
      <c r="F478" s="103"/>
      <c r="G478" s="6"/>
      <c r="H478" s="103"/>
      <c r="I478" s="6"/>
      <c r="J478" s="141"/>
      <c r="K478" s="141"/>
      <c r="L478" s="141"/>
      <c r="M478" s="141"/>
    </row>
    <row r="479" spans="1:13" x14ac:dyDescent="0.25">
      <c r="A479" s="6"/>
      <c r="B479" s="6"/>
      <c r="C479" s="102"/>
      <c r="D479" s="102"/>
      <c r="E479" s="102"/>
      <c r="F479" s="103"/>
      <c r="G479" s="6"/>
      <c r="H479" s="103"/>
      <c r="I479" s="6"/>
      <c r="J479" s="141"/>
      <c r="K479" s="141"/>
      <c r="L479" s="141"/>
      <c r="M479" s="141"/>
    </row>
    <row r="480" spans="1:13" x14ac:dyDescent="0.25">
      <c r="A480" s="6"/>
      <c r="B480" s="6"/>
      <c r="C480" s="102"/>
      <c r="D480" s="102"/>
      <c r="E480" s="102"/>
      <c r="F480" s="103"/>
      <c r="G480" s="6"/>
      <c r="H480" s="103"/>
      <c r="I480" s="6"/>
      <c r="J480" s="141"/>
      <c r="K480" s="141"/>
      <c r="L480" s="141"/>
      <c r="M480" s="141"/>
    </row>
    <row r="481" spans="1:13" x14ac:dyDescent="0.25">
      <c r="A481" s="6"/>
      <c r="B481" s="6"/>
      <c r="C481" s="102"/>
      <c r="D481" s="102"/>
      <c r="E481" s="102"/>
      <c r="F481" s="103"/>
      <c r="G481" s="6"/>
      <c r="H481" s="103"/>
      <c r="I481" s="6"/>
      <c r="J481" s="141"/>
      <c r="K481" s="141"/>
      <c r="L481" s="141"/>
      <c r="M481" s="141"/>
    </row>
    <row r="482" spans="1:13" x14ac:dyDescent="0.25">
      <c r="A482" s="6"/>
      <c r="B482" s="6"/>
      <c r="C482" s="102"/>
      <c r="D482" s="102"/>
      <c r="E482" s="102"/>
      <c r="F482" s="103"/>
      <c r="G482" s="6"/>
      <c r="H482" s="103"/>
      <c r="I482" s="6"/>
      <c r="J482" s="141"/>
      <c r="K482" s="141"/>
      <c r="L482" s="141"/>
      <c r="M482" s="141"/>
    </row>
    <row r="483" spans="1:13" x14ac:dyDescent="0.25">
      <c r="A483" s="6"/>
      <c r="B483" s="6"/>
      <c r="C483" s="102"/>
      <c r="D483" s="102"/>
      <c r="E483" s="102"/>
      <c r="F483" s="103"/>
      <c r="G483" s="6"/>
      <c r="H483" s="103"/>
      <c r="I483" s="6"/>
      <c r="J483" s="141"/>
      <c r="K483" s="141"/>
      <c r="L483" s="141"/>
      <c r="M483" s="141"/>
    </row>
    <row r="484" spans="1:13" x14ac:dyDescent="0.25">
      <c r="A484" s="6"/>
      <c r="B484" s="6"/>
      <c r="C484" s="102"/>
      <c r="D484" s="102"/>
      <c r="E484" s="102"/>
      <c r="F484" s="103"/>
      <c r="G484" s="6"/>
      <c r="H484" s="103"/>
      <c r="I484" s="6"/>
      <c r="J484" s="141"/>
      <c r="K484" s="141"/>
      <c r="L484" s="141"/>
      <c r="M484" s="141"/>
    </row>
    <row r="485" spans="1:13" x14ac:dyDescent="0.25">
      <c r="A485" s="6"/>
      <c r="B485" s="6"/>
      <c r="C485" s="102"/>
      <c r="D485" s="102"/>
      <c r="E485" s="102"/>
      <c r="F485" s="103"/>
      <c r="G485" s="6"/>
      <c r="H485" s="103"/>
      <c r="I485" s="6"/>
      <c r="J485" s="141"/>
      <c r="K485" s="141"/>
      <c r="L485" s="141"/>
      <c r="M485" s="141"/>
    </row>
    <row r="486" spans="1:13" x14ac:dyDescent="0.25">
      <c r="A486" s="6"/>
      <c r="B486" s="6"/>
      <c r="C486" s="102"/>
      <c r="D486" s="102"/>
      <c r="E486" s="102"/>
      <c r="F486" s="103"/>
      <c r="G486" s="6"/>
      <c r="H486" s="103"/>
      <c r="I486" s="6"/>
      <c r="J486" s="141"/>
      <c r="K486" s="141"/>
      <c r="L486" s="141"/>
      <c r="M486" s="141"/>
    </row>
    <row r="487" spans="1:13" x14ac:dyDescent="0.25">
      <c r="A487" s="6"/>
      <c r="B487" s="6"/>
      <c r="C487" s="102"/>
      <c r="D487" s="102"/>
      <c r="E487" s="102"/>
      <c r="F487" s="103"/>
      <c r="G487" s="6"/>
      <c r="H487" s="103"/>
      <c r="I487" s="6"/>
      <c r="J487" s="141"/>
      <c r="K487" s="141"/>
      <c r="L487" s="141"/>
      <c r="M487" s="141"/>
    </row>
    <row r="488" spans="1:13" x14ac:dyDescent="0.25">
      <c r="A488" s="6"/>
      <c r="B488" s="6"/>
      <c r="C488" s="102"/>
      <c r="D488" s="102"/>
      <c r="E488" s="102"/>
      <c r="F488" s="103"/>
      <c r="G488" s="6"/>
      <c r="H488" s="103"/>
      <c r="I488" s="6"/>
      <c r="J488" s="141"/>
      <c r="K488" s="141"/>
      <c r="L488" s="141"/>
      <c r="M488" s="141"/>
    </row>
    <row r="489" spans="1:13" x14ac:dyDescent="0.25">
      <c r="A489" s="6"/>
      <c r="B489" s="6"/>
      <c r="C489" s="102"/>
      <c r="D489" s="102"/>
      <c r="E489" s="102"/>
      <c r="F489" s="103"/>
      <c r="G489" s="6"/>
      <c r="H489" s="103"/>
      <c r="I489" s="6"/>
      <c r="J489" s="141"/>
      <c r="K489" s="141"/>
      <c r="L489" s="141"/>
      <c r="M489" s="141"/>
    </row>
    <row r="490" spans="1:13" x14ac:dyDescent="0.25">
      <c r="A490" s="6"/>
      <c r="B490" s="6"/>
      <c r="C490" s="102"/>
      <c r="D490" s="102"/>
      <c r="E490" s="102"/>
      <c r="F490" s="103"/>
      <c r="G490" s="6"/>
      <c r="H490" s="103"/>
      <c r="I490" s="6"/>
      <c r="J490" s="141"/>
      <c r="K490" s="141"/>
      <c r="L490" s="141"/>
      <c r="M490" s="141"/>
    </row>
    <row r="491" spans="1:13" x14ac:dyDescent="0.25">
      <c r="A491" s="6"/>
      <c r="B491" s="6"/>
      <c r="C491" s="102"/>
      <c r="D491" s="102"/>
      <c r="E491" s="102"/>
      <c r="F491" s="103"/>
      <c r="G491" s="6"/>
      <c r="H491" s="103"/>
      <c r="I491" s="6"/>
      <c r="J491" s="141"/>
      <c r="K491" s="141"/>
      <c r="L491" s="141"/>
      <c r="M491" s="141"/>
    </row>
    <row r="492" spans="1:13" x14ac:dyDescent="0.25">
      <c r="A492" s="6"/>
      <c r="B492" s="6"/>
      <c r="C492" s="102"/>
      <c r="D492" s="102"/>
      <c r="E492" s="102"/>
      <c r="F492" s="103"/>
      <c r="G492" s="6"/>
      <c r="H492" s="103"/>
      <c r="I492" s="6"/>
      <c r="J492" s="141"/>
      <c r="K492" s="141"/>
      <c r="L492" s="141"/>
      <c r="M492" s="141"/>
    </row>
    <row r="493" spans="1:13" x14ac:dyDescent="0.25">
      <c r="A493" s="6"/>
      <c r="B493" s="6"/>
      <c r="C493" s="102"/>
      <c r="D493" s="102"/>
      <c r="E493" s="102"/>
      <c r="F493" s="103"/>
      <c r="G493" s="6"/>
      <c r="H493" s="103"/>
      <c r="I493" s="6"/>
      <c r="J493" s="141"/>
      <c r="K493" s="141"/>
      <c r="L493" s="141"/>
      <c r="M493" s="141"/>
    </row>
    <row r="494" spans="1:13" x14ac:dyDescent="0.25">
      <c r="A494" s="6"/>
      <c r="B494" s="6"/>
      <c r="C494" s="102"/>
      <c r="D494" s="102"/>
      <c r="E494" s="102"/>
      <c r="F494" s="103"/>
      <c r="G494" s="6"/>
      <c r="H494" s="103"/>
      <c r="I494" s="6"/>
      <c r="J494" s="141"/>
      <c r="K494" s="141"/>
      <c r="L494" s="141"/>
      <c r="M494" s="141"/>
    </row>
    <row r="495" spans="1:13" x14ac:dyDescent="0.25">
      <c r="A495" s="6"/>
      <c r="B495" s="6"/>
      <c r="C495" s="102"/>
      <c r="D495" s="102"/>
      <c r="E495" s="102"/>
      <c r="F495" s="103"/>
      <c r="G495" s="6"/>
      <c r="H495" s="103"/>
      <c r="I495" s="6"/>
      <c r="J495" s="141"/>
      <c r="K495" s="141"/>
      <c r="L495" s="141"/>
      <c r="M495" s="141"/>
    </row>
    <row r="496" spans="1:13" x14ac:dyDescent="0.25">
      <c r="A496" s="6"/>
      <c r="B496" s="6"/>
      <c r="C496" s="102"/>
      <c r="D496" s="102"/>
      <c r="E496" s="102"/>
      <c r="F496" s="103"/>
      <c r="G496" s="6"/>
      <c r="H496" s="103"/>
      <c r="I496" s="6"/>
      <c r="J496" s="141"/>
      <c r="K496" s="141"/>
      <c r="L496" s="141"/>
      <c r="M496" s="141"/>
    </row>
    <row r="497" spans="1:13" x14ac:dyDescent="0.25">
      <c r="A497" s="6"/>
      <c r="B497" s="6"/>
      <c r="C497" s="102"/>
      <c r="D497" s="102"/>
      <c r="E497" s="102"/>
      <c r="F497" s="103"/>
      <c r="G497" s="6"/>
      <c r="H497" s="103"/>
      <c r="I497" s="6"/>
      <c r="J497" s="141"/>
      <c r="K497" s="141"/>
      <c r="L497" s="141"/>
      <c r="M497" s="141"/>
    </row>
    <row r="498" spans="1:13" x14ac:dyDescent="0.25">
      <c r="A498" s="6"/>
      <c r="B498" s="6"/>
      <c r="C498" s="102"/>
      <c r="D498" s="102"/>
      <c r="E498" s="102"/>
      <c r="F498" s="103"/>
      <c r="G498" s="6"/>
      <c r="H498" s="103"/>
      <c r="I498" s="6"/>
      <c r="J498" s="141"/>
      <c r="K498" s="141"/>
      <c r="L498" s="141"/>
      <c r="M498" s="141"/>
    </row>
    <row r="499" spans="1:13" x14ac:dyDescent="0.25">
      <c r="A499" s="6"/>
      <c r="B499" s="6"/>
      <c r="C499" s="102"/>
      <c r="D499" s="102"/>
      <c r="E499" s="102"/>
      <c r="F499" s="103"/>
      <c r="G499" s="6"/>
      <c r="H499" s="103"/>
      <c r="I499" s="6"/>
      <c r="J499" s="141"/>
      <c r="K499" s="141"/>
      <c r="L499" s="141"/>
      <c r="M499" s="141"/>
    </row>
    <row r="500" spans="1:13" x14ac:dyDescent="0.25">
      <c r="A500" s="6"/>
      <c r="B500" s="6"/>
      <c r="C500" s="102"/>
      <c r="D500" s="102"/>
      <c r="E500" s="102"/>
      <c r="F500" s="103"/>
      <c r="G500" s="6"/>
      <c r="H500" s="103"/>
      <c r="I500" s="6"/>
      <c r="J500" s="141"/>
      <c r="K500" s="141"/>
      <c r="L500" s="141"/>
      <c r="M500" s="141"/>
    </row>
    <row r="501" spans="1:13" x14ac:dyDescent="0.25">
      <c r="A501" s="6"/>
      <c r="B501" s="6"/>
      <c r="C501" s="102"/>
      <c r="D501" s="102"/>
      <c r="E501" s="102"/>
      <c r="F501" s="103"/>
      <c r="G501" s="6"/>
      <c r="H501" s="103"/>
      <c r="I501" s="6"/>
      <c r="J501" s="141"/>
      <c r="K501" s="141"/>
      <c r="L501" s="141"/>
      <c r="M501" s="141"/>
    </row>
    <row r="502" spans="1:13" x14ac:dyDescent="0.25">
      <c r="A502" s="6"/>
      <c r="B502" s="6"/>
      <c r="C502" s="102"/>
      <c r="D502" s="102"/>
      <c r="E502" s="102"/>
      <c r="F502" s="103"/>
      <c r="G502" s="6"/>
      <c r="H502" s="103"/>
      <c r="I502" s="6"/>
      <c r="J502" s="141"/>
      <c r="K502" s="141"/>
      <c r="L502" s="141"/>
      <c r="M502" s="141"/>
    </row>
    <row r="503" spans="1:13" x14ac:dyDescent="0.25">
      <c r="A503" s="6"/>
      <c r="B503" s="6"/>
      <c r="C503" s="102"/>
      <c r="D503" s="102"/>
      <c r="E503" s="102"/>
      <c r="F503" s="103"/>
      <c r="G503" s="6"/>
      <c r="H503" s="103"/>
      <c r="I503" s="6"/>
      <c r="J503" s="141"/>
      <c r="K503" s="141"/>
      <c r="L503" s="141"/>
      <c r="M503" s="141"/>
    </row>
    <row r="504" spans="1:13" x14ac:dyDescent="0.25">
      <c r="A504" s="6"/>
      <c r="B504" s="6"/>
      <c r="C504" s="102"/>
      <c r="D504" s="102"/>
      <c r="E504" s="102"/>
      <c r="F504" s="103"/>
      <c r="G504" s="6"/>
      <c r="H504" s="103"/>
      <c r="I504" s="6"/>
      <c r="J504" s="141"/>
      <c r="K504" s="141"/>
      <c r="L504" s="141"/>
      <c r="M504" s="141"/>
    </row>
    <row r="505" spans="1:13" x14ac:dyDescent="0.25">
      <c r="A505" s="6"/>
      <c r="B505" s="6"/>
      <c r="C505" s="102"/>
      <c r="D505" s="102"/>
      <c r="E505" s="102"/>
      <c r="F505" s="103"/>
      <c r="G505" s="6"/>
      <c r="H505" s="103"/>
      <c r="I505" s="6"/>
      <c r="J505" s="141"/>
      <c r="K505" s="141"/>
      <c r="L505" s="141"/>
      <c r="M505" s="141"/>
    </row>
    <row r="506" spans="1:13" x14ac:dyDescent="0.25">
      <c r="A506" s="6"/>
      <c r="B506" s="6"/>
      <c r="C506" s="102"/>
      <c r="D506" s="102"/>
      <c r="E506" s="102"/>
      <c r="F506" s="103"/>
      <c r="G506" s="6"/>
      <c r="H506" s="103"/>
      <c r="I506" s="6"/>
      <c r="J506" s="141"/>
      <c r="K506" s="141"/>
      <c r="L506" s="141"/>
      <c r="M506" s="141"/>
    </row>
    <row r="507" spans="1:13" x14ac:dyDescent="0.25">
      <c r="A507" s="6"/>
      <c r="B507" s="6"/>
      <c r="C507" s="102"/>
      <c r="D507" s="102"/>
      <c r="E507" s="102"/>
      <c r="F507" s="103"/>
      <c r="G507" s="6"/>
      <c r="H507" s="103"/>
      <c r="I507" s="6"/>
      <c r="J507" s="141"/>
      <c r="K507" s="141"/>
      <c r="L507" s="141"/>
      <c r="M507" s="141"/>
    </row>
    <row r="508" spans="1:13" x14ac:dyDescent="0.25">
      <c r="A508" s="6"/>
      <c r="B508" s="6"/>
      <c r="C508" s="102"/>
      <c r="D508" s="102"/>
      <c r="E508" s="102"/>
      <c r="F508" s="103"/>
      <c r="G508" s="6"/>
      <c r="H508" s="103"/>
      <c r="I508" s="6"/>
      <c r="J508" s="141"/>
      <c r="K508" s="141"/>
      <c r="L508" s="141"/>
      <c r="M508" s="141"/>
    </row>
    <row r="509" spans="1:13" x14ac:dyDescent="0.25">
      <c r="A509" s="6"/>
      <c r="B509" s="6"/>
      <c r="C509" s="102"/>
      <c r="D509" s="102"/>
      <c r="E509" s="102"/>
      <c r="F509" s="103"/>
      <c r="G509" s="6"/>
      <c r="H509" s="103"/>
      <c r="I509" s="6"/>
      <c r="J509" s="141"/>
      <c r="K509" s="141"/>
      <c r="L509" s="141"/>
      <c r="M509" s="141"/>
    </row>
    <row r="510" spans="1:13" x14ac:dyDescent="0.25">
      <c r="A510" s="6"/>
      <c r="B510" s="6"/>
      <c r="C510" s="102"/>
      <c r="D510" s="102"/>
      <c r="E510" s="102"/>
      <c r="F510" s="103"/>
      <c r="G510" s="6"/>
      <c r="H510" s="103"/>
      <c r="I510" s="6"/>
      <c r="J510" s="141"/>
      <c r="K510" s="141"/>
      <c r="L510" s="141"/>
      <c r="M510" s="141"/>
    </row>
    <row r="511" spans="1:13" x14ac:dyDescent="0.25">
      <c r="A511" s="6"/>
      <c r="B511" s="6"/>
      <c r="C511" s="102"/>
      <c r="D511" s="102"/>
      <c r="E511" s="102"/>
      <c r="F511" s="103"/>
      <c r="G511" s="6"/>
      <c r="H511" s="103"/>
      <c r="I511" s="6"/>
      <c r="J511" s="141"/>
      <c r="K511" s="141"/>
      <c r="L511" s="141"/>
      <c r="M511" s="141"/>
    </row>
    <row r="512" spans="1:13" x14ac:dyDescent="0.25">
      <c r="A512" s="6"/>
      <c r="B512" s="6"/>
      <c r="C512" s="102"/>
      <c r="D512" s="102"/>
      <c r="E512" s="102"/>
      <c r="F512" s="103"/>
      <c r="G512" s="6"/>
      <c r="H512" s="103"/>
      <c r="I512" s="6"/>
      <c r="J512" s="141"/>
      <c r="K512" s="141"/>
      <c r="L512" s="141"/>
      <c r="M512" s="141"/>
    </row>
    <row r="513" spans="1:13" x14ac:dyDescent="0.25">
      <c r="A513" s="6"/>
      <c r="B513" s="6"/>
      <c r="C513" s="102"/>
      <c r="D513" s="102"/>
      <c r="E513" s="102"/>
      <c r="F513" s="103"/>
      <c r="G513" s="6"/>
      <c r="H513" s="103"/>
      <c r="I513" s="6"/>
      <c r="J513" s="141"/>
      <c r="K513" s="141"/>
      <c r="L513" s="141"/>
      <c r="M513" s="141"/>
    </row>
    <row r="514" spans="1:13" x14ac:dyDescent="0.25">
      <c r="A514" s="6"/>
      <c r="B514" s="6"/>
      <c r="C514" s="102"/>
      <c r="D514" s="102"/>
      <c r="E514" s="102"/>
      <c r="F514" s="103"/>
      <c r="G514" s="6"/>
      <c r="H514" s="103"/>
      <c r="I514" s="6"/>
      <c r="J514" s="141"/>
      <c r="K514" s="141"/>
      <c r="L514" s="141"/>
      <c r="M514" s="141"/>
    </row>
    <row r="515" spans="1:13" x14ac:dyDescent="0.25">
      <c r="A515" s="6"/>
      <c r="B515" s="6"/>
      <c r="C515" s="102"/>
      <c r="D515" s="102"/>
      <c r="E515" s="102"/>
      <c r="F515" s="103"/>
      <c r="G515" s="6"/>
      <c r="H515" s="103"/>
      <c r="I515" s="6"/>
      <c r="J515" s="141"/>
      <c r="K515" s="141"/>
      <c r="L515" s="141"/>
      <c r="M515" s="141"/>
    </row>
    <row r="516" spans="1:13" x14ac:dyDescent="0.25">
      <c r="A516" s="6"/>
      <c r="B516" s="6"/>
      <c r="C516" s="102"/>
      <c r="D516" s="102"/>
      <c r="E516" s="102"/>
      <c r="F516" s="103"/>
      <c r="G516" s="6"/>
      <c r="H516" s="103"/>
      <c r="I516" s="6"/>
      <c r="J516" s="141"/>
      <c r="K516" s="141"/>
      <c r="L516" s="141"/>
      <c r="M516" s="141"/>
    </row>
    <row r="517" spans="1:13" x14ac:dyDescent="0.25">
      <c r="A517" s="6"/>
      <c r="B517" s="6"/>
      <c r="C517" s="102"/>
      <c r="D517" s="102"/>
      <c r="E517" s="102"/>
      <c r="F517" s="103"/>
      <c r="G517" s="6"/>
      <c r="H517" s="103"/>
      <c r="I517" s="6"/>
      <c r="J517" s="141"/>
      <c r="K517" s="141"/>
      <c r="L517" s="141"/>
      <c r="M517" s="141"/>
    </row>
    <row r="518" spans="1:13" x14ac:dyDescent="0.25">
      <c r="A518" s="6"/>
      <c r="B518" s="6"/>
      <c r="C518" s="102"/>
      <c r="D518" s="102"/>
      <c r="E518" s="102"/>
      <c r="F518" s="103"/>
      <c r="G518" s="6"/>
      <c r="H518" s="103"/>
      <c r="I518" s="6"/>
      <c r="J518" s="141"/>
      <c r="K518" s="141"/>
      <c r="L518" s="141"/>
      <c r="M518" s="141"/>
    </row>
    <row r="519" spans="1:13" x14ac:dyDescent="0.25">
      <c r="A519" s="6"/>
      <c r="B519" s="6"/>
      <c r="C519" s="102"/>
      <c r="D519" s="102"/>
      <c r="E519" s="102"/>
      <c r="F519" s="103"/>
      <c r="G519" s="6"/>
      <c r="H519" s="103"/>
      <c r="I519" s="6"/>
      <c r="J519" s="141"/>
      <c r="K519" s="141"/>
      <c r="L519" s="141"/>
      <c r="M519" s="141"/>
    </row>
    <row r="520" spans="1:13" x14ac:dyDescent="0.25">
      <c r="A520" s="6"/>
      <c r="B520" s="6"/>
      <c r="C520" s="102"/>
      <c r="D520" s="102"/>
      <c r="E520" s="102"/>
      <c r="F520" s="103"/>
      <c r="G520" s="6"/>
      <c r="H520" s="103"/>
      <c r="I520" s="6"/>
      <c r="J520" s="141"/>
      <c r="K520" s="141"/>
      <c r="L520" s="141"/>
      <c r="M520" s="141"/>
    </row>
    <row r="521" spans="1:13" x14ac:dyDescent="0.25">
      <c r="A521" s="6"/>
      <c r="B521" s="6"/>
      <c r="C521" s="102"/>
      <c r="D521" s="102"/>
      <c r="E521" s="102"/>
      <c r="F521" s="103"/>
      <c r="G521" s="6"/>
      <c r="H521" s="103"/>
      <c r="I521" s="6"/>
      <c r="J521" s="141"/>
      <c r="K521" s="141"/>
      <c r="L521" s="141"/>
      <c r="M521" s="141"/>
    </row>
    <row r="522" spans="1:13" x14ac:dyDescent="0.25">
      <c r="A522" s="6"/>
      <c r="B522" s="6"/>
      <c r="C522" s="102"/>
      <c r="D522" s="102"/>
      <c r="E522" s="102"/>
      <c r="F522" s="103"/>
      <c r="G522" s="6"/>
      <c r="H522" s="103"/>
      <c r="I522" s="6"/>
      <c r="J522" s="141"/>
      <c r="K522" s="141"/>
      <c r="L522" s="141"/>
      <c r="M522" s="141"/>
    </row>
    <row r="523" spans="1:13" x14ac:dyDescent="0.25">
      <c r="A523" s="6"/>
      <c r="B523" s="6"/>
      <c r="C523" s="102"/>
      <c r="D523" s="102"/>
      <c r="E523" s="102"/>
      <c r="F523" s="103"/>
      <c r="G523" s="6"/>
      <c r="H523" s="103"/>
      <c r="I523" s="6"/>
      <c r="J523" s="141"/>
      <c r="K523" s="141"/>
      <c r="L523" s="141"/>
      <c r="M523" s="141"/>
    </row>
    <row r="524" spans="1:13" x14ac:dyDescent="0.25">
      <c r="A524" s="6"/>
      <c r="B524" s="6"/>
      <c r="C524" s="102"/>
      <c r="D524" s="102"/>
      <c r="E524" s="102"/>
      <c r="F524" s="103"/>
      <c r="G524" s="6"/>
      <c r="H524" s="103"/>
      <c r="I524" s="6"/>
      <c r="J524" s="141"/>
      <c r="K524" s="141"/>
      <c r="L524" s="141"/>
      <c r="M524" s="141"/>
    </row>
    <row r="525" spans="1:13" x14ac:dyDescent="0.25">
      <c r="A525" s="6"/>
      <c r="B525" s="6"/>
      <c r="C525" s="102"/>
      <c r="D525" s="102"/>
      <c r="E525" s="102"/>
      <c r="F525" s="103"/>
      <c r="G525" s="6"/>
      <c r="H525" s="103"/>
      <c r="I525" s="6"/>
      <c r="J525" s="141"/>
      <c r="K525" s="141"/>
      <c r="L525" s="141"/>
      <c r="M525" s="141"/>
    </row>
    <row r="526" spans="1:13" x14ac:dyDescent="0.25">
      <c r="A526" s="6"/>
      <c r="B526" s="6"/>
      <c r="C526" s="102"/>
      <c r="D526" s="102"/>
      <c r="E526" s="102"/>
      <c r="F526" s="103"/>
      <c r="G526" s="6"/>
      <c r="H526" s="103"/>
      <c r="I526" s="6"/>
      <c r="J526" s="141"/>
      <c r="K526" s="141"/>
      <c r="L526" s="141"/>
      <c r="M526" s="141"/>
    </row>
    <row r="527" spans="1:13" x14ac:dyDescent="0.25">
      <c r="A527" s="6"/>
      <c r="B527" s="6"/>
      <c r="C527" s="102"/>
      <c r="D527" s="102"/>
      <c r="E527" s="102"/>
      <c r="F527" s="103"/>
      <c r="G527" s="6"/>
      <c r="H527" s="103"/>
      <c r="I527" s="6"/>
      <c r="J527" s="141"/>
      <c r="K527" s="141"/>
      <c r="L527" s="141"/>
      <c r="M527" s="141"/>
    </row>
    <row r="528" spans="1:13" x14ac:dyDescent="0.25">
      <c r="A528" s="6"/>
      <c r="B528" s="6"/>
      <c r="C528" s="102"/>
      <c r="D528" s="102"/>
      <c r="E528" s="102"/>
      <c r="F528" s="103"/>
      <c r="G528" s="6"/>
      <c r="H528" s="103"/>
      <c r="I528" s="6"/>
      <c r="J528" s="141"/>
      <c r="K528" s="141"/>
      <c r="L528" s="141"/>
      <c r="M528" s="141"/>
    </row>
    <row r="529" spans="1:13" x14ac:dyDescent="0.25">
      <c r="A529" s="6"/>
      <c r="B529" s="6"/>
      <c r="C529" s="102"/>
      <c r="D529" s="102"/>
      <c r="E529" s="102"/>
      <c r="F529" s="103"/>
      <c r="G529" s="6"/>
      <c r="H529" s="103"/>
      <c r="I529" s="6"/>
      <c r="J529" s="141"/>
      <c r="K529" s="141"/>
      <c r="L529" s="141"/>
      <c r="M529" s="141"/>
    </row>
    <row r="530" spans="1:13" x14ac:dyDescent="0.25">
      <c r="A530" s="6"/>
      <c r="B530" s="6"/>
      <c r="C530" s="102"/>
      <c r="D530" s="102"/>
      <c r="E530" s="102"/>
      <c r="F530" s="103"/>
      <c r="G530" s="6"/>
      <c r="H530" s="103"/>
      <c r="I530" s="6"/>
      <c r="J530" s="141"/>
      <c r="K530" s="141"/>
      <c r="L530" s="141"/>
      <c r="M530" s="141"/>
    </row>
    <row r="531" spans="1:13" x14ac:dyDescent="0.25">
      <c r="A531" s="6"/>
      <c r="B531" s="6"/>
      <c r="C531" s="102"/>
      <c r="D531" s="102"/>
      <c r="E531" s="102"/>
      <c r="F531" s="103"/>
      <c r="G531" s="6"/>
      <c r="H531" s="103"/>
      <c r="I531" s="6"/>
      <c r="J531" s="141"/>
      <c r="K531" s="141"/>
      <c r="L531" s="141"/>
      <c r="M531" s="141"/>
    </row>
    <row r="532" spans="1:13" x14ac:dyDescent="0.25">
      <c r="A532" s="6"/>
      <c r="B532" s="6"/>
      <c r="C532" s="102"/>
      <c r="D532" s="102"/>
      <c r="E532" s="102"/>
      <c r="F532" s="103"/>
      <c r="G532" s="6"/>
      <c r="H532" s="103"/>
      <c r="I532" s="6"/>
      <c r="J532" s="141"/>
      <c r="K532" s="141"/>
      <c r="L532" s="141"/>
      <c r="M532" s="141"/>
    </row>
    <row r="533" spans="1:13" x14ac:dyDescent="0.25">
      <c r="A533" s="6"/>
      <c r="B533" s="6"/>
      <c r="C533" s="102"/>
      <c r="D533" s="102"/>
      <c r="E533" s="102"/>
      <c r="F533" s="103"/>
      <c r="G533" s="6"/>
      <c r="H533" s="103"/>
      <c r="I533" s="6"/>
      <c r="J533" s="141"/>
      <c r="K533" s="141"/>
      <c r="L533" s="141"/>
      <c r="M533" s="141"/>
    </row>
    <row r="534" spans="1:13" x14ac:dyDescent="0.25">
      <c r="A534" s="6"/>
      <c r="B534" s="6"/>
      <c r="C534" s="102"/>
      <c r="D534" s="102"/>
      <c r="E534" s="102"/>
      <c r="F534" s="103"/>
      <c r="G534" s="6"/>
      <c r="H534" s="103"/>
      <c r="I534" s="6"/>
      <c r="J534" s="141"/>
      <c r="K534" s="141"/>
      <c r="L534" s="141"/>
      <c r="M534" s="141"/>
    </row>
    <row r="535" spans="1:13" x14ac:dyDescent="0.25">
      <c r="A535" s="6"/>
      <c r="B535" s="6"/>
      <c r="C535" s="102"/>
      <c r="D535" s="102"/>
      <c r="E535" s="102"/>
      <c r="F535" s="103"/>
      <c r="G535" s="6"/>
      <c r="H535" s="103"/>
      <c r="I535" s="6"/>
      <c r="J535" s="141"/>
      <c r="K535" s="141"/>
      <c r="L535" s="141"/>
      <c r="M535" s="141"/>
    </row>
    <row r="536" spans="1:13" x14ac:dyDescent="0.25">
      <c r="A536" s="6"/>
      <c r="B536" s="6"/>
      <c r="C536" s="102"/>
      <c r="D536" s="102"/>
      <c r="E536" s="102"/>
      <c r="F536" s="103"/>
      <c r="G536" s="6"/>
      <c r="H536" s="103"/>
      <c r="I536" s="6"/>
      <c r="J536" s="141"/>
      <c r="K536" s="141"/>
      <c r="L536" s="141"/>
      <c r="M536" s="141"/>
    </row>
    <row r="537" spans="1:13" x14ac:dyDescent="0.25">
      <c r="A537" s="6"/>
      <c r="B537" s="6"/>
      <c r="C537" s="102"/>
      <c r="D537" s="102"/>
      <c r="E537" s="102"/>
      <c r="F537" s="103"/>
      <c r="G537" s="6"/>
      <c r="H537" s="103"/>
      <c r="I537" s="6"/>
      <c r="J537" s="141"/>
      <c r="K537" s="141"/>
      <c r="L537" s="141"/>
      <c r="M537" s="141"/>
    </row>
    <row r="538" spans="1:13" x14ac:dyDescent="0.25">
      <c r="A538" s="6"/>
      <c r="B538" s="6"/>
      <c r="C538" s="102"/>
      <c r="D538" s="102"/>
      <c r="E538" s="102"/>
      <c r="F538" s="103"/>
      <c r="G538" s="6"/>
      <c r="H538" s="103"/>
      <c r="I538" s="6"/>
      <c r="J538" s="141"/>
      <c r="K538" s="141"/>
      <c r="L538" s="141"/>
      <c r="M538" s="141"/>
    </row>
    <row r="539" spans="1:13" x14ac:dyDescent="0.25">
      <c r="A539" s="6"/>
      <c r="B539" s="6"/>
      <c r="C539" s="102"/>
      <c r="D539" s="102"/>
      <c r="E539" s="102"/>
      <c r="F539" s="103"/>
      <c r="G539" s="6"/>
      <c r="H539" s="103"/>
      <c r="I539" s="6"/>
      <c r="J539" s="141"/>
      <c r="K539" s="141"/>
      <c r="L539" s="141"/>
      <c r="M539" s="141"/>
    </row>
    <row r="540" spans="1:13" x14ac:dyDescent="0.25">
      <c r="A540" s="6"/>
      <c r="B540" s="6"/>
      <c r="C540" s="102"/>
      <c r="D540" s="102"/>
      <c r="E540" s="102"/>
      <c r="F540" s="103"/>
      <c r="G540" s="6"/>
      <c r="H540" s="103"/>
      <c r="I540" s="6"/>
      <c r="J540" s="141"/>
      <c r="K540" s="141"/>
      <c r="L540" s="141"/>
      <c r="M540" s="141"/>
    </row>
    <row r="541" spans="1:13" x14ac:dyDescent="0.25">
      <c r="A541" s="6"/>
      <c r="B541" s="6"/>
      <c r="C541" s="102"/>
      <c r="D541" s="102"/>
      <c r="E541" s="102"/>
      <c r="F541" s="103"/>
      <c r="G541" s="6"/>
      <c r="H541" s="103"/>
      <c r="I541" s="6"/>
      <c r="J541" s="141"/>
      <c r="K541" s="141"/>
      <c r="L541" s="141"/>
      <c r="M541" s="141"/>
    </row>
    <row r="542" spans="1:13" x14ac:dyDescent="0.25">
      <c r="A542" s="6"/>
      <c r="B542" s="6"/>
      <c r="C542" s="102"/>
      <c r="D542" s="102"/>
      <c r="E542" s="102"/>
      <c r="F542" s="103"/>
      <c r="G542" s="6"/>
      <c r="H542" s="103"/>
      <c r="I542" s="6"/>
      <c r="J542" s="141"/>
      <c r="K542" s="141"/>
      <c r="L542" s="141"/>
      <c r="M542" s="141"/>
    </row>
    <row r="543" spans="1:13" x14ac:dyDescent="0.25">
      <c r="A543" s="6"/>
      <c r="B543" s="6"/>
      <c r="C543" s="102"/>
      <c r="D543" s="102"/>
      <c r="E543" s="102"/>
      <c r="F543" s="103"/>
      <c r="G543" s="6"/>
      <c r="H543" s="103"/>
      <c r="I543" s="6"/>
      <c r="J543" s="141"/>
      <c r="K543" s="141"/>
      <c r="L543" s="141"/>
      <c r="M543" s="141"/>
    </row>
    <row r="544" spans="1:13" x14ac:dyDescent="0.25">
      <c r="A544" s="6"/>
      <c r="B544" s="6"/>
      <c r="C544" s="102"/>
      <c r="D544" s="102"/>
      <c r="E544" s="102"/>
      <c r="F544" s="103"/>
      <c r="G544" s="6"/>
      <c r="H544" s="103"/>
      <c r="I544" s="6"/>
      <c r="J544" s="141"/>
      <c r="K544" s="141"/>
      <c r="L544" s="141"/>
      <c r="M544" s="141"/>
    </row>
    <row r="545" spans="1:13" x14ac:dyDescent="0.25">
      <c r="A545" s="6"/>
      <c r="B545" s="6"/>
      <c r="C545" s="102"/>
      <c r="D545" s="102"/>
      <c r="E545" s="102"/>
      <c r="F545" s="103"/>
      <c r="G545" s="6"/>
      <c r="H545" s="103"/>
      <c r="I545" s="6"/>
      <c r="J545" s="141"/>
      <c r="K545" s="141"/>
      <c r="L545" s="141"/>
      <c r="M545" s="141"/>
    </row>
    <row r="546" spans="1:13" x14ac:dyDescent="0.25">
      <c r="A546" s="6"/>
      <c r="B546" s="6"/>
      <c r="C546" s="102"/>
      <c r="D546" s="102"/>
      <c r="E546" s="102"/>
      <c r="F546" s="103"/>
      <c r="G546" s="6"/>
      <c r="H546" s="103"/>
      <c r="I546" s="6"/>
      <c r="J546" s="141"/>
      <c r="K546" s="141"/>
      <c r="L546" s="141"/>
      <c r="M546" s="141"/>
    </row>
    <row r="547" spans="1:13" x14ac:dyDescent="0.25">
      <c r="A547" s="6"/>
      <c r="B547" s="6"/>
      <c r="C547" s="102"/>
      <c r="D547" s="102"/>
      <c r="E547" s="102"/>
      <c r="F547" s="103"/>
      <c r="G547" s="6"/>
      <c r="H547" s="103"/>
      <c r="I547" s="6"/>
      <c r="J547" s="141"/>
      <c r="K547" s="141"/>
      <c r="L547" s="141"/>
      <c r="M547" s="141"/>
    </row>
    <row r="548" spans="1:13" x14ac:dyDescent="0.25">
      <c r="A548" s="6"/>
      <c r="B548" s="6"/>
      <c r="C548" s="102"/>
      <c r="D548" s="102"/>
      <c r="E548" s="102"/>
      <c r="F548" s="103"/>
      <c r="G548" s="6"/>
      <c r="H548" s="103"/>
      <c r="I548" s="6"/>
      <c r="J548" s="141"/>
      <c r="K548" s="141"/>
      <c r="L548" s="141"/>
      <c r="M548" s="141"/>
    </row>
    <row r="549" spans="1:13" x14ac:dyDescent="0.25">
      <c r="A549" s="6"/>
      <c r="B549" s="6"/>
      <c r="C549" s="102"/>
      <c r="D549" s="102"/>
      <c r="E549" s="102"/>
      <c r="F549" s="103"/>
      <c r="G549" s="6"/>
      <c r="H549" s="103"/>
      <c r="I549" s="6"/>
      <c r="J549" s="141"/>
      <c r="K549" s="141"/>
      <c r="L549" s="141"/>
      <c r="M549" s="141"/>
    </row>
    <row r="550" spans="1:13" x14ac:dyDescent="0.25">
      <c r="A550" s="6"/>
      <c r="B550" s="6"/>
      <c r="C550" s="102"/>
      <c r="D550" s="102"/>
      <c r="E550" s="102"/>
      <c r="F550" s="103"/>
      <c r="G550" s="6"/>
      <c r="H550" s="103"/>
      <c r="I550" s="6"/>
      <c r="J550" s="141"/>
      <c r="K550" s="141"/>
      <c r="L550" s="141"/>
      <c r="M550" s="141"/>
    </row>
    <row r="551" spans="1:13" x14ac:dyDescent="0.25">
      <c r="A551" s="6"/>
      <c r="B551" s="6"/>
      <c r="C551" s="102"/>
      <c r="D551" s="102"/>
      <c r="E551" s="102"/>
      <c r="F551" s="103"/>
      <c r="G551" s="6"/>
      <c r="H551" s="103"/>
      <c r="I551" s="6"/>
      <c r="J551" s="141"/>
      <c r="K551" s="141"/>
      <c r="L551" s="141"/>
      <c r="M551" s="141"/>
    </row>
    <row r="552" spans="1:13" x14ac:dyDescent="0.25">
      <c r="A552" s="6"/>
      <c r="B552" s="6"/>
      <c r="C552" s="102"/>
      <c r="D552" s="102"/>
      <c r="E552" s="102"/>
      <c r="F552" s="103"/>
      <c r="G552" s="6"/>
      <c r="H552" s="103"/>
      <c r="I552" s="6"/>
      <c r="J552" s="141"/>
      <c r="K552" s="141"/>
      <c r="L552" s="141"/>
      <c r="M552" s="141"/>
    </row>
    <row r="553" spans="1:13" x14ac:dyDescent="0.25">
      <c r="A553" s="6"/>
      <c r="B553" s="6"/>
      <c r="C553" s="102"/>
      <c r="D553" s="102"/>
      <c r="E553" s="102"/>
      <c r="F553" s="103"/>
      <c r="G553" s="6"/>
      <c r="H553" s="103"/>
      <c r="I553" s="6"/>
      <c r="J553" s="141"/>
      <c r="K553" s="141"/>
      <c r="L553" s="141"/>
      <c r="M553" s="141"/>
    </row>
    <row r="554" spans="1:13" x14ac:dyDescent="0.25">
      <c r="A554" s="6"/>
      <c r="B554" s="6"/>
      <c r="C554" s="102"/>
      <c r="D554" s="102"/>
      <c r="E554" s="102"/>
      <c r="F554" s="103"/>
      <c r="G554" s="6"/>
      <c r="H554" s="103"/>
      <c r="I554" s="6"/>
      <c r="J554" s="141"/>
      <c r="K554" s="141"/>
      <c r="L554" s="141"/>
      <c r="M554" s="141"/>
    </row>
    <row r="555" spans="1:13" x14ac:dyDescent="0.25">
      <c r="A555" s="6"/>
      <c r="B555" s="6"/>
      <c r="C555" s="102"/>
      <c r="D555" s="102"/>
      <c r="E555" s="102"/>
      <c r="F555" s="103"/>
      <c r="G555" s="6"/>
      <c r="H555" s="103"/>
      <c r="I555" s="6"/>
      <c r="J555" s="141"/>
      <c r="K555" s="141"/>
      <c r="L555" s="141"/>
      <c r="M555" s="141"/>
    </row>
    <row r="556" spans="1:13" x14ac:dyDescent="0.25">
      <c r="A556" s="6"/>
      <c r="B556" s="6"/>
      <c r="C556" s="102"/>
      <c r="D556" s="102"/>
      <c r="E556" s="102"/>
      <c r="F556" s="103"/>
      <c r="G556" s="6"/>
      <c r="H556" s="103"/>
      <c r="I556" s="6"/>
      <c r="J556" s="141"/>
      <c r="K556" s="141"/>
      <c r="L556" s="141"/>
      <c r="M556" s="141"/>
    </row>
    <row r="557" spans="1:13" x14ac:dyDescent="0.25">
      <c r="A557" s="6"/>
      <c r="B557" s="6"/>
      <c r="C557" s="102"/>
      <c r="D557" s="102"/>
      <c r="E557" s="102"/>
      <c r="F557" s="103"/>
      <c r="G557" s="6"/>
      <c r="H557" s="103"/>
      <c r="I557" s="6"/>
      <c r="J557" s="141"/>
      <c r="K557" s="141"/>
      <c r="L557" s="141"/>
      <c r="M557" s="141"/>
    </row>
    <row r="558" spans="1:13" x14ac:dyDescent="0.25">
      <c r="A558" s="6"/>
      <c r="B558" s="6"/>
      <c r="C558" s="102"/>
      <c r="D558" s="102"/>
      <c r="E558" s="102"/>
      <c r="F558" s="103"/>
      <c r="G558" s="6"/>
      <c r="H558" s="103"/>
      <c r="I558" s="6"/>
      <c r="J558" s="141"/>
      <c r="K558" s="141"/>
      <c r="L558" s="141"/>
      <c r="M558" s="141"/>
    </row>
    <row r="559" spans="1:13" x14ac:dyDescent="0.25">
      <c r="A559" s="6"/>
      <c r="B559" s="6"/>
      <c r="C559" s="102"/>
      <c r="D559" s="102"/>
      <c r="E559" s="102"/>
      <c r="F559" s="103"/>
      <c r="G559" s="6"/>
      <c r="H559" s="103"/>
      <c r="I559" s="6"/>
      <c r="J559" s="141"/>
      <c r="K559" s="141"/>
      <c r="L559" s="141"/>
      <c r="M559" s="141"/>
    </row>
    <row r="560" spans="1:13" x14ac:dyDescent="0.25">
      <c r="A560" s="6"/>
      <c r="B560" s="6"/>
      <c r="C560" s="102"/>
      <c r="D560" s="102"/>
      <c r="E560" s="102"/>
      <c r="F560" s="103"/>
      <c r="G560" s="6"/>
      <c r="H560" s="103"/>
      <c r="I560" s="6"/>
      <c r="J560" s="141"/>
      <c r="K560" s="141"/>
      <c r="L560" s="141"/>
      <c r="M560" s="141"/>
    </row>
    <row r="561" spans="1:13" x14ac:dyDescent="0.25">
      <c r="A561" s="6"/>
      <c r="B561" s="6"/>
      <c r="C561" s="102"/>
      <c r="D561" s="102"/>
      <c r="E561" s="102"/>
      <c r="F561" s="103"/>
      <c r="G561" s="6"/>
      <c r="H561" s="103"/>
      <c r="I561" s="6"/>
      <c r="J561" s="141"/>
      <c r="K561" s="141"/>
      <c r="L561" s="141"/>
      <c r="M561" s="141"/>
    </row>
    <row r="562" spans="1:13" x14ac:dyDescent="0.25">
      <c r="A562" s="6"/>
      <c r="B562" s="6"/>
      <c r="C562" s="102"/>
      <c r="D562" s="102"/>
      <c r="E562" s="102"/>
      <c r="F562" s="103"/>
      <c r="G562" s="6"/>
      <c r="H562" s="103"/>
      <c r="I562" s="6"/>
      <c r="J562" s="141"/>
      <c r="K562" s="141"/>
      <c r="L562" s="141"/>
      <c r="M562" s="141"/>
    </row>
    <row r="563" spans="1:13" x14ac:dyDescent="0.25">
      <c r="A563" s="6"/>
      <c r="B563" s="6"/>
      <c r="C563" s="102"/>
      <c r="D563" s="102"/>
      <c r="E563" s="102"/>
      <c r="F563" s="103"/>
      <c r="G563" s="6"/>
      <c r="H563" s="103"/>
      <c r="I563" s="6"/>
      <c r="J563" s="141"/>
      <c r="K563" s="141"/>
      <c r="L563" s="141"/>
      <c r="M563" s="141"/>
    </row>
    <row r="564" spans="1:13" x14ac:dyDescent="0.25">
      <c r="A564" s="6"/>
      <c r="B564" s="6"/>
      <c r="C564" s="102"/>
      <c r="D564" s="102"/>
      <c r="E564" s="102"/>
      <c r="F564" s="103"/>
      <c r="G564" s="6"/>
      <c r="H564" s="103"/>
      <c r="I564" s="6"/>
      <c r="J564" s="141"/>
      <c r="K564" s="141"/>
      <c r="L564" s="141"/>
      <c r="M564" s="141"/>
    </row>
    <row r="565" spans="1:13" x14ac:dyDescent="0.25">
      <c r="A565" s="6"/>
      <c r="B565" s="6"/>
      <c r="C565" s="102"/>
      <c r="D565" s="102"/>
      <c r="E565" s="102"/>
      <c r="F565" s="103"/>
      <c r="G565" s="6"/>
      <c r="H565" s="103"/>
      <c r="I565" s="6"/>
      <c r="J565" s="141"/>
      <c r="K565" s="141"/>
      <c r="L565" s="141"/>
      <c r="M565" s="141"/>
    </row>
    <row r="566" spans="1:13" x14ac:dyDescent="0.25">
      <c r="A566" s="6"/>
      <c r="B566" s="6"/>
      <c r="C566" s="102"/>
      <c r="D566" s="102"/>
      <c r="E566" s="102"/>
      <c r="F566" s="103"/>
      <c r="G566" s="6"/>
      <c r="H566" s="103"/>
      <c r="I566" s="6"/>
      <c r="J566" s="141"/>
      <c r="K566" s="141"/>
      <c r="L566" s="141"/>
      <c r="M566" s="141"/>
    </row>
    <row r="567" spans="1:13" x14ac:dyDescent="0.25">
      <c r="A567" s="6"/>
      <c r="B567" s="6"/>
      <c r="C567" s="102"/>
      <c r="D567" s="102"/>
      <c r="E567" s="102"/>
      <c r="F567" s="103"/>
      <c r="G567" s="6"/>
      <c r="H567" s="103"/>
      <c r="I567" s="6"/>
      <c r="J567" s="141"/>
      <c r="K567" s="141"/>
      <c r="L567" s="141"/>
      <c r="M567" s="141"/>
    </row>
    <row r="568" spans="1:13" x14ac:dyDescent="0.25">
      <c r="A568" s="6"/>
      <c r="B568" s="6"/>
      <c r="C568" s="102"/>
      <c r="D568" s="102"/>
      <c r="E568" s="102"/>
      <c r="F568" s="103"/>
      <c r="G568" s="6"/>
      <c r="H568" s="103"/>
      <c r="I568" s="6"/>
      <c r="J568" s="141"/>
      <c r="K568" s="141"/>
      <c r="L568" s="141"/>
      <c r="M568" s="141"/>
    </row>
    <row r="569" spans="1:13" x14ac:dyDescent="0.25">
      <c r="A569" s="6"/>
      <c r="B569" s="6"/>
      <c r="C569" s="102"/>
      <c r="D569" s="102"/>
      <c r="E569" s="102"/>
      <c r="F569" s="103"/>
      <c r="G569" s="6"/>
      <c r="H569" s="103"/>
      <c r="I569" s="6"/>
      <c r="J569" s="141"/>
      <c r="K569" s="141"/>
      <c r="L569" s="141"/>
      <c r="M569" s="141"/>
    </row>
    <row r="570" spans="1:13" x14ac:dyDescent="0.25">
      <c r="A570" s="6"/>
      <c r="B570" s="6"/>
      <c r="C570" s="102"/>
      <c r="D570" s="102"/>
      <c r="E570" s="102"/>
      <c r="F570" s="103"/>
      <c r="G570" s="6"/>
      <c r="H570" s="103"/>
      <c r="I570" s="6"/>
      <c r="J570" s="141"/>
      <c r="K570" s="141"/>
      <c r="L570" s="141"/>
      <c r="M570" s="141"/>
    </row>
    <row r="571" spans="1:13" x14ac:dyDescent="0.25">
      <c r="A571" s="6"/>
      <c r="B571" s="6"/>
      <c r="C571" s="102"/>
      <c r="D571" s="102"/>
      <c r="E571" s="102"/>
      <c r="F571" s="103"/>
      <c r="G571" s="6"/>
      <c r="H571" s="103"/>
      <c r="I571" s="6"/>
      <c r="J571" s="141"/>
      <c r="K571" s="141"/>
      <c r="L571" s="141"/>
      <c r="M571" s="141"/>
    </row>
    <row r="572" spans="1:13" x14ac:dyDescent="0.25">
      <c r="A572" s="6"/>
      <c r="B572" s="6"/>
      <c r="C572" s="102"/>
      <c r="D572" s="102"/>
      <c r="E572" s="102"/>
      <c r="F572" s="103"/>
      <c r="G572" s="6"/>
      <c r="H572" s="103"/>
      <c r="I572" s="6"/>
      <c r="J572" s="141"/>
      <c r="K572" s="141"/>
      <c r="L572" s="141"/>
      <c r="M572" s="141"/>
    </row>
    <row r="573" spans="1:13" x14ac:dyDescent="0.25">
      <c r="A573" s="6"/>
      <c r="B573" s="6"/>
      <c r="C573" s="102"/>
      <c r="D573" s="102"/>
      <c r="E573" s="102"/>
      <c r="F573" s="103"/>
      <c r="G573" s="6"/>
      <c r="H573" s="103"/>
      <c r="I573" s="6"/>
      <c r="J573" s="141"/>
      <c r="K573" s="141"/>
      <c r="L573" s="141"/>
      <c r="M573" s="141"/>
    </row>
    <row r="574" spans="1:13" x14ac:dyDescent="0.25">
      <c r="A574" s="6"/>
      <c r="B574" s="6"/>
      <c r="C574" s="102"/>
      <c r="D574" s="102"/>
      <c r="E574" s="102"/>
      <c r="F574" s="103"/>
      <c r="G574" s="6"/>
      <c r="H574" s="103"/>
      <c r="I574" s="6"/>
      <c r="J574" s="141"/>
      <c r="K574" s="141"/>
      <c r="L574" s="141"/>
      <c r="M574" s="141"/>
    </row>
    <row r="575" spans="1:13" x14ac:dyDescent="0.25">
      <c r="A575" s="6"/>
      <c r="B575" s="6"/>
      <c r="C575" s="102"/>
      <c r="D575" s="102"/>
      <c r="E575" s="102"/>
      <c r="F575" s="103"/>
      <c r="G575" s="6"/>
      <c r="H575" s="103"/>
      <c r="I575" s="6"/>
      <c r="J575" s="141"/>
      <c r="K575" s="141"/>
      <c r="L575" s="141"/>
      <c r="M575" s="141"/>
    </row>
    <row r="576" spans="1:13" x14ac:dyDescent="0.25">
      <c r="A576" s="6"/>
      <c r="B576" s="6"/>
      <c r="C576" s="102"/>
      <c r="D576" s="102"/>
      <c r="E576" s="102"/>
      <c r="F576" s="103"/>
      <c r="G576" s="6"/>
      <c r="H576" s="103"/>
      <c r="I576" s="6"/>
      <c r="J576" s="141"/>
      <c r="K576" s="141"/>
      <c r="L576" s="141"/>
      <c r="M576" s="141"/>
    </row>
    <row r="577" spans="1:13" x14ac:dyDescent="0.25">
      <c r="A577" s="6"/>
      <c r="B577" s="6"/>
      <c r="C577" s="102"/>
      <c r="D577" s="102"/>
      <c r="E577" s="102"/>
      <c r="F577" s="103"/>
      <c r="G577" s="6"/>
      <c r="H577" s="103"/>
      <c r="I577" s="6"/>
      <c r="J577" s="141"/>
      <c r="K577" s="141"/>
      <c r="L577" s="141"/>
      <c r="M577" s="141"/>
    </row>
    <row r="578" spans="1:13" x14ac:dyDescent="0.25">
      <c r="A578" s="6"/>
      <c r="B578" s="6"/>
      <c r="C578" s="102"/>
      <c r="D578" s="102"/>
      <c r="E578" s="102"/>
      <c r="F578" s="103"/>
      <c r="G578" s="6"/>
      <c r="H578" s="103"/>
      <c r="I578" s="6"/>
      <c r="J578" s="141"/>
      <c r="K578" s="141"/>
      <c r="L578" s="141"/>
      <c r="M578" s="141"/>
    </row>
    <row r="579" spans="1:13" x14ac:dyDescent="0.25">
      <c r="A579" s="6"/>
      <c r="B579" s="6"/>
      <c r="C579" s="102"/>
      <c r="D579" s="102"/>
      <c r="E579" s="102"/>
      <c r="F579" s="103"/>
      <c r="G579" s="6"/>
      <c r="H579" s="103"/>
      <c r="I579" s="6"/>
      <c r="J579" s="141"/>
      <c r="K579" s="141"/>
      <c r="L579" s="141"/>
      <c r="M579" s="141"/>
    </row>
    <row r="580" spans="1:13" x14ac:dyDescent="0.25">
      <c r="A580" s="6"/>
      <c r="B580" s="6"/>
      <c r="C580" s="102"/>
      <c r="D580" s="102"/>
      <c r="E580" s="102"/>
      <c r="F580" s="103"/>
      <c r="G580" s="6"/>
      <c r="H580" s="103"/>
      <c r="I580" s="6"/>
      <c r="J580" s="141"/>
      <c r="K580" s="141"/>
      <c r="L580" s="141"/>
      <c r="M580" s="141"/>
    </row>
    <row r="581" spans="1:13" x14ac:dyDescent="0.25">
      <c r="A581" s="6"/>
      <c r="B581" s="6"/>
      <c r="C581" s="102"/>
      <c r="D581" s="102"/>
      <c r="E581" s="102"/>
      <c r="F581" s="103"/>
      <c r="G581" s="6"/>
      <c r="H581" s="103"/>
      <c r="I581" s="6"/>
      <c r="J581" s="141"/>
      <c r="K581" s="141"/>
      <c r="L581" s="141"/>
      <c r="M581" s="141"/>
    </row>
    <row r="582" spans="1:13" x14ac:dyDescent="0.25">
      <c r="A582" s="6"/>
      <c r="B582" s="6"/>
      <c r="C582" s="102"/>
      <c r="D582" s="102"/>
      <c r="E582" s="102"/>
      <c r="F582" s="103"/>
      <c r="G582" s="6"/>
      <c r="H582" s="103"/>
      <c r="I582" s="6"/>
      <c r="J582" s="141"/>
      <c r="K582" s="141"/>
      <c r="L582" s="141"/>
      <c r="M582" s="141"/>
    </row>
    <row r="583" spans="1:13" x14ac:dyDescent="0.25">
      <c r="A583" s="6"/>
      <c r="B583" s="6"/>
      <c r="C583" s="102"/>
      <c r="D583" s="102"/>
      <c r="E583" s="102"/>
      <c r="F583" s="103"/>
      <c r="G583" s="6"/>
      <c r="H583" s="103"/>
      <c r="I583" s="6"/>
      <c r="J583" s="141"/>
      <c r="K583" s="141"/>
      <c r="L583" s="141"/>
      <c r="M583" s="141"/>
    </row>
    <row r="584" spans="1:13" x14ac:dyDescent="0.25">
      <c r="A584" s="6"/>
      <c r="B584" s="6"/>
      <c r="C584" s="102"/>
      <c r="D584" s="102"/>
      <c r="E584" s="102"/>
      <c r="F584" s="103"/>
      <c r="G584" s="6"/>
      <c r="H584" s="103"/>
      <c r="I584" s="6"/>
      <c r="J584" s="141"/>
      <c r="K584" s="141"/>
      <c r="L584" s="141"/>
      <c r="M584" s="141"/>
    </row>
    <row r="585" spans="1:13" x14ac:dyDescent="0.25">
      <c r="A585" s="6"/>
      <c r="B585" s="6"/>
      <c r="C585" s="102"/>
      <c r="D585" s="102"/>
      <c r="E585" s="102"/>
      <c r="F585" s="103"/>
      <c r="G585" s="6"/>
      <c r="H585" s="103"/>
      <c r="I585" s="6"/>
      <c r="J585" s="141"/>
      <c r="K585" s="141"/>
      <c r="L585" s="141"/>
      <c r="M585" s="141"/>
    </row>
    <row r="586" spans="1:13" x14ac:dyDescent="0.25">
      <c r="A586" s="6"/>
      <c r="B586" s="6"/>
      <c r="C586" s="102"/>
      <c r="D586" s="102"/>
      <c r="E586" s="102"/>
      <c r="F586" s="103"/>
      <c r="G586" s="6"/>
      <c r="H586" s="103"/>
      <c r="I586" s="6"/>
      <c r="J586" s="141"/>
      <c r="K586" s="141"/>
      <c r="L586" s="141"/>
      <c r="M586" s="141"/>
    </row>
    <row r="587" spans="1:13" x14ac:dyDescent="0.25">
      <c r="A587" s="6"/>
      <c r="B587" s="6"/>
      <c r="C587" s="102"/>
      <c r="D587" s="102"/>
      <c r="E587" s="102"/>
      <c r="F587" s="103"/>
      <c r="G587" s="6"/>
      <c r="H587" s="103"/>
      <c r="I587" s="6"/>
      <c r="J587" s="141"/>
      <c r="K587" s="141"/>
      <c r="L587" s="141"/>
      <c r="M587" s="141"/>
    </row>
    <row r="588" spans="1:13" x14ac:dyDescent="0.25">
      <c r="A588" s="6"/>
      <c r="B588" s="6"/>
      <c r="C588" s="102"/>
      <c r="D588" s="102"/>
      <c r="E588" s="102"/>
      <c r="F588" s="103"/>
      <c r="G588" s="6"/>
      <c r="H588" s="103"/>
      <c r="I588" s="6"/>
      <c r="J588" s="141"/>
      <c r="K588" s="141"/>
      <c r="L588" s="141"/>
      <c r="M588" s="141"/>
    </row>
    <row r="589" spans="1:13" x14ac:dyDescent="0.25">
      <c r="A589" s="6"/>
      <c r="B589" s="6"/>
      <c r="C589" s="102"/>
      <c r="D589" s="102"/>
      <c r="E589" s="102"/>
      <c r="F589" s="103"/>
      <c r="G589" s="6"/>
      <c r="H589" s="103"/>
      <c r="I589" s="6"/>
      <c r="J589" s="141"/>
      <c r="K589" s="141"/>
      <c r="L589" s="141"/>
      <c r="M589" s="141"/>
    </row>
    <row r="590" spans="1:13" x14ac:dyDescent="0.25">
      <c r="A590" s="6"/>
      <c r="B590" s="6"/>
      <c r="C590" s="102"/>
      <c r="D590" s="102"/>
      <c r="E590" s="102"/>
      <c r="F590" s="103"/>
      <c r="G590" s="6"/>
      <c r="H590" s="103"/>
      <c r="I590" s="6"/>
      <c r="J590" s="141"/>
      <c r="K590" s="141"/>
      <c r="L590" s="141"/>
      <c r="M590" s="141"/>
    </row>
    <row r="591" spans="1:13" x14ac:dyDescent="0.25">
      <c r="A591" s="6"/>
      <c r="B591" s="6"/>
      <c r="C591" s="102"/>
      <c r="D591" s="102"/>
      <c r="E591" s="102"/>
      <c r="F591" s="103"/>
      <c r="G591" s="6"/>
      <c r="H591" s="103"/>
      <c r="I591" s="6"/>
      <c r="J591" s="141"/>
      <c r="K591" s="141"/>
      <c r="L591" s="141"/>
      <c r="M591" s="141"/>
    </row>
    <row r="592" spans="1:13" x14ac:dyDescent="0.25">
      <c r="A592" s="6"/>
      <c r="B592" s="6"/>
      <c r="C592" s="102"/>
      <c r="D592" s="102"/>
      <c r="E592" s="102"/>
      <c r="F592" s="103"/>
      <c r="G592" s="6"/>
      <c r="H592" s="103"/>
      <c r="I592" s="6"/>
      <c r="J592" s="141"/>
      <c r="K592" s="141"/>
      <c r="L592" s="141"/>
      <c r="M592" s="141"/>
    </row>
    <row r="593" spans="1:13" x14ac:dyDescent="0.25">
      <c r="A593" s="6"/>
      <c r="B593" s="6"/>
      <c r="C593" s="102"/>
      <c r="D593" s="102"/>
      <c r="E593" s="102"/>
      <c r="F593" s="103"/>
      <c r="G593" s="6"/>
      <c r="H593" s="103"/>
      <c r="I593" s="6"/>
      <c r="J593" s="141"/>
      <c r="K593" s="141"/>
      <c r="L593" s="141"/>
      <c r="M593" s="141"/>
    </row>
    <row r="594" spans="1:13" x14ac:dyDescent="0.25">
      <c r="A594" s="6"/>
      <c r="B594" s="6"/>
      <c r="C594" s="102"/>
      <c r="D594" s="102"/>
      <c r="E594" s="102"/>
      <c r="F594" s="103"/>
      <c r="G594" s="6"/>
      <c r="H594" s="103"/>
      <c r="I594" s="6"/>
      <c r="J594" s="141"/>
      <c r="K594" s="141"/>
      <c r="L594" s="141"/>
      <c r="M594" s="141"/>
    </row>
    <row r="595" spans="1:13" x14ac:dyDescent="0.25">
      <c r="A595" s="6"/>
      <c r="B595" s="6"/>
      <c r="C595" s="102"/>
      <c r="D595" s="102"/>
      <c r="E595" s="102"/>
      <c r="F595" s="103"/>
      <c r="G595" s="6"/>
      <c r="H595" s="103"/>
      <c r="I595" s="6"/>
      <c r="J595" s="141"/>
      <c r="K595" s="141"/>
      <c r="L595" s="141"/>
      <c r="M595" s="141"/>
    </row>
    <row r="596" spans="1:13" x14ac:dyDescent="0.25">
      <c r="A596" s="6"/>
      <c r="B596" s="6"/>
      <c r="C596" s="102"/>
      <c r="D596" s="102"/>
      <c r="E596" s="102"/>
      <c r="F596" s="103"/>
      <c r="G596" s="6"/>
      <c r="H596" s="103"/>
      <c r="I596" s="6"/>
      <c r="J596" s="141"/>
      <c r="K596" s="141"/>
      <c r="L596" s="141"/>
      <c r="M596" s="141"/>
    </row>
    <row r="597" spans="1:13" x14ac:dyDescent="0.25">
      <c r="A597" s="6"/>
      <c r="B597" s="6"/>
      <c r="C597" s="102"/>
      <c r="D597" s="102"/>
      <c r="E597" s="102"/>
      <c r="F597" s="103"/>
      <c r="G597" s="6"/>
      <c r="H597" s="103"/>
      <c r="I597" s="6"/>
      <c r="J597" s="141"/>
      <c r="K597" s="141"/>
      <c r="L597" s="141"/>
      <c r="M597" s="141"/>
    </row>
    <row r="598" spans="1:13" x14ac:dyDescent="0.25">
      <c r="A598" s="6"/>
      <c r="B598" s="6"/>
      <c r="C598" s="102"/>
      <c r="D598" s="102"/>
      <c r="E598" s="102"/>
      <c r="F598" s="103"/>
      <c r="G598" s="6"/>
      <c r="H598" s="103"/>
      <c r="I598" s="6"/>
      <c r="J598" s="141"/>
      <c r="K598" s="141"/>
      <c r="L598" s="141"/>
      <c r="M598" s="141"/>
    </row>
    <row r="599" spans="1:13" x14ac:dyDescent="0.25">
      <c r="A599" s="6"/>
      <c r="B599" s="6"/>
      <c r="C599" s="102"/>
      <c r="D599" s="102"/>
      <c r="E599" s="102"/>
      <c r="F599" s="103"/>
      <c r="G599" s="6"/>
      <c r="H599" s="103"/>
      <c r="I599" s="6"/>
      <c r="J599" s="141"/>
      <c r="K599" s="141"/>
      <c r="L599" s="141"/>
      <c r="M599" s="141"/>
    </row>
    <row r="600" spans="1:13" x14ac:dyDescent="0.25">
      <c r="A600" s="6"/>
      <c r="B600" s="6"/>
      <c r="C600" s="102"/>
      <c r="D600" s="102"/>
      <c r="E600" s="102"/>
      <c r="F600" s="103"/>
      <c r="G600" s="6"/>
      <c r="H600" s="103"/>
      <c r="I600" s="6"/>
      <c r="J600" s="141"/>
      <c r="K600" s="141"/>
      <c r="L600" s="141"/>
      <c r="M600" s="141"/>
    </row>
    <row r="601" spans="1:13" x14ac:dyDescent="0.25">
      <c r="A601" s="6"/>
      <c r="B601" s="6"/>
      <c r="C601" s="102"/>
      <c r="D601" s="102"/>
      <c r="E601" s="102"/>
      <c r="F601" s="103"/>
      <c r="G601" s="6"/>
      <c r="H601" s="103"/>
      <c r="I601" s="6"/>
      <c r="J601" s="141"/>
      <c r="K601" s="141"/>
      <c r="L601" s="141"/>
      <c r="M601" s="141"/>
    </row>
    <row r="602" spans="1:13" x14ac:dyDescent="0.25">
      <c r="A602" s="6"/>
      <c r="B602" s="6"/>
      <c r="C602" s="102"/>
      <c r="D602" s="102"/>
      <c r="E602" s="102"/>
      <c r="F602" s="103"/>
      <c r="G602" s="6"/>
      <c r="H602" s="103"/>
      <c r="I602" s="6"/>
      <c r="J602" s="141"/>
      <c r="K602" s="141"/>
      <c r="L602" s="141"/>
      <c r="M602" s="141"/>
    </row>
    <row r="603" spans="1:13" x14ac:dyDescent="0.25">
      <c r="A603" s="6"/>
      <c r="B603" s="6"/>
      <c r="C603" s="102"/>
      <c r="D603" s="102"/>
      <c r="E603" s="102"/>
      <c r="F603" s="103"/>
      <c r="G603" s="6"/>
      <c r="H603" s="103"/>
      <c r="I603" s="6"/>
      <c r="J603" s="141"/>
      <c r="K603" s="141"/>
      <c r="L603" s="141"/>
      <c r="M603" s="141"/>
    </row>
    <row r="604" spans="1:13" x14ac:dyDescent="0.25">
      <c r="A604" s="6"/>
      <c r="B604" s="6"/>
      <c r="C604" s="102"/>
      <c r="D604" s="102"/>
      <c r="E604" s="102"/>
      <c r="F604" s="103"/>
      <c r="G604" s="6"/>
      <c r="H604" s="103"/>
      <c r="I604" s="6"/>
      <c r="J604" s="141"/>
      <c r="K604" s="141"/>
      <c r="L604" s="141"/>
      <c r="M604" s="141"/>
    </row>
    <row r="605" spans="1:13" x14ac:dyDescent="0.25">
      <c r="A605" s="6"/>
      <c r="B605" s="6"/>
      <c r="C605" s="102"/>
      <c r="D605" s="102"/>
      <c r="E605" s="102"/>
      <c r="F605" s="103"/>
      <c r="G605" s="6"/>
      <c r="H605" s="103"/>
      <c r="I605" s="6"/>
      <c r="J605" s="141"/>
      <c r="K605" s="141"/>
      <c r="L605" s="141"/>
      <c r="M605" s="141"/>
    </row>
    <row r="606" spans="1:13" x14ac:dyDescent="0.25">
      <c r="A606" s="6"/>
      <c r="B606" s="6"/>
      <c r="C606" s="102"/>
      <c r="D606" s="102"/>
      <c r="E606" s="102"/>
      <c r="F606" s="103"/>
      <c r="G606" s="6"/>
      <c r="H606" s="103"/>
      <c r="I606" s="6"/>
      <c r="J606" s="141"/>
      <c r="K606" s="141"/>
      <c r="L606" s="141"/>
      <c r="M606" s="141"/>
    </row>
    <row r="607" spans="1:13" x14ac:dyDescent="0.25">
      <c r="A607" s="6"/>
      <c r="B607" s="6"/>
      <c r="C607" s="102"/>
      <c r="D607" s="102"/>
      <c r="E607" s="102"/>
      <c r="F607" s="103"/>
      <c r="G607" s="6"/>
      <c r="H607" s="103"/>
      <c r="I607" s="6"/>
      <c r="J607" s="141"/>
      <c r="K607" s="141"/>
      <c r="L607" s="141"/>
      <c r="M607" s="141"/>
    </row>
    <row r="608" spans="1:13" x14ac:dyDescent="0.25">
      <c r="A608" s="6"/>
      <c r="B608" s="6"/>
      <c r="C608" s="102"/>
      <c r="D608" s="102"/>
      <c r="E608" s="102"/>
      <c r="F608" s="103"/>
      <c r="G608" s="6"/>
      <c r="H608" s="103"/>
      <c r="I608" s="6"/>
      <c r="J608" s="141"/>
      <c r="K608" s="141"/>
      <c r="L608" s="141"/>
      <c r="M608" s="141"/>
    </row>
    <row r="609" spans="1:13" x14ac:dyDescent="0.25">
      <c r="A609" s="6"/>
      <c r="B609" s="6"/>
      <c r="C609" s="102"/>
      <c r="D609" s="102"/>
      <c r="E609" s="102"/>
      <c r="F609" s="103"/>
      <c r="G609" s="6"/>
      <c r="H609" s="103"/>
      <c r="I609" s="6"/>
      <c r="J609" s="141"/>
      <c r="K609" s="141"/>
      <c r="L609" s="141"/>
      <c r="M609" s="141"/>
    </row>
    <row r="610" spans="1:13" x14ac:dyDescent="0.25">
      <c r="A610" s="6"/>
      <c r="B610" s="6"/>
      <c r="C610" s="102"/>
      <c r="D610" s="102"/>
      <c r="E610" s="102"/>
      <c r="F610" s="103"/>
      <c r="G610" s="6"/>
      <c r="H610" s="103"/>
      <c r="I610" s="6"/>
      <c r="J610" s="141"/>
      <c r="K610" s="141"/>
      <c r="L610" s="141"/>
      <c r="M610" s="141"/>
    </row>
    <row r="611" spans="1:13" x14ac:dyDescent="0.25">
      <c r="A611" s="6"/>
      <c r="B611" s="6"/>
      <c r="C611" s="102"/>
      <c r="D611" s="102"/>
      <c r="E611" s="102"/>
      <c r="F611" s="103"/>
      <c r="G611" s="6"/>
      <c r="H611" s="103"/>
      <c r="I611" s="6"/>
      <c r="J611" s="141"/>
      <c r="K611" s="141"/>
      <c r="L611" s="141"/>
      <c r="M611" s="141"/>
    </row>
    <row r="612" spans="1:13" x14ac:dyDescent="0.25">
      <c r="A612" s="6"/>
      <c r="B612" s="6"/>
      <c r="C612" s="102"/>
      <c r="D612" s="102"/>
      <c r="E612" s="102"/>
      <c r="F612" s="103"/>
      <c r="G612" s="6"/>
      <c r="H612" s="103"/>
      <c r="I612" s="6"/>
      <c r="J612" s="141"/>
      <c r="K612" s="141"/>
      <c r="L612" s="141"/>
      <c r="M612" s="141"/>
    </row>
    <row r="613" spans="1:13" x14ac:dyDescent="0.25">
      <c r="A613" s="6"/>
      <c r="B613" s="6"/>
      <c r="C613" s="102"/>
      <c r="D613" s="102"/>
      <c r="E613" s="102"/>
      <c r="F613" s="103"/>
      <c r="G613" s="6"/>
      <c r="H613" s="103"/>
      <c r="I613" s="6"/>
      <c r="J613" s="141"/>
      <c r="K613" s="141"/>
      <c r="L613" s="141"/>
      <c r="M613" s="141"/>
    </row>
    <row r="614" spans="1:13" x14ac:dyDescent="0.25">
      <c r="A614" s="6"/>
      <c r="B614" s="6"/>
      <c r="C614" s="102"/>
      <c r="D614" s="102"/>
      <c r="E614" s="102"/>
      <c r="F614" s="103"/>
      <c r="G614" s="6"/>
      <c r="H614" s="103"/>
      <c r="I614" s="6"/>
      <c r="J614" s="141"/>
      <c r="K614" s="141"/>
      <c r="L614" s="141"/>
      <c r="M614" s="141"/>
    </row>
    <row r="615" spans="1:13" x14ac:dyDescent="0.25">
      <c r="A615" s="6"/>
      <c r="B615" s="6"/>
      <c r="C615" s="102"/>
      <c r="D615" s="102"/>
      <c r="E615" s="102"/>
      <c r="F615" s="103"/>
      <c r="G615" s="6"/>
      <c r="H615" s="103"/>
      <c r="I615" s="6"/>
      <c r="J615" s="141"/>
      <c r="K615" s="141"/>
      <c r="L615" s="141"/>
      <c r="M615" s="141"/>
    </row>
    <row r="616" spans="1:13" x14ac:dyDescent="0.25">
      <c r="A616" s="6"/>
      <c r="B616" s="6"/>
      <c r="C616" s="102"/>
      <c r="D616" s="102"/>
      <c r="E616" s="102"/>
      <c r="F616" s="103"/>
      <c r="G616" s="6"/>
      <c r="H616" s="103"/>
      <c r="I616" s="6"/>
      <c r="J616" s="141"/>
      <c r="K616" s="141"/>
      <c r="L616" s="141"/>
      <c r="M616" s="141"/>
    </row>
    <row r="617" spans="1:13" x14ac:dyDescent="0.25">
      <c r="A617" s="6"/>
      <c r="B617" s="6"/>
      <c r="C617" s="102"/>
      <c r="D617" s="102"/>
      <c r="E617" s="102"/>
      <c r="F617" s="103"/>
      <c r="G617" s="6"/>
      <c r="H617" s="103"/>
      <c r="I617" s="6"/>
      <c r="J617" s="141"/>
      <c r="K617" s="141"/>
      <c r="L617" s="141"/>
      <c r="M617" s="141"/>
    </row>
    <row r="618" spans="1:13" x14ac:dyDescent="0.25">
      <c r="A618" s="6"/>
      <c r="B618" s="6"/>
      <c r="C618" s="102"/>
      <c r="D618" s="102"/>
      <c r="E618" s="102"/>
      <c r="F618" s="103"/>
      <c r="G618" s="6"/>
      <c r="H618" s="103"/>
      <c r="I618" s="6"/>
      <c r="J618" s="141"/>
      <c r="K618" s="141"/>
      <c r="L618" s="141"/>
      <c r="M618" s="141"/>
    </row>
    <row r="619" spans="1:13" x14ac:dyDescent="0.25">
      <c r="A619" s="6"/>
      <c r="B619" s="6"/>
      <c r="C619" s="102"/>
      <c r="D619" s="102"/>
      <c r="E619" s="102"/>
      <c r="F619" s="103"/>
      <c r="G619" s="6"/>
      <c r="H619" s="103"/>
      <c r="I619" s="6"/>
      <c r="J619" s="141"/>
      <c r="K619" s="141"/>
      <c r="L619" s="141"/>
      <c r="M619" s="141"/>
    </row>
    <row r="620" spans="1:13" x14ac:dyDescent="0.25">
      <c r="A620" s="6"/>
      <c r="B620" s="6"/>
      <c r="C620" s="102"/>
      <c r="D620" s="102"/>
      <c r="E620" s="102"/>
      <c r="F620" s="103"/>
      <c r="G620" s="6"/>
      <c r="H620" s="103"/>
      <c r="I620" s="6"/>
      <c r="J620" s="141"/>
      <c r="K620" s="141"/>
      <c r="L620" s="141"/>
      <c r="M620" s="141"/>
    </row>
    <row r="621" spans="1:13" x14ac:dyDescent="0.25">
      <c r="A621" s="6"/>
      <c r="B621" s="6"/>
      <c r="C621" s="102"/>
      <c r="D621" s="102"/>
      <c r="E621" s="102"/>
      <c r="F621" s="103"/>
      <c r="G621" s="6"/>
      <c r="H621" s="103"/>
      <c r="I621" s="6"/>
      <c r="J621" s="141"/>
      <c r="K621" s="141"/>
      <c r="L621" s="141"/>
      <c r="M621" s="141"/>
    </row>
    <row r="622" spans="1:13" x14ac:dyDescent="0.25">
      <c r="A622" s="6"/>
      <c r="B622" s="6"/>
      <c r="C622" s="102"/>
      <c r="D622" s="102"/>
      <c r="E622" s="102"/>
      <c r="F622" s="103"/>
      <c r="G622" s="6"/>
      <c r="H622" s="103"/>
      <c r="I622" s="6"/>
      <c r="J622" s="141"/>
      <c r="K622" s="141"/>
      <c r="L622" s="141"/>
      <c r="M622" s="141"/>
    </row>
    <row r="623" spans="1:13" x14ac:dyDescent="0.25">
      <c r="A623" s="6"/>
      <c r="B623" s="6"/>
      <c r="C623" s="102"/>
      <c r="D623" s="102"/>
      <c r="E623" s="102"/>
      <c r="F623" s="103"/>
      <c r="G623" s="6"/>
      <c r="H623" s="103"/>
      <c r="I623" s="6"/>
      <c r="J623" s="141"/>
      <c r="K623" s="141"/>
      <c r="L623" s="141"/>
      <c r="M623" s="141"/>
    </row>
    <row r="624" spans="1:13" x14ac:dyDescent="0.25">
      <c r="A624" s="6"/>
      <c r="B624" s="6"/>
      <c r="C624" s="102"/>
      <c r="D624" s="102"/>
      <c r="E624" s="102"/>
      <c r="F624" s="103"/>
      <c r="G624" s="6"/>
      <c r="H624" s="103"/>
      <c r="I624" s="6"/>
      <c r="J624" s="141"/>
      <c r="K624" s="141"/>
      <c r="L624" s="141"/>
      <c r="M624" s="141"/>
    </row>
    <row r="625" spans="1:13" x14ac:dyDescent="0.25">
      <c r="A625" s="6"/>
      <c r="B625" s="6"/>
      <c r="C625" s="102"/>
      <c r="D625" s="102"/>
      <c r="E625" s="102"/>
      <c r="F625" s="103"/>
      <c r="G625" s="6"/>
      <c r="H625" s="103"/>
      <c r="I625" s="6"/>
      <c r="J625" s="141"/>
      <c r="K625" s="141"/>
      <c r="L625" s="141"/>
      <c r="M625" s="141"/>
    </row>
    <row r="626" spans="1:13" x14ac:dyDescent="0.25">
      <c r="A626" s="6"/>
      <c r="B626" s="6"/>
      <c r="C626" s="102"/>
      <c r="D626" s="102"/>
      <c r="E626" s="102"/>
      <c r="F626" s="103"/>
      <c r="G626" s="6"/>
      <c r="H626" s="103"/>
      <c r="I626" s="6"/>
      <c r="J626" s="141"/>
      <c r="K626" s="141"/>
      <c r="L626" s="141"/>
      <c r="M626" s="141"/>
    </row>
    <row r="627" spans="1:13" x14ac:dyDescent="0.25">
      <c r="A627" s="6"/>
      <c r="B627" s="6"/>
      <c r="C627" s="102"/>
      <c r="D627" s="102"/>
      <c r="E627" s="102"/>
      <c r="F627" s="103"/>
      <c r="G627" s="6"/>
      <c r="H627" s="103"/>
      <c r="I627" s="6"/>
      <c r="J627" s="141"/>
      <c r="K627" s="141"/>
      <c r="L627" s="141"/>
      <c r="M627" s="141"/>
    </row>
    <row r="628" spans="1:13" x14ac:dyDescent="0.25">
      <c r="A628" s="6"/>
      <c r="B628" s="6"/>
      <c r="C628" s="102"/>
      <c r="D628" s="102"/>
      <c r="E628" s="102"/>
      <c r="F628" s="103"/>
      <c r="G628" s="6"/>
      <c r="H628" s="103"/>
      <c r="I628" s="6"/>
      <c r="J628" s="141"/>
      <c r="K628" s="141"/>
      <c r="L628" s="141"/>
      <c r="M628" s="141"/>
    </row>
    <row r="629" spans="1:13" x14ac:dyDescent="0.25">
      <c r="A629" s="6"/>
      <c r="B629" s="6"/>
      <c r="C629" s="102"/>
      <c r="D629" s="102"/>
      <c r="E629" s="102"/>
      <c r="F629" s="103"/>
      <c r="G629" s="6"/>
      <c r="H629" s="103"/>
      <c r="I629" s="6"/>
      <c r="J629" s="141"/>
      <c r="K629" s="141"/>
      <c r="L629" s="141"/>
      <c r="M629" s="141"/>
    </row>
    <row r="630" spans="1:13" x14ac:dyDescent="0.25">
      <c r="A630" s="6"/>
      <c r="B630" s="6"/>
      <c r="C630" s="102"/>
      <c r="D630" s="102"/>
      <c r="E630" s="102"/>
      <c r="F630" s="103"/>
      <c r="G630" s="6"/>
      <c r="H630" s="103"/>
      <c r="I630" s="6"/>
      <c r="J630" s="141"/>
      <c r="K630" s="141"/>
      <c r="L630" s="141"/>
      <c r="M630" s="141"/>
    </row>
    <row r="631" spans="1:13" x14ac:dyDescent="0.25">
      <c r="A631" s="6"/>
      <c r="B631" s="6"/>
      <c r="C631" s="102"/>
      <c r="D631" s="102"/>
      <c r="E631" s="102"/>
      <c r="F631" s="103"/>
      <c r="G631" s="6"/>
      <c r="H631" s="103"/>
      <c r="I631" s="6"/>
      <c r="J631" s="141"/>
      <c r="K631" s="141"/>
      <c r="L631" s="141"/>
      <c r="M631" s="141"/>
    </row>
    <row r="632" spans="1:13" x14ac:dyDescent="0.25">
      <c r="A632" s="6"/>
      <c r="B632" s="6"/>
      <c r="C632" s="102"/>
      <c r="D632" s="102"/>
      <c r="E632" s="102"/>
      <c r="F632" s="103"/>
      <c r="G632" s="6"/>
      <c r="H632" s="103"/>
      <c r="I632" s="6"/>
      <c r="J632" s="141"/>
      <c r="K632" s="141"/>
      <c r="L632" s="141"/>
      <c r="M632" s="141"/>
    </row>
    <row r="633" spans="1:13" x14ac:dyDescent="0.25">
      <c r="A633" s="6"/>
      <c r="B633" s="6"/>
      <c r="C633" s="102"/>
      <c r="D633" s="102"/>
      <c r="E633" s="102"/>
      <c r="F633" s="103"/>
      <c r="G633" s="6"/>
      <c r="H633" s="103"/>
      <c r="I633" s="6"/>
      <c r="J633" s="141"/>
      <c r="K633" s="141"/>
      <c r="L633" s="141"/>
      <c r="M633" s="141"/>
    </row>
    <row r="634" spans="1:13" x14ac:dyDescent="0.25">
      <c r="A634" s="6"/>
      <c r="B634" s="6"/>
      <c r="C634" s="102"/>
      <c r="D634" s="102"/>
      <c r="E634" s="102"/>
      <c r="F634" s="103"/>
      <c r="G634" s="6"/>
      <c r="H634" s="103"/>
      <c r="I634" s="6"/>
      <c r="J634" s="141"/>
      <c r="K634" s="141"/>
      <c r="L634" s="141"/>
      <c r="M634" s="141"/>
    </row>
    <row r="635" spans="1:13" x14ac:dyDescent="0.25">
      <c r="A635" s="6"/>
      <c r="B635" s="6"/>
      <c r="C635" s="102"/>
      <c r="D635" s="102"/>
      <c r="E635" s="102"/>
      <c r="F635" s="103"/>
      <c r="G635" s="6"/>
      <c r="H635" s="103"/>
      <c r="I635" s="6"/>
      <c r="J635" s="141"/>
      <c r="K635" s="141"/>
      <c r="L635" s="141"/>
      <c r="M635" s="141"/>
    </row>
    <row r="636" spans="1:13" x14ac:dyDescent="0.25">
      <c r="A636" s="6"/>
      <c r="B636" s="6"/>
      <c r="C636" s="102"/>
      <c r="D636" s="102"/>
      <c r="E636" s="102"/>
      <c r="F636" s="103"/>
      <c r="G636" s="6"/>
      <c r="H636" s="103"/>
      <c r="I636" s="6"/>
      <c r="J636" s="141"/>
      <c r="K636" s="141"/>
      <c r="L636" s="141"/>
      <c r="M636" s="141"/>
    </row>
    <row r="637" spans="1:13" x14ac:dyDescent="0.25">
      <c r="A637" s="6"/>
      <c r="B637" s="6"/>
      <c r="C637" s="102"/>
      <c r="D637" s="102"/>
      <c r="E637" s="102"/>
      <c r="F637" s="103"/>
      <c r="G637" s="6"/>
      <c r="H637" s="103"/>
      <c r="I637" s="6"/>
      <c r="J637" s="141"/>
      <c r="K637" s="141"/>
      <c r="L637" s="141"/>
      <c r="M637" s="141"/>
    </row>
    <row r="638" spans="1:13" x14ac:dyDescent="0.25">
      <c r="A638" s="6"/>
      <c r="B638" s="6"/>
      <c r="C638" s="102"/>
      <c r="D638" s="102"/>
      <c r="E638" s="102"/>
      <c r="F638" s="103"/>
      <c r="G638" s="6"/>
      <c r="H638" s="103"/>
      <c r="I638" s="6"/>
      <c r="J638" s="141"/>
      <c r="K638" s="141"/>
      <c r="L638" s="141"/>
      <c r="M638" s="141"/>
    </row>
    <row r="639" spans="1:13" x14ac:dyDescent="0.25">
      <c r="A639" s="6"/>
      <c r="B639" s="6"/>
      <c r="C639" s="102"/>
      <c r="D639" s="102"/>
      <c r="E639" s="102"/>
      <c r="F639" s="103"/>
      <c r="G639" s="6"/>
      <c r="H639" s="103"/>
      <c r="I639" s="6"/>
      <c r="J639" s="141"/>
      <c r="K639" s="141"/>
      <c r="L639" s="141"/>
      <c r="M639" s="141"/>
    </row>
    <row r="640" spans="1:13" x14ac:dyDescent="0.25">
      <c r="A640" s="6"/>
      <c r="B640" s="6"/>
      <c r="C640" s="102"/>
      <c r="D640" s="102"/>
      <c r="E640" s="102"/>
      <c r="F640" s="103"/>
      <c r="G640" s="6"/>
      <c r="H640" s="103"/>
      <c r="I640" s="6"/>
      <c r="J640" s="141"/>
      <c r="K640" s="141"/>
      <c r="L640" s="141"/>
      <c r="M640" s="141"/>
    </row>
    <row r="641" spans="1:13" x14ac:dyDescent="0.25">
      <c r="A641" s="6"/>
      <c r="B641" s="6"/>
      <c r="C641" s="102"/>
      <c r="D641" s="102"/>
      <c r="E641" s="102"/>
      <c r="F641" s="103"/>
      <c r="G641" s="6"/>
      <c r="H641" s="103"/>
      <c r="I641" s="6"/>
      <c r="J641" s="141"/>
      <c r="K641" s="141"/>
      <c r="L641" s="141"/>
      <c r="M641" s="141"/>
    </row>
    <row r="642" spans="1:13" x14ac:dyDescent="0.25">
      <c r="A642" s="6"/>
      <c r="B642" s="6"/>
      <c r="C642" s="102"/>
      <c r="D642" s="102"/>
      <c r="E642" s="102"/>
      <c r="F642" s="103"/>
      <c r="G642" s="6"/>
      <c r="H642" s="103"/>
      <c r="I642" s="6"/>
      <c r="J642" s="141"/>
      <c r="K642" s="141"/>
      <c r="L642" s="141"/>
      <c r="M642" s="141"/>
    </row>
    <row r="643" spans="1:13" x14ac:dyDescent="0.25">
      <c r="A643" s="6"/>
      <c r="B643" s="6"/>
      <c r="C643" s="102"/>
      <c r="D643" s="102"/>
      <c r="E643" s="102"/>
      <c r="F643" s="103"/>
      <c r="G643" s="6"/>
      <c r="H643" s="103"/>
      <c r="I643" s="6"/>
      <c r="J643" s="141"/>
      <c r="K643" s="141"/>
      <c r="L643" s="141"/>
      <c r="M643" s="141"/>
    </row>
    <row r="644" spans="1:13" x14ac:dyDescent="0.25">
      <c r="A644" s="6"/>
      <c r="B644" s="6"/>
      <c r="C644" s="102"/>
      <c r="D644" s="102"/>
      <c r="E644" s="102"/>
      <c r="F644" s="103"/>
      <c r="G644" s="6"/>
      <c r="H644" s="103"/>
      <c r="I644" s="6"/>
      <c r="J644" s="141"/>
      <c r="K644" s="141"/>
      <c r="L644" s="141"/>
      <c r="M644" s="141"/>
    </row>
    <row r="645" spans="1:13" x14ac:dyDescent="0.25">
      <c r="A645" s="6"/>
      <c r="B645" s="6"/>
      <c r="C645" s="102"/>
      <c r="D645" s="102"/>
      <c r="E645" s="102"/>
      <c r="F645" s="103"/>
      <c r="G645" s="6"/>
      <c r="H645" s="103"/>
      <c r="I645" s="6"/>
      <c r="J645" s="141"/>
      <c r="K645" s="141"/>
      <c r="L645" s="141"/>
      <c r="M645" s="141"/>
    </row>
    <row r="646" spans="1:13" x14ac:dyDescent="0.25">
      <c r="A646" s="6"/>
      <c r="B646" s="6"/>
      <c r="C646" s="102"/>
      <c r="D646" s="102"/>
      <c r="E646" s="102"/>
      <c r="F646" s="103"/>
      <c r="G646" s="6"/>
      <c r="H646" s="103"/>
      <c r="I646" s="6"/>
      <c r="J646" s="141"/>
      <c r="K646" s="141"/>
      <c r="L646" s="141"/>
      <c r="M646" s="141"/>
    </row>
    <row r="647" spans="1:13" x14ac:dyDescent="0.25">
      <c r="A647" s="6"/>
      <c r="B647" s="6"/>
      <c r="C647" s="102"/>
      <c r="D647" s="102"/>
      <c r="E647" s="102"/>
      <c r="F647" s="103"/>
      <c r="G647" s="6"/>
      <c r="H647" s="103"/>
      <c r="I647" s="6"/>
      <c r="J647" s="141"/>
      <c r="K647" s="141"/>
      <c r="L647" s="141"/>
      <c r="M647" s="141"/>
    </row>
    <row r="648" spans="1:13" x14ac:dyDescent="0.25">
      <c r="A648" s="6"/>
      <c r="B648" s="6"/>
      <c r="C648" s="102"/>
      <c r="D648" s="102"/>
      <c r="E648" s="102"/>
      <c r="F648" s="103"/>
      <c r="G648" s="6"/>
      <c r="H648" s="103"/>
      <c r="I648" s="6"/>
      <c r="J648" s="141"/>
      <c r="K648" s="141"/>
      <c r="L648" s="141"/>
      <c r="M648" s="141"/>
    </row>
    <row r="649" spans="1:13" x14ac:dyDescent="0.25">
      <c r="A649" s="6"/>
      <c r="B649" s="6"/>
      <c r="C649" s="102"/>
      <c r="D649" s="102"/>
      <c r="E649" s="102"/>
      <c r="F649" s="103"/>
      <c r="G649" s="6"/>
      <c r="H649" s="103"/>
      <c r="I649" s="6"/>
      <c r="J649" s="141"/>
      <c r="K649" s="141"/>
      <c r="L649" s="141"/>
      <c r="M649" s="141"/>
    </row>
    <row r="650" spans="1:13" x14ac:dyDescent="0.25">
      <c r="A650" s="6"/>
      <c r="B650" s="6"/>
      <c r="C650" s="102"/>
      <c r="D650" s="102"/>
      <c r="E650" s="102"/>
      <c r="F650" s="103"/>
      <c r="G650" s="6"/>
      <c r="H650" s="103"/>
      <c r="I650" s="6"/>
      <c r="J650" s="141"/>
      <c r="K650" s="141"/>
      <c r="L650" s="141"/>
      <c r="M650" s="141"/>
    </row>
    <row r="651" spans="1:13" x14ac:dyDescent="0.25">
      <c r="A651" s="6"/>
      <c r="B651" s="6"/>
      <c r="C651" s="102"/>
      <c r="D651" s="102"/>
      <c r="E651" s="102"/>
      <c r="F651" s="103"/>
      <c r="G651" s="6"/>
      <c r="H651" s="103"/>
      <c r="I651" s="6"/>
      <c r="J651" s="141"/>
      <c r="K651" s="141"/>
      <c r="L651" s="141"/>
      <c r="M651" s="141"/>
    </row>
    <row r="652" spans="1:13" x14ac:dyDescent="0.25">
      <c r="A652" s="6"/>
      <c r="B652" s="6"/>
      <c r="C652" s="102"/>
      <c r="D652" s="102"/>
      <c r="E652" s="102"/>
      <c r="F652" s="103"/>
      <c r="G652" s="6"/>
      <c r="H652" s="103"/>
      <c r="I652" s="6"/>
      <c r="J652" s="141"/>
      <c r="K652" s="141"/>
      <c r="L652" s="141"/>
      <c r="M652" s="141"/>
    </row>
    <row r="653" spans="1:13" x14ac:dyDescent="0.25">
      <c r="A653" s="6"/>
      <c r="B653" s="6"/>
      <c r="C653" s="102"/>
      <c r="D653" s="102"/>
      <c r="E653" s="102"/>
      <c r="F653" s="103"/>
      <c r="G653" s="6"/>
      <c r="H653" s="103"/>
      <c r="I653" s="6"/>
      <c r="J653" s="141"/>
      <c r="K653" s="141"/>
      <c r="L653" s="141"/>
      <c r="M653" s="141"/>
    </row>
    <row r="654" spans="1:13" x14ac:dyDescent="0.25">
      <c r="A654" s="6"/>
      <c r="B654" s="6"/>
      <c r="C654" s="102"/>
      <c r="D654" s="102"/>
      <c r="E654" s="102"/>
      <c r="F654" s="103"/>
      <c r="G654" s="6"/>
      <c r="H654" s="103"/>
      <c r="I654" s="6"/>
      <c r="J654" s="141"/>
      <c r="K654" s="141"/>
      <c r="L654" s="141"/>
      <c r="M654" s="141"/>
    </row>
    <row r="655" spans="1:13" x14ac:dyDescent="0.25">
      <c r="A655" s="6"/>
      <c r="B655" s="6"/>
      <c r="C655" s="102"/>
      <c r="D655" s="102"/>
      <c r="E655" s="102"/>
      <c r="F655" s="103"/>
      <c r="G655" s="6"/>
      <c r="H655" s="103"/>
      <c r="I655" s="6"/>
      <c r="J655" s="141"/>
      <c r="K655" s="141"/>
      <c r="L655" s="141"/>
      <c r="M655" s="141"/>
    </row>
    <row r="656" spans="1:13" x14ac:dyDescent="0.25">
      <c r="A656" s="6"/>
      <c r="B656" s="6"/>
      <c r="C656" s="102"/>
      <c r="D656" s="102"/>
      <c r="E656" s="102"/>
      <c r="F656" s="103"/>
      <c r="G656" s="6"/>
      <c r="H656" s="103"/>
      <c r="I656" s="6"/>
      <c r="J656" s="141"/>
      <c r="K656" s="141"/>
      <c r="L656" s="141"/>
      <c r="M656" s="141"/>
    </row>
    <row r="657" spans="1:13" x14ac:dyDescent="0.25">
      <c r="A657" s="6"/>
      <c r="B657" s="6"/>
      <c r="C657" s="102"/>
      <c r="D657" s="102"/>
      <c r="E657" s="102"/>
      <c r="F657" s="103"/>
      <c r="G657" s="6"/>
      <c r="H657" s="103"/>
      <c r="I657" s="6"/>
      <c r="J657" s="141"/>
      <c r="K657" s="141"/>
      <c r="L657" s="141"/>
      <c r="M657" s="141"/>
    </row>
    <row r="658" spans="1:13" x14ac:dyDescent="0.25">
      <c r="A658" s="6"/>
      <c r="B658" s="6"/>
      <c r="C658" s="102"/>
      <c r="D658" s="102"/>
      <c r="E658" s="102"/>
      <c r="F658" s="103"/>
      <c r="G658" s="6"/>
      <c r="H658" s="103"/>
      <c r="I658" s="6"/>
      <c r="J658" s="141"/>
      <c r="K658" s="141"/>
      <c r="L658" s="141"/>
      <c r="M658" s="141"/>
    </row>
    <row r="659" spans="1:13" x14ac:dyDescent="0.25">
      <c r="A659" s="6"/>
      <c r="B659" s="6"/>
      <c r="C659" s="102"/>
      <c r="D659" s="102"/>
      <c r="E659" s="102"/>
      <c r="F659" s="103"/>
      <c r="G659" s="6"/>
      <c r="H659" s="103"/>
      <c r="I659" s="6"/>
      <c r="J659" s="141"/>
      <c r="K659" s="141"/>
      <c r="L659" s="141"/>
      <c r="M659" s="141"/>
    </row>
    <row r="660" spans="1:13" x14ac:dyDescent="0.25">
      <c r="A660" s="6"/>
      <c r="B660" s="6"/>
      <c r="C660" s="102"/>
      <c r="D660" s="102"/>
      <c r="E660" s="102"/>
      <c r="F660" s="103"/>
      <c r="G660" s="6"/>
      <c r="H660" s="103"/>
      <c r="I660" s="6"/>
      <c r="J660" s="141"/>
      <c r="K660" s="141"/>
      <c r="L660" s="141"/>
      <c r="M660" s="141"/>
    </row>
    <row r="661" spans="1:13" x14ac:dyDescent="0.25">
      <c r="A661" s="6"/>
      <c r="B661" s="6"/>
      <c r="C661" s="102"/>
      <c r="D661" s="102"/>
      <c r="E661" s="102"/>
      <c r="F661" s="103"/>
      <c r="G661" s="6"/>
      <c r="H661" s="103"/>
      <c r="I661" s="6"/>
      <c r="J661" s="141"/>
      <c r="K661" s="141"/>
      <c r="L661" s="141"/>
      <c r="M661" s="141"/>
    </row>
    <row r="662" spans="1:13" x14ac:dyDescent="0.25">
      <c r="A662" s="6"/>
      <c r="B662" s="6"/>
      <c r="C662" s="102"/>
      <c r="D662" s="102"/>
      <c r="E662" s="102"/>
      <c r="F662" s="103"/>
      <c r="G662" s="6"/>
      <c r="H662" s="103"/>
      <c r="I662" s="6"/>
      <c r="J662" s="141"/>
      <c r="K662" s="141"/>
      <c r="L662" s="141"/>
      <c r="M662" s="141"/>
    </row>
    <row r="663" spans="1:13" x14ac:dyDescent="0.25">
      <c r="A663" s="6"/>
      <c r="B663" s="6"/>
      <c r="C663" s="102"/>
      <c r="D663" s="102"/>
      <c r="E663" s="102"/>
      <c r="F663" s="103"/>
      <c r="G663" s="6"/>
      <c r="H663" s="103"/>
      <c r="I663" s="6"/>
      <c r="J663" s="141"/>
      <c r="K663" s="141"/>
      <c r="L663" s="141"/>
      <c r="M663" s="141"/>
    </row>
    <row r="664" spans="1:13" x14ac:dyDescent="0.25">
      <c r="A664" s="6"/>
      <c r="B664" s="6"/>
      <c r="C664" s="102"/>
      <c r="D664" s="102"/>
      <c r="E664" s="102"/>
      <c r="F664" s="103"/>
      <c r="G664" s="6"/>
      <c r="H664" s="103"/>
      <c r="I664" s="6"/>
      <c r="J664" s="141"/>
      <c r="K664" s="141"/>
      <c r="L664" s="141"/>
      <c r="M664" s="141"/>
    </row>
    <row r="665" spans="1:13" x14ac:dyDescent="0.25">
      <c r="A665" s="6"/>
      <c r="B665" s="6"/>
      <c r="C665" s="102"/>
      <c r="D665" s="102"/>
      <c r="E665" s="102"/>
      <c r="F665" s="103"/>
      <c r="G665" s="6"/>
      <c r="H665" s="103"/>
      <c r="I665" s="6"/>
      <c r="J665" s="141"/>
      <c r="K665" s="141"/>
      <c r="L665" s="141"/>
      <c r="M665" s="141"/>
    </row>
    <row r="666" spans="1:13" x14ac:dyDescent="0.25">
      <c r="A666" s="6"/>
      <c r="B666" s="6"/>
      <c r="C666" s="102"/>
      <c r="D666" s="102"/>
      <c r="E666" s="102"/>
      <c r="F666" s="103"/>
      <c r="G666" s="6"/>
      <c r="H666" s="103"/>
      <c r="I666" s="6"/>
      <c r="J666" s="141"/>
      <c r="K666" s="141"/>
      <c r="L666" s="141"/>
      <c r="M666" s="141"/>
    </row>
    <row r="667" spans="1:13" x14ac:dyDescent="0.25">
      <c r="A667" s="6"/>
      <c r="B667" s="6"/>
      <c r="C667" s="102"/>
      <c r="D667" s="102"/>
      <c r="E667" s="102"/>
      <c r="F667" s="103"/>
      <c r="G667" s="6"/>
      <c r="H667" s="103"/>
      <c r="I667" s="6"/>
      <c r="J667" s="141"/>
      <c r="K667" s="141"/>
      <c r="L667" s="141"/>
      <c r="M667" s="141"/>
    </row>
    <row r="668" spans="1:13" x14ac:dyDescent="0.25">
      <c r="A668" s="6"/>
      <c r="B668" s="6"/>
      <c r="C668" s="102"/>
      <c r="D668" s="102"/>
      <c r="E668" s="102"/>
      <c r="F668" s="103"/>
      <c r="G668" s="6"/>
      <c r="H668" s="103"/>
      <c r="I668" s="6"/>
      <c r="J668" s="141"/>
      <c r="K668" s="141"/>
      <c r="L668" s="141"/>
      <c r="M668" s="141"/>
    </row>
    <row r="669" spans="1:13" x14ac:dyDescent="0.25">
      <c r="A669" s="6"/>
      <c r="B669" s="6"/>
      <c r="C669" s="102"/>
      <c r="D669" s="102"/>
      <c r="E669" s="102"/>
      <c r="F669" s="103"/>
      <c r="G669" s="6"/>
      <c r="H669" s="103"/>
      <c r="I669" s="6"/>
      <c r="J669" s="141"/>
      <c r="K669" s="141"/>
      <c r="L669" s="141"/>
      <c r="M669" s="141"/>
    </row>
    <row r="670" spans="1:13" x14ac:dyDescent="0.25">
      <c r="A670" s="6"/>
      <c r="B670" s="6"/>
      <c r="C670" s="102"/>
      <c r="D670" s="102"/>
      <c r="E670" s="102"/>
      <c r="F670" s="103"/>
      <c r="G670" s="6"/>
      <c r="H670" s="103"/>
      <c r="I670" s="6"/>
      <c r="J670" s="141"/>
      <c r="K670" s="141"/>
      <c r="L670" s="141"/>
      <c r="M670" s="141"/>
    </row>
    <row r="671" spans="1:13" x14ac:dyDescent="0.25">
      <c r="A671" s="6"/>
      <c r="B671" s="6"/>
      <c r="C671" s="102"/>
      <c r="D671" s="102"/>
      <c r="E671" s="102"/>
      <c r="F671" s="103"/>
      <c r="G671" s="6"/>
      <c r="H671" s="103"/>
      <c r="I671" s="6"/>
      <c r="J671" s="141"/>
      <c r="K671" s="141"/>
      <c r="L671" s="141"/>
      <c r="M671" s="141"/>
    </row>
    <row r="672" spans="1:13" x14ac:dyDescent="0.25">
      <c r="A672" s="6"/>
      <c r="B672" s="6"/>
      <c r="C672" s="102"/>
      <c r="D672" s="102"/>
      <c r="E672" s="102"/>
      <c r="F672" s="103"/>
      <c r="G672" s="6"/>
      <c r="H672" s="103"/>
      <c r="I672" s="6"/>
      <c r="J672" s="141"/>
      <c r="K672" s="141"/>
      <c r="L672" s="141"/>
      <c r="M672" s="141"/>
    </row>
    <row r="673" spans="1:13" x14ac:dyDescent="0.25">
      <c r="A673" s="6"/>
      <c r="B673" s="6"/>
      <c r="C673" s="102"/>
      <c r="D673" s="102"/>
      <c r="E673" s="102"/>
      <c r="F673" s="103"/>
      <c r="G673" s="6"/>
      <c r="H673" s="103"/>
      <c r="I673" s="6"/>
      <c r="J673" s="141"/>
      <c r="K673" s="141"/>
      <c r="L673" s="141"/>
      <c r="M673" s="141"/>
    </row>
    <row r="674" spans="1:13" x14ac:dyDescent="0.25">
      <c r="A674" s="6"/>
      <c r="B674" s="6"/>
      <c r="C674" s="102"/>
      <c r="D674" s="102"/>
      <c r="E674" s="102"/>
      <c r="F674" s="103"/>
      <c r="G674" s="6"/>
      <c r="H674" s="103"/>
      <c r="I674" s="6"/>
      <c r="J674" s="141"/>
      <c r="K674" s="141"/>
      <c r="L674" s="141"/>
      <c r="M674" s="141"/>
    </row>
    <row r="675" spans="1:13" x14ac:dyDescent="0.25">
      <c r="A675" s="6"/>
      <c r="B675" s="6"/>
      <c r="C675" s="102"/>
      <c r="D675" s="102"/>
      <c r="E675" s="102"/>
      <c r="F675" s="103"/>
      <c r="G675" s="6"/>
      <c r="H675" s="103"/>
      <c r="I675" s="6"/>
      <c r="J675" s="141"/>
      <c r="K675" s="141"/>
      <c r="L675" s="141"/>
      <c r="M675" s="141"/>
    </row>
    <row r="676" spans="1:13" x14ac:dyDescent="0.25">
      <c r="A676" s="6"/>
      <c r="B676" s="6"/>
      <c r="C676" s="102"/>
      <c r="D676" s="102"/>
      <c r="E676" s="102"/>
      <c r="F676" s="103"/>
      <c r="G676" s="6"/>
      <c r="H676" s="103"/>
      <c r="I676" s="6"/>
      <c r="J676" s="141"/>
      <c r="K676" s="141"/>
      <c r="L676" s="141"/>
      <c r="M676" s="141"/>
    </row>
    <row r="677" spans="1:13" x14ac:dyDescent="0.25">
      <c r="A677" s="6"/>
      <c r="B677" s="6"/>
      <c r="C677" s="102"/>
      <c r="D677" s="102"/>
      <c r="E677" s="102"/>
      <c r="F677" s="103"/>
      <c r="G677" s="6"/>
      <c r="H677" s="103"/>
      <c r="I677" s="6"/>
      <c r="J677" s="141"/>
      <c r="K677" s="141"/>
      <c r="L677" s="141"/>
      <c r="M677" s="141"/>
    </row>
    <row r="678" spans="1:13" x14ac:dyDescent="0.25">
      <c r="A678" s="6"/>
      <c r="B678" s="6"/>
      <c r="C678" s="102"/>
      <c r="D678" s="102"/>
      <c r="E678" s="102"/>
      <c r="F678" s="103"/>
      <c r="G678" s="6"/>
      <c r="H678" s="103"/>
      <c r="I678" s="6"/>
      <c r="J678" s="141"/>
      <c r="K678" s="141"/>
      <c r="L678" s="141"/>
      <c r="M678" s="141"/>
    </row>
    <row r="679" spans="1:13" x14ac:dyDescent="0.25">
      <c r="A679" s="6"/>
      <c r="B679" s="6"/>
      <c r="C679" s="102"/>
      <c r="D679" s="102"/>
      <c r="E679" s="102"/>
      <c r="F679" s="103"/>
      <c r="G679" s="6"/>
      <c r="H679" s="103"/>
      <c r="I679" s="6"/>
      <c r="J679" s="141"/>
      <c r="K679" s="141"/>
      <c r="L679" s="141"/>
      <c r="M679" s="141"/>
    </row>
    <row r="680" spans="1:13" x14ac:dyDescent="0.25">
      <c r="A680" s="6"/>
      <c r="B680" s="6"/>
      <c r="C680" s="102"/>
      <c r="D680" s="102"/>
      <c r="E680" s="102"/>
      <c r="F680" s="103"/>
      <c r="G680" s="6"/>
      <c r="H680" s="103"/>
      <c r="I680" s="6"/>
      <c r="J680" s="141"/>
      <c r="K680" s="141"/>
      <c r="L680" s="141"/>
      <c r="M680" s="141"/>
    </row>
    <row r="681" spans="1:13" x14ac:dyDescent="0.25">
      <c r="A681" s="6"/>
      <c r="B681" s="6"/>
      <c r="C681" s="102"/>
      <c r="D681" s="102"/>
      <c r="E681" s="102"/>
      <c r="F681" s="103"/>
      <c r="G681" s="6"/>
      <c r="H681" s="103"/>
      <c r="I681" s="6"/>
      <c r="J681" s="141"/>
      <c r="K681" s="141"/>
      <c r="L681" s="141"/>
      <c r="M681" s="141"/>
    </row>
    <row r="682" spans="1:13" x14ac:dyDescent="0.25">
      <c r="A682" s="6"/>
      <c r="B682" s="6"/>
      <c r="C682" s="102"/>
      <c r="D682" s="102"/>
      <c r="E682" s="102"/>
      <c r="F682" s="103"/>
      <c r="G682" s="6"/>
      <c r="H682" s="103"/>
      <c r="I682" s="6"/>
      <c r="J682" s="141"/>
      <c r="K682" s="141"/>
      <c r="L682" s="141"/>
      <c r="M682" s="141"/>
    </row>
    <row r="683" spans="1:13" x14ac:dyDescent="0.25">
      <c r="A683" s="6"/>
      <c r="B683" s="6"/>
      <c r="C683" s="102"/>
      <c r="D683" s="102"/>
      <c r="E683" s="102"/>
      <c r="F683" s="103"/>
      <c r="G683" s="6"/>
      <c r="H683" s="103"/>
      <c r="I683" s="6"/>
      <c r="J683" s="141"/>
      <c r="K683" s="141"/>
      <c r="L683" s="141"/>
      <c r="M683" s="141"/>
    </row>
    <row r="684" spans="1:13" x14ac:dyDescent="0.25">
      <c r="A684" s="6"/>
      <c r="B684" s="6"/>
      <c r="C684" s="102"/>
      <c r="D684" s="102"/>
      <c r="E684" s="102"/>
      <c r="F684" s="103"/>
      <c r="G684" s="6"/>
      <c r="H684" s="103"/>
      <c r="I684" s="6"/>
      <c r="J684" s="141"/>
      <c r="K684" s="141"/>
      <c r="L684" s="141"/>
      <c r="M684" s="141"/>
    </row>
    <row r="685" spans="1:13" x14ac:dyDescent="0.25">
      <c r="A685" s="6"/>
      <c r="B685" s="6"/>
      <c r="C685" s="102"/>
      <c r="D685" s="102"/>
      <c r="E685" s="102"/>
      <c r="F685" s="103"/>
      <c r="G685" s="6"/>
      <c r="H685" s="103"/>
      <c r="I685" s="6"/>
      <c r="J685" s="141"/>
      <c r="K685" s="141"/>
      <c r="L685" s="141"/>
      <c r="M685" s="141"/>
    </row>
    <row r="686" spans="1:13" x14ac:dyDescent="0.25">
      <c r="A686" s="6"/>
      <c r="B686" s="6"/>
      <c r="C686" s="102"/>
      <c r="D686" s="102"/>
      <c r="E686" s="102"/>
      <c r="F686" s="103"/>
      <c r="G686" s="6"/>
      <c r="H686" s="103"/>
      <c r="I686" s="6"/>
      <c r="J686" s="141"/>
      <c r="K686" s="141"/>
      <c r="L686" s="141"/>
      <c r="M686" s="141"/>
    </row>
    <row r="687" spans="1:13" x14ac:dyDescent="0.25">
      <c r="A687" s="6"/>
      <c r="B687" s="6"/>
      <c r="C687" s="102"/>
      <c r="D687" s="102"/>
      <c r="E687" s="102"/>
      <c r="F687" s="103"/>
      <c r="G687" s="6"/>
      <c r="H687" s="103"/>
      <c r="I687" s="6"/>
      <c r="J687" s="141"/>
      <c r="K687" s="141"/>
      <c r="L687" s="141"/>
      <c r="M687" s="141"/>
    </row>
    <row r="688" spans="1:13" x14ac:dyDescent="0.25">
      <c r="A688" s="6"/>
      <c r="B688" s="6"/>
      <c r="C688" s="102"/>
      <c r="D688" s="102"/>
      <c r="E688" s="102"/>
      <c r="F688" s="103"/>
      <c r="G688" s="6"/>
      <c r="H688" s="103"/>
      <c r="I688" s="6"/>
      <c r="J688" s="141"/>
      <c r="K688" s="141"/>
      <c r="L688" s="141"/>
      <c r="M688" s="141"/>
    </row>
    <row r="689" spans="1:13" x14ac:dyDescent="0.25">
      <c r="A689" s="6"/>
      <c r="B689" s="6"/>
      <c r="C689" s="102"/>
      <c r="D689" s="102"/>
      <c r="E689" s="102"/>
      <c r="F689" s="103"/>
      <c r="G689" s="6"/>
      <c r="H689" s="103"/>
      <c r="I689" s="6"/>
      <c r="J689" s="141"/>
      <c r="K689" s="141"/>
      <c r="L689" s="141"/>
      <c r="M689" s="141"/>
    </row>
    <row r="690" spans="1:13" x14ac:dyDescent="0.25">
      <c r="A690" s="6"/>
      <c r="B690" s="6"/>
      <c r="C690" s="102"/>
      <c r="D690" s="102"/>
      <c r="E690" s="102"/>
      <c r="F690" s="103"/>
      <c r="G690" s="6"/>
      <c r="H690" s="103"/>
      <c r="I690" s="6"/>
      <c r="J690" s="141"/>
      <c r="K690" s="141"/>
      <c r="L690" s="141"/>
      <c r="M690" s="141"/>
    </row>
    <row r="691" spans="1:13" x14ac:dyDescent="0.25">
      <c r="A691" s="6"/>
      <c r="B691" s="6"/>
      <c r="C691" s="102"/>
      <c r="D691" s="102"/>
      <c r="E691" s="102"/>
      <c r="F691" s="103"/>
      <c r="G691" s="6"/>
      <c r="H691" s="103"/>
      <c r="I691" s="6"/>
      <c r="J691" s="141"/>
      <c r="K691" s="141"/>
      <c r="L691" s="141"/>
      <c r="M691" s="141"/>
    </row>
    <row r="692" spans="1:13" x14ac:dyDescent="0.25">
      <c r="A692" s="6"/>
      <c r="B692" s="6"/>
      <c r="C692" s="102"/>
      <c r="D692" s="102"/>
      <c r="E692" s="102"/>
      <c r="F692" s="103"/>
      <c r="G692" s="6"/>
      <c r="H692" s="103"/>
      <c r="I692" s="6"/>
      <c r="J692" s="141"/>
      <c r="K692" s="141"/>
      <c r="L692" s="141"/>
      <c r="M692" s="141"/>
    </row>
    <row r="693" spans="1:13" x14ac:dyDescent="0.25">
      <c r="A693" s="6"/>
      <c r="B693" s="6"/>
      <c r="C693" s="102"/>
      <c r="D693" s="102"/>
      <c r="E693" s="102"/>
      <c r="F693" s="103"/>
      <c r="G693" s="6"/>
      <c r="H693" s="103"/>
      <c r="I693" s="6"/>
      <c r="J693" s="141"/>
      <c r="K693" s="141"/>
      <c r="L693" s="141"/>
      <c r="M693" s="141"/>
    </row>
    <row r="694" spans="1:13" x14ac:dyDescent="0.25">
      <c r="A694" s="6"/>
      <c r="B694" s="6"/>
      <c r="C694" s="102"/>
      <c r="D694" s="102"/>
      <c r="E694" s="102"/>
      <c r="F694" s="103"/>
      <c r="G694" s="6"/>
      <c r="H694" s="103"/>
      <c r="I694" s="6"/>
      <c r="J694" s="141"/>
      <c r="K694" s="141"/>
      <c r="L694" s="141"/>
      <c r="M694" s="141"/>
    </row>
    <row r="695" spans="1:13" x14ac:dyDescent="0.25">
      <c r="A695" s="6"/>
      <c r="B695" s="6"/>
      <c r="C695" s="102"/>
      <c r="D695" s="102"/>
      <c r="E695" s="102"/>
      <c r="F695" s="103"/>
      <c r="G695" s="6"/>
      <c r="H695" s="103"/>
      <c r="I695" s="6"/>
      <c r="J695" s="141"/>
      <c r="K695" s="141"/>
      <c r="L695" s="141"/>
      <c r="M695" s="141"/>
    </row>
    <row r="696" spans="1:13" x14ac:dyDescent="0.25">
      <c r="A696" s="6"/>
      <c r="B696" s="6"/>
      <c r="C696" s="102"/>
      <c r="D696" s="102"/>
      <c r="E696" s="102"/>
      <c r="F696" s="103"/>
      <c r="G696" s="6"/>
      <c r="H696" s="103"/>
      <c r="I696" s="6"/>
      <c r="J696" s="141"/>
      <c r="K696" s="141"/>
      <c r="L696" s="141"/>
      <c r="M696" s="141"/>
    </row>
    <row r="697" spans="1:13" x14ac:dyDescent="0.25">
      <c r="A697" s="6"/>
      <c r="B697" s="6"/>
      <c r="C697" s="102"/>
      <c r="D697" s="102"/>
      <c r="E697" s="102"/>
      <c r="F697" s="103"/>
      <c r="G697" s="6"/>
      <c r="H697" s="103"/>
      <c r="I697" s="6"/>
      <c r="J697" s="141"/>
      <c r="K697" s="141"/>
      <c r="L697" s="141"/>
      <c r="M697" s="141"/>
    </row>
    <row r="698" spans="1:13" x14ac:dyDescent="0.25">
      <c r="A698" s="6"/>
      <c r="B698" s="6"/>
      <c r="C698" s="102"/>
      <c r="D698" s="102"/>
      <c r="E698" s="102"/>
      <c r="F698" s="103"/>
      <c r="G698" s="6"/>
      <c r="H698" s="103"/>
      <c r="I698" s="6"/>
      <c r="J698" s="141"/>
      <c r="K698" s="141"/>
      <c r="L698" s="141"/>
      <c r="M698" s="141"/>
    </row>
    <row r="699" spans="1:13" x14ac:dyDescent="0.25">
      <c r="A699" s="6"/>
      <c r="B699" s="6"/>
      <c r="C699" s="102"/>
      <c r="D699" s="102"/>
      <c r="E699" s="102"/>
      <c r="F699" s="103"/>
      <c r="G699" s="6"/>
      <c r="H699" s="103"/>
      <c r="I699" s="6"/>
      <c r="J699" s="141"/>
      <c r="K699" s="141"/>
      <c r="L699" s="141"/>
      <c r="M699" s="141"/>
    </row>
    <row r="700" spans="1:13" x14ac:dyDescent="0.25">
      <c r="A700" s="6"/>
      <c r="B700" s="6"/>
      <c r="C700" s="102"/>
      <c r="D700" s="102"/>
      <c r="E700" s="102"/>
      <c r="F700" s="103"/>
      <c r="G700" s="6"/>
      <c r="H700" s="103"/>
      <c r="I700" s="6"/>
      <c r="J700" s="141"/>
      <c r="K700" s="141"/>
      <c r="L700" s="141"/>
      <c r="M700" s="141"/>
    </row>
    <row r="701" spans="1:13" x14ac:dyDescent="0.25">
      <c r="A701" s="6"/>
      <c r="B701" s="6"/>
      <c r="C701" s="102"/>
      <c r="D701" s="102"/>
      <c r="E701" s="102"/>
      <c r="F701" s="103"/>
      <c r="G701" s="6"/>
      <c r="H701" s="103"/>
      <c r="I701" s="6"/>
      <c r="J701" s="141"/>
      <c r="K701" s="141"/>
      <c r="L701" s="141"/>
      <c r="M701" s="141"/>
    </row>
    <row r="702" spans="1:13" x14ac:dyDescent="0.25">
      <c r="A702" s="6"/>
      <c r="B702" s="6"/>
      <c r="C702" s="102"/>
      <c r="D702" s="102"/>
      <c r="E702" s="102"/>
      <c r="F702" s="103"/>
      <c r="G702" s="6"/>
      <c r="H702" s="103"/>
      <c r="I702" s="6"/>
      <c r="J702" s="141"/>
      <c r="K702" s="141"/>
      <c r="L702" s="141"/>
      <c r="M702" s="141"/>
    </row>
    <row r="703" spans="1:13" x14ac:dyDescent="0.25">
      <c r="A703" s="6"/>
      <c r="B703" s="6"/>
      <c r="C703" s="102"/>
      <c r="D703" s="102"/>
      <c r="E703" s="102"/>
      <c r="F703" s="103"/>
      <c r="G703" s="6"/>
      <c r="H703" s="103"/>
      <c r="I703" s="6"/>
      <c r="J703" s="141"/>
      <c r="K703" s="141"/>
      <c r="L703" s="141"/>
      <c r="M703" s="141"/>
    </row>
    <row r="704" spans="1:13" x14ac:dyDescent="0.25">
      <c r="A704" s="6"/>
      <c r="B704" s="6"/>
      <c r="C704" s="102"/>
      <c r="D704" s="102"/>
      <c r="E704" s="102"/>
      <c r="F704" s="103"/>
      <c r="G704" s="6"/>
      <c r="H704" s="103"/>
      <c r="I704" s="6"/>
      <c r="J704" s="141"/>
      <c r="K704" s="141"/>
      <c r="L704" s="141"/>
      <c r="M704" s="141"/>
    </row>
    <row r="705" spans="1:13" x14ac:dyDescent="0.25">
      <c r="A705" s="6"/>
      <c r="B705" s="6"/>
      <c r="C705" s="102"/>
      <c r="D705" s="102"/>
      <c r="E705" s="102"/>
      <c r="F705" s="103"/>
      <c r="G705" s="6"/>
      <c r="H705" s="103"/>
      <c r="I705" s="6"/>
      <c r="J705" s="141"/>
      <c r="K705" s="141"/>
      <c r="L705" s="141"/>
      <c r="M705" s="141"/>
    </row>
    <row r="706" spans="1:13" x14ac:dyDescent="0.25">
      <c r="A706" s="6"/>
      <c r="B706" s="6"/>
      <c r="C706" s="102"/>
      <c r="D706" s="102"/>
      <c r="E706" s="102"/>
      <c r="F706" s="103"/>
      <c r="G706" s="6"/>
      <c r="H706" s="103"/>
      <c r="I706" s="6"/>
      <c r="J706" s="141"/>
      <c r="K706" s="141"/>
      <c r="L706" s="141"/>
      <c r="M706" s="141"/>
    </row>
    <row r="707" spans="1:13" x14ac:dyDescent="0.25">
      <c r="A707" s="6"/>
      <c r="B707" s="6"/>
      <c r="C707" s="102"/>
      <c r="D707" s="102"/>
      <c r="E707" s="102"/>
      <c r="F707" s="103"/>
      <c r="G707" s="6"/>
      <c r="H707" s="103"/>
      <c r="I707" s="6"/>
      <c r="J707" s="141"/>
      <c r="K707" s="141"/>
      <c r="L707" s="141"/>
      <c r="M707" s="141"/>
    </row>
    <row r="708" spans="1:13" x14ac:dyDescent="0.25">
      <c r="A708" s="6"/>
      <c r="B708" s="6"/>
      <c r="C708" s="102"/>
      <c r="D708" s="102"/>
      <c r="E708" s="102"/>
      <c r="F708" s="103"/>
      <c r="G708" s="6"/>
      <c r="H708" s="103"/>
      <c r="I708" s="6"/>
      <c r="J708" s="141"/>
      <c r="K708" s="141"/>
      <c r="L708" s="141"/>
      <c r="M708" s="141"/>
    </row>
    <row r="709" spans="1:13" x14ac:dyDescent="0.25">
      <c r="A709" s="6"/>
      <c r="B709" s="6"/>
      <c r="C709" s="102"/>
      <c r="D709" s="102"/>
      <c r="E709" s="102"/>
      <c r="F709" s="103"/>
      <c r="G709" s="6"/>
      <c r="H709" s="103"/>
      <c r="I709" s="6"/>
      <c r="J709" s="141"/>
      <c r="K709" s="141"/>
      <c r="L709" s="141"/>
      <c r="M709" s="141"/>
    </row>
    <row r="710" spans="1:13" x14ac:dyDescent="0.25">
      <c r="A710" s="6"/>
      <c r="B710" s="6"/>
      <c r="C710" s="102"/>
      <c r="D710" s="102"/>
      <c r="E710" s="102"/>
      <c r="F710" s="103"/>
      <c r="G710" s="6"/>
      <c r="H710" s="103"/>
      <c r="I710" s="6"/>
      <c r="J710" s="141"/>
      <c r="K710" s="141"/>
      <c r="L710" s="141"/>
      <c r="M710" s="141"/>
    </row>
    <row r="711" spans="1:13" x14ac:dyDescent="0.25">
      <c r="A711" s="6"/>
      <c r="B711" s="6"/>
      <c r="C711" s="102"/>
      <c r="D711" s="102"/>
      <c r="E711" s="102"/>
      <c r="F711" s="103"/>
      <c r="G711" s="6"/>
      <c r="H711" s="103"/>
      <c r="I711" s="6"/>
      <c r="J711" s="141"/>
      <c r="K711" s="141"/>
      <c r="L711" s="141"/>
      <c r="M711" s="141"/>
    </row>
    <row r="712" spans="1:13" x14ac:dyDescent="0.25">
      <c r="A712" s="6"/>
      <c r="B712" s="6"/>
      <c r="C712" s="102"/>
      <c r="D712" s="102"/>
      <c r="E712" s="102"/>
      <c r="F712" s="103"/>
      <c r="G712" s="6"/>
      <c r="H712" s="103"/>
      <c r="I712" s="6"/>
      <c r="J712" s="141"/>
      <c r="K712" s="141"/>
      <c r="L712" s="141"/>
      <c r="M712" s="141"/>
    </row>
    <row r="713" spans="1:13" x14ac:dyDescent="0.25">
      <c r="A713" s="6"/>
      <c r="B713" s="6"/>
      <c r="C713" s="102"/>
      <c r="D713" s="102"/>
      <c r="E713" s="102"/>
      <c r="F713" s="103"/>
      <c r="G713" s="6"/>
      <c r="H713" s="103"/>
      <c r="I713" s="6"/>
      <c r="J713" s="141"/>
      <c r="K713" s="141"/>
      <c r="L713" s="141"/>
      <c r="M713" s="141"/>
    </row>
    <row r="714" spans="1:13" x14ac:dyDescent="0.25">
      <c r="A714" s="6"/>
      <c r="B714" s="6"/>
      <c r="C714" s="102"/>
      <c r="D714" s="102"/>
      <c r="E714" s="102"/>
      <c r="F714" s="103"/>
      <c r="G714" s="6"/>
      <c r="H714" s="103"/>
      <c r="I714" s="6"/>
      <c r="J714" s="141"/>
      <c r="K714" s="141"/>
      <c r="L714" s="141"/>
      <c r="M714" s="141"/>
    </row>
    <row r="715" spans="1:13" x14ac:dyDescent="0.25">
      <c r="A715" s="6"/>
      <c r="B715" s="6"/>
      <c r="C715" s="102"/>
      <c r="D715" s="102"/>
      <c r="E715" s="102"/>
      <c r="F715" s="103"/>
      <c r="G715" s="6"/>
      <c r="H715" s="103"/>
      <c r="I715" s="6"/>
      <c r="J715" s="141"/>
      <c r="K715" s="141"/>
      <c r="L715" s="141"/>
      <c r="M715" s="141"/>
    </row>
    <row r="716" spans="1:13" x14ac:dyDescent="0.25">
      <c r="A716" s="6"/>
      <c r="B716" s="6"/>
      <c r="C716" s="102"/>
      <c r="D716" s="102"/>
      <c r="E716" s="102"/>
      <c r="F716" s="103"/>
      <c r="G716" s="6"/>
      <c r="H716" s="103"/>
      <c r="I716" s="6"/>
      <c r="J716" s="141"/>
      <c r="K716" s="141"/>
      <c r="L716" s="141"/>
      <c r="M716" s="141"/>
    </row>
    <row r="717" spans="1:13" x14ac:dyDescent="0.25">
      <c r="A717" s="6"/>
      <c r="B717" s="6"/>
      <c r="C717" s="102"/>
      <c r="D717" s="102"/>
      <c r="E717" s="102"/>
      <c r="F717" s="103"/>
      <c r="G717" s="6"/>
      <c r="H717" s="103"/>
      <c r="I717" s="6"/>
      <c r="J717" s="141"/>
      <c r="K717" s="141"/>
      <c r="L717" s="141"/>
      <c r="M717" s="141"/>
    </row>
    <row r="718" spans="1:13" x14ac:dyDescent="0.25">
      <c r="A718" s="6"/>
      <c r="B718" s="6"/>
      <c r="C718" s="102"/>
      <c r="D718" s="102"/>
      <c r="E718" s="102"/>
      <c r="F718" s="103"/>
      <c r="G718" s="6"/>
      <c r="H718" s="103"/>
      <c r="I718" s="6"/>
      <c r="J718" s="141"/>
      <c r="K718" s="141"/>
      <c r="L718" s="141"/>
      <c r="M718" s="141"/>
    </row>
    <row r="719" spans="1:13" x14ac:dyDescent="0.25">
      <c r="A719" s="6"/>
      <c r="B719" s="6"/>
      <c r="C719" s="102"/>
      <c r="D719" s="102"/>
      <c r="E719" s="102"/>
      <c r="F719" s="103"/>
      <c r="G719" s="6"/>
      <c r="H719" s="103"/>
      <c r="I719" s="6"/>
      <c r="J719" s="141"/>
      <c r="K719" s="141"/>
      <c r="L719" s="141"/>
      <c r="M719" s="141"/>
    </row>
    <row r="720" spans="1:13" x14ac:dyDescent="0.25">
      <c r="A720" s="6"/>
      <c r="B720" s="6"/>
      <c r="C720" s="102"/>
      <c r="D720" s="102"/>
      <c r="E720" s="102"/>
      <c r="F720" s="103"/>
      <c r="G720" s="6"/>
      <c r="H720" s="103"/>
      <c r="I720" s="6"/>
      <c r="J720" s="141"/>
      <c r="K720" s="141"/>
      <c r="L720" s="141"/>
      <c r="M720" s="141"/>
    </row>
    <row r="721" spans="1:13" x14ac:dyDescent="0.25">
      <c r="A721" s="6"/>
      <c r="B721" s="6"/>
      <c r="C721" s="102"/>
      <c r="D721" s="102"/>
      <c r="E721" s="102"/>
      <c r="F721" s="103"/>
      <c r="G721" s="6"/>
      <c r="H721" s="103"/>
      <c r="I721" s="6"/>
      <c r="J721" s="141"/>
      <c r="K721" s="141"/>
      <c r="L721" s="141"/>
      <c r="M721" s="141"/>
    </row>
    <row r="722" spans="1:13" x14ac:dyDescent="0.25">
      <c r="A722" s="6"/>
      <c r="B722" s="6"/>
      <c r="C722" s="102"/>
      <c r="D722" s="102"/>
      <c r="E722" s="102"/>
      <c r="F722" s="103"/>
      <c r="G722" s="6"/>
      <c r="H722" s="103"/>
      <c r="I722" s="6"/>
      <c r="J722" s="141"/>
      <c r="K722" s="141"/>
      <c r="L722" s="141"/>
      <c r="M722" s="141"/>
    </row>
    <row r="723" spans="1:13" x14ac:dyDescent="0.25">
      <c r="A723" s="6"/>
      <c r="B723" s="6"/>
      <c r="C723" s="102"/>
      <c r="D723" s="102"/>
      <c r="E723" s="102"/>
      <c r="F723" s="103"/>
      <c r="G723" s="6"/>
      <c r="H723" s="103"/>
      <c r="I723" s="6"/>
      <c r="J723" s="141"/>
      <c r="K723" s="141"/>
      <c r="L723" s="141"/>
      <c r="M723" s="141"/>
    </row>
    <row r="724" spans="1:13" x14ac:dyDescent="0.25">
      <c r="A724" s="6"/>
      <c r="B724" s="6"/>
      <c r="C724" s="102"/>
      <c r="D724" s="102"/>
      <c r="E724" s="102"/>
      <c r="F724" s="103"/>
      <c r="G724" s="6"/>
      <c r="H724" s="103"/>
      <c r="I724" s="6"/>
      <c r="J724" s="141"/>
      <c r="K724" s="141"/>
      <c r="L724" s="141"/>
      <c r="M724" s="141"/>
    </row>
    <row r="725" spans="1:13" x14ac:dyDescent="0.25">
      <c r="A725" s="6"/>
      <c r="B725" s="6"/>
      <c r="C725" s="102"/>
      <c r="D725" s="102"/>
      <c r="E725" s="102"/>
      <c r="F725" s="103"/>
      <c r="G725" s="6"/>
      <c r="H725" s="103"/>
      <c r="I725" s="6"/>
      <c r="J725" s="141"/>
      <c r="K725" s="141"/>
      <c r="L725" s="141"/>
      <c r="M725" s="141"/>
    </row>
    <row r="726" spans="1:13" x14ac:dyDescent="0.25">
      <c r="A726" s="6"/>
      <c r="B726" s="6"/>
      <c r="C726" s="102"/>
      <c r="D726" s="102"/>
      <c r="E726" s="102"/>
      <c r="F726" s="103"/>
      <c r="G726" s="6"/>
      <c r="H726" s="103"/>
      <c r="I726" s="6"/>
      <c r="J726" s="141"/>
      <c r="K726" s="141"/>
      <c r="L726" s="141"/>
      <c r="M726" s="141"/>
    </row>
    <row r="727" spans="1:13" x14ac:dyDescent="0.25">
      <c r="A727" s="6"/>
      <c r="B727" s="6"/>
      <c r="C727" s="102"/>
      <c r="D727" s="102"/>
      <c r="E727" s="102"/>
      <c r="F727" s="103"/>
      <c r="G727" s="6"/>
      <c r="H727" s="103"/>
      <c r="I727" s="6"/>
      <c r="J727" s="141"/>
      <c r="K727" s="141"/>
      <c r="L727" s="141"/>
      <c r="M727" s="141"/>
    </row>
    <row r="728" spans="1:13" x14ac:dyDescent="0.25">
      <c r="A728" s="6"/>
      <c r="B728" s="6"/>
      <c r="C728" s="102"/>
      <c r="D728" s="102"/>
      <c r="E728" s="102"/>
      <c r="F728" s="103"/>
      <c r="G728" s="6"/>
      <c r="H728" s="103"/>
      <c r="I728" s="6"/>
      <c r="J728" s="141"/>
      <c r="K728" s="141"/>
      <c r="L728" s="141"/>
      <c r="M728" s="141"/>
    </row>
    <row r="729" spans="1:13" x14ac:dyDescent="0.25">
      <c r="A729" s="6"/>
      <c r="B729" s="6"/>
      <c r="C729" s="102"/>
      <c r="D729" s="102"/>
      <c r="E729" s="102"/>
      <c r="F729" s="103"/>
      <c r="G729" s="6"/>
      <c r="H729" s="103"/>
      <c r="I729" s="6"/>
      <c r="J729" s="141"/>
      <c r="K729" s="141"/>
      <c r="L729" s="141"/>
      <c r="M729" s="141"/>
    </row>
    <row r="730" spans="1:13" x14ac:dyDescent="0.25">
      <c r="A730" s="6"/>
      <c r="B730" s="6"/>
      <c r="C730" s="102"/>
      <c r="D730" s="102"/>
      <c r="E730" s="102"/>
      <c r="F730" s="103"/>
      <c r="G730" s="6"/>
      <c r="H730" s="103"/>
      <c r="I730" s="6"/>
      <c r="J730" s="141"/>
      <c r="K730" s="141"/>
      <c r="L730" s="141"/>
      <c r="M730" s="141"/>
    </row>
    <row r="731" spans="1:13" x14ac:dyDescent="0.25">
      <c r="A731" s="6"/>
      <c r="B731" s="6"/>
      <c r="C731" s="102"/>
      <c r="D731" s="102"/>
      <c r="E731" s="102"/>
      <c r="F731" s="103"/>
      <c r="G731" s="6"/>
      <c r="H731" s="103"/>
      <c r="I731" s="6"/>
      <c r="J731" s="141"/>
      <c r="K731" s="141"/>
      <c r="L731" s="141"/>
      <c r="M731" s="141"/>
    </row>
    <row r="732" spans="1:13" x14ac:dyDescent="0.25">
      <c r="A732" s="6"/>
      <c r="B732" s="6"/>
      <c r="C732" s="102"/>
      <c r="D732" s="102"/>
      <c r="E732" s="102"/>
      <c r="F732" s="103"/>
      <c r="G732" s="6"/>
      <c r="H732" s="103"/>
      <c r="I732" s="6"/>
      <c r="J732" s="141"/>
      <c r="K732" s="141"/>
      <c r="L732" s="141"/>
      <c r="M732" s="141"/>
    </row>
    <row r="733" spans="1:13" x14ac:dyDescent="0.25">
      <c r="A733" s="6"/>
      <c r="B733" s="6"/>
      <c r="C733" s="102"/>
      <c r="D733" s="102"/>
      <c r="E733" s="102"/>
      <c r="F733" s="103"/>
      <c r="G733" s="6"/>
      <c r="H733" s="103"/>
      <c r="I733" s="6"/>
      <c r="J733" s="141"/>
      <c r="K733" s="141"/>
      <c r="L733" s="141"/>
      <c r="M733" s="141"/>
    </row>
    <row r="734" spans="1:13" x14ac:dyDescent="0.25">
      <c r="A734" s="6"/>
      <c r="B734" s="6"/>
      <c r="C734" s="102"/>
      <c r="D734" s="102"/>
      <c r="E734" s="102"/>
      <c r="F734" s="103"/>
      <c r="G734" s="6"/>
      <c r="H734" s="103"/>
      <c r="I734" s="6"/>
      <c r="J734" s="141"/>
      <c r="K734" s="141"/>
      <c r="L734" s="141"/>
      <c r="M734" s="141"/>
    </row>
    <row r="735" spans="1:13" x14ac:dyDescent="0.25">
      <c r="A735" s="6"/>
      <c r="B735" s="6"/>
      <c r="C735" s="102"/>
      <c r="D735" s="102"/>
      <c r="E735" s="102"/>
      <c r="F735" s="103"/>
      <c r="G735" s="6"/>
      <c r="H735" s="103"/>
      <c r="I735" s="6"/>
      <c r="J735" s="141"/>
      <c r="K735" s="141"/>
      <c r="L735" s="141"/>
      <c r="M735" s="141"/>
    </row>
    <row r="736" spans="1:13" x14ac:dyDescent="0.25">
      <c r="A736" s="6"/>
      <c r="B736" s="6"/>
      <c r="C736" s="102"/>
      <c r="D736" s="102"/>
      <c r="E736" s="102"/>
      <c r="F736" s="103"/>
      <c r="G736" s="6"/>
      <c r="H736" s="103"/>
      <c r="I736" s="6"/>
      <c r="J736" s="141"/>
      <c r="K736" s="141"/>
      <c r="L736" s="141"/>
      <c r="M736" s="141"/>
    </row>
    <row r="737" spans="1:13" x14ac:dyDescent="0.25">
      <c r="A737" s="6"/>
      <c r="B737" s="6"/>
      <c r="C737" s="102"/>
      <c r="D737" s="102"/>
      <c r="E737" s="102"/>
      <c r="F737" s="103"/>
      <c r="G737" s="6"/>
      <c r="H737" s="103"/>
      <c r="I737" s="6"/>
      <c r="J737" s="141"/>
      <c r="K737" s="141"/>
      <c r="L737" s="141"/>
      <c r="M737" s="141"/>
    </row>
    <row r="738" spans="1:13" x14ac:dyDescent="0.25">
      <c r="A738" s="6"/>
      <c r="B738" s="6"/>
      <c r="C738" s="102"/>
      <c r="D738" s="102"/>
      <c r="E738" s="102"/>
      <c r="F738" s="103"/>
      <c r="G738" s="6"/>
      <c r="H738" s="103"/>
      <c r="I738" s="6"/>
      <c r="J738" s="141"/>
      <c r="K738" s="141"/>
      <c r="L738" s="141"/>
      <c r="M738" s="141"/>
    </row>
    <row r="739" spans="1:13" x14ac:dyDescent="0.25">
      <c r="A739" s="6"/>
      <c r="B739" s="6"/>
      <c r="C739" s="102"/>
      <c r="D739" s="102"/>
      <c r="E739" s="102"/>
      <c r="F739" s="103"/>
      <c r="G739" s="6"/>
      <c r="H739" s="103"/>
      <c r="I739" s="6"/>
      <c r="J739" s="141"/>
      <c r="K739" s="141"/>
      <c r="L739" s="141"/>
      <c r="M739" s="141"/>
    </row>
    <row r="740" spans="1:13" x14ac:dyDescent="0.25">
      <c r="A740" s="6"/>
      <c r="B740" s="6"/>
      <c r="C740" s="102"/>
      <c r="D740" s="102"/>
      <c r="E740" s="102"/>
      <c r="F740" s="103"/>
      <c r="G740" s="6"/>
      <c r="H740" s="103"/>
      <c r="I740" s="6"/>
      <c r="J740" s="141"/>
      <c r="K740" s="141"/>
      <c r="L740" s="141"/>
      <c r="M740" s="141"/>
    </row>
    <row r="741" spans="1:13" x14ac:dyDescent="0.25">
      <c r="A741" s="6"/>
      <c r="B741" s="6"/>
      <c r="C741" s="102"/>
      <c r="D741" s="102"/>
      <c r="E741" s="102"/>
      <c r="F741" s="103"/>
      <c r="G741" s="6"/>
      <c r="H741" s="103"/>
      <c r="I741" s="6"/>
      <c r="J741" s="141"/>
      <c r="K741" s="141"/>
      <c r="L741" s="141"/>
      <c r="M741" s="141"/>
    </row>
    <row r="742" spans="1:13" x14ac:dyDescent="0.25">
      <c r="A742" s="6"/>
      <c r="B742" s="6"/>
      <c r="C742" s="102"/>
      <c r="D742" s="102"/>
      <c r="E742" s="102"/>
      <c r="F742" s="103"/>
      <c r="G742" s="6"/>
      <c r="H742" s="103"/>
      <c r="I742" s="6"/>
      <c r="J742" s="141"/>
      <c r="K742" s="141"/>
      <c r="L742" s="141"/>
      <c r="M742" s="141"/>
    </row>
    <row r="743" spans="1:13" x14ac:dyDescent="0.25">
      <c r="A743" s="6"/>
      <c r="B743" s="6"/>
      <c r="C743" s="102"/>
      <c r="D743" s="102"/>
      <c r="E743" s="102"/>
      <c r="F743" s="103"/>
      <c r="G743" s="6"/>
      <c r="H743" s="103"/>
      <c r="I743" s="6"/>
      <c r="J743" s="141"/>
      <c r="K743" s="141"/>
      <c r="L743" s="141"/>
      <c r="M743" s="141"/>
    </row>
    <row r="744" spans="1:13" x14ac:dyDescent="0.25">
      <c r="A744" s="6"/>
      <c r="B744" s="6"/>
      <c r="C744" s="102"/>
      <c r="D744" s="102"/>
      <c r="E744" s="102"/>
      <c r="F744" s="103"/>
      <c r="G744" s="6"/>
      <c r="H744" s="103"/>
      <c r="I744" s="6"/>
      <c r="J744" s="141"/>
      <c r="K744" s="141"/>
      <c r="L744" s="141"/>
      <c r="M744" s="141"/>
    </row>
    <row r="745" spans="1:13" x14ac:dyDescent="0.25">
      <c r="A745" s="6"/>
      <c r="B745" s="6"/>
      <c r="C745" s="102"/>
      <c r="D745" s="102"/>
      <c r="E745" s="102"/>
      <c r="F745" s="103"/>
      <c r="G745" s="6"/>
      <c r="H745" s="103"/>
      <c r="I745" s="6"/>
      <c r="J745" s="141"/>
      <c r="K745" s="141"/>
      <c r="L745" s="141"/>
      <c r="M745" s="141"/>
    </row>
    <row r="746" spans="1:13" x14ac:dyDescent="0.25">
      <c r="A746" s="6"/>
      <c r="B746" s="6"/>
      <c r="C746" s="102"/>
      <c r="D746" s="102"/>
      <c r="E746" s="102"/>
      <c r="F746" s="103"/>
      <c r="G746" s="6"/>
      <c r="H746" s="103"/>
      <c r="I746" s="6"/>
      <c r="J746" s="141"/>
      <c r="K746" s="141"/>
      <c r="L746" s="141"/>
      <c r="M746" s="141"/>
    </row>
    <row r="747" spans="1:13" x14ac:dyDescent="0.25">
      <c r="A747" s="6"/>
      <c r="B747" s="6"/>
      <c r="C747" s="102"/>
      <c r="D747" s="102"/>
      <c r="E747" s="102"/>
      <c r="F747" s="103"/>
      <c r="G747" s="6"/>
      <c r="H747" s="103"/>
      <c r="I747" s="6"/>
      <c r="J747" s="141"/>
      <c r="K747" s="141"/>
      <c r="L747" s="141"/>
      <c r="M747" s="141"/>
    </row>
    <row r="748" spans="1:13" x14ac:dyDescent="0.25">
      <c r="A748" s="6"/>
      <c r="B748" s="6"/>
      <c r="C748" s="102"/>
      <c r="D748" s="102"/>
      <c r="E748" s="102"/>
      <c r="F748" s="103"/>
      <c r="G748" s="6"/>
      <c r="H748" s="103"/>
      <c r="I748" s="6"/>
      <c r="J748" s="141"/>
      <c r="K748" s="141"/>
      <c r="L748" s="141"/>
      <c r="M748" s="141"/>
    </row>
    <row r="749" spans="1:13" x14ac:dyDescent="0.25">
      <c r="A749" s="6"/>
      <c r="B749" s="6"/>
      <c r="C749" s="102"/>
      <c r="D749" s="102"/>
      <c r="E749" s="102"/>
      <c r="F749" s="103"/>
      <c r="G749" s="6"/>
      <c r="H749" s="103"/>
      <c r="I749" s="6"/>
      <c r="J749" s="141"/>
      <c r="K749" s="141"/>
      <c r="L749" s="141"/>
      <c r="M749" s="141"/>
    </row>
    <row r="750" spans="1:13" x14ac:dyDescent="0.25">
      <c r="A750" s="6"/>
      <c r="B750" s="6"/>
      <c r="C750" s="102"/>
      <c r="D750" s="102"/>
      <c r="E750" s="102"/>
      <c r="F750" s="103"/>
      <c r="G750" s="6"/>
      <c r="H750" s="103"/>
      <c r="I750" s="6"/>
      <c r="J750" s="141"/>
      <c r="K750" s="141"/>
      <c r="L750" s="141"/>
      <c r="M750" s="141"/>
    </row>
    <row r="751" spans="1:13" x14ac:dyDescent="0.25">
      <c r="A751" s="6"/>
      <c r="B751" s="6"/>
      <c r="C751" s="102"/>
      <c r="D751" s="102"/>
      <c r="E751" s="102"/>
      <c r="F751" s="103"/>
      <c r="G751" s="6"/>
      <c r="H751" s="103"/>
      <c r="I751" s="6"/>
      <c r="J751" s="141"/>
      <c r="K751" s="141"/>
      <c r="L751" s="141"/>
      <c r="M751" s="141"/>
    </row>
    <row r="752" spans="1:13" x14ac:dyDescent="0.25">
      <c r="A752" s="6"/>
      <c r="B752" s="6"/>
      <c r="C752" s="102"/>
      <c r="D752" s="102"/>
      <c r="E752" s="102"/>
      <c r="F752" s="103"/>
      <c r="G752" s="6"/>
      <c r="H752" s="103"/>
      <c r="I752" s="6"/>
      <c r="J752" s="141"/>
      <c r="K752" s="141"/>
      <c r="L752" s="141"/>
      <c r="M752" s="141"/>
    </row>
    <row r="753" spans="1:13" x14ac:dyDescent="0.25">
      <c r="A753" s="6"/>
      <c r="B753" s="6"/>
      <c r="C753" s="102"/>
      <c r="D753" s="102"/>
      <c r="E753" s="102"/>
      <c r="F753" s="103"/>
      <c r="G753" s="6"/>
      <c r="H753" s="103"/>
      <c r="I753" s="6"/>
      <c r="J753" s="141"/>
      <c r="K753" s="141"/>
      <c r="L753" s="141"/>
      <c r="M753" s="141"/>
    </row>
    <row r="754" spans="1:13" x14ac:dyDescent="0.25">
      <c r="A754" s="6"/>
      <c r="B754" s="6"/>
      <c r="C754" s="102"/>
      <c r="D754" s="102"/>
      <c r="E754" s="102"/>
      <c r="F754" s="103"/>
      <c r="G754" s="6"/>
      <c r="H754" s="103"/>
      <c r="I754" s="6"/>
      <c r="J754" s="141"/>
      <c r="K754" s="141"/>
      <c r="L754" s="141"/>
      <c r="M754" s="141"/>
    </row>
    <row r="755" spans="1:13" x14ac:dyDescent="0.25">
      <c r="A755" s="6"/>
      <c r="B755" s="6"/>
      <c r="C755" s="102"/>
      <c r="D755" s="102"/>
      <c r="E755" s="102"/>
      <c r="F755" s="103"/>
      <c r="G755" s="6"/>
      <c r="H755" s="103"/>
      <c r="I755" s="6"/>
      <c r="J755" s="141"/>
      <c r="K755" s="141"/>
      <c r="L755" s="141"/>
      <c r="M755" s="141"/>
    </row>
    <row r="756" spans="1:13" x14ac:dyDescent="0.25">
      <c r="A756" s="6"/>
      <c r="B756" s="6"/>
      <c r="C756" s="102"/>
      <c r="D756" s="102"/>
      <c r="E756" s="102"/>
      <c r="F756" s="103"/>
      <c r="G756" s="6"/>
      <c r="H756" s="103"/>
      <c r="I756" s="6"/>
      <c r="J756" s="141"/>
      <c r="K756" s="141"/>
      <c r="L756" s="141"/>
      <c r="M756" s="141"/>
    </row>
    <row r="757" spans="1:13" x14ac:dyDescent="0.25">
      <c r="A757" s="6"/>
      <c r="B757" s="6"/>
      <c r="C757" s="102"/>
      <c r="D757" s="102"/>
      <c r="E757" s="102"/>
      <c r="F757" s="103"/>
      <c r="G757" s="6"/>
      <c r="H757" s="103"/>
      <c r="I757" s="6"/>
      <c r="J757" s="141"/>
      <c r="K757" s="141"/>
      <c r="L757" s="141"/>
      <c r="M757" s="141"/>
    </row>
    <row r="758" spans="1:13" x14ac:dyDescent="0.25">
      <c r="A758" s="6"/>
      <c r="B758" s="6"/>
      <c r="C758" s="102"/>
      <c r="D758" s="102"/>
      <c r="E758" s="102"/>
      <c r="F758" s="103"/>
      <c r="G758" s="6"/>
      <c r="H758" s="103"/>
      <c r="I758" s="6"/>
      <c r="J758" s="141"/>
      <c r="K758" s="141"/>
      <c r="L758" s="141"/>
      <c r="M758" s="141"/>
    </row>
    <row r="759" spans="1:13" x14ac:dyDescent="0.25">
      <c r="A759" s="6"/>
      <c r="B759" s="6"/>
      <c r="C759" s="102"/>
      <c r="D759" s="102"/>
      <c r="E759" s="102"/>
      <c r="F759" s="103"/>
      <c r="G759" s="6"/>
      <c r="H759" s="103"/>
      <c r="I759" s="6"/>
      <c r="J759" s="141"/>
      <c r="K759" s="141"/>
      <c r="L759" s="141"/>
      <c r="M759" s="141"/>
    </row>
    <row r="760" spans="1:13" x14ac:dyDescent="0.25">
      <c r="A760" s="6"/>
      <c r="B760" s="6"/>
      <c r="C760" s="102"/>
      <c r="D760" s="102"/>
      <c r="E760" s="102"/>
      <c r="F760" s="103"/>
      <c r="G760" s="6"/>
      <c r="H760" s="103"/>
      <c r="I760" s="6"/>
      <c r="J760" s="141"/>
      <c r="K760" s="141"/>
      <c r="L760" s="141"/>
      <c r="M760" s="141"/>
    </row>
    <row r="761" spans="1:13" x14ac:dyDescent="0.25">
      <c r="A761" s="6"/>
      <c r="B761" s="6"/>
      <c r="C761" s="102"/>
      <c r="D761" s="102"/>
      <c r="E761" s="102"/>
      <c r="F761" s="103"/>
      <c r="G761" s="6"/>
      <c r="H761" s="103"/>
      <c r="I761" s="6"/>
      <c r="J761" s="141"/>
      <c r="K761" s="141"/>
      <c r="L761" s="141"/>
      <c r="M761" s="141"/>
    </row>
    <row r="762" spans="1:13" x14ac:dyDescent="0.25">
      <c r="A762" s="6"/>
      <c r="B762" s="6"/>
      <c r="C762" s="102"/>
      <c r="D762" s="102"/>
      <c r="E762" s="102"/>
      <c r="F762" s="103"/>
      <c r="G762" s="6"/>
      <c r="H762" s="103"/>
      <c r="I762" s="6"/>
      <c r="J762" s="141"/>
      <c r="K762" s="141"/>
      <c r="L762" s="141"/>
      <c r="M762" s="141"/>
    </row>
    <row r="763" spans="1:13" x14ac:dyDescent="0.25">
      <c r="A763" s="6"/>
      <c r="B763" s="6"/>
      <c r="C763" s="102"/>
      <c r="D763" s="102"/>
      <c r="E763" s="102"/>
      <c r="F763" s="103"/>
      <c r="G763" s="6"/>
      <c r="H763" s="103"/>
      <c r="I763" s="6"/>
      <c r="J763" s="141"/>
      <c r="K763" s="141"/>
      <c r="L763" s="141"/>
      <c r="M763" s="141"/>
    </row>
    <row r="764" spans="1:13" x14ac:dyDescent="0.25">
      <c r="A764" s="6"/>
      <c r="B764" s="6"/>
      <c r="C764" s="102"/>
      <c r="D764" s="102"/>
      <c r="E764" s="102"/>
      <c r="F764" s="103"/>
      <c r="G764" s="6"/>
      <c r="H764" s="103"/>
      <c r="I764" s="6"/>
      <c r="J764" s="141"/>
      <c r="K764" s="141"/>
      <c r="L764" s="141"/>
      <c r="M764" s="141"/>
    </row>
    <row r="765" spans="1:13" x14ac:dyDescent="0.25">
      <c r="A765" s="6"/>
      <c r="B765" s="6"/>
      <c r="C765" s="102"/>
      <c r="D765" s="102"/>
      <c r="E765" s="102"/>
      <c r="F765" s="103"/>
      <c r="G765" s="6"/>
      <c r="H765" s="103"/>
      <c r="I765" s="6"/>
      <c r="J765" s="141"/>
      <c r="K765" s="141"/>
      <c r="L765" s="141"/>
      <c r="M765" s="141"/>
    </row>
    <row r="766" spans="1:13" x14ac:dyDescent="0.25">
      <c r="A766" s="6"/>
      <c r="B766" s="6"/>
      <c r="C766" s="102"/>
      <c r="D766" s="102"/>
      <c r="E766" s="102"/>
      <c r="F766" s="103"/>
      <c r="G766" s="6"/>
      <c r="H766" s="103"/>
      <c r="I766" s="6"/>
      <c r="J766" s="141"/>
      <c r="K766" s="141"/>
      <c r="L766" s="141"/>
      <c r="M766" s="141"/>
    </row>
    <row r="767" spans="1:13" x14ac:dyDescent="0.25">
      <c r="A767" s="6"/>
      <c r="B767" s="6"/>
      <c r="C767" s="102"/>
      <c r="D767" s="102"/>
      <c r="E767" s="102"/>
      <c r="F767" s="103"/>
      <c r="G767" s="6"/>
      <c r="H767" s="103"/>
      <c r="I767" s="6"/>
      <c r="J767" s="141"/>
      <c r="K767" s="141"/>
      <c r="L767" s="141"/>
      <c r="M767" s="141"/>
    </row>
    <row r="768" spans="1:13" x14ac:dyDescent="0.25">
      <c r="A768" s="6"/>
      <c r="B768" s="6"/>
      <c r="C768" s="102"/>
      <c r="D768" s="102"/>
      <c r="E768" s="102"/>
      <c r="F768" s="103"/>
      <c r="G768" s="6"/>
      <c r="H768" s="103"/>
      <c r="I768" s="6"/>
      <c r="J768" s="141"/>
      <c r="K768" s="141"/>
      <c r="L768" s="141"/>
      <c r="M768" s="141"/>
    </row>
    <row r="769" spans="1:13" x14ac:dyDescent="0.25">
      <c r="A769" s="6"/>
      <c r="B769" s="6"/>
      <c r="C769" s="102"/>
      <c r="D769" s="102"/>
      <c r="E769" s="102"/>
      <c r="F769" s="103"/>
      <c r="G769" s="6"/>
      <c r="H769" s="103"/>
      <c r="I769" s="6"/>
      <c r="J769" s="141"/>
      <c r="K769" s="141"/>
      <c r="L769" s="141"/>
      <c r="M769" s="141"/>
    </row>
    <row r="770" spans="1:13" x14ac:dyDescent="0.25">
      <c r="A770" s="6"/>
      <c r="B770" s="6"/>
      <c r="C770" s="102"/>
      <c r="D770" s="102"/>
      <c r="E770" s="102"/>
      <c r="F770" s="103"/>
      <c r="G770" s="6"/>
      <c r="H770" s="103"/>
      <c r="I770" s="6"/>
      <c r="J770" s="141"/>
      <c r="K770" s="141"/>
      <c r="L770" s="141"/>
      <c r="M770" s="141"/>
    </row>
    <row r="771" spans="1:13" x14ac:dyDescent="0.25">
      <c r="A771" s="6"/>
      <c r="B771" s="6"/>
      <c r="C771" s="102"/>
      <c r="D771" s="102"/>
      <c r="E771" s="102"/>
      <c r="F771" s="103"/>
      <c r="G771" s="6"/>
      <c r="H771" s="103"/>
      <c r="I771" s="6"/>
      <c r="J771" s="141"/>
      <c r="K771" s="141"/>
      <c r="L771" s="141"/>
      <c r="M771" s="141"/>
    </row>
    <row r="772" spans="1:13" x14ac:dyDescent="0.25">
      <c r="A772" s="6"/>
      <c r="B772" s="6"/>
      <c r="C772" s="102"/>
      <c r="D772" s="102"/>
      <c r="E772" s="102"/>
      <c r="F772" s="103"/>
      <c r="G772" s="6"/>
      <c r="H772" s="103"/>
      <c r="I772" s="6"/>
      <c r="J772" s="141"/>
      <c r="K772" s="141"/>
      <c r="L772" s="141"/>
      <c r="M772" s="141"/>
    </row>
    <row r="773" spans="1:13" x14ac:dyDescent="0.25">
      <c r="A773" s="6"/>
      <c r="B773" s="6"/>
      <c r="C773" s="102"/>
      <c r="D773" s="102"/>
      <c r="E773" s="102"/>
      <c r="F773" s="103"/>
      <c r="G773" s="6"/>
      <c r="H773" s="103"/>
      <c r="I773" s="6"/>
      <c r="J773" s="141"/>
      <c r="K773" s="141"/>
      <c r="L773" s="141"/>
      <c r="M773" s="141"/>
    </row>
    <row r="774" spans="1:13" x14ac:dyDescent="0.25">
      <c r="A774" s="6"/>
      <c r="B774" s="6"/>
      <c r="C774" s="102"/>
      <c r="D774" s="102"/>
      <c r="E774" s="102"/>
      <c r="F774" s="103"/>
      <c r="G774" s="6"/>
      <c r="H774" s="103"/>
      <c r="I774" s="6"/>
      <c r="J774" s="141"/>
      <c r="K774" s="141"/>
      <c r="L774" s="141"/>
      <c r="M774" s="141"/>
    </row>
    <row r="775" spans="1:13" x14ac:dyDescent="0.25">
      <c r="A775" s="6"/>
      <c r="B775" s="6"/>
      <c r="C775" s="102"/>
      <c r="D775" s="102"/>
      <c r="E775" s="102"/>
      <c r="F775" s="103"/>
      <c r="G775" s="6"/>
      <c r="H775" s="103"/>
      <c r="I775" s="6"/>
      <c r="J775" s="141"/>
      <c r="K775" s="141"/>
      <c r="L775" s="141"/>
      <c r="M775" s="141"/>
    </row>
    <row r="776" spans="1:13" x14ac:dyDescent="0.25">
      <c r="A776" s="6"/>
      <c r="B776" s="6"/>
      <c r="C776" s="102"/>
      <c r="D776" s="102"/>
      <c r="E776" s="102"/>
      <c r="F776" s="103"/>
      <c r="G776" s="6"/>
      <c r="H776" s="103"/>
      <c r="I776" s="6"/>
      <c r="J776" s="141"/>
      <c r="K776" s="141"/>
      <c r="L776" s="141"/>
      <c r="M776" s="141"/>
    </row>
    <row r="777" spans="1:13" x14ac:dyDescent="0.25">
      <c r="A777" s="6"/>
      <c r="B777" s="6"/>
      <c r="C777" s="102"/>
      <c r="D777" s="102"/>
      <c r="E777" s="102"/>
      <c r="F777" s="103"/>
      <c r="G777" s="6"/>
      <c r="H777" s="103"/>
      <c r="I777" s="6"/>
      <c r="J777" s="141"/>
      <c r="K777" s="141"/>
      <c r="L777" s="141"/>
      <c r="M777" s="141"/>
    </row>
    <row r="778" spans="1:13" x14ac:dyDescent="0.25">
      <c r="A778" s="6"/>
      <c r="B778" s="6"/>
      <c r="C778" s="102"/>
      <c r="D778" s="102"/>
      <c r="E778" s="102"/>
      <c r="F778" s="103"/>
      <c r="G778" s="6"/>
      <c r="H778" s="103"/>
      <c r="I778" s="6"/>
      <c r="J778" s="141"/>
      <c r="K778" s="141"/>
      <c r="L778" s="141"/>
      <c r="M778" s="141"/>
    </row>
    <row r="779" spans="1:13" x14ac:dyDescent="0.25">
      <c r="A779" s="6"/>
      <c r="B779" s="6"/>
      <c r="C779" s="102"/>
      <c r="D779" s="102"/>
      <c r="E779" s="102"/>
      <c r="F779" s="103"/>
      <c r="G779" s="6"/>
      <c r="H779" s="103"/>
      <c r="I779" s="6"/>
      <c r="J779" s="141"/>
      <c r="K779" s="141"/>
      <c r="L779" s="141"/>
      <c r="M779" s="141"/>
    </row>
    <row r="780" spans="1:13" x14ac:dyDescent="0.25">
      <c r="A780" s="6"/>
      <c r="B780" s="6"/>
      <c r="C780" s="102"/>
      <c r="D780" s="102"/>
      <c r="E780" s="102"/>
      <c r="F780" s="103"/>
      <c r="G780" s="6"/>
      <c r="H780" s="103"/>
      <c r="I780" s="6"/>
      <c r="J780" s="141"/>
      <c r="K780" s="141"/>
      <c r="L780" s="141"/>
      <c r="M780" s="141"/>
    </row>
    <row r="781" spans="1:13" x14ac:dyDescent="0.25">
      <c r="A781" s="6"/>
      <c r="B781" s="6"/>
      <c r="C781" s="102"/>
      <c r="D781" s="102"/>
      <c r="E781" s="102"/>
      <c r="F781" s="103"/>
      <c r="G781" s="6"/>
      <c r="H781" s="103"/>
      <c r="I781" s="6"/>
      <c r="J781" s="141"/>
      <c r="K781" s="141"/>
      <c r="L781" s="141"/>
      <c r="M781" s="141"/>
    </row>
    <row r="782" spans="1:13" x14ac:dyDescent="0.25">
      <c r="A782" s="6"/>
      <c r="B782" s="6"/>
      <c r="C782" s="102"/>
      <c r="D782" s="102"/>
      <c r="E782" s="102"/>
      <c r="F782" s="103"/>
      <c r="G782" s="6"/>
      <c r="H782" s="103"/>
      <c r="I782" s="6"/>
      <c r="J782" s="141"/>
      <c r="K782" s="141"/>
      <c r="L782" s="141"/>
      <c r="M782" s="141"/>
    </row>
    <row r="783" spans="1:13" x14ac:dyDescent="0.25">
      <c r="A783" s="6"/>
      <c r="B783" s="6"/>
      <c r="C783" s="102"/>
      <c r="D783" s="102"/>
      <c r="E783" s="102"/>
      <c r="F783" s="103"/>
      <c r="G783" s="6"/>
      <c r="H783" s="103"/>
      <c r="I783" s="6"/>
      <c r="J783" s="141"/>
      <c r="K783" s="141"/>
      <c r="L783" s="141"/>
      <c r="M783" s="141"/>
    </row>
    <row r="784" spans="1:13" x14ac:dyDescent="0.25">
      <c r="A784" s="6"/>
      <c r="B784" s="6"/>
      <c r="C784" s="102"/>
      <c r="D784" s="102"/>
      <c r="E784" s="102"/>
      <c r="F784" s="103"/>
      <c r="G784" s="6"/>
      <c r="H784" s="103"/>
      <c r="I784" s="6"/>
      <c r="J784" s="141"/>
      <c r="K784" s="141"/>
      <c r="L784" s="141"/>
      <c r="M784" s="141"/>
    </row>
    <row r="785" spans="1:13" x14ac:dyDescent="0.25">
      <c r="A785" s="6"/>
      <c r="B785" s="6"/>
      <c r="C785" s="102"/>
      <c r="D785" s="102"/>
      <c r="E785" s="102"/>
      <c r="F785" s="103"/>
      <c r="G785" s="6"/>
      <c r="H785" s="103"/>
      <c r="I785" s="6"/>
      <c r="J785" s="141"/>
      <c r="K785" s="141"/>
      <c r="L785" s="141"/>
      <c r="M785" s="141"/>
    </row>
    <row r="786" spans="1:13" x14ac:dyDescent="0.25">
      <c r="A786" s="6"/>
      <c r="B786" s="6"/>
      <c r="C786" s="102"/>
      <c r="D786" s="102"/>
      <c r="E786" s="102"/>
      <c r="F786" s="103"/>
      <c r="G786" s="6"/>
      <c r="H786" s="103"/>
      <c r="I786" s="6"/>
      <c r="J786" s="141"/>
      <c r="K786" s="141"/>
      <c r="L786" s="141"/>
      <c r="M786" s="141"/>
    </row>
    <row r="787" spans="1:13" x14ac:dyDescent="0.25">
      <c r="A787" s="6"/>
      <c r="B787" s="6"/>
      <c r="C787" s="102"/>
      <c r="D787" s="102"/>
      <c r="E787" s="102"/>
      <c r="F787" s="103"/>
      <c r="G787" s="6"/>
      <c r="H787" s="103"/>
      <c r="I787" s="6"/>
      <c r="J787" s="141"/>
      <c r="K787" s="141"/>
      <c r="L787" s="141"/>
      <c r="M787" s="141"/>
    </row>
    <row r="788" spans="1:13" x14ac:dyDescent="0.25">
      <c r="A788" s="6"/>
      <c r="B788" s="6"/>
      <c r="C788" s="102"/>
      <c r="D788" s="102"/>
      <c r="E788" s="102"/>
      <c r="F788" s="103"/>
      <c r="G788" s="6"/>
      <c r="H788" s="103"/>
      <c r="I788" s="6"/>
      <c r="J788" s="141"/>
      <c r="K788" s="141"/>
      <c r="L788" s="141"/>
      <c r="M788" s="141"/>
    </row>
    <row r="789" spans="1:13" x14ac:dyDescent="0.25">
      <c r="A789" s="6"/>
      <c r="B789" s="6"/>
      <c r="C789" s="102"/>
      <c r="D789" s="102"/>
      <c r="E789" s="102"/>
      <c r="F789" s="103"/>
      <c r="G789" s="6"/>
      <c r="H789" s="103"/>
      <c r="I789" s="6"/>
      <c r="J789" s="141"/>
      <c r="K789" s="141"/>
      <c r="L789" s="141"/>
      <c r="M789" s="141"/>
    </row>
    <row r="790" spans="1:13" x14ac:dyDescent="0.25">
      <c r="A790" s="6"/>
      <c r="B790" s="6"/>
      <c r="C790" s="102"/>
      <c r="D790" s="102"/>
      <c r="E790" s="102"/>
      <c r="F790" s="103"/>
      <c r="G790" s="6"/>
      <c r="H790" s="103"/>
      <c r="I790" s="6"/>
      <c r="J790" s="141"/>
      <c r="K790" s="141"/>
      <c r="L790" s="141"/>
      <c r="M790" s="141"/>
    </row>
    <row r="791" spans="1:13" x14ac:dyDescent="0.25">
      <c r="A791" s="6"/>
      <c r="B791" s="6"/>
      <c r="C791" s="102"/>
      <c r="D791" s="102"/>
      <c r="E791" s="102"/>
      <c r="F791" s="103"/>
      <c r="G791" s="6"/>
      <c r="H791" s="103"/>
      <c r="I791" s="6"/>
      <c r="J791" s="141"/>
      <c r="K791" s="141"/>
      <c r="L791" s="141"/>
      <c r="M791" s="141"/>
    </row>
    <row r="792" spans="1:13" x14ac:dyDescent="0.25">
      <c r="A792" s="6"/>
      <c r="B792" s="6"/>
      <c r="C792" s="102"/>
      <c r="D792" s="102"/>
      <c r="E792" s="102"/>
      <c r="F792" s="103"/>
      <c r="G792" s="6"/>
      <c r="H792" s="103"/>
      <c r="I792" s="6"/>
      <c r="J792" s="141"/>
      <c r="K792" s="141"/>
      <c r="L792" s="141"/>
      <c r="M792" s="141"/>
    </row>
    <row r="793" spans="1:13" x14ac:dyDescent="0.25">
      <c r="A793" s="6"/>
      <c r="B793" s="6"/>
      <c r="C793" s="102"/>
      <c r="D793" s="102"/>
      <c r="E793" s="102"/>
      <c r="F793" s="103"/>
      <c r="G793" s="6"/>
      <c r="H793" s="103"/>
      <c r="I793" s="6"/>
      <c r="J793" s="141"/>
      <c r="K793" s="141"/>
      <c r="L793" s="141"/>
      <c r="M793" s="141"/>
    </row>
    <row r="794" spans="1:13" x14ac:dyDescent="0.25">
      <c r="A794" s="6"/>
      <c r="B794" s="6"/>
      <c r="C794" s="102"/>
      <c r="D794" s="102"/>
      <c r="E794" s="102"/>
      <c r="F794" s="103"/>
      <c r="G794" s="6"/>
      <c r="H794" s="103"/>
      <c r="I794" s="6"/>
      <c r="J794" s="141"/>
      <c r="K794" s="141"/>
      <c r="L794" s="141"/>
      <c r="M794" s="141"/>
    </row>
    <row r="795" spans="1:13" x14ac:dyDescent="0.25">
      <c r="A795" s="6"/>
      <c r="B795" s="6"/>
      <c r="C795" s="102"/>
      <c r="D795" s="102"/>
      <c r="E795" s="102"/>
      <c r="F795" s="103"/>
      <c r="G795" s="6"/>
      <c r="H795" s="103"/>
      <c r="I795" s="6"/>
      <c r="J795" s="141"/>
      <c r="K795" s="141"/>
      <c r="L795" s="141"/>
      <c r="M795" s="141"/>
    </row>
    <row r="796" spans="1:13" x14ac:dyDescent="0.25">
      <c r="A796" s="6"/>
      <c r="B796" s="6"/>
      <c r="C796" s="102"/>
      <c r="D796" s="102"/>
      <c r="E796" s="102"/>
      <c r="F796" s="103"/>
      <c r="G796" s="6"/>
      <c r="H796" s="103"/>
      <c r="I796" s="6"/>
      <c r="J796" s="141"/>
      <c r="K796" s="141"/>
      <c r="L796" s="141"/>
      <c r="M796" s="141"/>
    </row>
    <row r="797" spans="1:13" x14ac:dyDescent="0.25">
      <c r="A797" s="6"/>
      <c r="B797" s="6"/>
      <c r="C797" s="102"/>
      <c r="D797" s="102"/>
      <c r="E797" s="102"/>
      <c r="F797" s="103"/>
      <c r="G797" s="6"/>
      <c r="H797" s="103"/>
      <c r="I797" s="6"/>
      <c r="J797" s="141"/>
      <c r="K797" s="141"/>
      <c r="L797" s="141"/>
      <c r="M797" s="141"/>
    </row>
    <row r="798" spans="1:13" x14ac:dyDescent="0.25">
      <c r="A798" s="6"/>
      <c r="B798" s="6"/>
      <c r="C798" s="102"/>
      <c r="D798" s="102"/>
      <c r="E798" s="102"/>
      <c r="F798" s="103"/>
      <c r="G798" s="6"/>
      <c r="H798" s="103"/>
      <c r="I798" s="6"/>
      <c r="J798" s="141"/>
      <c r="K798" s="141"/>
      <c r="L798" s="141"/>
      <c r="M798" s="141"/>
    </row>
    <row r="799" spans="1:13" x14ac:dyDescent="0.25">
      <c r="A799" s="6"/>
      <c r="B799" s="6"/>
      <c r="C799" s="102"/>
      <c r="D799" s="102"/>
      <c r="E799" s="102"/>
      <c r="F799" s="103"/>
      <c r="G799" s="6"/>
      <c r="H799" s="103"/>
      <c r="I799" s="6"/>
      <c r="J799" s="141"/>
      <c r="K799" s="141"/>
      <c r="L799" s="141"/>
      <c r="M799" s="141"/>
    </row>
    <row r="800" spans="1:13" x14ac:dyDescent="0.25">
      <c r="A800" s="6"/>
      <c r="B800" s="6"/>
      <c r="C800" s="102"/>
      <c r="D800" s="102"/>
      <c r="E800" s="102"/>
      <c r="F800" s="103"/>
      <c r="G800" s="6"/>
      <c r="H800" s="103"/>
      <c r="I800" s="6"/>
      <c r="J800" s="141"/>
      <c r="K800" s="141"/>
      <c r="L800" s="141"/>
      <c r="M800" s="141"/>
    </row>
    <row r="801" spans="1:13" x14ac:dyDescent="0.25">
      <c r="A801" s="6"/>
      <c r="B801" s="6"/>
      <c r="C801" s="102"/>
      <c r="D801" s="102"/>
      <c r="E801" s="102"/>
      <c r="F801" s="103"/>
      <c r="G801" s="6"/>
      <c r="H801" s="103"/>
      <c r="I801" s="6"/>
      <c r="J801" s="141"/>
      <c r="K801" s="141"/>
      <c r="L801" s="141"/>
      <c r="M801" s="141"/>
    </row>
    <row r="802" spans="1:13" x14ac:dyDescent="0.25">
      <c r="A802" s="6"/>
      <c r="B802" s="6"/>
      <c r="C802" s="102"/>
      <c r="D802" s="102"/>
      <c r="E802" s="102"/>
      <c r="F802" s="103"/>
      <c r="G802" s="6"/>
      <c r="H802" s="103"/>
      <c r="I802" s="6"/>
      <c r="J802" s="141"/>
      <c r="K802" s="141"/>
      <c r="L802" s="141"/>
      <c r="M802" s="141"/>
    </row>
    <row r="803" spans="1:13" x14ac:dyDescent="0.25">
      <c r="A803" s="6"/>
      <c r="B803" s="6"/>
      <c r="C803" s="102"/>
      <c r="D803" s="102"/>
      <c r="E803" s="102"/>
      <c r="F803" s="103"/>
      <c r="G803" s="6"/>
      <c r="H803" s="103"/>
      <c r="I803" s="6"/>
      <c r="J803" s="141"/>
      <c r="K803" s="141"/>
      <c r="L803" s="141"/>
      <c r="M803" s="141"/>
    </row>
    <row r="804" spans="1:13" x14ac:dyDescent="0.25">
      <c r="A804" s="6"/>
      <c r="B804" s="6"/>
      <c r="C804" s="102"/>
      <c r="D804" s="102"/>
      <c r="E804" s="102"/>
      <c r="F804" s="103"/>
      <c r="G804" s="6"/>
      <c r="H804" s="103"/>
      <c r="I804" s="6"/>
      <c r="J804" s="141"/>
      <c r="K804" s="141"/>
      <c r="L804" s="141"/>
      <c r="M804" s="141"/>
    </row>
    <row r="805" spans="1:13" x14ac:dyDescent="0.25">
      <c r="A805" s="6"/>
      <c r="B805" s="6"/>
      <c r="C805" s="102"/>
      <c r="D805" s="102"/>
      <c r="E805" s="102"/>
      <c r="F805" s="103"/>
      <c r="G805" s="6"/>
      <c r="H805" s="103"/>
      <c r="I805" s="6"/>
      <c r="J805" s="141"/>
      <c r="K805" s="141"/>
      <c r="L805" s="141"/>
      <c r="M805" s="141"/>
    </row>
    <row r="806" spans="1:13" x14ac:dyDescent="0.25">
      <c r="A806" s="6"/>
      <c r="B806" s="6"/>
      <c r="C806" s="102"/>
      <c r="D806" s="102"/>
      <c r="E806" s="102"/>
      <c r="F806" s="103"/>
      <c r="G806" s="6"/>
      <c r="H806" s="103"/>
      <c r="I806" s="6"/>
      <c r="J806" s="141"/>
      <c r="K806" s="141"/>
      <c r="L806" s="141"/>
      <c r="M806" s="141"/>
    </row>
    <row r="807" spans="1:13" x14ac:dyDescent="0.25">
      <c r="A807" s="6"/>
      <c r="B807" s="6"/>
      <c r="C807" s="102"/>
      <c r="D807" s="102"/>
      <c r="E807" s="102"/>
      <c r="F807" s="103"/>
      <c r="G807" s="6"/>
      <c r="H807" s="103"/>
      <c r="I807" s="6"/>
      <c r="J807" s="141"/>
      <c r="K807" s="141"/>
      <c r="L807" s="141"/>
      <c r="M807" s="141"/>
    </row>
    <row r="808" spans="1:13" x14ac:dyDescent="0.25">
      <c r="A808" s="6"/>
      <c r="B808" s="6"/>
      <c r="C808" s="102"/>
      <c r="D808" s="102"/>
      <c r="E808" s="102"/>
      <c r="F808" s="103"/>
      <c r="G808" s="6"/>
      <c r="H808" s="103"/>
      <c r="I808" s="6"/>
      <c r="J808" s="141"/>
      <c r="K808" s="141"/>
      <c r="L808" s="141"/>
      <c r="M808" s="141"/>
    </row>
    <row r="809" spans="1:13" x14ac:dyDescent="0.25">
      <c r="A809" s="6"/>
      <c r="B809" s="6"/>
      <c r="C809" s="102"/>
      <c r="D809" s="102"/>
      <c r="E809" s="102"/>
      <c r="F809" s="103"/>
      <c r="G809" s="6"/>
      <c r="H809" s="103"/>
      <c r="I809" s="6"/>
      <c r="J809" s="141"/>
      <c r="K809" s="141"/>
      <c r="L809" s="141"/>
      <c r="M809" s="141"/>
    </row>
    <row r="810" spans="1:13" x14ac:dyDescent="0.25">
      <c r="A810" s="6"/>
      <c r="B810" s="6"/>
      <c r="C810" s="102"/>
      <c r="D810" s="102"/>
      <c r="E810" s="102"/>
      <c r="F810" s="103"/>
      <c r="G810" s="6"/>
      <c r="H810" s="103"/>
      <c r="I810" s="6"/>
      <c r="J810" s="141"/>
      <c r="K810" s="141"/>
      <c r="L810" s="141"/>
      <c r="M810" s="141"/>
    </row>
    <row r="811" spans="1:13" x14ac:dyDescent="0.25">
      <c r="A811" s="6"/>
      <c r="B811" s="6"/>
      <c r="C811" s="102"/>
      <c r="D811" s="102"/>
      <c r="E811" s="102"/>
      <c r="F811" s="103"/>
      <c r="G811" s="6"/>
      <c r="H811" s="103"/>
      <c r="I811" s="6"/>
      <c r="J811" s="141"/>
      <c r="K811" s="141"/>
      <c r="L811" s="141"/>
      <c r="M811" s="141"/>
    </row>
    <row r="812" spans="1:13" x14ac:dyDescent="0.25">
      <c r="A812" s="6"/>
      <c r="B812" s="6"/>
      <c r="C812" s="102"/>
      <c r="D812" s="102"/>
      <c r="E812" s="102"/>
      <c r="F812" s="103"/>
      <c r="G812" s="6"/>
      <c r="H812" s="103"/>
      <c r="I812" s="6"/>
      <c r="J812" s="141"/>
      <c r="K812" s="141"/>
      <c r="L812" s="141"/>
      <c r="M812" s="141"/>
    </row>
    <row r="813" spans="1:13" x14ac:dyDescent="0.25">
      <c r="A813" s="6"/>
      <c r="B813" s="6"/>
      <c r="C813" s="102"/>
      <c r="D813" s="102"/>
      <c r="E813" s="102"/>
      <c r="F813" s="103"/>
      <c r="G813" s="6"/>
      <c r="H813" s="103"/>
      <c r="I813" s="6"/>
      <c r="J813" s="141"/>
      <c r="K813" s="141"/>
      <c r="L813" s="141"/>
      <c r="M813" s="141"/>
    </row>
    <row r="814" spans="1:13" x14ac:dyDescent="0.25">
      <c r="A814" s="6"/>
      <c r="B814" s="6"/>
      <c r="C814" s="102"/>
      <c r="D814" s="102"/>
      <c r="E814" s="102"/>
      <c r="F814" s="103"/>
      <c r="G814" s="6"/>
      <c r="H814" s="103"/>
      <c r="I814" s="6"/>
      <c r="J814" s="141"/>
      <c r="K814" s="141"/>
      <c r="L814" s="141"/>
      <c r="M814" s="141"/>
    </row>
    <row r="815" spans="1:13" x14ac:dyDescent="0.25">
      <c r="A815" s="6"/>
      <c r="B815" s="6"/>
      <c r="C815" s="102"/>
      <c r="D815" s="102"/>
      <c r="E815" s="102"/>
      <c r="F815" s="103"/>
      <c r="G815" s="6"/>
      <c r="H815" s="103"/>
      <c r="I815" s="6"/>
      <c r="J815" s="141"/>
      <c r="K815" s="141"/>
      <c r="L815" s="141"/>
      <c r="M815" s="141"/>
    </row>
    <row r="816" spans="1:13" x14ac:dyDescent="0.25">
      <c r="A816" s="6"/>
      <c r="B816" s="6"/>
      <c r="C816" s="102"/>
      <c r="D816" s="102"/>
      <c r="E816" s="102"/>
      <c r="F816" s="103"/>
      <c r="G816" s="6"/>
      <c r="H816" s="103"/>
      <c r="I816" s="6"/>
      <c r="J816" s="141"/>
      <c r="K816" s="141"/>
      <c r="L816" s="141"/>
      <c r="M816" s="141"/>
    </row>
    <row r="817" spans="1:13" x14ac:dyDescent="0.25">
      <c r="A817" s="6"/>
      <c r="B817" s="6"/>
      <c r="C817" s="102"/>
      <c r="D817" s="102"/>
      <c r="E817" s="102"/>
      <c r="F817" s="103"/>
      <c r="G817" s="6"/>
      <c r="H817" s="103"/>
      <c r="I817" s="6"/>
      <c r="J817" s="141"/>
      <c r="K817" s="141"/>
      <c r="L817" s="141"/>
      <c r="M817" s="141"/>
    </row>
    <row r="818" spans="1:13" x14ac:dyDescent="0.25">
      <c r="A818" s="6"/>
      <c r="B818" s="6"/>
      <c r="C818" s="102"/>
      <c r="D818" s="102"/>
      <c r="E818" s="102"/>
      <c r="F818" s="103"/>
      <c r="G818" s="6"/>
      <c r="H818" s="103"/>
      <c r="I818" s="6"/>
      <c r="J818" s="141"/>
      <c r="K818" s="141"/>
      <c r="L818" s="141"/>
      <c r="M818" s="141"/>
    </row>
    <row r="819" spans="1:13" x14ac:dyDescent="0.25">
      <c r="A819" s="6"/>
      <c r="B819" s="6"/>
      <c r="C819" s="102"/>
      <c r="D819" s="102"/>
      <c r="E819" s="102"/>
      <c r="F819" s="103"/>
      <c r="G819" s="6"/>
      <c r="H819" s="103"/>
      <c r="I819" s="6"/>
      <c r="J819" s="141"/>
      <c r="K819" s="141"/>
      <c r="L819" s="141"/>
      <c r="M819" s="141"/>
    </row>
    <row r="820" spans="1:13" x14ac:dyDescent="0.25">
      <c r="A820" s="6"/>
      <c r="B820" s="6"/>
      <c r="C820" s="102"/>
      <c r="D820" s="102"/>
      <c r="E820" s="102"/>
      <c r="F820" s="103"/>
      <c r="G820" s="6"/>
      <c r="H820" s="103"/>
      <c r="I820" s="6"/>
      <c r="J820" s="141"/>
      <c r="K820" s="141"/>
      <c r="L820" s="141"/>
      <c r="M820" s="141"/>
    </row>
    <row r="821" spans="1:13" x14ac:dyDescent="0.25">
      <c r="A821" s="6"/>
      <c r="B821" s="6"/>
      <c r="C821" s="102"/>
      <c r="D821" s="102"/>
      <c r="E821" s="102"/>
      <c r="F821" s="103"/>
      <c r="G821" s="6"/>
      <c r="H821" s="103"/>
      <c r="I821" s="6"/>
      <c r="J821" s="141"/>
      <c r="K821" s="141"/>
      <c r="L821" s="141"/>
      <c r="M821" s="141"/>
    </row>
    <row r="822" spans="1:13" x14ac:dyDescent="0.25">
      <c r="A822" s="6"/>
      <c r="B822" s="6"/>
      <c r="C822" s="102"/>
      <c r="D822" s="102"/>
      <c r="E822" s="102"/>
      <c r="F822" s="103"/>
      <c r="G822" s="6"/>
      <c r="H822" s="103"/>
      <c r="I822" s="6"/>
      <c r="J822" s="141"/>
      <c r="K822" s="141"/>
      <c r="L822" s="141"/>
      <c r="M822" s="141"/>
    </row>
    <row r="823" spans="1:13" x14ac:dyDescent="0.25">
      <c r="A823" s="6"/>
      <c r="B823" s="6"/>
      <c r="C823" s="102"/>
      <c r="D823" s="102"/>
      <c r="E823" s="102"/>
      <c r="F823" s="103"/>
      <c r="G823" s="6"/>
      <c r="H823" s="103"/>
      <c r="I823" s="6"/>
      <c r="J823" s="141"/>
      <c r="K823" s="141"/>
      <c r="L823" s="141"/>
      <c r="M823" s="141"/>
    </row>
    <row r="824" spans="1:13" x14ac:dyDescent="0.25">
      <c r="A824" s="6"/>
      <c r="B824" s="6"/>
      <c r="C824" s="102"/>
      <c r="D824" s="102"/>
      <c r="E824" s="102"/>
      <c r="F824" s="103"/>
      <c r="G824" s="6"/>
      <c r="H824" s="103"/>
      <c r="I824" s="6"/>
      <c r="J824" s="141"/>
      <c r="K824" s="141"/>
      <c r="L824" s="141"/>
      <c r="M824" s="141"/>
    </row>
    <row r="825" spans="1:13" x14ac:dyDescent="0.25">
      <c r="A825" s="6"/>
      <c r="B825" s="6"/>
      <c r="C825" s="102"/>
      <c r="D825" s="102"/>
      <c r="E825" s="102"/>
      <c r="F825" s="103"/>
      <c r="G825" s="6"/>
      <c r="H825" s="103"/>
      <c r="I825" s="6"/>
      <c r="J825" s="141"/>
      <c r="K825" s="141"/>
      <c r="L825" s="141"/>
      <c r="M825" s="141"/>
    </row>
    <row r="826" spans="1:13" x14ac:dyDescent="0.25">
      <c r="A826" s="6"/>
      <c r="B826" s="6"/>
      <c r="C826" s="102"/>
      <c r="D826" s="102"/>
      <c r="E826" s="102"/>
      <c r="F826" s="103"/>
      <c r="G826" s="6"/>
      <c r="H826" s="103"/>
      <c r="I826" s="6"/>
      <c r="J826" s="141"/>
      <c r="K826" s="141"/>
      <c r="L826" s="141"/>
      <c r="M826" s="141"/>
    </row>
    <row r="827" spans="1:13" x14ac:dyDescent="0.25">
      <c r="A827" s="6"/>
      <c r="B827" s="6"/>
      <c r="C827" s="102"/>
      <c r="D827" s="102"/>
      <c r="E827" s="102"/>
      <c r="F827" s="103"/>
      <c r="G827" s="6"/>
      <c r="H827" s="103"/>
      <c r="I827" s="6"/>
      <c r="J827" s="141"/>
      <c r="K827" s="141"/>
      <c r="L827" s="141"/>
      <c r="M827" s="141"/>
    </row>
    <row r="828" spans="1:13" x14ac:dyDescent="0.25">
      <c r="A828" s="6"/>
      <c r="B828" s="6"/>
      <c r="C828" s="102"/>
      <c r="D828" s="102"/>
      <c r="E828" s="102"/>
      <c r="F828" s="103"/>
      <c r="G828" s="6"/>
      <c r="H828" s="103"/>
      <c r="I828" s="6"/>
      <c r="J828" s="141"/>
      <c r="K828" s="141"/>
      <c r="L828" s="141"/>
      <c r="M828" s="141"/>
    </row>
    <row r="829" spans="1:13" x14ac:dyDescent="0.25">
      <c r="A829" s="6"/>
      <c r="B829" s="6"/>
      <c r="C829" s="102"/>
      <c r="D829" s="102"/>
      <c r="E829" s="102"/>
      <c r="F829" s="103"/>
      <c r="G829" s="6"/>
      <c r="H829" s="103"/>
      <c r="I829" s="6"/>
      <c r="J829" s="141"/>
      <c r="K829" s="141"/>
      <c r="L829" s="141"/>
      <c r="M829" s="141"/>
    </row>
    <row r="830" spans="1:13" x14ac:dyDescent="0.25">
      <c r="A830" s="6"/>
      <c r="B830" s="6"/>
      <c r="C830" s="102"/>
      <c r="D830" s="102"/>
      <c r="E830" s="102"/>
      <c r="F830" s="103"/>
      <c r="G830" s="6"/>
      <c r="H830" s="103"/>
      <c r="I830" s="6"/>
      <c r="J830" s="141"/>
      <c r="K830" s="141"/>
      <c r="L830" s="141"/>
      <c r="M830" s="141"/>
    </row>
    <row r="831" spans="1:13" x14ac:dyDescent="0.25">
      <c r="A831" s="6"/>
      <c r="B831" s="6"/>
      <c r="C831" s="102"/>
      <c r="D831" s="102"/>
      <c r="E831" s="102"/>
      <c r="F831" s="103"/>
      <c r="G831" s="6"/>
      <c r="H831" s="103"/>
      <c r="I831" s="6"/>
      <c r="J831" s="141"/>
      <c r="K831" s="141"/>
      <c r="L831" s="141"/>
      <c r="M831" s="141"/>
    </row>
    <row r="832" spans="1:13" x14ac:dyDescent="0.25">
      <c r="A832" s="6"/>
      <c r="B832" s="6"/>
      <c r="C832" s="102"/>
      <c r="D832" s="102"/>
      <c r="E832" s="102"/>
      <c r="F832" s="103"/>
      <c r="G832" s="6"/>
      <c r="H832" s="103"/>
      <c r="I832" s="6"/>
      <c r="J832" s="141"/>
      <c r="K832" s="141"/>
      <c r="L832" s="141"/>
      <c r="M832" s="141"/>
    </row>
    <row r="833" spans="1:13" x14ac:dyDescent="0.25">
      <c r="A833" s="6"/>
      <c r="B833" s="6"/>
      <c r="C833" s="102"/>
      <c r="D833" s="102"/>
      <c r="E833" s="102"/>
      <c r="F833" s="103"/>
      <c r="G833" s="6"/>
      <c r="H833" s="103"/>
      <c r="I833" s="6"/>
      <c r="J833" s="141"/>
      <c r="K833" s="141"/>
      <c r="L833" s="141"/>
      <c r="M833" s="141"/>
    </row>
    <row r="834" spans="1:13" x14ac:dyDescent="0.25">
      <c r="A834" s="6"/>
      <c r="B834" s="6"/>
      <c r="C834" s="102"/>
      <c r="D834" s="102"/>
      <c r="E834" s="102"/>
      <c r="F834" s="103"/>
      <c r="G834" s="6"/>
      <c r="H834" s="103"/>
      <c r="I834" s="6"/>
      <c r="J834" s="141"/>
      <c r="K834" s="141"/>
      <c r="L834" s="141"/>
      <c r="M834" s="141"/>
    </row>
    <row r="835" spans="1:13" x14ac:dyDescent="0.25">
      <c r="A835" s="6"/>
      <c r="B835" s="6"/>
      <c r="C835" s="102"/>
      <c r="D835" s="102"/>
      <c r="E835" s="102"/>
      <c r="F835" s="103"/>
      <c r="G835" s="6"/>
      <c r="H835" s="103"/>
      <c r="I835" s="6"/>
      <c r="J835" s="141"/>
      <c r="K835" s="141"/>
      <c r="L835" s="141"/>
      <c r="M835" s="141"/>
    </row>
    <row r="836" spans="1:13" x14ac:dyDescent="0.25">
      <c r="A836" s="6"/>
      <c r="B836" s="6"/>
      <c r="C836" s="102"/>
      <c r="D836" s="102"/>
      <c r="E836" s="102"/>
      <c r="F836" s="103"/>
      <c r="G836" s="6"/>
      <c r="H836" s="103"/>
      <c r="I836" s="6"/>
      <c r="J836" s="141"/>
      <c r="K836" s="141"/>
      <c r="L836" s="141"/>
      <c r="M836" s="141"/>
    </row>
    <row r="837" spans="1:13" x14ac:dyDescent="0.25">
      <c r="A837" s="6"/>
      <c r="B837" s="6"/>
      <c r="C837" s="102"/>
      <c r="D837" s="102"/>
      <c r="E837" s="102"/>
      <c r="F837" s="103"/>
      <c r="G837" s="6"/>
      <c r="H837" s="103"/>
      <c r="I837" s="6"/>
      <c r="J837" s="141"/>
      <c r="K837" s="141"/>
      <c r="L837" s="141"/>
      <c r="M837" s="141"/>
    </row>
    <row r="838" spans="1:13" x14ac:dyDescent="0.25">
      <c r="A838" s="6"/>
      <c r="B838" s="6"/>
      <c r="C838" s="102"/>
      <c r="D838" s="102"/>
      <c r="E838" s="102"/>
      <c r="F838" s="103"/>
      <c r="G838" s="6"/>
      <c r="H838" s="103"/>
      <c r="I838" s="6"/>
      <c r="J838" s="141"/>
      <c r="K838" s="141"/>
      <c r="L838" s="141"/>
      <c r="M838" s="141"/>
    </row>
    <row r="839" spans="1:13" x14ac:dyDescent="0.25">
      <c r="A839" s="6"/>
      <c r="B839" s="6"/>
      <c r="C839" s="102"/>
      <c r="D839" s="102"/>
      <c r="E839" s="102"/>
      <c r="F839" s="103"/>
      <c r="G839" s="6"/>
      <c r="H839" s="103"/>
      <c r="I839" s="6"/>
      <c r="J839" s="141"/>
      <c r="K839" s="141"/>
      <c r="L839" s="141"/>
      <c r="M839" s="141"/>
    </row>
    <row r="840" spans="1:13" x14ac:dyDescent="0.25">
      <c r="A840" s="6"/>
      <c r="B840" s="6"/>
      <c r="C840" s="102"/>
      <c r="D840" s="102"/>
      <c r="E840" s="102"/>
      <c r="F840" s="103"/>
      <c r="G840" s="6"/>
      <c r="H840" s="103"/>
      <c r="I840" s="6"/>
      <c r="J840" s="141"/>
      <c r="K840" s="141"/>
      <c r="L840" s="141"/>
      <c r="M840" s="141"/>
    </row>
    <row r="841" spans="1:13" x14ac:dyDescent="0.25">
      <c r="A841" s="6"/>
      <c r="B841" s="6"/>
      <c r="C841" s="102"/>
      <c r="D841" s="102"/>
      <c r="E841" s="102"/>
      <c r="F841" s="103"/>
      <c r="G841" s="6"/>
      <c r="H841" s="103"/>
      <c r="I841" s="6"/>
      <c r="J841" s="141"/>
      <c r="K841" s="141"/>
      <c r="L841" s="141"/>
      <c r="M841" s="141"/>
    </row>
    <row r="842" spans="1:13" x14ac:dyDescent="0.25">
      <c r="A842" s="6"/>
      <c r="B842" s="6"/>
      <c r="C842" s="102"/>
      <c r="D842" s="102"/>
      <c r="E842" s="102"/>
      <c r="F842" s="103"/>
      <c r="G842" s="6"/>
      <c r="H842" s="103"/>
      <c r="I842" s="6"/>
      <c r="J842" s="141"/>
      <c r="K842" s="141"/>
      <c r="L842" s="141"/>
      <c r="M842" s="141"/>
    </row>
    <row r="843" spans="1:13" x14ac:dyDescent="0.25">
      <c r="A843" s="6"/>
      <c r="B843" s="6"/>
      <c r="C843" s="102"/>
      <c r="D843" s="102"/>
      <c r="E843" s="102"/>
      <c r="F843" s="103"/>
      <c r="G843" s="6"/>
      <c r="H843" s="103"/>
      <c r="I843" s="6"/>
      <c r="J843" s="141"/>
      <c r="K843" s="141"/>
      <c r="L843" s="141"/>
      <c r="M843" s="141"/>
    </row>
    <row r="844" spans="1:13" x14ac:dyDescent="0.25">
      <c r="A844" s="6"/>
      <c r="B844" s="6"/>
      <c r="C844" s="102"/>
      <c r="D844" s="102"/>
      <c r="E844" s="102"/>
      <c r="F844" s="103"/>
      <c r="G844" s="6"/>
      <c r="H844" s="103"/>
      <c r="I844" s="6"/>
      <c r="J844" s="141"/>
      <c r="K844" s="141"/>
      <c r="L844" s="141"/>
      <c r="M844" s="141"/>
    </row>
    <row r="845" spans="1:13" x14ac:dyDescent="0.25">
      <c r="A845" s="6"/>
      <c r="B845" s="6"/>
      <c r="C845" s="102"/>
      <c r="D845" s="102"/>
      <c r="E845" s="102"/>
      <c r="F845" s="103"/>
      <c r="G845" s="6"/>
      <c r="H845" s="103"/>
      <c r="I845" s="6"/>
      <c r="J845" s="141"/>
      <c r="K845" s="141"/>
      <c r="L845" s="141"/>
      <c r="M845" s="141"/>
    </row>
    <row r="846" spans="1:13" x14ac:dyDescent="0.25">
      <c r="A846" s="6"/>
      <c r="B846" s="6"/>
      <c r="C846" s="102"/>
      <c r="D846" s="102"/>
      <c r="E846" s="102"/>
      <c r="F846" s="103"/>
      <c r="G846" s="6"/>
      <c r="H846" s="103"/>
      <c r="I846" s="6"/>
      <c r="J846" s="141"/>
      <c r="K846" s="141"/>
      <c r="L846" s="141"/>
      <c r="M846" s="141"/>
    </row>
    <row r="847" spans="1:13" x14ac:dyDescent="0.25">
      <c r="A847" s="6"/>
      <c r="B847" s="6"/>
      <c r="C847" s="102"/>
      <c r="D847" s="102"/>
      <c r="E847" s="102"/>
      <c r="F847" s="103"/>
      <c r="G847" s="6"/>
      <c r="H847" s="103"/>
      <c r="I847" s="6"/>
      <c r="J847" s="141"/>
      <c r="K847" s="141"/>
      <c r="L847" s="141"/>
      <c r="M847" s="141"/>
    </row>
    <row r="848" spans="1:13" x14ac:dyDescent="0.25">
      <c r="A848" s="6"/>
      <c r="B848" s="6"/>
      <c r="C848" s="102"/>
      <c r="D848" s="102"/>
      <c r="E848" s="102"/>
      <c r="F848" s="103"/>
      <c r="G848" s="6"/>
      <c r="H848" s="103"/>
      <c r="I848" s="6"/>
      <c r="J848" s="141"/>
      <c r="K848" s="141"/>
      <c r="L848" s="141"/>
      <c r="M848" s="141"/>
    </row>
    <row r="849" spans="1:13" x14ac:dyDescent="0.25">
      <c r="A849" s="6"/>
      <c r="B849" s="6"/>
      <c r="C849" s="102"/>
      <c r="D849" s="102"/>
      <c r="E849" s="102"/>
      <c r="F849" s="103"/>
      <c r="G849" s="6"/>
      <c r="H849" s="103"/>
      <c r="I849" s="6"/>
      <c r="J849" s="141"/>
      <c r="K849" s="141"/>
      <c r="L849" s="141"/>
      <c r="M849" s="141"/>
    </row>
    <row r="850" spans="1:13" x14ac:dyDescent="0.25">
      <c r="A850" s="6"/>
      <c r="B850" s="6"/>
      <c r="C850" s="102"/>
      <c r="D850" s="102"/>
      <c r="E850" s="102"/>
      <c r="F850" s="103"/>
      <c r="G850" s="6"/>
      <c r="H850" s="103"/>
      <c r="I850" s="6"/>
      <c r="J850" s="141"/>
      <c r="K850" s="141"/>
      <c r="L850" s="141"/>
      <c r="M850" s="141"/>
    </row>
    <row r="851" spans="1:13" x14ac:dyDescent="0.25">
      <c r="A851" s="6"/>
      <c r="B851" s="6"/>
      <c r="C851" s="102"/>
      <c r="D851" s="102"/>
      <c r="E851" s="102"/>
      <c r="F851" s="103"/>
      <c r="G851" s="6"/>
      <c r="H851" s="103"/>
      <c r="I851" s="6"/>
      <c r="J851" s="141"/>
      <c r="K851" s="141"/>
      <c r="L851" s="141"/>
      <c r="M851" s="141"/>
    </row>
    <row r="852" spans="1:13" x14ac:dyDescent="0.25">
      <c r="A852" s="6"/>
      <c r="B852" s="6"/>
      <c r="C852" s="102"/>
      <c r="D852" s="102"/>
      <c r="E852" s="102"/>
      <c r="F852" s="103"/>
      <c r="G852" s="6"/>
      <c r="H852" s="103"/>
      <c r="I852" s="6"/>
      <c r="J852" s="141"/>
      <c r="K852" s="141"/>
      <c r="L852" s="141"/>
      <c r="M852" s="141"/>
    </row>
    <row r="853" spans="1:13" x14ac:dyDescent="0.25">
      <c r="A853" s="6"/>
      <c r="B853" s="6"/>
      <c r="C853" s="102"/>
      <c r="D853" s="102"/>
      <c r="E853" s="102"/>
      <c r="F853" s="103"/>
      <c r="G853" s="6"/>
      <c r="H853" s="103"/>
      <c r="I853" s="6"/>
      <c r="J853" s="141"/>
      <c r="K853" s="141"/>
      <c r="L853" s="141"/>
      <c r="M853" s="141"/>
    </row>
    <row r="854" spans="1:13" x14ac:dyDescent="0.25">
      <c r="A854" s="6"/>
      <c r="B854" s="6"/>
      <c r="C854" s="102"/>
      <c r="D854" s="102"/>
      <c r="E854" s="102"/>
      <c r="F854" s="103"/>
      <c r="G854" s="6"/>
      <c r="H854" s="103"/>
      <c r="I854" s="6"/>
      <c r="J854" s="141"/>
      <c r="K854" s="141"/>
      <c r="L854" s="141"/>
      <c r="M854" s="141"/>
    </row>
    <row r="855" spans="1:13" x14ac:dyDescent="0.25">
      <c r="A855" s="6"/>
      <c r="B855" s="6"/>
      <c r="C855" s="102"/>
      <c r="D855" s="102"/>
      <c r="E855" s="102"/>
      <c r="F855" s="103"/>
      <c r="G855" s="6"/>
      <c r="H855" s="103"/>
      <c r="I855" s="6"/>
      <c r="J855" s="141"/>
      <c r="K855" s="141"/>
      <c r="L855" s="141"/>
      <c r="M855" s="141"/>
    </row>
    <row r="856" spans="1:13" x14ac:dyDescent="0.25">
      <c r="A856" s="6"/>
      <c r="B856" s="6"/>
      <c r="C856" s="102"/>
      <c r="D856" s="102"/>
      <c r="E856" s="102"/>
      <c r="F856" s="103"/>
      <c r="G856" s="6"/>
      <c r="H856" s="103"/>
      <c r="I856" s="6"/>
      <c r="J856" s="141"/>
      <c r="K856" s="141"/>
      <c r="L856" s="141"/>
      <c r="M856" s="141"/>
    </row>
    <row r="857" spans="1:13" x14ac:dyDescent="0.25">
      <c r="A857" s="6"/>
      <c r="B857" s="6"/>
      <c r="C857" s="102"/>
      <c r="D857" s="102"/>
      <c r="E857" s="102"/>
      <c r="F857" s="103"/>
      <c r="G857" s="6"/>
      <c r="H857" s="103"/>
      <c r="I857" s="6"/>
      <c r="J857" s="141"/>
      <c r="K857" s="141"/>
      <c r="L857" s="141"/>
      <c r="M857" s="141"/>
    </row>
    <row r="858" spans="1:13" x14ac:dyDescent="0.25">
      <c r="A858" s="6"/>
      <c r="B858" s="6"/>
      <c r="C858" s="102"/>
      <c r="D858" s="102"/>
      <c r="E858" s="102"/>
      <c r="F858" s="103"/>
      <c r="G858" s="6"/>
      <c r="H858" s="103"/>
      <c r="I858" s="6"/>
      <c r="J858" s="141"/>
      <c r="K858" s="141"/>
      <c r="L858" s="141"/>
      <c r="M858" s="141"/>
    </row>
    <row r="859" spans="1:13" x14ac:dyDescent="0.25">
      <c r="A859" s="6"/>
      <c r="B859" s="6"/>
      <c r="C859" s="102"/>
      <c r="D859" s="102"/>
      <c r="E859" s="102"/>
      <c r="F859" s="103"/>
      <c r="G859" s="6"/>
      <c r="H859" s="103"/>
      <c r="I859" s="6"/>
      <c r="J859" s="141"/>
      <c r="K859" s="141"/>
      <c r="L859" s="141"/>
      <c r="M859" s="141"/>
    </row>
    <row r="860" spans="1:13" x14ac:dyDescent="0.25">
      <c r="A860" s="6"/>
      <c r="B860" s="6"/>
      <c r="C860" s="102"/>
      <c r="D860" s="102"/>
      <c r="E860" s="102"/>
      <c r="F860" s="103"/>
      <c r="G860" s="6"/>
      <c r="H860" s="103"/>
      <c r="I860" s="6"/>
      <c r="J860" s="141"/>
      <c r="K860" s="141"/>
      <c r="L860" s="141"/>
      <c r="M860" s="141"/>
    </row>
    <row r="861" spans="1:13" x14ac:dyDescent="0.25">
      <c r="A861" s="6"/>
      <c r="B861" s="6"/>
      <c r="C861" s="102"/>
      <c r="D861" s="102"/>
      <c r="E861" s="102"/>
      <c r="F861" s="103"/>
      <c r="G861" s="6"/>
      <c r="H861" s="103"/>
      <c r="I861" s="6"/>
      <c r="J861" s="141"/>
      <c r="K861" s="141"/>
      <c r="L861" s="141"/>
      <c r="M861" s="141"/>
    </row>
    <row r="862" spans="1:13" x14ac:dyDescent="0.25">
      <c r="A862" s="6"/>
      <c r="B862" s="6"/>
      <c r="C862" s="102"/>
      <c r="D862" s="102"/>
      <c r="E862" s="102"/>
      <c r="F862" s="103"/>
      <c r="G862" s="6"/>
      <c r="H862" s="103"/>
      <c r="I862" s="6"/>
      <c r="J862" s="141"/>
      <c r="K862" s="141"/>
      <c r="L862" s="141"/>
      <c r="M862" s="141"/>
    </row>
    <row r="863" spans="1:13" x14ac:dyDescent="0.25">
      <c r="A863" s="6"/>
      <c r="B863" s="6"/>
      <c r="C863" s="102"/>
      <c r="D863" s="102"/>
      <c r="E863" s="102"/>
      <c r="F863" s="103"/>
      <c r="G863" s="6"/>
      <c r="H863" s="103"/>
      <c r="I863" s="6"/>
      <c r="J863" s="141"/>
      <c r="K863" s="141"/>
      <c r="L863" s="141"/>
      <c r="M863" s="141"/>
    </row>
    <row r="864" spans="1:13" x14ac:dyDescent="0.25">
      <c r="A864" s="6"/>
      <c r="B864" s="6"/>
      <c r="C864" s="102"/>
      <c r="D864" s="102"/>
      <c r="E864" s="102"/>
      <c r="F864" s="103"/>
      <c r="G864" s="6"/>
      <c r="H864" s="103"/>
      <c r="I864" s="6"/>
      <c r="J864" s="141"/>
      <c r="K864" s="141"/>
      <c r="L864" s="141"/>
      <c r="M864" s="141"/>
    </row>
    <row r="865" spans="1:13" x14ac:dyDescent="0.25">
      <c r="A865" s="6"/>
      <c r="B865" s="6"/>
      <c r="C865" s="102"/>
      <c r="D865" s="102"/>
      <c r="E865" s="102"/>
      <c r="F865" s="103"/>
      <c r="G865" s="6"/>
      <c r="H865" s="103"/>
      <c r="I865" s="6"/>
      <c r="J865" s="141"/>
      <c r="K865" s="141"/>
      <c r="L865" s="141"/>
      <c r="M865" s="141"/>
    </row>
    <row r="866" spans="1:13" x14ac:dyDescent="0.25">
      <c r="A866" s="6"/>
      <c r="B866" s="6"/>
      <c r="C866" s="102"/>
      <c r="D866" s="102"/>
      <c r="E866" s="102"/>
      <c r="F866" s="103"/>
      <c r="G866" s="6"/>
      <c r="H866" s="103"/>
      <c r="I866" s="6"/>
      <c r="J866" s="141"/>
      <c r="K866" s="141"/>
      <c r="L866" s="141"/>
      <c r="M866" s="141"/>
    </row>
    <row r="867" spans="1:13" x14ac:dyDescent="0.25">
      <c r="A867" s="6"/>
      <c r="B867" s="6"/>
      <c r="C867" s="102"/>
      <c r="D867" s="102"/>
      <c r="E867" s="102"/>
      <c r="F867" s="103"/>
      <c r="G867" s="6"/>
      <c r="H867" s="103"/>
      <c r="I867" s="6"/>
      <c r="J867" s="141"/>
      <c r="K867" s="141"/>
      <c r="L867" s="141"/>
      <c r="M867" s="141"/>
    </row>
    <row r="868" spans="1:13" x14ac:dyDescent="0.25">
      <c r="A868" s="6"/>
      <c r="B868" s="6"/>
      <c r="C868" s="102"/>
      <c r="D868" s="102"/>
      <c r="E868" s="102"/>
      <c r="F868" s="103"/>
      <c r="G868" s="6"/>
      <c r="H868" s="103"/>
      <c r="I868" s="6"/>
      <c r="J868" s="141"/>
      <c r="K868" s="141"/>
      <c r="L868" s="141"/>
      <c r="M868" s="141"/>
    </row>
    <row r="869" spans="1:13" x14ac:dyDescent="0.25">
      <c r="A869" s="6"/>
      <c r="B869" s="6"/>
      <c r="C869" s="102"/>
      <c r="D869" s="102"/>
      <c r="E869" s="102"/>
      <c r="F869" s="103"/>
      <c r="G869" s="6"/>
      <c r="H869" s="103"/>
      <c r="I869" s="6"/>
      <c r="J869" s="141"/>
      <c r="K869" s="141"/>
      <c r="L869" s="141"/>
      <c r="M869" s="141"/>
    </row>
    <row r="870" spans="1:13" x14ac:dyDescent="0.25">
      <c r="A870" s="6"/>
      <c r="B870" s="6"/>
      <c r="C870" s="102"/>
      <c r="D870" s="102"/>
      <c r="E870" s="102"/>
      <c r="F870" s="103"/>
      <c r="G870" s="6"/>
      <c r="H870" s="103"/>
      <c r="I870" s="6"/>
      <c r="J870" s="141"/>
      <c r="K870" s="141"/>
      <c r="L870" s="141"/>
      <c r="M870" s="141"/>
    </row>
    <row r="871" spans="1:13" x14ac:dyDescent="0.25">
      <c r="A871" s="6"/>
      <c r="B871" s="6"/>
      <c r="C871" s="102"/>
      <c r="D871" s="102"/>
      <c r="E871" s="102"/>
      <c r="F871" s="103"/>
      <c r="G871" s="6"/>
      <c r="H871" s="103"/>
      <c r="I871" s="6"/>
      <c r="J871" s="141"/>
      <c r="K871" s="141"/>
      <c r="L871" s="141"/>
      <c r="M871" s="141"/>
    </row>
    <row r="872" spans="1:13" x14ac:dyDescent="0.25">
      <c r="A872" s="6"/>
      <c r="B872" s="6"/>
      <c r="C872" s="102"/>
      <c r="D872" s="102"/>
      <c r="E872" s="102"/>
      <c r="F872" s="103"/>
      <c r="G872" s="6"/>
      <c r="H872" s="103"/>
      <c r="I872" s="6"/>
      <c r="J872" s="141"/>
      <c r="K872" s="141"/>
      <c r="L872" s="141"/>
      <c r="M872" s="141"/>
    </row>
    <row r="873" spans="1:13" x14ac:dyDescent="0.25">
      <c r="A873" s="6"/>
      <c r="B873" s="6"/>
      <c r="C873" s="102"/>
      <c r="D873" s="102"/>
      <c r="E873" s="102"/>
      <c r="F873" s="103"/>
      <c r="G873" s="6"/>
      <c r="H873" s="103"/>
      <c r="I873" s="6"/>
      <c r="J873" s="141"/>
      <c r="K873" s="141"/>
      <c r="L873" s="141"/>
      <c r="M873" s="141"/>
    </row>
    <row r="874" spans="1:13" x14ac:dyDescent="0.25">
      <c r="A874" s="6"/>
      <c r="B874" s="6"/>
      <c r="C874" s="102"/>
      <c r="D874" s="102"/>
      <c r="E874" s="102"/>
      <c r="F874" s="103"/>
      <c r="G874" s="6"/>
      <c r="H874" s="103"/>
      <c r="I874" s="6"/>
      <c r="J874" s="141"/>
      <c r="K874" s="141"/>
      <c r="L874" s="141"/>
      <c r="M874" s="141"/>
    </row>
    <row r="875" spans="1:13" x14ac:dyDescent="0.25">
      <c r="A875" s="6"/>
      <c r="B875" s="6"/>
      <c r="C875" s="102"/>
      <c r="D875" s="102"/>
      <c r="E875" s="102"/>
      <c r="F875" s="103"/>
      <c r="G875" s="6"/>
      <c r="H875" s="103"/>
      <c r="I875" s="6"/>
      <c r="J875" s="141"/>
      <c r="K875" s="141"/>
      <c r="L875" s="141"/>
      <c r="M875" s="141"/>
    </row>
    <row r="876" spans="1:13" x14ac:dyDescent="0.25">
      <c r="A876" s="6"/>
      <c r="B876" s="6"/>
      <c r="C876" s="102"/>
      <c r="D876" s="102"/>
      <c r="E876" s="102"/>
      <c r="F876" s="103"/>
      <c r="G876" s="6"/>
      <c r="H876" s="103"/>
      <c r="I876" s="6"/>
      <c r="J876" s="141"/>
      <c r="K876" s="141"/>
      <c r="L876" s="141"/>
      <c r="M876" s="141"/>
    </row>
    <row r="877" spans="1:13" x14ac:dyDescent="0.25">
      <c r="A877" s="6"/>
      <c r="B877" s="6"/>
      <c r="C877" s="102"/>
      <c r="D877" s="102"/>
      <c r="E877" s="102"/>
      <c r="F877" s="103"/>
      <c r="G877" s="6"/>
      <c r="H877" s="103"/>
      <c r="I877" s="6"/>
      <c r="J877" s="141"/>
      <c r="K877" s="141"/>
      <c r="L877" s="141"/>
      <c r="M877" s="141"/>
    </row>
    <row r="878" spans="1:13" x14ac:dyDescent="0.25">
      <c r="A878" s="6"/>
      <c r="B878" s="6"/>
      <c r="C878" s="102"/>
      <c r="D878" s="102"/>
      <c r="E878" s="102"/>
      <c r="F878" s="103"/>
      <c r="G878" s="6"/>
      <c r="H878" s="103"/>
      <c r="I878" s="6"/>
      <c r="J878" s="141"/>
      <c r="K878" s="141"/>
      <c r="L878" s="141"/>
      <c r="M878" s="141"/>
    </row>
    <row r="879" spans="1:13" x14ac:dyDescent="0.25">
      <c r="A879" s="6"/>
      <c r="B879" s="6"/>
      <c r="C879" s="102"/>
      <c r="D879" s="102"/>
      <c r="E879" s="102"/>
      <c r="F879" s="103"/>
      <c r="G879" s="6"/>
      <c r="H879" s="103"/>
      <c r="I879" s="6"/>
      <c r="J879" s="141"/>
      <c r="K879" s="141"/>
      <c r="L879" s="141"/>
      <c r="M879" s="141"/>
    </row>
    <row r="880" spans="1:13" x14ac:dyDescent="0.25">
      <c r="A880" s="6"/>
      <c r="B880" s="6"/>
      <c r="C880" s="102"/>
      <c r="D880" s="102"/>
      <c r="E880" s="102"/>
      <c r="F880" s="103"/>
      <c r="G880" s="6"/>
      <c r="H880" s="103"/>
      <c r="I880" s="6"/>
      <c r="J880" s="141"/>
      <c r="K880" s="141"/>
      <c r="L880" s="141"/>
      <c r="M880" s="141"/>
    </row>
    <row r="881" spans="1:13" x14ac:dyDescent="0.25">
      <c r="A881" s="6"/>
      <c r="B881" s="6"/>
      <c r="C881" s="102"/>
      <c r="D881" s="102"/>
      <c r="E881" s="102"/>
      <c r="F881" s="103"/>
      <c r="G881" s="6"/>
      <c r="H881" s="103"/>
      <c r="I881" s="6"/>
      <c r="J881" s="141"/>
      <c r="K881" s="141"/>
      <c r="L881" s="141"/>
      <c r="M881" s="141"/>
    </row>
    <row r="882" spans="1:13" x14ac:dyDescent="0.25">
      <c r="A882" s="6"/>
      <c r="B882" s="6"/>
      <c r="C882" s="102"/>
      <c r="D882" s="102"/>
      <c r="E882" s="102"/>
      <c r="F882" s="103"/>
      <c r="G882" s="6"/>
      <c r="H882" s="103"/>
      <c r="I882" s="6"/>
      <c r="J882" s="141"/>
      <c r="K882" s="141"/>
      <c r="L882" s="141"/>
      <c r="M882" s="141"/>
    </row>
    <row r="883" spans="1:13" x14ac:dyDescent="0.25">
      <c r="A883" s="6"/>
      <c r="B883" s="6"/>
      <c r="C883" s="102"/>
      <c r="D883" s="102"/>
      <c r="E883" s="102"/>
      <c r="F883" s="103"/>
      <c r="G883" s="6"/>
      <c r="H883" s="103"/>
      <c r="I883" s="6"/>
      <c r="J883" s="141"/>
      <c r="K883" s="141"/>
      <c r="L883" s="141"/>
      <c r="M883" s="141"/>
    </row>
    <row r="884" spans="1:13" x14ac:dyDescent="0.25">
      <c r="A884" s="6"/>
      <c r="B884" s="6"/>
      <c r="C884" s="102"/>
      <c r="D884" s="102"/>
      <c r="E884" s="102"/>
      <c r="F884" s="103"/>
      <c r="G884" s="6"/>
      <c r="H884" s="103"/>
      <c r="I884" s="6"/>
      <c r="J884" s="141"/>
      <c r="K884" s="141"/>
      <c r="L884" s="141"/>
      <c r="M884" s="141"/>
    </row>
    <row r="885" spans="1:13" x14ac:dyDescent="0.25">
      <c r="A885" s="6"/>
      <c r="B885" s="6"/>
      <c r="C885" s="102"/>
      <c r="D885" s="102"/>
      <c r="E885" s="102"/>
      <c r="F885" s="103"/>
      <c r="G885" s="6"/>
      <c r="H885" s="103"/>
      <c r="I885" s="6"/>
      <c r="J885" s="141"/>
      <c r="K885" s="141"/>
      <c r="L885" s="141"/>
      <c r="M885" s="141"/>
    </row>
    <row r="886" spans="1:13" x14ac:dyDescent="0.25">
      <c r="A886" s="6"/>
      <c r="B886" s="6"/>
      <c r="C886" s="102"/>
      <c r="D886" s="102"/>
      <c r="E886" s="102"/>
      <c r="F886" s="103"/>
      <c r="G886" s="6"/>
      <c r="H886" s="103"/>
      <c r="I886" s="6"/>
      <c r="J886" s="141"/>
      <c r="K886" s="141"/>
      <c r="L886" s="141"/>
      <c r="M886" s="141"/>
    </row>
    <row r="887" spans="1:13" x14ac:dyDescent="0.25">
      <c r="A887" s="6"/>
      <c r="B887" s="6"/>
      <c r="C887" s="102"/>
      <c r="D887" s="102"/>
      <c r="E887" s="102"/>
      <c r="F887" s="103"/>
      <c r="G887" s="6"/>
      <c r="H887" s="103"/>
      <c r="I887" s="6"/>
      <c r="J887" s="141"/>
      <c r="K887" s="141"/>
      <c r="L887" s="141"/>
      <c r="M887" s="141"/>
    </row>
    <row r="888" spans="1:13" x14ac:dyDescent="0.25">
      <c r="A888" s="6"/>
      <c r="B888" s="6"/>
      <c r="C888" s="102"/>
      <c r="D888" s="102"/>
      <c r="E888" s="102"/>
      <c r="F888" s="103"/>
      <c r="G888" s="6"/>
      <c r="H888" s="103"/>
      <c r="I888" s="6"/>
      <c r="J888" s="141"/>
      <c r="K888" s="141"/>
      <c r="L888" s="141"/>
      <c r="M888" s="141"/>
    </row>
    <row r="889" spans="1:13" x14ac:dyDescent="0.25">
      <c r="A889" s="6"/>
      <c r="B889" s="6"/>
      <c r="C889" s="102"/>
      <c r="D889" s="102"/>
      <c r="E889" s="102"/>
      <c r="F889" s="103"/>
      <c r="G889" s="6"/>
      <c r="H889" s="103"/>
      <c r="I889" s="6"/>
      <c r="J889" s="141"/>
      <c r="K889" s="141"/>
      <c r="L889" s="141"/>
      <c r="M889" s="141"/>
    </row>
    <row r="890" spans="1:13" x14ac:dyDescent="0.25">
      <c r="A890" s="6"/>
      <c r="B890" s="6"/>
      <c r="C890" s="102"/>
      <c r="D890" s="102"/>
      <c r="E890" s="102"/>
      <c r="F890" s="103"/>
      <c r="G890" s="6"/>
      <c r="H890" s="103"/>
      <c r="I890" s="6"/>
      <c r="J890" s="141"/>
      <c r="K890" s="141"/>
      <c r="L890" s="141"/>
      <c r="M890" s="141"/>
    </row>
    <row r="891" spans="1:13" x14ac:dyDescent="0.25">
      <c r="A891" s="6"/>
      <c r="B891" s="6"/>
      <c r="C891" s="102"/>
      <c r="D891" s="102"/>
      <c r="E891" s="102"/>
      <c r="F891" s="103"/>
      <c r="G891" s="6"/>
      <c r="H891" s="103"/>
      <c r="I891" s="6"/>
      <c r="J891" s="141"/>
      <c r="K891" s="141"/>
      <c r="L891" s="141"/>
      <c r="M891" s="141"/>
    </row>
    <row r="892" spans="1:13" x14ac:dyDescent="0.25">
      <c r="A892" s="6"/>
      <c r="B892" s="6"/>
      <c r="C892" s="102"/>
      <c r="D892" s="102"/>
      <c r="E892" s="102"/>
      <c r="F892" s="103"/>
      <c r="G892" s="6"/>
      <c r="H892" s="103"/>
      <c r="I892" s="6"/>
      <c r="J892" s="141"/>
      <c r="K892" s="141"/>
      <c r="L892" s="141"/>
      <c r="M892" s="141"/>
    </row>
    <row r="893" spans="1:13" x14ac:dyDescent="0.25">
      <c r="A893" s="6"/>
      <c r="B893" s="6"/>
      <c r="C893" s="102"/>
      <c r="D893" s="102"/>
      <c r="E893" s="102"/>
      <c r="F893" s="103"/>
      <c r="G893" s="6"/>
      <c r="H893" s="103"/>
      <c r="I893" s="6"/>
      <c r="J893" s="141"/>
      <c r="K893" s="141"/>
      <c r="L893" s="141"/>
      <c r="M893" s="141"/>
    </row>
    <row r="894" spans="1:13" x14ac:dyDescent="0.25">
      <c r="A894" s="6"/>
      <c r="B894" s="6"/>
      <c r="C894" s="102"/>
      <c r="D894" s="102"/>
      <c r="E894" s="102"/>
      <c r="F894" s="103"/>
      <c r="G894" s="6"/>
      <c r="H894" s="103"/>
      <c r="I894" s="6"/>
      <c r="J894" s="141"/>
      <c r="K894" s="141"/>
      <c r="L894" s="141"/>
      <c r="M894" s="141"/>
    </row>
    <row r="895" spans="1:13" x14ac:dyDescent="0.25">
      <c r="A895" s="6"/>
      <c r="B895" s="6"/>
      <c r="C895" s="102"/>
      <c r="D895" s="102"/>
      <c r="E895" s="102"/>
      <c r="F895" s="103"/>
      <c r="G895" s="6"/>
      <c r="H895" s="103"/>
      <c r="I895" s="6"/>
      <c r="J895" s="141"/>
      <c r="K895" s="141"/>
      <c r="L895" s="141"/>
      <c r="M895" s="141"/>
    </row>
    <row r="896" spans="1:13" x14ac:dyDescent="0.25">
      <c r="A896" s="6"/>
      <c r="B896" s="6"/>
      <c r="C896" s="102"/>
      <c r="D896" s="102"/>
      <c r="E896" s="102"/>
      <c r="F896" s="103"/>
      <c r="G896" s="6"/>
      <c r="H896" s="103"/>
      <c r="I896" s="6"/>
      <c r="J896" s="141"/>
      <c r="K896" s="141"/>
      <c r="L896" s="141"/>
      <c r="M896" s="141"/>
    </row>
    <row r="897" spans="1:13" x14ac:dyDescent="0.25">
      <c r="A897" s="6"/>
      <c r="B897" s="6"/>
      <c r="C897" s="102"/>
      <c r="D897" s="102"/>
      <c r="E897" s="102"/>
      <c r="F897" s="103"/>
      <c r="G897" s="6"/>
      <c r="H897" s="103"/>
      <c r="I897" s="6"/>
      <c r="J897" s="141"/>
      <c r="K897" s="141"/>
      <c r="L897" s="141"/>
      <c r="M897" s="141"/>
    </row>
    <row r="898" spans="1:13" x14ac:dyDescent="0.25">
      <c r="A898" s="6"/>
      <c r="B898" s="6"/>
      <c r="C898" s="102"/>
      <c r="D898" s="102"/>
      <c r="E898" s="102"/>
      <c r="F898" s="103"/>
      <c r="G898" s="6"/>
      <c r="H898" s="103"/>
      <c r="I898" s="6"/>
      <c r="J898" s="141"/>
      <c r="K898" s="141"/>
      <c r="L898" s="141"/>
      <c r="M898" s="141"/>
    </row>
    <row r="899" spans="1:13" x14ac:dyDescent="0.25">
      <c r="A899" s="6"/>
      <c r="B899" s="6"/>
      <c r="C899" s="102"/>
      <c r="D899" s="102"/>
      <c r="E899" s="102"/>
      <c r="F899" s="103"/>
      <c r="G899" s="6"/>
      <c r="H899" s="103"/>
      <c r="I899" s="6"/>
      <c r="J899" s="141"/>
      <c r="K899" s="141"/>
      <c r="L899" s="141"/>
      <c r="M899" s="141"/>
    </row>
    <row r="900" spans="1:13" x14ac:dyDescent="0.25">
      <c r="A900" s="6"/>
      <c r="B900" s="6"/>
      <c r="C900" s="102"/>
      <c r="D900" s="102"/>
      <c r="E900" s="102"/>
      <c r="F900" s="103"/>
      <c r="G900" s="6"/>
      <c r="H900" s="103"/>
      <c r="I900" s="6"/>
      <c r="J900" s="141"/>
      <c r="K900" s="141"/>
      <c r="L900" s="141"/>
      <c r="M900" s="141"/>
    </row>
    <row r="901" spans="1:13" x14ac:dyDescent="0.25">
      <c r="A901" s="6"/>
      <c r="B901" s="6"/>
      <c r="C901" s="102"/>
      <c r="D901" s="102"/>
      <c r="E901" s="102"/>
      <c r="F901" s="103"/>
      <c r="G901" s="6"/>
      <c r="H901" s="103"/>
      <c r="I901" s="6"/>
      <c r="J901" s="141"/>
      <c r="K901" s="141"/>
      <c r="L901" s="141"/>
      <c r="M901" s="141"/>
    </row>
    <row r="902" spans="1:13" x14ac:dyDescent="0.25">
      <c r="A902" s="6"/>
      <c r="B902" s="6"/>
      <c r="C902" s="102"/>
      <c r="D902" s="102"/>
      <c r="E902" s="102"/>
      <c r="F902" s="103"/>
      <c r="G902" s="6"/>
      <c r="H902" s="103"/>
      <c r="I902" s="6"/>
      <c r="J902" s="141"/>
      <c r="K902" s="141"/>
      <c r="L902" s="141"/>
      <c r="M902" s="141"/>
    </row>
    <row r="903" spans="1:13" x14ac:dyDescent="0.25">
      <c r="A903" s="6"/>
      <c r="B903" s="6"/>
      <c r="C903" s="102"/>
      <c r="D903" s="102"/>
      <c r="E903" s="102"/>
      <c r="F903" s="103"/>
      <c r="G903" s="6"/>
      <c r="H903" s="103"/>
      <c r="I903" s="6"/>
      <c r="J903" s="141"/>
      <c r="K903" s="141"/>
      <c r="L903" s="141"/>
      <c r="M903" s="141"/>
    </row>
    <row r="904" spans="1:13" x14ac:dyDescent="0.25">
      <c r="A904" s="6"/>
      <c r="B904" s="6"/>
      <c r="C904" s="102"/>
      <c r="D904" s="102"/>
      <c r="E904" s="102"/>
      <c r="F904" s="103"/>
      <c r="G904" s="6"/>
      <c r="H904" s="103"/>
      <c r="I904" s="6"/>
      <c r="J904" s="141"/>
      <c r="K904" s="141"/>
      <c r="L904" s="141"/>
      <c r="M904" s="141"/>
    </row>
    <row r="905" spans="1:13" x14ac:dyDescent="0.25">
      <c r="A905" s="6"/>
      <c r="B905" s="6"/>
      <c r="C905" s="102"/>
      <c r="D905" s="102"/>
      <c r="E905" s="102"/>
      <c r="F905" s="103"/>
      <c r="G905" s="6"/>
      <c r="H905" s="103"/>
      <c r="I905" s="6"/>
      <c r="J905" s="141"/>
      <c r="K905" s="141"/>
      <c r="L905" s="141"/>
      <c r="M905" s="141"/>
    </row>
    <row r="906" spans="1:13" x14ac:dyDescent="0.25">
      <c r="A906" s="6"/>
      <c r="B906" s="6"/>
      <c r="C906" s="102"/>
      <c r="D906" s="102"/>
      <c r="E906" s="102"/>
      <c r="F906" s="103"/>
      <c r="G906" s="6"/>
      <c r="H906" s="103"/>
      <c r="I906" s="6"/>
      <c r="J906" s="141"/>
      <c r="K906" s="141"/>
      <c r="L906" s="141"/>
      <c r="M906" s="141"/>
    </row>
    <row r="907" spans="1:13" x14ac:dyDescent="0.25">
      <c r="A907" s="6"/>
      <c r="B907" s="6"/>
      <c r="C907" s="102"/>
      <c r="D907" s="102"/>
      <c r="E907" s="102"/>
      <c r="F907" s="103"/>
      <c r="G907" s="6"/>
      <c r="H907" s="103"/>
      <c r="I907" s="6"/>
      <c r="J907" s="141"/>
      <c r="K907" s="141"/>
      <c r="L907" s="141"/>
      <c r="M907" s="141"/>
    </row>
    <row r="908" spans="1:13" x14ac:dyDescent="0.25">
      <c r="A908" s="6"/>
      <c r="B908" s="6"/>
      <c r="C908" s="102"/>
      <c r="D908" s="102"/>
      <c r="E908" s="102"/>
      <c r="F908" s="103"/>
      <c r="G908" s="6"/>
      <c r="H908" s="103"/>
      <c r="I908" s="6"/>
      <c r="J908" s="141"/>
      <c r="K908" s="141"/>
      <c r="L908" s="141"/>
      <c r="M908" s="141"/>
    </row>
    <row r="909" spans="1:13" x14ac:dyDescent="0.25">
      <c r="A909" s="6"/>
      <c r="B909" s="6"/>
      <c r="C909" s="102"/>
      <c r="D909" s="102"/>
      <c r="E909" s="102"/>
      <c r="F909" s="103"/>
      <c r="G909" s="6"/>
      <c r="H909" s="103"/>
      <c r="I909" s="6"/>
      <c r="J909" s="141"/>
      <c r="K909" s="141"/>
      <c r="L909" s="141"/>
      <c r="M909" s="141"/>
    </row>
    <row r="910" spans="1:13" x14ac:dyDescent="0.25">
      <c r="A910" s="6"/>
      <c r="B910" s="6"/>
      <c r="C910" s="102"/>
      <c r="D910" s="102"/>
      <c r="E910" s="102"/>
      <c r="F910" s="103"/>
      <c r="G910" s="6"/>
      <c r="H910" s="103"/>
      <c r="I910" s="6"/>
      <c r="J910" s="141"/>
      <c r="K910" s="141"/>
      <c r="L910" s="141"/>
      <c r="M910" s="141"/>
    </row>
    <row r="911" spans="1:13" x14ac:dyDescent="0.25">
      <c r="A911" s="6"/>
      <c r="B911" s="6"/>
      <c r="C911" s="102"/>
      <c r="D911" s="102"/>
      <c r="E911" s="102"/>
      <c r="F911" s="103"/>
      <c r="G911" s="6"/>
      <c r="H911" s="103"/>
      <c r="I911" s="6"/>
      <c r="J911" s="141"/>
      <c r="K911" s="141"/>
      <c r="L911" s="141"/>
      <c r="M911" s="141"/>
    </row>
    <row r="912" spans="1:13" x14ac:dyDescent="0.25">
      <c r="A912" s="6"/>
      <c r="B912" s="6"/>
      <c r="C912" s="102"/>
      <c r="D912" s="102"/>
      <c r="E912" s="102"/>
      <c r="F912" s="103"/>
      <c r="G912" s="6"/>
      <c r="H912" s="103"/>
      <c r="I912" s="6"/>
      <c r="J912" s="141"/>
      <c r="K912" s="141"/>
      <c r="L912" s="141"/>
      <c r="M912" s="141"/>
    </row>
    <row r="913" spans="1:13" x14ac:dyDescent="0.25">
      <c r="A913" s="6"/>
      <c r="B913" s="6"/>
      <c r="C913" s="102"/>
      <c r="D913" s="102"/>
      <c r="E913" s="102"/>
      <c r="F913" s="103"/>
      <c r="G913" s="6"/>
      <c r="H913" s="103"/>
      <c r="I913" s="6"/>
      <c r="J913" s="141"/>
      <c r="K913" s="141"/>
      <c r="L913" s="141"/>
      <c r="M913" s="141"/>
    </row>
    <row r="914" spans="1:13" x14ac:dyDescent="0.25">
      <c r="A914" s="6"/>
      <c r="B914" s="6"/>
      <c r="C914" s="102"/>
      <c r="D914" s="102"/>
      <c r="E914" s="102"/>
      <c r="F914" s="103"/>
      <c r="G914" s="6"/>
      <c r="H914" s="103"/>
      <c r="I914" s="6"/>
      <c r="J914" s="141"/>
      <c r="K914" s="141"/>
      <c r="L914" s="141"/>
      <c r="M914" s="141"/>
    </row>
    <row r="915" spans="1:13" x14ac:dyDescent="0.25">
      <c r="A915" s="6"/>
      <c r="B915" s="6"/>
      <c r="C915" s="102"/>
      <c r="D915" s="102"/>
      <c r="E915" s="102"/>
      <c r="F915" s="103"/>
      <c r="G915" s="6"/>
      <c r="H915" s="103"/>
      <c r="I915" s="6"/>
      <c r="J915" s="141"/>
      <c r="K915" s="141"/>
      <c r="L915" s="141"/>
      <c r="M915" s="141"/>
    </row>
    <row r="916" spans="1:13" x14ac:dyDescent="0.25">
      <c r="A916" s="6"/>
      <c r="B916" s="6"/>
      <c r="C916" s="102"/>
      <c r="D916" s="102"/>
      <c r="E916" s="102"/>
      <c r="F916" s="103"/>
      <c r="G916" s="6"/>
      <c r="H916" s="103"/>
      <c r="I916" s="6"/>
      <c r="J916" s="141"/>
      <c r="K916" s="141"/>
      <c r="L916" s="141"/>
      <c r="M916" s="141"/>
    </row>
    <row r="917" spans="1:13" x14ac:dyDescent="0.25">
      <c r="A917" s="6"/>
      <c r="B917" s="6"/>
      <c r="C917" s="102"/>
      <c r="D917" s="102"/>
      <c r="E917" s="102"/>
      <c r="F917" s="103"/>
      <c r="G917" s="6"/>
      <c r="H917" s="103"/>
      <c r="I917" s="6"/>
      <c r="J917" s="141"/>
      <c r="K917" s="141"/>
      <c r="L917" s="141"/>
      <c r="M917" s="141"/>
    </row>
    <row r="918" spans="1:13" x14ac:dyDescent="0.25">
      <c r="A918" s="6"/>
      <c r="B918" s="6"/>
      <c r="C918" s="102"/>
      <c r="D918" s="102"/>
      <c r="E918" s="102"/>
      <c r="F918" s="103"/>
      <c r="G918" s="6"/>
      <c r="H918" s="103"/>
      <c r="I918" s="6"/>
      <c r="J918" s="141"/>
      <c r="K918" s="141"/>
      <c r="L918" s="141"/>
      <c r="M918" s="141"/>
    </row>
    <row r="919" spans="1:13" x14ac:dyDescent="0.25">
      <c r="A919" s="6"/>
      <c r="B919" s="6"/>
      <c r="C919" s="102"/>
      <c r="D919" s="102"/>
      <c r="E919" s="102"/>
      <c r="F919" s="103"/>
      <c r="G919" s="6"/>
      <c r="H919" s="103"/>
      <c r="I919" s="6"/>
      <c r="J919" s="141"/>
      <c r="K919" s="141"/>
      <c r="L919" s="141"/>
      <c r="M919" s="141"/>
    </row>
    <row r="920" spans="1:13" x14ac:dyDescent="0.25">
      <c r="A920" s="6"/>
      <c r="B920" s="6"/>
      <c r="C920" s="102"/>
      <c r="D920" s="102"/>
      <c r="E920" s="102"/>
      <c r="F920" s="103"/>
      <c r="G920" s="6"/>
      <c r="H920" s="103"/>
      <c r="I920" s="6"/>
      <c r="J920" s="141"/>
      <c r="K920" s="141"/>
      <c r="L920" s="141"/>
      <c r="M920" s="141"/>
    </row>
    <row r="921" spans="1:13" x14ac:dyDescent="0.25">
      <c r="A921" s="6"/>
      <c r="B921" s="6"/>
      <c r="C921" s="102"/>
      <c r="D921" s="102"/>
      <c r="E921" s="102"/>
      <c r="F921" s="103"/>
      <c r="G921" s="6"/>
      <c r="H921" s="103"/>
      <c r="I921" s="6"/>
      <c r="J921" s="141"/>
      <c r="K921" s="141"/>
      <c r="L921" s="141"/>
      <c r="M921" s="141"/>
    </row>
    <row r="922" spans="1:13" x14ac:dyDescent="0.25">
      <c r="A922" s="6"/>
      <c r="B922" s="6"/>
      <c r="C922" s="102"/>
      <c r="D922" s="102"/>
      <c r="E922" s="102"/>
      <c r="F922" s="103"/>
      <c r="G922" s="6"/>
      <c r="H922" s="103"/>
      <c r="I922" s="6"/>
      <c r="J922" s="141"/>
      <c r="K922" s="141"/>
      <c r="L922" s="141"/>
      <c r="M922" s="141"/>
    </row>
    <row r="923" spans="1:13" x14ac:dyDescent="0.25">
      <c r="A923" s="6"/>
      <c r="B923" s="6"/>
      <c r="C923" s="102"/>
      <c r="D923" s="102"/>
      <c r="E923" s="102"/>
      <c r="F923" s="103"/>
      <c r="G923" s="6"/>
      <c r="H923" s="103"/>
      <c r="I923" s="6"/>
      <c r="J923" s="141"/>
      <c r="K923" s="141"/>
      <c r="L923" s="141"/>
      <c r="M923" s="141"/>
    </row>
    <row r="924" spans="1:13" x14ac:dyDescent="0.25">
      <c r="A924" s="6"/>
      <c r="B924" s="6"/>
      <c r="C924" s="102"/>
      <c r="D924" s="102"/>
      <c r="E924" s="102"/>
      <c r="F924" s="103"/>
      <c r="G924" s="6"/>
      <c r="H924" s="103"/>
      <c r="I924" s="6"/>
      <c r="J924" s="141"/>
      <c r="K924" s="141"/>
      <c r="L924" s="141"/>
      <c r="M924" s="141"/>
    </row>
    <row r="925" spans="1:13" x14ac:dyDescent="0.25">
      <c r="A925" s="6"/>
      <c r="B925" s="6"/>
      <c r="C925" s="102"/>
      <c r="D925" s="102"/>
      <c r="E925" s="102"/>
      <c r="F925" s="103"/>
      <c r="G925" s="6"/>
      <c r="H925" s="103"/>
      <c r="I925" s="6"/>
      <c r="J925" s="141"/>
      <c r="K925" s="141"/>
      <c r="L925" s="141"/>
      <c r="M925" s="141"/>
    </row>
    <row r="926" spans="1:13" x14ac:dyDescent="0.25">
      <c r="A926" s="6"/>
      <c r="B926" s="6"/>
      <c r="C926" s="102"/>
      <c r="D926" s="102"/>
      <c r="E926" s="102"/>
      <c r="F926" s="103"/>
      <c r="G926" s="6"/>
      <c r="H926" s="103"/>
      <c r="I926" s="6"/>
      <c r="J926" s="141"/>
      <c r="K926" s="141"/>
      <c r="L926" s="141"/>
      <c r="M926" s="141"/>
    </row>
    <row r="927" spans="1:13" x14ac:dyDescent="0.25">
      <c r="A927" s="6"/>
      <c r="B927" s="6"/>
      <c r="C927" s="102"/>
      <c r="D927" s="102"/>
      <c r="E927" s="102"/>
      <c r="F927" s="103"/>
      <c r="G927" s="6"/>
      <c r="H927" s="103"/>
      <c r="I927" s="6"/>
      <c r="J927" s="141"/>
      <c r="K927" s="141"/>
      <c r="L927" s="141"/>
      <c r="M927" s="141"/>
    </row>
    <row r="928" spans="1:13" x14ac:dyDescent="0.25">
      <c r="A928" s="6"/>
      <c r="B928" s="6"/>
      <c r="C928" s="102"/>
      <c r="D928" s="102"/>
      <c r="E928" s="102"/>
      <c r="F928" s="103"/>
      <c r="G928" s="6"/>
      <c r="H928" s="103"/>
      <c r="I928" s="6"/>
      <c r="J928" s="141"/>
      <c r="K928" s="141"/>
      <c r="L928" s="141"/>
      <c r="M928" s="141"/>
    </row>
    <row r="929" spans="1:13" x14ac:dyDescent="0.25">
      <c r="A929" s="6"/>
      <c r="B929" s="6"/>
      <c r="C929" s="102"/>
      <c r="D929" s="102"/>
      <c r="E929" s="102"/>
      <c r="F929" s="103"/>
      <c r="G929" s="6"/>
      <c r="H929" s="103"/>
      <c r="I929" s="6"/>
      <c r="J929" s="141"/>
      <c r="K929" s="141"/>
      <c r="L929" s="141"/>
      <c r="M929" s="141"/>
    </row>
    <row r="930" spans="1:13" x14ac:dyDescent="0.25">
      <c r="A930" s="6"/>
      <c r="B930" s="6"/>
      <c r="C930" s="102"/>
      <c r="D930" s="102"/>
      <c r="E930" s="102"/>
      <c r="F930" s="103"/>
      <c r="G930" s="6"/>
      <c r="H930" s="103"/>
      <c r="I930" s="6"/>
      <c r="J930" s="141"/>
      <c r="K930" s="141"/>
      <c r="L930" s="141"/>
      <c r="M930" s="141"/>
    </row>
    <row r="931" spans="1:13" x14ac:dyDescent="0.25">
      <c r="A931" s="6"/>
      <c r="B931" s="6"/>
      <c r="C931" s="102"/>
      <c r="D931" s="102"/>
      <c r="E931" s="102"/>
      <c r="F931" s="103"/>
      <c r="G931" s="6"/>
      <c r="H931" s="103"/>
      <c r="I931" s="6"/>
      <c r="J931" s="141"/>
      <c r="K931" s="141"/>
      <c r="L931" s="141"/>
      <c r="M931" s="141"/>
    </row>
    <row r="932" spans="1:13" x14ac:dyDescent="0.25">
      <c r="A932" s="6"/>
      <c r="B932" s="6"/>
      <c r="C932" s="102"/>
      <c r="D932" s="102"/>
      <c r="E932" s="102"/>
      <c r="F932" s="103"/>
      <c r="G932" s="6"/>
      <c r="H932" s="103"/>
      <c r="I932" s="6"/>
      <c r="J932" s="141"/>
      <c r="K932" s="141"/>
      <c r="L932" s="141"/>
      <c r="M932" s="141"/>
    </row>
    <row r="933" spans="1:13" x14ac:dyDescent="0.25">
      <c r="A933" s="6"/>
      <c r="B933" s="6"/>
      <c r="C933" s="102"/>
      <c r="D933" s="102"/>
      <c r="E933" s="102"/>
      <c r="F933" s="103"/>
      <c r="G933" s="6"/>
      <c r="H933" s="103"/>
      <c r="I933" s="6"/>
      <c r="J933" s="141"/>
      <c r="K933" s="141"/>
      <c r="L933" s="141"/>
      <c r="M933" s="141"/>
    </row>
    <row r="934" spans="1:13" x14ac:dyDescent="0.25">
      <c r="A934" s="6"/>
      <c r="B934" s="6"/>
      <c r="C934" s="102"/>
      <c r="D934" s="102"/>
      <c r="E934" s="102"/>
      <c r="F934" s="103"/>
      <c r="G934" s="6"/>
      <c r="H934" s="103"/>
      <c r="I934" s="6"/>
      <c r="J934" s="141"/>
      <c r="K934" s="141"/>
      <c r="L934" s="141"/>
      <c r="M934" s="141"/>
    </row>
    <row r="935" spans="1:13" x14ac:dyDescent="0.25">
      <c r="A935" s="6"/>
      <c r="B935" s="6"/>
      <c r="C935" s="102"/>
      <c r="D935" s="102"/>
      <c r="E935" s="102"/>
      <c r="F935" s="103"/>
      <c r="G935" s="6"/>
      <c r="H935" s="103"/>
      <c r="I935" s="6"/>
      <c r="J935" s="141"/>
      <c r="K935" s="141"/>
      <c r="L935" s="141"/>
      <c r="M935" s="141"/>
    </row>
    <row r="936" spans="1:13" x14ac:dyDescent="0.25">
      <c r="A936" s="6"/>
      <c r="B936" s="6"/>
      <c r="C936" s="102"/>
      <c r="D936" s="102"/>
      <c r="E936" s="102"/>
      <c r="F936" s="103"/>
      <c r="G936" s="6"/>
      <c r="H936" s="103"/>
      <c r="I936" s="6"/>
      <c r="J936" s="141"/>
      <c r="K936" s="141"/>
      <c r="L936" s="141"/>
      <c r="M936" s="141"/>
    </row>
    <row r="937" spans="1:13" x14ac:dyDescent="0.25">
      <c r="A937" s="6"/>
      <c r="B937" s="6"/>
      <c r="C937" s="102"/>
      <c r="D937" s="102"/>
      <c r="E937" s="102"/>
      <c r="F937" s="103"/>
      <c r="G937" s="6"/>
      <c r="H937" s="103"/>
      <c r="I937" s="6"/>
      <c r="J937" s="141"/>
      <c r="K937" s="141"/>
      <c r="L937" s="141"/>
      <c r="M937" s="141"/>
    </row>
    <row r="938" spans="1:13" x14ac:dyDescent="0.25">
      <c r="A938" s="6"/>
      <c r="B938" s="6"/>
      <c r="C938" s="102"/>
      <c r="D938" s="102"/>
      <c r="E938" s="102"/>
      <c r="F938" s="103"/>
      <c r="G938" s="6"/>
      <c r="H938" s="103"/>
      <c r="I938" s="6"/>
      <c r="J938" s="141"/>
      <c r="K938" s="141"/>
      <c r="L938" s="141"/>
      <c r="M938" s="141"/>
    </row>
    <row r="939" spans="1:13" x14ac:dyDescent="0.25">
      <c r="A939" s="6"/>
      <c r="B939" s="6"/>
      <c r="C939" s="102"/>
      <c r="D939" s="102"/>
      <c r="E939" s="102"/>
      <c r="F939" s="103"/>
      <c r="G939" s="6"/>
      <c r="H939" s="103"/>
      <c r="I939" s="6"/>
      <c r="J939" s="141"/>
      <c r="K939" s="141"/>
      <c r="L939" s="141"/>
      <c r="M939" s="141"/>
    </row>
    <row r="940" spans="1:13" x14ac:dyDescent="0.25">
      <c r="A940" s="6"/>
      <c r="B940" s="6"/>
      <c r="C940" s="102"/>
      <c r="D940" s="102"/>
      <c r="E940" s="102"/>
      <c r="F940" s="103"/>
      <c r="G940" s="6"/>
      <c r="H940" s="103"/>
      <c r="I940" s="6"/>
      <c r="J940" s="141"/>
      <c r="K940" s="141"/>
      <c r="L940" s="141"/>
      <c r="M940" s="141"/>
    </row>
    <row r="941" spans="1:13" x14ac:dyDescent="0.25">
      <c r="A941" s="6"/>
      <c r="B941" s="6"/>
      <c r="C941" s="102"/>
      <c r="D941" s="102"/>
      <c r="E941" s="102"/>
      <c r="F941" s="103"/>
      <c r="G941" s="6"/>
      <c r="H941" s="103"/>
      <c r="I941" s="6"/>
      <c r="J941" s="141"/>
      <c r="K941" s="141"/>
      <c r="L941" s="141"/>
      <c r="M941" s="141"/>
    </row>
    <row r="942" spans="1:13" x14ac:dyDescent="0.25">
      <c r="A942" s="6"/>
      <c r="B942" s="6"/>
      <c r="C942" s="102"/>
      <c r="D942" s="102"/>
      <c r="E942" s="102"/>
      <c r="F942" s="103"/>
      <c r="G942" s="6"/>
      <c r="H942" s="103"/>
      <c r="I942" s="6"/>
      <c r="J942" s="141"/>
      <c r="K942" s="141"/>
      <c r="L942" s="141"/>
      <c r="M942" s="141"/>
    </row>
    <row r="943" spans="1:13" x14ac:dyDescent="0.25">
      <c r="A943" s="6"/>
      <c r="B943" s="6"/>
      <c r="C943" s="102"/>
      <c r="D943" s="102"/>
      <c r="E943" s="102"/>
      <c r="F943" s="103"/>
      <c r="G943" s="6"/>
      <c r="H943" s="103"/>
      <c r="I943" s="6"/>
      <c r="J943" s="141"/>
      <c r="K943" s="141"/>
      <c r="L943" s="141"/>
      <c r="M943" s="141"/>
    </row>
    <row r="944" spans="1:13" x14ac:dyDescent="0.25">
      <c r="A944" s="6"/>
      <c r="B944" s="6"/>
      <c r="C944" s="102"/>
      <c r="D944" s="102"/>
      <c r="E944" s="102"/>
      <c r="F944" s="103"/>
      <c r="G944" s="6"/>
      <c r="H944" s="103"/>
      <c r="I944" s="6"/>
      <c r="J944" s="141"/>
      <c r="K944" s="141"/>
      <c r="L944" s="141"/>
      <c r="M944" s="141"/>
    </row>
    <row r="945" spans="1:13" x14ac:dyDescent="0.25">
      <c r="A945" s="6"/>
      <c r="B945" s="6"/>
      <c r="C945" s="102"/>
      <c r="D945" s="102"/>
      <c r="E945" s="102"/>
      <c r="F945" s="103"/>
      <c r="G945" s="6"/>
      <c r="H945" s="103"/>
      <c r="I945" s="6"/>
      <c r="J945" s="141"/>
      <c r="K945" s="141"/>
      <c r="L945" s="141"/>
      <c r="M945" s="141"/>
    </row>
    <row r="946" spans="1:13" x14ac:dyDescent="0.25">
      <c r="A946" s="6"/>
      <c r="B946" s="6"/>
      <c r="C946" s="102"/>
      <c r="D946" s="102"/>
      <c r="E946" s="102"/>
      <c r="F946" s="103"/>
      <c r="G946" s="6"/>
      <c r="H946" s="103"/>
      <c r="I946" s="6"/>
      <c r="J946" s="141"/>
      <c r="K946" s="141"/>
      <c r="L946" s="141"/>
      <c r="M946" s="141"/>
    </row>
    <row r="947" spans="1:13" x14ac:dyDescent="0.25">
      <c r="A947" s="6"/>
      <c r="B947" s="6"/>
      <c r="C947" s="102"/>
      <c r="D947" s="102"/>
      <c r="E947" s="102"/>
      <c r="F947" s="103"/>
      <c r="G947" s="6"/>
      <c r="H947" s="103"/>
      <c r="I947" s="6"/>
      <c r="J947" s="141"/>
      <c r="K947" s="141"/>
      <c r="L947" s="141"/>
      <c r="M947" s="141"/>
    </row>
    <row r="948" spans="1:13" x14ac:dyDescent="0.25">
      <c r="A948" s="6"/>
      <c r="B948" s="6"/>
      <c r="C948" s="102"/>
      <c r="D948" s="102"/>
      <c r="E948" s="102"/>
      <c r="F948" s="103"/>
      <c r="G948" s="6"/>
      <c r="H948" s="103"/>
      <c r="I948" s="6"/>
      <c r="J948" s="141"/>
      <c r="K948" s="141"/>
      <c r="L948" s="141"/>
      <c r="M948" s="141"/>
    </row>
    <row r="949" spans="1:13" x14ac:dyDescent="0.25">
      <c r="A949" s="6"/>
      <c r="B949" s="6"/>
      <c r="C949" s="102"/>
      <c r="D949" s="102"/>
      <c r="E949" s="102"/>
      <c r="F949" s="103"/>
      <c r="G949" s="6"/>
      <c r="H949" s="103"/>
      <c r="I949" s="6"/>
      <c r="J949" s="141"/>
      <c r="K949" s="141"/>
      <c r="L949" s="141"/>
      <c r="M949" s="141"/>
    </row>
    <row r="950" spans="1:13" x14ac:dyDescent="0.25">
      <c r="A950" s="6"/>
      <c r="B950" s="6"/>
      <c r="C950" s="102"/>
      <c r="D950" s="102"/>
      <c r="E950" s="102"/>
      <c r="F950" s="103"/>
      <c r="G950" s="6"/>
      <c r="H950" s="103"/>
      <c r="I950" s="6"/>
      <c r="J950" s="141"/>
      <c r="K950" s="141"/>
      <c r="L950" s="141"/>
      <c r="M950" s="141"/>
    </row>
    <row r="951" spans="1:13" x14ac:dyDescent="0.25">
      <c r="A951" s="6"/>
      <c r="B951" s="6"/>
      <c r="C951" s="102"/>
      <c r="D951" s="102"/>
      <c r="E951" s="102"/>
      <c r="F951" s="103"/>
      <c r="G951" s="6"/>
      <c r="H951" s="103"/>
      <c r="I951" s="6"/>
      <c r="J951" s="141"/>
      <c r="K951" s="141"/>
      <c r="L951" s="141"/>
      <c r="M951" s="141"/>
    </row>
    <row r="952" spans="1:13" x14ac:dyDescent="0.25">
      <c r="A952" s="6"/>
      <c r="B952" s="6"/>
      <c r="C952" s="102"/>
      <c r="D952" s="102"/>
      <c r="E952" s="102"/>
      <c r="F952" s="103"/>
      <c r="G952" s="6"/>
      <c r="H952" s="103"/>
      <c r="I952" s="6"/>
      <c r="J952" s="141"/>
      <c r="K952" s="141"/>
      <c r="L952" s="141"/>
      <c r="M952" s="141"/>
    </row>
    <row r="953" spans="1:13" x14ac:dyDescent="0.25">
      <c r="A953" s="6"/>
      <c r="B953" s="6"/>
      <c r="C953" s="102"/>
      <c r="D953" s="102"/>
      <c r="E953" s="102"/>
      <c r="F953" s="103"/>
      <c r="G953" s="6"/>
      <c r="H953" s="103"/>
      <c r="I953" s="6"/>
      <c r="J953" s="141"/>
      <c r="K953" s="141"/>
      <c r="L953" s="141"/>
      <c r="M953" s="141"/>
    </row>
    <row r="954" spans="1:13" x14ac:dyDescent="0.25">
      <c r="A954" s="6"/>
      <c r="B954" s="6"/>
      <c r="C954" s="102"/>
      <c r="D954" s="102"/>
      <c r="E954" s="102"/>
      <c r="F954" s="103"/>
      <c r="G954" s="6"/>
      <c r="H954" s="103"/>
      <c r="I954" s="6"/>
      <c r="J954" s="141"/>
      <c r="K954" s="141"/>
      <c r="L954" s="141"/>
      <c r="M954" s="141"/>
    </row>
    <row r="955" spans="1:13" x14ac:dyDescent="0.25">
      <c r="A955" s="6"/>
      <c r="B955" s="6"/>
      <c r="C955" s="102"/>
      <c r="D955" s="102"/>
      <c r="E955" s="102"/>
      <c r="F955" s="103"/>
      <c r="G955" s="6"/>
      <c r="H955" s="103"/>
      <c r="I955" s="6"/>
      <c r="J955" s="141"/>
      <c r="K955" s="141"/>
      <c r="L955" s="141"/>
      <c r="M955" s="141"/>
    </row>
    <row r="956" spans="1:13" x14ac:dyDescent="0.25">
      <c r="A956" s="6"/>
      <c r="B956" s="6"/>
      <c r="C956" s="102"/>
      <c r="D956" s="102"/>
      <c r="E956" s="102"/>
      <c r="F956" s="103"/>
      <c r="G956" s="6"/>
      <c r="H956" s="103"/>
      <c r="I956" s="6"/>
      <c r="J956" s="141"/>
      <c r="K956" s="141"/>
      <c r="L956" s="141"/>
      <c r="M956" s="141"/>
    </row>
    <row r="957" spans="1:13" x14ac:dyDescent="0.25">
      <c r="A957" s="6"/>
      <c r="B957" s="6"/>
      <c r="C957" s="102"/>
      <c r="D957" s="102"/>
      <c r="E957" s="102"/>
      <c r="F957" s="103"/>
      <c r="G957" s="6"/>
      <c r="H957" s="103"/>
      <c r="I957" s="6"/>
      <c r="J957" s="141"/>
      <c r="K957" s="141"/>
      <c r="L957" s="141"/>
      <c r="M957" s="141"/>
    </row>
    <row r="958" spans="1:13" x14ac:dyDescent="0.25">
      <c r="A958" s="6"/>
      <c r="B958" s="6"/>
      <c r="C958" s="102"/>
      <c r="D958" s="102"/>
      <c r="E958" s="102"/>
      <c r="F958" s="103"/>
      <c r="G958" s="6"/>
      <c r="H958" s="103"/>
      <c r="I958" s="6"/>
      <c r="J958" s="141"/>
      <c r="K958" s="141"/>
      <c r="L958" s="141"/>
      <c r="M958" s="141"/>
    </row>
    <row r="959" spans="1:13" x14ac:dyDescent="0.25">
      <c r="A959" s="6"/>
      <c r="B959" s="6"/>
      <c r="C959" s="102"/>
      <c r="D959" s="102"/>
      <c r="E959" s="102"/>
      <c r="F959" s="103"/>
      <c r="G959" s="6"/>
      <c r="H959" s="103"/>
      <c r="I959" s="6"/>
      <c r="J959" s="141"/>
      <c r="K959" s="141"/>
      <c r="L959" s="141"/>
      <c r="M959" s="141"/>
    </row>
    <row r="960" spans="1:13" x14ac:dyDescent="0.25">
      <c r="A960" s="6"/>
      <c r="B960" s="6"/>
      <c r="C960" s="102"/>
      <c r="D960" s="102"/>
      <c r="E960" s="102"/>
      <c r="F960" s="103"/>
      <c r="G960" s="6"/>
      <c r="H960" s="103"/>
      <c r="I960" s="6"/>
      <c r="J960" s="141"/>
      <c r="K960" s="141"/>
      <c r="L960" s="141"/>
      <c r="M960" s="141"/>
    </row>
    <row r="961" spans="1:13" x14ac:dyDescent="0.25">
      <c r="A961" s="6"/>
      <c r="B961" s="6"/>
      <c r="C961" s="102"/>
      <c r="D961" s="102"/>
      <c r="E961" s="102"/>
      <c r="F961" s="103"/>
      <c r="G961" s="6"/>
      <c r="H961" s="103"/>
      <c r="I961" s="6"/>
      <c r="J961" s="141"/>
      <c r="K961" s="141"/>
      <c r="L961" s="141"/>
      <c r="M961" s="141"/>
    </row>
    <row r="962" spans="1:13" x14ac:dyDescent="0.25">
      <c r="A962" s="6"/>
      <c r="B962" s="6"/>
      <c r="C962" s="102"/>
      <c r="D962" s="102"/>
      <c r="E962" s="102"/>
      <c r="F962" s="103"/>
      <c r="G962" s="6"/>
      <c r="H962" s="103"/>
      <c r="I962" s="6"/>
      <c r="J962" s="141"/>
      <c r="K962" s="141"/>
      <c r="L962" s="141"/>
      <c r="M962" s="141"/>
    </row>
    <row r="963" spans="1:13" x14ac:dyDescent="0.25">
      <c r="A963" s="6"/>
      <c r="B963" s="6"/>
      <c r="C963" s="102"/>
      <c r="D963" s="102"/>
      <c r="E963" s="102"/>
      <c r="F963" s="103"/>
      <c r="G963" s="6"/>
      <c r="H963" s="103"/>
      <c r="I963" s="6"/>
      <c r="J963" s="141"/>
      <c r="K963" s="141"/>
      <c r="L963" s="141"/>
      <c r="M963" s="141"/>
    </row>
    <row r="964" spans="1:13" x14ac:dyDescent="0.25">
      <c r="A964" s="6"/>
      <c r="B964" s="6"/>
      <c r="C964" s="102"/>
      <c r="D964" s="102"/>
      <c r="E964" s="102"/>
      <c r="F964" s="103"/>
      <c r="G964" s="6"/>
      <c r="H964" s="103"/>
      <c r="I964" s="6"/>
      <c r="J964" s="141"/>
      <c r="K964" s="141"/>
      <c r="L964" s="141"/>
      <c r="M964" s="141"/>
    </row>
    <row r="965" spans="1:13" x14ac:dyDescent="0.25">
      <c r="A965" s="6"/>
      <c r="B965" s="6"/>
      <c r="C965" s="102"/>
      <c r="D965" s="102"/>
      <c r="E965" s="102"/>
      <c r="F965" s="103"/>
      <c r="G965" s="6"/>
      <c r="H965" s="103"/>
      <c r="I965" s="6"/>
      <c r="J965" s="141"/>
      <c r="K965" s="141"/>
      <c r="L965" s="141"/>
      <c r="M965" s="141"/>
    </row>
    <row r="966" spans="1:13" x14ac:dyDescent="0.25">
      <c r="A966" s="6"/>
      <c r="B966" s="6"/>
      <c r="C966" s="102"/>
      <c r="D966" s="102"/>
      <c r="E966" s="102"/>
      <c r="F966" s="103"/>
      <c r="G966" s="6"/>
      <c r="H966" s="103"/>
      <c r="I966" s="6"/>
      <c r="J966" s="141"/>
      <c r="K966" s="141"/>
      <c r="L966" s="141"/>
      <c r="M966" s="141"/>
    </row>
    <row r="967" spans="1:13" x14ac:dyDescent="0.25">
      <c r="A967" s="6"/>
      <c r="B967" s="6"/>
      <c r="C967" s="102"/>
      <c r="D967" s="102"/>
      <c r="E967" s="102"/>
      <c r="F967" s="103"/>
      <c r="G967" s="6"/>
      <c r="H967" s="103"/>
      <c r="I967" s="6"/>
      <c r="J967" s="141"/>
      <c r="K967" s="141"/>
      <c r="L967" s="141"/>
      <c r="M967" s="141"/>
    </row>
    <row r="968" spans="1:13" x14ac:dyDescent="0.25">
      <c r="A968" s="6"/>
      <c r="B968" s="6"/>
      <c r="C968" s="102"/>
      <c r="D968" s="102"/>
      <c r="E968" s="102"/>
      <c r="F968" s="103"/>
      <c r="G968" s="6"/>
      <c r="H968" s="103"/>
      <c r="I968" s="6"/>
      <c r="J968" s="141"/>
      <c r="K968" s="141"/>
      <c r="L968" s="141"/>
      <c r="M968" s="141"/>
    </row>
    <row r="969" spans="1:13" x14ac:dyDescent="0.25">
      <c r="A969" s="6"/>
      <c r="B969" s="6"/>
      <c r="C969" s="102"/>
      <c r="D969" s="102"/>
      <c r="E969" s="102"/>
      <c r="F969" s="103"/>
      <c r="G969" s="6"/>
      <c r="H969" s="103"/>
      <c r="I969" s="6"/>
      <c r="J969" s="141"/>
      <c r="K969" s="141"/>
      <c r="L969" s="141"/>
      <c r="M969" s="141"/>
    </row>
    <row r="970" spans="1:13" x14ac:dyDescent="0.25">
      <c r="A970" s="6"/>
      <c r="B970" s="6"/>
      <c r="C970" s="102"/>
      <c r="D970" s="102"/>
      <c r="E970" s="102"/>
      <c r="F970" s="103"/>
      <c r="G970" s="6"/>
      <c r="H970" s="103"/>
      <c r="I970" s="6"/>
      <c r="J970" s="141"/>
      <c r="K970" s="141"/>
      <c r="L970" s="141"/>
      <c r="M970" s="141"/>
    </row>
    <row r="971" spans="1:13" x14ac:dyDescent="0.25">
      <c r="A971" s="6"/>
      <c r="B971" s="6"/>
      <c r="C971" s="102"/>
      <c r="D971" s="102"/>
      <c r="E971" s="102"/>
      <c r="F971" s="103"/>
      <c r="G971" s="6"/>
      <c r="H971" s="103"/>
      <c r="I971" s="6"/>
      <c r="J971" s="141"/>
      <c r="K971" s="141"/>
      <c r="L971" s="141"/>
      <c r="M971" s="141"/>
    </row>
    <row r="972" spans="1:13" x14ac:dyDescent="0.25">
      <c r="A972" s="6"/>
      <c r="B972" s="6"/>
      <c r="C972" s="102"/>
      <c r="D972" s="102"/>
      <c r="E972" s="102"/>
      <c r="F972" s="103"/>
      <c r="G972" s="6"/>
      <c r="H972" s="103"/>
      <c r="I972" s="6"/>
      <c r="J972" s="141"/>
      <c r="K972" s="141"/>
      <c r="L972" s="141"/>
      <c r="M972" s="141"/>
    </row>
    <row r="973" spans="1:13" x14ac:dyDescent="0.25">
      <c r="A973" s="6"/>
      <c r="B973" s="6"/>
      <c r="C973" s="102"/>
      <c r="D973" s="102"/>
      <c r="E973" s="102"/>
      <c r="F973" s="103"/>
      <c r="G973" s="6"/>
      <c r="H973" s="103"/>
      <c r="I973" s="6"/>
      <c r="J973" s="141"/>
      <c r="K973" s="141"/>
      <c r="L973" s="141"/>
      <c r="M973" s="141"/>
    </row>
    <row r="974" spans="1:13" x14ac:dyDescent="0.25">
      <c r="A974" s="6"/>
      <c r="B974" s="6"/>
      <c r="C974" s="102"/>
      <c r="D974" s="102"/>
      <c r="E974" s="102"/>
      <c r="F974" s="103"/>
      <c r="G974" s="6"/>
      <c r="H974" s="103"/>
      <c r="I974" s="6"/>
      <c r="J974" s="141"/>
      <c r="K974" s="141"/>
      <c r="L974" s="141"/>
      <c r="M974" s="141"/>
    </row>
    <row r="975" spans="1:13" x14ac:dyDescent="0.25">
      <c r="A975" s="6"/>
      <c r="B975" s="6"/>
      <c r="C975" s="102"/>
      <c r="D975" s="102"/>
      <c r="E975" s="102"/>
      <c r="F975" s="103"/>
      <c r="G975" s="6"/>
      <c r="H975" s="103"/>
      <c r="I975" s="6"/>
      <c r="J975" s="141"/>
      <c r="K975" s="141"/>
      <c r="L975" s="141"/>
      <c r="M975" s="141"/>
    </row>
    <row r="976" spans="1:13" x14ac:dyDescent="0.25">
      <c r="A976" s="6"/>
      <c r="B976" s="6"/>
      <c r="C976" s="102"/>
      <c r="D976" s="102"/>
      <c r="E976" s="102"/>
      <c r="F976" s="103"/>
      <c r="G976" s="6"/>
      <c r="H976" s="103"/>
      <c r="I976" s="6"/>
      <c r="J976" s="141"/>
      <c r="K976" s="141"/>
      <c r="L976" s="141"/>
      <c r="M976" s="141"/>
    </row>
    <row r="977" spans="1:13" x14ac:dyDescent="0.25">
      <c r="A977" s="6"/>
      <c r="B977" s="6"/>
      <c r="C977" s="102"/>
      <c r="D977" s="102"/>
      <c r="E977" s="102"/>
      <c r="F977" s="103"/>
      <c r="G977" s="6"/>
      <c r="H977" s="103"/>
      <c r="I977" s="6"/>
      <c r="J977" s="141"/>
      <c r="K977" s="141"/>
      <c r="L977" s="141"/>
      <c r="M977" s="141"/>
    </row>
    <row r="978" spans="1:13" x14ac:dyDescent="0.25">
      <c r="A978" s="6"/>
      <c r="B978" s="6"/>
      <c r="C978" s="102"/>
      <c r="D978" s="102"/>
      <c r="E978" s="102"/>
      <c r="F978" s="103"/>
      <c r="G978" s="6"/>
      <c r="H978" s="103"/>
      <c r="I978" s="6"/>
      <c r="J978" s="141"/>
      <c r="K978" s="141"/>
      <c r="L978" s="141"/>
      <c r="M978" s="141"/>
    </row>
    <row r="979" spans="1:13" x14ac:dyDescent="0.25">
      <c r="A979" s="6"/>
      <c r="B979" s="6"/>
      <c r="C979" s="102"/>
      <c r="D979" s="102"/>
      <c r="E979" s="102"/>
      <c r="F979" s="103"/>
      <c r="G979" s="6"/>
      <c r="H979" s="103"/>
      <c r="I979" s="6"/>
      <c r="J979" s="141"/>
      <c r="K979" s="141"/>
      <c r="L979" s="141"/>
      <c r="M979" s="141"/>
    </row>
    <row r="980" spans="1:13" x14ac:dyDescent="0.25">
      <c r="A980" s="6"/>
      <c r="B980" s="6"/>
      <c r="C980" s="102"/>
      <c r="D980" s="102"/>
      <c r="E980" s="102"/>
      <c r="F980" s="103"/>
      <c r="G980" s="6"/>
      <c r="H980" s="103"/>
      <c r="I980" s="6"/>
      <c r="J980" s="141"/>
      <c r="K980" s="141"/>
      <c r="L980" s="141"/>
      <c r="M980" s="141"/>
    </row>
    <row r="981" spans="1:13" x14ac:dyDescent="0.25">
      <c r="A981" s="6"/>
      <c r="B981" s="6"/>
      <c r="C981" s="102"/>
      <c r="D981" s="102"/>
      <c r="E981" s="102"/>
      <c r="F981" s="103"/>
      <c r="G981" s="6"/>
      <c r="H981" s="103"/>
      <c r="I981" s="6"/>
      <c r="J981" s="141"/>
      <c r="K981" s="141"/>
      <c r="L981" s="141"/>
      <c r="M981" s="141"/>
    </row>
    <row r="982" spans="1:13" x14ac:dyDescent="0.25">
      <c r="A982" s="6"/>
      <c r="B982" s="6"/>
      <c r="C982" s="102"/>
      <c r="D982" s="102"/>
      <c r="E982" s="102"/>
      <c r="F982" s="103"/>
      <c r="G982" s="6"/>
      <c r="H982" s="103"/>
      <c r="I982" s="6"/>
      <c r="J982" s="141"/>
      <c r="K982" s="141"/>
      <c r="L982" s="141"/>
      <c r="M982" s="141"/>
    </row>
    <row r="983" spans="1:13" x14ac:dyDescent="0.25">
      <c r="A983" s="6"/>
      <c r="B983" s="6"/>
      <c r="C983" s="102"/>
      <c r="D983" s="102"/>
      <c r="E983" s="102"/>
      <c r="F983" s="103"/>
      <c r="G983" s="6"/>
      <c r="H983" s="103"/>
      <c r="I983" s="6"/>
      <c r="J983" s="141"/>
      <c r="K983" s="141"/>
      <c r="L983" s="141"/>
      <c r="M983" s="141"/>
    </row>
    <row r="984" spans="1:13" x14ac:dyDescent="0.25">
      <c r="A984" s="6"/>
      <c r="B984" s="6"/>
      <c r="C984" s="102"/>
      <c r="D984" s="102"/>
      <c r="E984" s="102"/>
      <c r="F984" s="103"/>
      <c r="G984" s="6"/>
      <c r="H984" s="103"/>
      <c r="I984" s="6"/>
      <c r="J984" s="141"/>
      <c r="K984" s="141"/>
      <c r="L984" s="141"/>
      <c r="M984" s="141"/>
    </row>
    <row r="985" spans="1:13" x14ac:dyDescent="0.25">
      <c r="A985" s="6"/>
      <c r="B985" s="6"/>
      <c r="C985" s="102"/>
      <c r="D985" s="102"/>
      <c r="E985" s="102"/>
      <c r="F985" s="103"/>
      <c r="G985" s="6"/>
      <c r="H985" s="103"/>
      <c r="I985" s="6"/>
      <c r="J985" s="141"/>
      <c r="K985" s="141"/>
      <c r="L985" s="141"/>
      <c r="M985" s="141"/>
    </row>
    <row r="986" spans="1:13" x14ac:dyDescent="0.25">
      <c r="A986" s="6"/>
      <c r="B986" s="6"/>
      <c r="C986" s="102"/>
      <c r="D986" s="102"/>
      <c r="E986" s="102"/>
      <c r="F986" s="103"/>
      <c r="G986" s="6"/>
      <c r="H986" s="103"/>
      <c r="I986" s="6"/>
      <c r="J986" s="141"/>
      <c r="K986" s="141"/>
      <c r="L986" s="141"/>
      <c r="M986" s="141"/>
    </row>
    <row r="987" spans="1:13" x14ac:dyDescent="0.25">
      <c r="A987" s="6"/>
      <c r="B987" s="6"/>
      <c r="C987" s="102"/>
      <c r="D987" s="102"/>
      <c r="E987" s="102"/>
      <c r="F987" s="103"/>
      <c r="G987" s="6"/>
      <c r="H987" s="103"/>
      <c r="I987" s="6"/>
      <c r="J987" s="141"/>
      <c r="K987" s="141"/>
      <c r="L987" s="141"/>
      <c r="M987" s="141"/>
    </row>
    <row r="988" spans="1:13" x14ac:dyDescent="0.25">
      <c r="A988" s="6"/>
      <c r="B988" s="6"/>
      <c r="C988" s="102"/>
      <c r="D988" s="102"/>
      <c r="E988" s="102"/>
      <c r="F988" s="103"/>
      <c r="G988" s="6"/>
      <c r="H988" s="103"/>
      <c r="I988" s="6"/>
      <c r="J988" s="141"/>
      <c r="K988" s="141"/>
      <c r="L988" s="141"/>
      <c r="M988" s="141"/>
    </row>
    <row r="989" spans="1:13" x14ac:dyDescent="0.25">
      <c r="A989" s="6"/>
      <c r="B989" s="6"/>
      <c r="C989" s="102"/>
      <c r="D989" s="102"/>
      <c r="E989" s="102"/>
      <c r="F989" s="103"/>
      <c r="G989" s="6"/>
      <c r="H989" s="103"/>
      <c r="I989" s="6"/>
      <c r="J989" s="141"/>
      <c r="K989" s="141"/>
      <c r="L989" s="141"/>
      <c r="M989" s="141"/>
    </row>
    <row r="990" spans="1:13" x14ac:dyDescent="0.25">
      <c r="A990" s="6"/>
      <c r="B990" s="6"/>
      <c r="C990" s="102"/>
      <c r="D990" s="102"/>
      <c r="E990" s="102"/>
      <c r="F990" s="103"/>
      <c r="G990" s="6"/>
      <c r="H990" s="103"/>
      <c r="I990" s="6"/>
      <c r="J990" s="141"/>
      <c r="K990" s="141"/>
      <c r="L990" s="141"/>
      <c r="M990" s="141"/>
    </row>
    <row r="991" spans="1:13" x14ac:dyDescent="0.25">
      <c r="A991" s="6"/>
      <c r="B991" s="6"/>
      <c r="C991" s="102"/>
      <c r="D991" s="102"/>
      <c r="E991" s="102"/>
      <c r="F991" s="103"/>
      <c r="G991" s="6"/>
      <c r="H991" s="103"/>
      <c r="I991" s="6"/>
      <c r="J991" s="141"/>
      <c r="K991" s="141"/>
      <c r="L991" s="141"/>
      <c r="M991" s="141"/>
    </row>
    <row r="992" spans="1:13" x14ac:dyDescent="0.25">
      <c r="A992" s="6"/>
      <c r="B992" s="6"/>
      <c r="C992" s="102"/>
      <c r="D992" s="102"/>
      <c r="E992" s="102"/>
      <c r="F992" s="103"/>
      <c r="G992" s="6"/>
      <c r="H992" s="103"/>
      <c r="I992" s="6"/>
      <c r="J992" s="141"/>
      <c r="K992" s="141"/>
      <c r="L992" s="141"/>
      <c r="M992" s="141"/>
    </row>
    <row r="993" spans="1:13" x14ac:dyDescent="0.25">
      <c r="A993" s="6"/>
      <c r="B993" s="6"/>
      <c r="C993" s="102"/>
      <c r="D993" s="102"/>
      <c r="E993" s="102"/>
      <c r="F993" s="103"/>
      <c r="G993" s="6"/>
      <c r="H993" s="103"/>
      <c r="I993" s="6"/>
      <c r="J993" s="141"/>
      <c r="K993" s="141"/>
      <c r="L993" s="141"/>
      <c r="M993" s="141"/>
    </row>
    <row r="994" spans="1:13" x14ac:dyDescent="0.25">
      <c r="A994" s="6"/>
      <c r="B994" s="6"/>
      <c r="C994" s="102"/>
      <c r="D994" s="102"/>
      <c r="E994" s="102"/>
      <c r="F994" s="103"/>
      <c r="G994" s="6"/>
      <c r="H994" s="103"/>
      <c r="I994" s="6"/>
      <c r="J994" s="141"/>
      <c r="K994" s="141"/>
      <c r="L994" s="141"/>
      <c r="M994" s="141"/>
    </row>
    <row r="995" spans="1:13" x14ac:dyDescent="0.25">
      <c r="A995" s="6"/>
      <c r="B995" s="6"/>
      <c r="C995" s="102"/>
      <c r="D995" s="102"/>
      <c r="E995" s="102"/>
      <c r="F995" s="103"/>
      <c r="G995" s="6"/>
      <c r="H995" s="103"/>
      <c r="I995" s="6"/>
      <c r="J995" s="141"/>
      <c r="K995" s="141"/>
      <c r="L995" s="141"/>
      <c r="M995" s="141"/>
    </row>
    <row r="996" spans="1:13" x14ac:dyDescent="0.25">
      <c r="A996" s="6"/>
      <c r="B996" s="6"/>
      <c r="C996" s="102"/>
      <c r="D996" s="102"/>
      <c r="E996" s="102"/>
      <c r="F996" s="103"/>
      <c r="G996" s="6"/>
      <c r="H996" s="103"/>
      <c r="I996" s="6"/>
      <c r="J996" s="141"/>
      <c r="K996" s="141"/>
      <c r="L996" s="141"/>
      <c r="M996" s="141"/>
    </row>
    <row r="997" spans="1:13" x14ac:dyDescent="0.25">
      <c r="A997" s="6"/>
      <c r="B997" s="6"/>
      <c r="C997" s="102"/>
      <c r="D997" s="102"/>
      <c r="E997" s="102"/>
      <c r="F997" s="103"/>
      <c r="G997" s="6"/>
      <c r="H997" s="103"/>
      <c r="I997" s="6"/>
      <c r="J997" s="141"/>
      <c r="K997" s="141"/>
      <c r="L997" s="141"/>
      <c r="M997" s="141"/>
    </row>
    <row r="998" spans="1:13" x14ac:dyDescent="0.25">
      <c r="A998" s="6"/>
      <c r="B998" s="6"/>
      <c r="C998" s="102"/>
      <c r="D998" s="102"/>
      <c r="E998" s="102"/>
      <c r="F998" s="103"/>
      <c r="G998" s="6"/>
      <c r="H998" s="103"/>
      <c r="I998" s="6"/>
      <c r="J998" s="141"/>
      <c r="K998" s="141"/>
      <c r="L998" s="141"/>
      <c r="M998" s="141"/>
    </row>
    <row r="999" spans="1:13" x14ac:dyDescent="0.25">
      <c r="A999" s="6"/>
      <c r="B999" s="6"/>
      <c r="C999" s="102"/>
      <c r="D999" s="102"/>
      <c r="E999" s="102"/>
      <c r="F999" s="103"/>
      <c r="G999" s="6"/>
      <c r="H999" s="103"/>
      <c r="I999" s="6"/>
      <c r="J999" s="141"/>
      <c r="K999" s="141"/>
      <c r="L999" s="141"/>
      <c r="M999" s="141"/>
    </row>
    <row r="1000" spans="1:13" x14ac:dyDescent="0.25">
      <c r="A1000" s="6"/>
      <c r="B1000" s="6"/>
      <c r="C1000" s="102"/>
      <c r="D1000" s="102"/>
      <c r="E1000" s="102"/>
      <c r="F1000" s="103"/>
      <c r="G1000" s="6"/>
      <c r="H1000" s="103"/>
      <c r="I1000" s="6"/>
      <c r="J1000" s="141"/>
      <c r="K1000" s="141"/>
      <c r="L1000" s="141"/>
      <c r="M1000" s="141"/>
    </row>
    <row r="1001" spans="1:13" x14ac:dyDescent="0.25">
      <c r="A1001" s="6"/>
      <c r="B1001" s="6"/>
      <c r="C1001" s="102"/>
      <c r="D1001" s="102"/>
      <c r="E1001" s="102"/>
      <c r="F1001" s="103"/>
      <c r="G1001" s="6"/>
      <c r="H1001" s="103"/>
      <c r="I1001" s="6"/>
      <c r="J1001" s="141"/>
      <c r="K1001" s="141"/>
      <c r="L1001" s="141"/>
      <c r="M1001" s="141"/>
    </row>
    <row r="1002" spans="1:13" x14ac:dyDescent="0.25">
      <c r="A1002" s="6"/>
      <c r="B1002" s="6"/>
      <c r="C1002" s="102"/>
      <c r="D1002" s="102"/>
      <c r="E1002" s="102"/>
      <c r="F1002" s="103"/>
      <c r="G1002" s="6"/>
      <c r="H1002" s="103"/>
      <c r="I1002" s="6"/>
      <c r="J1002" s="141"/>
      <c r="K1002" s="141"/>
      <c r="L1002" s="141"/>
      <c r="M1002" s="141"/>
    </row>
    <row r="1003" spans="1:13" x14ac:dyDescent="0.25">
      <c r="A1003" s="6"/>
      <c r="B1003" s="6"/>
      <c r="C1003" s="102"/>
      <c r="D1003" s="102"/>
      <c r="E1003" s="102"/>
      <c r="F1003" s="103"/>
      <c r="G1003" s="6"/>
      <c r="H1003" s="103"/>
      <c r="I1003" s="6"/>
      <c r="J1003" s="141"/>
      <c r="K1003" s="141"/>
      <c r="L1003" s="141"/>
      <c r="M1003" s="141"/>
    </row>
    <row r="1004" spans="1:13" x14ac:dyDescent="0.25">
      <c r="A1004" s="6"/>
      <c r="B1004" s="6"/>
      <c r="C1004" s="102"/>
      <c r="D1004" s="102"/>
      <c r="E1004" s="102"/>
      <c r="F1004" s="103"/>
      <c r="G1004" s="6"/>
      <c r="H1004" s="103"/>
      <c r="I1004" s="6"/>
      <c r="J1004" s="141"/>
      <c r="K1004" s="141"/>
      <c r="L1004" s="141"/>
      <c r="M1004" s="141"/>
    </row>
    <row r="1005" spans="1:13" x14ac:dyDescent="0.25">
      <c r="A1005" s="6"/>
      <c r="B1005" s="6"/>
      <c r="C1005" s="102"/>
      <c r="D1005" s="102"/>
      <c r="E1005" s="102"/>
      <c r="F1005" s="103"/>
      <c r="G1005" s="6"/>
      <c r="H1005" s="103"/>
      <c r="I1005" s="6"/>
      <c r="J1005" s="141"/>
      <c r="K1005" s="141"/>
      <c r="L1005" s="141"/>
      <c r="M1005" s="141"/>
    </row>
    <row r="1006" spans="1:13" x14ac:dyDescent="0.25">
      <c r="A1006" s="6"/>
      <c r="B1006" s="6"/>
      <c r="C1006" s="102"/>
      <c r="D1006" s="102"/>
      <c r="E1006" s="102"/>
      <c r="F1006" s="103"/>
      <c r="G1006" s="6"/>
      <c r="H1006" s="103"/>
      <c r="I1006" s="6"/>
      <c r="J1006" s="141"/>
      <c r="K1006" s="141"/>
      <c r="L1006" s="141"/>
      <c r="M1006" s="141"/>
    </row>
    <row r="1007" spans="1:13" x14ac:dyDescent="0.25">
      <c r="A1007" s="6"/>
      <c r="B1007" s="6"/>
      <c r="C1007" s="102"/>
      <c r="D1007" s="102"/>
      <c r="E1007" s="102"/>
      <c r="F1007" s="103"/>
      <c r="G1007" s="6"/>
      <c r="H1007" s="103"/>
      <c r="I1007" s="6"/>
      <c r="J1007" s="141"/>
      <c r="K1007" s="141"/>
      <c r="L1007" s="141"/>
      <c r="M1007" s="141"/>
    </row>
    <row r="1008" spans="1:13" x14ac:dyDescent="0.25">
      <c r="A1008" s="6"/>
      <c r="B1008" s="6"/>
      <c r="C1008" s="102"/>
      <c r="D1008" s="102"/>
      <c r="E1008" s="102"/>
      <c r="F1008" s="103"/>
      <c r="G1008" s="6"/>
      <c r="H1008" s="103"/>
      <c r="I1008" s="6"/>
      <c r="J1008" s="141"/>
      <c r="K1008" s="141"/>
      <c r="L1008" s="141"/>
      <c r="M1008" s="141"/>
    </row>
    <row r="1009" spans="1:13" x14ac:dyDescent="0.25">
      <c r="A1009" s="6"/>
      <c r="B1009" s="6"/>
      <c r="C1009" s="102"/>
      <c r="D1009" s="102"/>
      <c r="E1009" s="102"/>
      <c r="F1009" s="103"/>
      <c r="G1009" s="6"/>
      <c r="H1009" s="103"/>
      <c r="I1009" s="6"/>
      <c r="J1009" s="141"/>
      <c r="K1009" s="141"/>
      <c r="L1009" s="141"/>
      <c r="M1009" s="141"/>
    </row>
    <row r="1010" spans="1:13" x14ac:dyDescent="0.25">
      <c r="A1010" s="6"/>
      <c r="B1010" s="6"/>
      <c r="C1010" s="102"/>
      <c r="D1010" s="102"/>
      <c r="E1010" s="102"/>
      <c r="F1010" s="103"/>
      <c r="G1010" s="6"/>
      <c r="H1010" s="103"/>
      <c r="I1010" s="6"/>
      <c r="J1010" s="141"/>
      <c r="K1010" s="141"/>
      <c r="L1010" s="141"/>
      <c r="M1010" s="141"/>
    </row>
    <row r="1011" spans="1:13" x14ac:dyDescent="0.25">
      <c r="A1011" s="6"/>
      <c r="B1011" s="6"/>
      <c r="C1011" s="102"/>
      <c r="D1011" s="102"/>
      <c r="E1011" s="102"/>
      <c r="F1011" s="103"/>
      <c r="G1011" s="6"/>
      <c r="H1011" s="103"/>
      <c r="I1011" s="6"/>
      <c r="J1011" s="141"/>
      <c r="K1011" s="141"/>
      <c r="L1011" s="141"/>
      <c r="M1011" s="141"/>
    </row>
    <row r="1012" spans="1:13" x14ac:dyDescent="0.25">
      <c r="A1012" s="6"/>
      <c r="B1012" s="6"/>
      <c r="C1012" s="102"/>
      <c r="D1012" s="102"/>
      <c r="E1012" s="102"/>
      <c r="F1012" s="103"/>
      <c r="G1012" s="6"/>
      <c r="H1012" s="103"/>
      <c r="I1012" s="6"/>
      <c r="J1012" s="141"/>
      <c r="K1012" s="141"/>
      <c r="L1012" s="141"/>
      <c r="M1012" s="141"/>
    </row>
    <row r="1013" spans="1:13" x14ac:dyDescent="0.25">
      <c r="A1013" s="6"/>
      <c r="B1013" s="6"/>
      <c r="C1013" s="102"/>
      <c r="D1013" s="102"/>
      <c r="E1013" s="102"/>
      <c r="F1013" s="103"/>
      <c r="G1013" s="6"/>
      <c r="H1013" s="103"/>
      <c r="I1013" s="6"/>
      <c r="J1013" s="141"/>
      <c r="K1013" s="141"/>
      <c r="L1013" s="141"/>
      <c r="M1013" s="141"/>
    </row>
    <row r="1014" spans="1:13" x14ac:dyDescent="0.25">
      <c r="A1014" s="6"/>
      <c r="B1014" s="6"/>
      <c r="C1014" s="102"/>
      <c r="D1014" s="102"/>
      <c r="E1014" s="102"/>
      <c r="F1014" s="103"/>
      <c r="G1014" s="6"/>
      <c r="H1014" s="103"/>
      <c r="I1014" s="6"/>
      <c r="J1014" s="141"/>
      <c r="K1014" s="141"/>
      <c r="L1014" s="141"/>
      <c r="M1014" s="141"/>
    </row>
    <row r="1015" spans="1:13" x14ac:dyDescent="0.25">
      <c r="A1015" s="6"/>
      <c r="B1015" s="6"/>
      <c r="C1015" s="102"/>
      <c r="D1015" s="102"/>
      <c r="E1015" s="102"/>
      <c r="F1015" s="103"/>
      <c r="G1015" s="6"/>
      <c r="H1015" s="103"/>
      <c r="I1015" s="6"/>
      <c r="J1015" s="141"/>
      <c r="K1015" s="141"/>
      <c r="L1015" s="141"/>
      <c r="M1015" s="141"/>
    </row>
    <row r="1016" spans="1:13" x14ac:dyDescent="0.25">
      <c r="A1016" s="6"/>
      <c r="B1016" s="6"/>
      <c r="C1016" s="102"/>
      <c r="D1016" s="102"/>
      <c r="E1016" s="102"/>
      <c r="F1016" s="103"/>
      <c r="G1016" s="6"/>
      <c r="H1016" s="103"/>
      <c r="I1016" s="6"/>
      <c r="J1016" s="141"/>
      <c r="K1016" s="141"/>
      <c r="L1016" s="141"/>
      <c r="M1016" s="141"/>
    </row>
    <row r="1017" spans="1:13" x14ac:dyDescent="0.25">
      <c r="A1017" s="6"/>
      <c r="B1017" s="6"/>
      <c r="C1017" s="102"/>
      <c r="D1017" s="102"/>
      <c r="E1017" s="102"/>
      <c r="F1017" s="103"/>
      <c r="G1017" s="6"/>
      <c r="H1017" s="103"/>
      <c r="I1017" s="6"/>
      <c r="J1017" s="141"/>
      <c r="K1017" s="141"/>
      <c r="L1017" s="141"/>
      <c r="M1017" s="141"/>
    </row>
    <row r="1018" spans="1:13" x14ac:dyDescent="0.25">
      <c r="A1018" s="6"/>
      <c r="B1018" s="6"/>
      <c r="C1018" s="102"/>
      <c r="D1018" s="102"/>
      <c r="E1018" s="102"/>
      <c r="F1018" s="103"/>
      <c r="G1018" s="6"/>
      <c r="H1018" s="103"/>
      <c r="I1018" s="6"/>
      <c r="J1018" s="141"/>
      <c r="K1018" s="141"/>
      <c r="L1018" s="141"/>
      <c r="M1018" s="141"/>
    </row>
    <row r="1019" spans="1:13" x14ac:dyDescent="0.25">
      <c r="A1019" s="6"/>
      <c r="B1019" s="6"/>
      <c r="C1019" s="102"/>
      <c r="D1019" s="102"/>
      <c r="E1019" s="102"/>
      <c r="F1019" s="103"/>
      <c r="G1019" s="6"/>
      <c r="H1019" s="103"/>
      <c r="I1019" s="6"/>
      <c r="J1019" s="141"/>
      <c r="K1019" s="141"/>
      <c r="L1019" s="141"/>
      <c r="M1019" s="141"/>
    </row>
    <row r="1020" spans="1:13" x14ac:dyDescent="0.25">
      <c r="A1020" s="6"/>
      <c r="B1020" s="6"/>
      <c r="C1020" s="102"/>
      <c r="D1020" s="102"/>
      <c r="E1020" s="102"/>
      <c r="F1020" s="103"/>
      <c r="G1020" s="6"/>
      <c r="H1020" s="103"/>
      <c r="I1020" s="6"/>
      <c r="J1020" s="141"/>
      <c r="K1020" s="141"/>
      <c r="L1020" s="141"/>
      <c r="M1020" s="141"/>
    </row>
    <row r="1021" spans="1:13" x14ac:dyDescent="0.25">
      <c r="A1021" s="6"/>
      <c r="B1021" s="6"/>
      <c r="C1021" s="102"/>
      <c r="D1021" s="102"/>
      <c r="E1021" s="102"/>
      <c r="F1021" s="103"/>
      <c r="G1021" s="6"/>
      <c r="H1021" s="103"/>
      <c r="I1021" s="6"/>
      <c r="J1021" s="141"/>
      <c r="K1021" s="141"/>
      <c r="L1021" s="141"/>
      <c r="M1021" s="141"/>
    </row>
    <row r="1022" spans="1:13" x14ac:dyDescent="0.25">
      <c r="A1022" s="6"/>
      <c r="B1022" s="6"/>
      <c r="C1022" s="102"/>
      <c r="D1022" s="102"/>
      <c r="E1022" s="102"/>
      <c r="F1022" s="103"/>
      <c r="G1022" s="6"/>
      <c r="H1022" s="103"/>
      <c r="I1022" s="6"/>
      <c r="J1022" s="141"/>
      <c r="K1022" s="141"/>
      <c r="L1022" s="141"/>
      <c r="M1022" s="141"/>
    </row>
    <row r="1023" spans="1:13" x14ac:dyDescent="0.25">
      <c r="A1023" s="6"/>
      <c r="B1023" s="6"/>
      <c r="C1023" s="102"/>
      <c r="D1023" s="102"/>
      <c r="E1023" s="102"/>
      <c r="F1023" s="103"/>
      <c r="G1023" s="6"/>
      <c r="H1023" s="103"/>
      <c r="I1023" s="6"/>
      <c r="J1023" s="141"/>
      <c r="K1023" s="141"/>
      <c r="L1023" s="141"/>
      <c r="M1023" s="141"/>
    </row>
    <row r="1024" spans="1:13" x14ac:dyDescent="0.25">
      <c r="A1024" s="6"/>
      <c r="B1024" s="6"/>
      <c r="C1024" s="102"/>
      <c r="D1024" s="102"/>
      <c r="E1024" s="102"/>
      <c r="F1024" s="103"/>
      <c r="G1024" s="6"/>
      <c r="H1024" s="103"/>
      <c r="I1024" s="6"/>
      <c r="J1024" s="141"/>
      <c r="K1024" s="141"/>
      <c r="L1024" s="141"/>
      <c r="M1024" s="141"/>
    </row>
    <row r="1025" spans="1:13" x14ac:dyDescent="0.25">
      <c r="A1025" s="6"/>
      <c r="B1025" s="6"/>
      <c r="C1025" s="102"/>
      <c r="D1025" s="102"/>
      <c r="E1025" s="102"/>
      <c r="F1025" s="103"/>
      <c r="G1025" s="6"/>
      <c r="H1025" s="103"/>
      <c r="I1025" s="6"/>
      <c r="J1025" s="141"/>
      <c r="K1025" s="141"/>
      <c r="L1025" s="141"/>
      <c r="M1025" s="141"/>
    </row>
    <row r="1026" spans="1:13" x14ac:dyDescent="0.25">
      <c r="A1026" s="6"/>
      <c r="B1026" s="6"/>
      <c r="C1026" s="102"/>
      <c r="D1026" s="102"/>
      <c r="E1026" s="102"/>
      <c r="F1026" s="103"/>
      <c r="G1026" s="6"/>
      <c r="H1026" s="103"/>
      <c r="I1026" s="6"/>
      <c r="J1026" s="141"/>
      <c r="K1026" s="141"/>
      <c r="L1026" s="141"/>
      <c r="M1026" s="141"/>
    </row>
    <row r="1027" spans="1:13" x14ac:dyDescent="0.25">
      <c r="A1027" s="6"/>
      <c r="B1027" s="6"/>
      <c r="C1027" s="102"/>
      <c r="D1027" s="102"/>
      <c r="E1027" s="102"/>
      <c r="F1027" s="103"/>
      <c r="G1027" s="6"/>
      <c r="H1027" s="103"/>
      <c r="I1027" s="6"/>
      <c r="J1027" s="141"/>
      <c r="K1027" s="141"/>
      <c r="L1027" s="141"/>
      <c r="M1027" s="141"/>
    </row>
    <row r="1028" spans="1:13" x14ac:dyDescent="0.25">
      <c r="A1028" s="6"/>
      <c r="B1028" s="6"/>
      <c r="C1028" s="102"/>
      <c r="D1028" s="102"/>
      <c r="E1028" s="102"/>
      <c r="F1028" s="103"/>
      <c r="G1028" s="6"/>
      <c r="H1028" s="103"/>
      <c r="I1028" s="6"/>
      <c r="J1028" s="141"/>
      <c r="K1028" s="141"/>
      <c r="L1028" s="141"/>
      <c r="M1028" s="141"/>
    </row>
    <row r="1029" spans="1:13" x14ac:dyDescent="0.25">
      <c r="A1029" s="6"/>
      <c r="B1029" s="6"/>
      <c r="C1029" s="102"/>
      <c r="D1029" s="102"/>
      <c r="E1029" s="102"/>
      <c r="F1029" s="103"/>
      <c r="G1029" s="6"/>
      <c r="H1029" s="103"/>
      <c r="I1029" s="6"/>
      <c r="J1029" s="141"/>
      <c r="K1029" s="141"/>
      <c r="L1029" s="141"/>
      <c r="M1029" s="141"/>
    </row>
    <row r="1030" spans="1:13" x14ac:dyDescent="0.25">
      <c r="A1030" s="6"/>
      <c r="B1030" s="6"/>
      <c r="C1030" s="102"/>
      <c r="D1030" s="102"/>
      <c r="E1030" s="102"/>
      <c r="F1030" s="103"/>
      <c r="G1030" s="6"/>
      <c r="H1030" s="103"/>
      <c r="I1030" s="6"/>
      <c r="J1030" s="141"/>
      <c r="K1030" s="141"/>
      <c r="L1030" s="141"/>
      <c r="M1030" s="141"/>
    </row>
    <row r="1031" spans="1:13" x14ac:dyDescent="0.25">
      <c r="A1031" s="6"/>
      <c r="B1031" s="6"/>
      <c r="C1031" s="102"/>
      <c r="D1031" s="102"/>
      <c r="E1031" s="102"/>
      <c r="F1031" s="103"/>
      <c r="G1031" s="6"/>
      <c r="H1031" s="103"/>
      <c r="I1031" s="6"/>
      <c r="J1031" s="141"/>
      <c r="K1031" s="141"/>
      <c r="L1031" s="141"/>
      <c r="M1031" s="141"/>
    </row>
    <row r="1032" spans="1:13" x14ac:dyDescent="0.25">
      <c r="A1032" s="6"/>
      <c r="B1032" s="6"/>
      <c r="C1032" s="102"/>
      <c r="D1032" s="102"/>
      <c r="E1032" s="102"/>
      <c r="F1032" s="103"/>
      <c r="G1032" s="6"/>
      <c r="H1032" s="103"/>
      <c r="I1032" s="6"/>
      <c r="J1032" s="141"/>
      <c r="K1032" s="141"/>
      <c r="L1032" s="141"/>
      <c r="M1032" s="141"/>
    </row>
    <row r="1033" spans="1:13" x14ac:dyDescent="0.25">
      <c r="A1033" s="6"/>
      <c r="B1033" s="6"/>
      <c r="C1033" s="102"/>
      <c r="D1033" s="102"/>
      <c r="E1033" s="102"/>
      <c r="F1033" s="103"/>
      <c r="G1033" s="6"/>
      <c r="H1033" s="103"/>
      <c r="I1033" s="6"/>
      <c r="J1033" s="141"/>
      <c r="K1033" s="141"/>
      <c r="L1033" s="141"/>
      <c r="M1033" s="141"/>
    </row>
    <row r="1034" spans="1:13" x14ac:dyDescent="0.25">
      <c r="A1034" s="6"/>
      <c r="B1034" s="6"/>
      <c r="C1034" s="102"/>
      <c r="D1034" s="102"/>
      <c r="E1034" s="102"/>
      <c r="F1034" s="103"/>
      <c r="G1034" s="6"/>
      <c r="H1034" s="103"/>
      <c r="I1034" s="6"/>
      <c r="J1034" s="141"/>
      <c r="K1034" s="141"/>
      <c r="L1034" s="141"/>
      <c r="M1034" s="141"/>
    </row>
    <row r="1035" spans="1:13" x14ac:dyDescent="0.25">
      <c r="A1035" s="6"/>
      <c r="B1035" s="6"/>
      <c r="C1035" s="102"/>
      <c r="D1035" s="102"/>
      <c r="E1035" s="102"/>
      <c r="F1035" s="103"/>
      <c r="G1035" s="6"/>
      <c r="H1035" s="103"/>
      <c r="I1035" s="6"/>
      <c r="J1035" s="141"/>
      <c r="K1035" s="141"/>
      <c r="L1035" s="141"/>
      <c r="M1035" s="141"/>
    </row>
    <row r="1036" spans="1:13" x14ac:dyDescent="0.25">
      <c r="A1036" s="6"/>
      <c r="B1036" s="6"/>
      <c r="C1036" s="102"/>
      <c r="D1036" s="102"/>
      <c r="E1036" s="102"/>
      <c r="F1036" s="103"/>
      <c r="G1036" s="6"/>
      <c r="H1036" s="103"/>
      <c r="I1036" s="6"/>
      <c r="J1036" s="141"/>
      <c r="K1036" s="141"/>
      <c r="L1036" s="141"/>
      <c r="M1036" s="141"/>
    </row>
    <row r="1037" spans="1:13" x14ac:dyDescent="0.25">
      <c r="A1037" s="6"/>
      <c r="B1037" s="6"/>
      <c r="C1037" s="102"/>
      <c r="D1037" s="102"/>
      <c r="E1037" s="102"/>
      <c r="F1037" s="103"/>
      <c r="G1037" s="6"/>
      <c r="H1037" s="103"/>
      <c r="I1037" s="6"/>
      <c r="J1037" s="141"/>
      <c r="K1037" s="141"/>
      <c r="L1037" s="141"/>
      <c r="M1037" s="141"/>
    </row>
    <row r="1038" spans="1:13" x14ac:dyDescent="0.25">
      <c r="A1038" s="6"/>
      <c r="B1038" s="6"/>
      <c r="C1038" s="102"/>
      <c r="D1038" s="102"/>
      <c r="E1038" s="102"/>
      <c r="F1038" s="103"/>
      <c r="G1038" s="6"/>
      <c r="H1038" s="103"/>
      <c r="I1038" s="6"/>
      <c r="J1038" s="141"/>
      <c r="K1038" s="141"/>
      <c r="L1038" s="141"/>
      <c r="M1038" s="141"/>
    </row>
    <row r="1039" spans="1:13" x14ac:dyDescent="0.25">
      <c r="A1039" s="6"/>
      <c r="B1039" s="6"/>
      <c r="C1039" s="102"/>
      <c r="D1039" s="102"/>
      <c r="E1039" s="102"/>
      <c r="F1039" s="103"/>
      <c r="G1039" s="6"/>
      <c r="H1039" s="103"/>
      <c r="I1039" s="6"/>
      <c r="J1039" s="141"/>
      <c r="K1039" s="141"/>
      <c r="L1039" s="141"/>
      <c r="M1039" s="141"/>
    </row>
    <row r="1040" spans="1:13" x14ac:dyDescent="0.25">
      <c r="A1040" s="6"/>
      <c r="B1040" s="6"/>
      <c r="C1040" s="102"/>
      <c r="D1040" s="102"/>
      <c r="E1040" s="102"/>
      <c r="F1040" s="103"/>
      <c r="G1040" s="6"/>
      <c r="H1040" s="103"/>
      <c r="I1040" s="6"/>
      <c r="J1040" s="141"/>
      <c r="K1040" s="141"/>
      <c r="L1040" s="141"/>
      <c r="M1040" s="141"/>
    </row>
    <row r="1041" spans="1:13" x14ac:dyDescent="0.25">
      <c r="A1041" s="6"/>
      <c r="B1041" s="6"/>
      <c r="C1041" s="102"/>
      <c r="D1041" s="102"/>
      <c r="E1041" s="102"/>
      <c r="F1041" s="103"/>
      <c r="G1041" s="6"/>
      <c r="H1041" s="103"/>
      <c r="I1041" s="6"/>
      <c r="J1041" s="141"/>
      <c r="K1041" s="141"/>
      <c r="L1041" s="141"/>
      <c r="M1041" s="141"/>
    </row>
    <row r="1042" spans="1:13" x14ac:dyDescent="0.25">
      <c r="A1042" s="6"/>
      <c r="B1042" s="6"/>
      <c r="C1042" s="102"/>
      <c r="D1042" s="102"/>
      <c r="E1042" s="102"/>
      <c r="F1042" s="103"/>
      <c r="G1042" s="6"/>
      <c r="H1042" s="103"/>
      <c r="I1042" s="6"/>
      <c r="J1042" s="141"/>
      <c r="K1042" s="141"/>
      <c r="L1042" s="141"/>
      <c r="M1042" s="141"/>
    </row>
    <row r="1043" spans="1:13" x14ac:dyDescent="0.25">
      <c r="A1043" s="6"/>
      <c r="B1043" s="6"/>
      <c r="C1043" s="102"/>
      <c r="D1043" s="102"/>
      <c r="E1043" s="102"/>
      <c r="F1043" s="103"/>
      <c r="G1043" s="6"/>
      <c r="H1043" s="103"/>
      <c r="I1043" s="6"/>
      <c r="J1043" s="141"/>
      <c r="K1043" s="141"/>
      <c r="L1043" s="141"/>
      <c r="M1043" s="141"/>
    </row>
    <row r="1044" spans="1:13" x14ac:dyDescent="0.25">
      <c r="A1044" s="6"/>
      <c r="B1044" s="6"/>
      <c r="C1044" s="102"/>
      <c r="D1044" s="102"/>
      <c r="E1044" s="102"/>
      <c r="F1044" s="103"/>
      <c r="G1044" s="6"/>
      <c r="H1044" s="103"/>
      <c r="I1044" s="6"/>
      <c r="J1044" s="141"/>
      <c r="K1044" s="141"/>
      <c r="L1044" s="141"/>
      <c r="M1044" s="141"/>
    </row>
    <row r="1045" spans="1:13" x14ac:dyDescent="0.25">
      <c r="A1045" s="6"/>
      <c r="B1045" s="6"/>
      <c r="C1045" s="102"/>
      <c r="D1045" s="102"/>
      <c r="E1045" s="102"/>
      <c r="F1045" s="103"/>
      <c r="G1045" s="6"/>
      <c r="H1045" s="103"/>
      <c r="I1045" s="6"/>
      <c r="J1045" s="141"/>
      <c r="K1045" s="141"/>
      <c r="L1045" s="141"/>
      <c r="M1045" s="141"/>
    </row>
    <row r="1046" spans="1:13" x14ac:dyDescent="0.25">
      <c r="A1046" s="6"/>
      <c r="B1046" s="6"/>
      <c r="C1046" s="102"/>
      <c r="D1046" s="102"/>
      <c r="E1046" s="102"/>
      <c r="F1046" s="103"/>
      <c r="G1046" s="6"/>
      <c r="H1046" s="103"/>
      <c r="I1046" s="6"/>
      <c r="J1046" s="141"/>
      <c r="K1046" s="141"/>
      <c r="L1046" s="141"/>
      <c r="M1046" s="141"/>
    </row>
    <row r="1047" spans="1:13" x14ac:dyDescent="0.25">
      <c r="A1047" s="6"/>
      <c r="B1047" s="6"/>
      <c r="C1047" s="102"/>
      <c r="D1047" s="102"/>
      <c r="E1047" s="102"/>
      <c r="F1047" s="103"/>
      <c r="G1047" s="6"/>
      <c r="H1047" s="103"/>
      <c r="I1047" s="6"/>
      <c r="J1047" s="141"/>
      <c r="K1047" s="141"/>
      <c r="L1047" s="141"/>
      <c r="M1047" s="141"/>
    </row>
    <row r="1048" spans="1:13" x14ac:dyDescent="0.25">
      <c r="A1048" s="6"/>
      <c r="B1048" s="6"/>
      <c r="C1048" s="102"/>
      <c r="D1048" s="102"/>
      <c r="E1048" s="102"/>
      <c r="F1048" s="103"/>
      <c r="G1048" s="6"/>
      <c r="H1048" s="103"/>
      <c r="I1048" s="6"/>
      <c r="J1048" s="141"/>
      <c r="K1048" s="141"/>
      <c r="L1048" s="141"/>
      <c r="M1048" s="141"/>
    </row>
    <row r="1049" spans="1:13" x14ac:dyDescent="0.25">
      <c r="A1049" s="6"/>
      <c r="B1049" s="6"/>
      <c r="C1049" s="102"/>
      <c r="D1049" s="102"/>
      <c r="E1049" s="102"/>
      <c r="F1049" s="103"/>
      <c r="G1049" s="6"/>
      <c r="H1049" s="103"/>
      <c r="I1049" s="6"/>
      <c r="J1049" s="141"/>
      <c r="K1049" s="141"/>
      <c r="L1049" s="141"/>
      <c r="M1049" s="141"/>
    </row>
    <row r="1050" spans="1:13" x14ac:dyDescent="0.25">
      <c r="A1050" s="6"/>
      <c r="B1050" s="6"/>
      <c r="C1050" s="102"/>
      <c r="D1050" s="102"/>
      <c r="E1050" s="102"/>
      <c r="F1050" s="103"/>
      <c r="G1050" s="6"/>
      <c r="H1050" s="103"/>
      <c r="I1050" s="6"/>
      <c r="J1050" s="141"/>
      <c r="K1050" s="141"/>
      <c r="L1050" s="141"/>
      <c r="M1050" s="141"/>
    </row>
    <row r="1051" spans="1:13" x14ac:dyDescent="0.25">
      <c r="A1051" s="6"/>
      <c r="B1051" s="6"/>
      <c r="C1051" s="102"/>
      <c r="D1051" s="102"/>
      <c r="E1051" s="102"/>
      <c r="F1051" s="103"/>
      <c r="G1051" s="6"/>
      <c r="H1051" s="103"/>
      <c r="I1051" s="6"/>
      <c r="J1051" s="141"/>
      <c r="K1051" s="141"/>
      <c r="L1051" s="141"/>
      <c r="M1051" s="141"/>
    </row>
    <row r="1052" spans="1:13" x14ac:dyDescent="0.25">
      <c r="A1052" s="6"/>
      <c r="B1052" s="6"/>
      <c r="C1052" s="102"/>
      <c r="D1052" s="102"/>
      <c r="E1052" s="102"/>
      <c r="F1052" s="103"/>
      <c r="G1052" s="6"/>
      <c r="H1052" s="103"/>
      <c r="I1052" s="6"/>
      <c r="J1052" s="141"/>
      <c r="K1052" s="141"/>
      <c r="L1052" s="141"/>
      <c r="M1052" s="141"/>
    </row>
    <row r="1053" spans="1:13" x14ac:dyDescent="0.25">
      <c r="A1053" s="6"/>
      <c r="B1053" s="6"/>
      <c r="C1053" s="102"/>
      <c r="D1053" s="102"/>
      <c r="E1053" s="102"/>
      <c r="F1053" s="103"/>
      <c r="G1053" s="6"/>
      <c r="H1053" s="103"/>
      <c r="I1053" s="6"/>
      <c r="J1053" s="141"/>
      <c r="K1053" s="141"/>
      <c r="L1053" s="141"/>
      <c r="M1053" s="141"/>
    </row>
    <row r="1054" spans="1:13" x14ac:dyDescent="0.25">
      <c r="A1054" s="6"/>
      <c r="B1054" s="6"/>
      <c r="C1054" s="102"/>
      <c r="D1054" s="102"/>
      <c r="E1054" s="102"/>
      <c r="F1054" s="103"/>
      <c r="G1054" s="6"/>
      <c r="H1054" s="103"/>
      <c r="I1054" s="6"/>
      <c r="J1054" s="141"/>
      <c r="K1054" s="141"/>
      <c r="L1054" s="141"/>
      <c r="M1054" s="141"/>
    </row>
    <row r="1055" spans="1:13" x14ac:dyDescent="0.25">
      <c r="A1055" s="6"/>
      <c r="B1055" s="6"/>
      <c r="C1055" s="102"/>
      <c r="D1055" s="102"/>
      <c r="E1055" s="102"/>
      <c r="F1055" s="103"/>
      <c r="G1055" s="6"/>
      <c r="H1055" s="103"/>
      <c r="I1055" s="6"/>
      <c r="J1055" s="141"/>
      <c r="K1055" s="141"/>
      <c r="L1055" s="141"/>
      <c r="M1055" s="141"/>
    </row>
    <row r="1056" spans="1:13" x14ac:dyDescent="0.25">
      <c r="A1056" s="6"/>
      <c r="B1056" s="6"/>
      <c r="C1056" s="102"/>
      <c r="D1056" s="102"/>
      <c r="E1056" s="102"/>
      <c r="F1056" s="103"/>
      <c r="G1056" s="6"/>
      <c r="H1056" s="103"/>
      <c r="I1056" s="6"/>
      <c r="J1056" s="141"/>
      <c r="K1056" s="141"/>
      <c r="L1056" s="141"/>
      <c r="M1056" s="141"/>
    </row>
    <row r="1057" spans="1:13" x14ac:dyDescent="0.25">
      <c r="A1057" s="6"/>
      <c r="B1057" s="6"/>
      <c r="C1057" s="102"/>
      <c r="D1057" s="102"/>
      <c r="E1057" s="102"/>
      <c r="F1057" s="103"/>
      <c r="G1057" s="6"/>
      <c r="H1057" s="103"/>
      <c r="I1057" s="6"/>
      <c r="J1057" s="141"/>
      <c r="K1057" s="141"/>
      <c r="L1057" s="141"/>
      <c r="M1057" s="141"/>
    </row>
    <row r="1058" spans="1:13" x14ac:dyDescent="0.25">
      <c r="A1058" s="6"/>
      <c r="B1058" s="6"/>
      <c r="C1058" s="102"/>
      <c r="D1058" s="102"/>
      <c r="E1058" s="102"/>
      <c r="F1058" s="103"/>
      <c r="G1058" s="6"/>
      <c r="H1058" s="103"/>
      <c r="I1058" s="6"/>
      <c r="J1058" s="141"/>
      <c r="K1058" s="141"/>
      <c r="L1058" s="141"/>
      <c r="M1058" s="141"/>
    </row>
    <row r="1059" spans="1:13" x14ac:dyDescent="0.25">
      <c r="A1059" s="6"/>
      <c r="B1059" s="6"/>
      <c r="C1059" s="102"/>
      <c r="D1059" s="102"/>
      <c r="E1059" s="102"/>
      <c r="F1059" s="103"/>
      <c r="G1059" s="6"/>
      <c r="H1059" s="103"/>
      <c r="I1059" s="6"/>
      <c r="J1059" s="141"/>
      <c r="K1059" s="141"/>
      <c r="L1059" s="141"/>
      <c r="M1059" s="141"/>
    </row>
    <row r="1060" spans="1:13" x14ac:dyDescent="0.25">
      <c r="A1060" s="6"/>
      <c r="B1060" s="6"/>
      <c r="C1060" s="102"/>
      <c r="D1060" s="102"/>
      <c r="E1060" s="102"/>
      <c r="F1060" s="103"/>
      <c r="G1060" s="6"/>
      <c r="H1060" s="103"/>
      <c r="I1060" s="6"/>
      <c r="J1060" s="141"/>
      <c r="K1060" s="141"/>
      <c r="L1060" s="141"/>
      <c r="M1060" s="141"/>
    </row>
    <row r="1061" spans="1:13" x14ac:dyDescent="0.25">
      <c r="A1061" s="6"/>
      <c r="B1061" s="6"/>
      <c r="C1061" s="102"/>
      <c r="D1061" s="102"/>
      <c r="E1061" s="102"/>
      <c r="F1061" s="103"/>
      <c r="G1061" s="6"/>
      <c r="H1061" s="103"/>
      <c r="I1061" s="6"/>
      <c r="J1061" s="141"/>
      <c r="K1061" s="141"/>
      <c r="L1061" s="141"/>
      <c r="M1061" s="141"/>
    </row>
    <row r="1062" spans="1:13" x14ac:dyDescent="0.25">
      <c r="A1062" s="6"/>
      <c r="B1062" s="6"/>
      <c r="C1062" s="102"/>
      <c r="D1062" s="102"/>
      <c r="E1062" s="102"/>
      <c r="F1062" s="103"/>
      <c r="G1062" s="6"/>
      <c r="H1062" s="103"/>
      <c r="I1062" s="6"/>
      <c r="J1062" s="141"/>
      <c r="K1062" s="141"/>
      <c r="L1062" s="141"/>
      <c r="M1062" s="141"/>
    </row>
    <row r="1063" spans="1:13" x14ac:dyDescent="0.25">
      <c r="A1063" s="6"/>
      <c r="B1063" s="6"/>
      <c r="C1063" s="102"/>
      <c r="D1063" s="102"/>
      <c r="E1063" s="102"/>
      <c r="F1063" s="103"/>
      <c r="G1063" s="6"/>
      <c r="H1063" s="103"/>
      <c r="I1063" s="6"/>
      <c r="J1063" s="141"/>
      <c r="K1063" s="141"/>
      <c r="L1063" s="141"/>
      <c r="M1063" s="141"/>
    </row>
    <row r="1064" spans="1:13" x14ac:dyDescent="0.25">
      <c r="A1064" s="6"/>
      <c r="B1064" s="6"/>
      <c r="C1064" s="102"/>
      <c r="D1064" s="102"/>
      <c r="E1064" s="102"/>
      <c r="F1064" s="103"/>
      <c r="G1064" s="6"/>
      <c r="H1064" s="103"/>
      <c r="I1064" s="6"/>
      <c r="J1064" s="141"/>
      <c r="K1064" s="141"/>
      <c r="L1064" s="141"/>
      <c r="M1064" s="141"/>
    </row>
    <row r="1065" spans="1:13" x14ac:dyDescent="0.25">
      <c r="A1065" s="6"/>
      <c r="B1065" s="6"/>
      <c r="C1065" s="102"/>
      <c r="D1065" s="102"/>
      <c r="E1065" s="102"/>
      <c r="F1065" s="103"/>
      <c r="G1065" s="6"/>
      <c r="H1065" s="103"/>
      <c r="I1065" s="6"/>
      <c r="J1065" s="141"/>
      <c r="K1065" s="141"/>
      <c r="L1065" s="141"/>
      <c r="M1065" s="141"/>
    </row>
    <row r="1066" spans="1:13" x14ac:dyDescent="0.25">
      <c r="A1066" s="6"/>
      <c r="B1066" s="6"/>
      <c r="C1066" s="102"/>
      <c r="D1066" s="102"/>
      <c r="E1066" s="102"/>
      <c r="F1066" s="103"/>
      <c r="G1066" s="6"/>
      <c r="H1066" s="103"/>
      <c r="I1066" s="6"/>
      <c r="J1066" s="141"/>
      <c r="K1066" s="141"/>
      <c r="L1066" s="141"/>
      <c r="M1066" s="141"/>
    </row>
    <row r="1067" spans="1:13" x14ac:dyDescent="0.25">
      <c r="A1067" s="6"/>
      <c r="B1067" s="6"/>
      <c r="C1067" s="102"/>
      <c r="D1067" s="102"/>
      <c r="E1067" s="102"/>
      <c r="F1067" s="103"/>
      <c r="G1067" s="6"/>
      <c r="H1067" s="103"/>
      <c r="I1067" s="6"/>
      <c r="J1067" s="141"/>
      <c r="K1067" s="141"/>
      <c r="L1067" s="141"/>
      <c r="M1067" s="141"/>
    </row>
    <row r="1068" spans="1:13" x14ac:dyDescent="0.25">
      <c r="A1068" s="6"/>
      <c r="B1068" s="6"/>
      <c r="C1068" s="102"/>
      <c r="D1068" s="102"/>
      <c r="E1068" s="102"/>
      <c r="F1068" s="103"/>
      <c r="G1068" s="6"/>
      <c r="H1068" s="103"/>
      <c r="I1068" s="6"/>
      <c r="J1068" s="141"/>
      <c r="K1068" s="141"/>
      <c r="L1068" s="141"/>
      <c r="M1068" s="141"/>
    </row>
    <row r="1069" spans="1:13" x14ac:dyDescent="0.25">
      <c r="A1069" s="6"/>
      <c r="B1069" s="6"/>
      <c r="C1069" s="102"/>
      <c r="D1069" s="102"/>
      <c r="E1069" s="102"/>
      <c r="F1069" s="103"/>
      <c r="G1069" s="6"/>
      <c r="H1069" s="103"/>
      <c r="I1069" s="6"/>
      <c r="J1069" s="141"/>
      <c r="K1069" s="141"/>
      <c r="L1069" s="141"/>
      <c r="M1069" s="141"/>
    </row>
    <row r="1070" spans="1:13" x14ac:dyDescent="0.25">
      <c r="A1070" s="6"/>
      <c r="B1070" s="6"/>
      <c r="C1070" s="102"/>
      <c r="D1070" s="102"/>
      <c r="E1070" s="102"/>
      <c r="F1070" s="103"/>
      <c r="G1070" s="6"/>
      <c r="H1070" s="103"/>
      <c r="I1070" s="6"/>
      <c r="J1070" s="141"/>
      <c r="K1070" s="141"/>
      <c r="L1070" s="141"/>
      <c r="M1070" s="141"/>
    </row>
    <row r="1071" spans="1:13" x14ac:dyDescent="0.25">
      <c r="A1071" s="6"/>
      <c r="B1071" s="6"/>
      <c r="C1071" s="102"/>
      <c r="D1071" s="102"/>
      <c r="E1071" s="102"/>
      <c r="F1071" s="103"/>
      <c r="G1071" s="6"/>
      <c r="H1071" s="103"/>
      <c r="I1071" s="6"/>
      <c r="J1071" s="141"/>
      <c r="K1071" s="141"/>
      <c r="L1071" s="141"/>
      <c r="M1071" s="141"/>
    </row>
    <row r="1072" spans="1:13" x14ac:dyDescent="0.25">
      <c r="A1072" s="6"/>
      <c r="B1072" s="6"/>
      <c r="C1072" s="102"/>
      <c r="D1072" s="102"/>
      <c r="E1072" s="102"/>
      <c r="F1072" s="103"/>
      <c r="G1072" s="6"/>
      <c r="H1072" s="103"/>
      <c r="I1072" s="6"/>
      <c r="J1072" s="141"/>
      <c r="K1072" s="141"/>
      <c r="L1072" s="141"/>
      <c r="M1072" s="141"/>
    </row>
    <row r="1073" spans="1:13" x14ac:dyDescent="0.25">
      <c r="A1073" s="6"/>
      <c r="B1073" s="6"/>
      <c r="C1073" s="102"/>
      <c r="D1073" s="102"/>
      <c r="E1073" s="102"/>
      <c r="F1073" s="103"/>
      <c r="G1073" s="6"/>
      <c r="H1073" s="103"/>
      <c r="I1073" s="6"/>
      <c r="J1073" s="141"/>
      <c r="K1073" s="141"/>
      <c r="L1073" s="141"/>
      <c r="M1073" s="141"/>
    </row>
    <row r="1074" spans="1:13" x14ac:dyDescent="0.25">
      <c r="A1074" s="6"/>
      <c r="B1074" s="6"/>
      <c r="C1074" s="102"/>
      <c r="D1074" s="102"/>
      <c r="E1074" s="102"/>
      <c r="F1074" s="103"/>
      <c r="G1074" s="6"/>
      <c r="H1074" s="103"/>
      <c r="I1074" s="6"/>
      <c r="J1074" s="141"/>
      <c r="K1074" s="141"/>
      <c r="L1074" s="141"/>
      <c r="M1074" s="141"/>
    </row>
    <row r="1075" spans="1:13" x14ac:dyDescent="0.25">
      <c r="A1075" s="6"/>
      <c r="B1075" s="6"/>
      <c r="C1075" s="102"/>
      <c r="D1075" s="102"/>
      <c r="E1075" s="102"/>
      <c r="F1075" s="103"/>
      <c r="G1075" s="6"/>
      <c r="H1075" s="103"/>
      <c r="I1075" s="6"/>
      <c r="J1075" s="141"/>
      <c r="K1075" s="141"/>
      <c r="L1075" s="141"/>
      <c r="M1075" s="141"/>
    </row>
    <row r="1076" spans="1:13" x14ac:dyDescent="0.25">
      <c r="A1076" s="6"/>
      <c r="B1076" s="6"/>
      <c r="C1076" s="102"/>
      <c r="D1076" s="102"/>
      <c r="E1076" s="102"/>
      <c r="F1076" s="103"/>
      <c r="G1076" s="6"/>
      <c r="H1076" s="103"/>
      <c r="I1076" s="6"/>
      <c r="J1076" s="141"/>
      <c r="K1076" s="141"/>
      <c r="L1076" s="141"/>
      <c r="M1076" s="141"/>
    </row>
    <row r="1077" spans="1:13" x14ac:dyDescent="0.25">
      <c r="A1077" s="6"/>
      <c r="B1077" s="6"/>
      <c r="C1077" s="102"/>
      <c r="D1077" s="102"/>
      <c r="E1077" s="102"/>
      <c r="F1077" s="103"/>
      <c r="G1077" s="6"/>
      <c r="H1077" s="103"/>
      <c r="I1077" s="6"/>
      <c r="J1077" s="141"/>
      <c r="K1077" s="141"/>
      <c r="L1077" s="141"/>
      <c r="M1077" s="141"/>
    </row>
    <row r="1078" spans="1:13" x14ac:dyDescent="0.25">
      <c r="A1078" s="6"/>
      <c r="B1078" s="6"/>
      <c r="C1078" s="102"/>
      <c r="D1078" s="102"/>
      <c r="E1078" s="102"/>
      <c r="F1078" s="103"/>
      <c r="G1078" s="6"/>
      <c r="H1078" s="103"/>
      <c r="I1078" s="6"/>
      <c r="J1078" s="141"/>
      <c r="K1078" s="141"/>
      <c r="L1078" s="141"/>
      <c r="M1078" s="141"/>
    </row>
    <row r="1079" spans="1:13" x14ac:dyDescent="0.25">
      <c r="A1079" s="6"/>
      <c r="B1079" s="6"/>
      <c r="C1079" s="102"/>
      <c r="D1079" s="102"/>
      <c r="E1079" s="102"/>
      <c r="F1079" s="103"/>
      <c r="G1079" s="6"/>
      <c r="H1079" s="103"/>
      <c r="I1079" s="6"/>
      <c r="J1079" s="141"/>
      <c r="K1079" s="141"/>
      <c r="L1079" s="141"/>
      <c r="M1079" s="141"/>
    </row>
    <row r="1080" spans="1:13" x14ac:dyDescent="0.25">
      <c r="A1080" s="6"/>
      <c r="B1080" s="6"/>
      <c r="C1080" s="102"/>
      <c r="D1080" s="102"/>
      <c r="E1080" s="102"/>
      <c r="F1080" s="103"/>
      <c r="G1080" s="6"/>
      <c r="H1080" s="103"/>
      <c r="I1080" s="6"/>
      <c r="J1080" s="141"/>
      <c r="K1080" s="141"/>
      <c r="L1080" s="141"/>
      <c r="M1080" s="141"/>
    </row>
    <row r="1081" spans="1:13" x14ac:dyDescent="0.25">
      <c r="A1081" s="6"/>
      <c r="B1081" s="6"/>
      <c r="C1081" s="102"/>
      <c r="D1081" s="102"/>
      <c r="E1081" s="102"/>
      <c r="F1081" s="103"/>
      <c r="G1081" s="6"/>
      <c r="H1081" s="103"/>
      <c r="I1081" s="6"/>
      <c r="J1081" s="141"/>
      <c r="K1081" s="141"/>
      <c r="L1081" s="141"/>
      <c r="M1081" s="141"/>
    </row>
    <row r="1082" spans="1:13" x14ac:dyDescent="0.25">
      <c r="A1082" s="6"/>
      <c r="B1082" s="6"/>
      <c r="C1082" s="102"/>
      <c r="D1082" s="102"/>
      <c r="E1082" s="102"/>
      <c r="F1082" s="103"/>
      <c r="G1082" s="6"/>
      <c r="H1082" s="103"/>
      <c r="I1082" s="6"/>
      <c r="J1082" s="141"/>
      <c r="K1082" s="141"/>
      <c r="L1082" s="141"/>
      <c r="M1082" s="141"/>
    </row>
    <row r="1083" spans="1:13" x14ac:dyDescent="0.25">
      <c r="A1083" s="6"/>
      <c r="B1083" s="6"/>
      <c r="C1083" s="102"/>
      <c r="D1083" s="102"/>
      <c r="E1083" s="102"/>
      <c r="F1083" s="103"/>
      <c r="G1083" s="6"/>
      <c r="H1083" s="103"/>
      <c r="I1083" s="6"/>
      <c r="J1083" s="141"/>
      <c r="K1083" s="141"/>
      <c r="L1083" s="141"/>
      <c r="M1083" s="141"/>
    </row>
    <row r="1084" spans="1:13" x14ac:dyDescent="0.25">
      <c r="A1084" s="6"/>
      <c r="B1084" s="6"/>
      <c r="C1084" s="102"/>
      <c r="D1084" s="102"/>
      <c r="E1084" s="102"/>
      <c r="F1084" s="103"/>
      <c r="G1084" s="6"/>
      <c r="H1084" s="103"/>
      <c r="I1084" s="6"/>
      <c r="J1084" s="141"/>
      <c r="K1084" s="141"/>
      <c r="L1084" s="141"/>
      <c r="M1084" s="141"/>
    </row>
    <row r="1085" spans="1:13" x14ac:dyDescent="0.25">
      <c r="A1085" s="6"/>
      <c r="B1085" s="6"/>
      <c r="C1085" s="102"/>
      <c r="D1085" s="102"/>
      <c r="E1085" s="102"/>
      <c r="F1085" s="103"/>
      <c r="G1085" s="6"/>
      <c r="H1085" s="103"/>
      <c r="I1085" s="6"/>
      <c r="J1085" s="141"/>
      <c r="K1085" s="141"/>
      <c r="L1085" s="141"/>
      <c r="M1085" s="141"/>
    </row>
    <row r="1086" spans="1:13" x14ac:dyDescent="0.25">
      <c r="A1086" s="6"/>
      <c r="B1086" s="6"/>
      <c r="C1086" s="102"/>
      <c r="D1086" s="102"/>
      <c r="E1086" s="102"/>
      <c r="F1086" s="103"/>
      <c r="G1086" s="6"/>
      <c r="H1086" s="103"/>
      <c r="I1086" s="6"/>
      <c r="J1086" s="141"/>
      <c r="K1086" s="141"/>
      <c r="L1086" s="141"/>
      <c r="M1086" s="141"/>
    </row>
    <row r="1087" spans="1:13" x14ac:dyDescent="0.25">
      <c r="A1087" s="6"/>
      <c r="B1087" s="6"/>
      <c r="C1087" s="102"/>
      <c r="D1087" s="102"/>
      <c r="E1087" s="102"/>
      <c r="F1087" s="103"/>
      <c r="G1087" s="6"/>
      <c r="H1087" s="103"/>
      <c r="I1087" s="6"/>
      <c r="J1087" s="141"/>
      <c r="K1087" s="141"/>
      <c r="L1087" s="141"/>
      <c r="M1087" s="141"/>
    </row>
    <row r="1088" spans="1:13" x14ac:dyDescent="0.25">
      <c r="A1088" s="6"/>
      <c r="B1088" s="6"/>
      <c r="C1088" s="102"/>
      <c r="D1088" s="102"/>
      <c r="E1088" s="102"/>
      <c r="F1088" s="103"/>
      <c r="G1088" s="6"/>
      <c r="H1088" s="103"/>
      <c r="I1088" s="6"/>
      <c r="J1088" s="141"/>
      <c r="K1088" s="141"/>
      <c r="L1088" s="141"/>
      <c r="M1088" s="141"/>
    </row>
    <row r="1089" spans="1:13" x14ac:dyDescent="0.25">
      <c r="A1089" s="6"/>
      <c r="B1089" s="6"/>
      <c r="C1089" s="102"/>
      <c r="D1089" s="102"/>
      <c r="E1089" s="102"/>
      <c r="F1089" s="103"/>
      <c r="G1089" s="6"/>
      <c r="H1089" s="103"/>
      <c r="I1089" s="6"/>
      <c r="J1089" s="141"/>
      <c r="K1089" s="141"/>
      <c r="L1089" s="141"/>
      <c r="M1089" s="141"/>
    </row>
    <row r="1090" spans="1:13" x14ac:dyDescent="0.25">
      <c r="A1090" s="6"/>
      <c r="B1090" s="6"/>
      <c r="C1090" s="102"/>
      <c r="D1090" s="102"/>
      <c r="E1090" s="102"/>
      <c r="F1090" s="103"/>
      <c r="G1090" s="6"/>
      <c r="H1090" s="103"/>
      <c r="I1090" s="6"/>
      <c r="J1090" s="141"/>
      <c r="K1090" s="141"/>
      <c r="L1090" s="141"/>
      <c r="M1090" s="141"/>
    </row>
    <row r="1091" spans="1:13" x14ac:dyDescent="0.25">
      <c r="A1091" s="6"/>
      <c r="B1091" s="6"/>
      <c r="C1091" s="102"/>
      <c r="D1091" s="102"/>
      <c r="E1091" s="102"/>
      <c r="F1091" s="103"/>
      <c r="G1091" s="6"/>
      <c r="H1091" s="103"/>
      <c r="I1091" s="6"/>
      <c r="J1091" s="141"/>
      <c r="K1091" s="141"/>
      <c r="L1091" s="141"/>
      <c r="M1091" s="141"/>
    </row>
    <row r="1092" spans="1:13" x14ac:dyDescent="0.25">
      <c r="A1092" s="6"/>
      <c r="B1092" s="6"/>
      <c r="C1092" s="102"/>
      <c r="D1092" s="102"/>
      <c r="E1092" s="102"/>
      <c r="F1092" s="103"/>
      <c r="G1092" s="6"/>
      <c r="H1092" s="103"/>
      <c r="I1092" s="6"/>
      <c r="J1092" s="141"/>
      <c r="K1092" s="141"/>
      <c r="L1092" s="141"/>
      <c r="M1092" s="141"/>
    </row>
    <row r="1093" spans="1:13" x14ac:dyDescent="0.25">
      <c r="A1093" s="6"/>
      <c r="B1093" s="6"/>
      <c r="C1093" s="102"/>
      <c r="D1093" s="102"/>
      <c r="E1093" s="102"/>
      <c r="F1093" s="103"/>
      <c r="G1093" s="6"/>
      <c r="H1093" s="103"/>
      <c r="I1093" s="6"/>
      <c r="J1093" s="141"/>
      <c r="K1093" s="141"/>
      <c r="L1093" s="141"/>
      <c r="M1093" s="141"/>
    </row>
    <row r="1094" spans="1:13" x14ac:dyDescent="0.25">
      <c r="A1094" s="6"/>
      <c r="B1094" s="6"/>
      <c r="C1094" s="102"/>
      <c r="D1094" s="102"/>
      <c r="E1094" s="102"/>
      <c r="F1094" s="103"/>
      <c r="G1094" s="6"/>
      <c r="H1094" s="103"/>
      <c r="I1094" s="6"/>
      <c r="J1094" s="141"/>
      <c r="K1094" s="141"/>
      <c r="L1094" s="141"/>
      <c r="M1094" s="141"/>
    </row>
    <row r="1095" spans="1:13" x14ac:dyDescent="0.25">
      <c r="A1095" s="6"/>
      <c r="B1095" s="6"/>
      <c r="C1095" s="102"/>
      <c r="D1095" s="102"/>
      <c r="E1095" s="102"/>
      <c r="F1095" s="103"/>
      <c r="G1095" s="6"/>
      <c r="H1095" s="103"/>
      <c r="I1095" s="6"/>
      <c r="J1095" s="141"/>
      <c r="K1095" s="141"/>
      <c r="L1095" s="141"/>
      <c r="M1095" s="141"/>
    </row>
    <row r="1096" spans="1:13" x14ac:dyDescent="0.25">
      <c r="A1096" s="6"/>
      <c r="B1096" s="6"/>
      <c r="C1096" s="102"/>
      <c r="D1096" s="102"/>
      <c r="E1096" s="102"/>
      <c r="F1096" s="103"/>
      <c r="G1096" s="6"/>
      <c r="H1096" s="103"/>
      <c r="I1096" s="6"/>
      <c r="J1096" s="141"/>
      <c r="K1096" s="141"/>
      <c r="L1096" s="141"/>
      <c r="M1096" s="141"/>
    </row>
    <row r="1097" spans="1:13" x14ac:dyDescent="0.25">
      <c r="A1097" s="6"/>
      <c r="B1097" s="6"/>
      <c r="C1097" s="102"/>
      <c r="D1097" s="102"/>
      <c r="E1097" s="102"/>
      <c r="F1097" s="103"/>
      <c r="G1097" s="6"/>
      <c r="H1097" s="103"/>
      <c r="I1097" s="6"/>
      <c r="J1097" s="141"/>
      <c r="K1097" s="141"/>
      <c r="L1097" s="141"/>
      <c r="M1097" s="141"/>
    </row>
    <row r="1098" spans="1:13" x14ac:dyDescent="0.25">
      <c r="A1098" s="6"/>
      <c r="B1098" s="6"/>
      <c r="C1098" s="102"/>
      <c r="D1098" s="102"/>
      <c r="E1098" s="102"/>
      <c r="F1098" s="103"/>
      <c r="G1098" s="6"/>
      <c r="H1098" s="103"/>
      <c r="I1098" s="6"/>
      <c r="J1098" s="141"/>
      <c r="K1098" s="141"/>
      <c r="L1098" s="141"/>
      <c r="M1098" s="141"/>
    </row>
    <row r="1099" spans="1:13" x14ac:dyDescent="0.25">
      <c r="A1099" s="6"/>
      <c r="B1099" s="6"/>
      <c r="C1099" s="102"/>
      <c r="D1099" s="102"/>
      <c r="E1099" s="102"/>
      <c r="F1099" s="103"/>
      <c r="G1099" s="6"/>
      <c r="H1099" s="103"/>
      <c r="I1099" s="6"/>
      <c r="J1099" s="141"/>
      <c r="K1099" s="141"/>
      <c r="L1099" s="141"/>
      <c r="M1099" s="141"/>
    </row>
    <row r="1100" spans="1:13" x14ac:dyDescent="0.25">
      <c r="A1100" s="6"/>
      <c r="B1100" s="6"/>
      <c r="C1100" s="102"/>
      <c r="D1100" s="102"/>
      <c r="E1100" s="102"/>
      <c r="F1100" s="103"/>
      <c r="G1100" s="6"/>
      <c r="H1100" s="103"/>
      <c r="I1100" s="6"/>
      <c r="J1100" s="141"/>
      <c r="K1100" s="141"/>
      <c r="L1100" s="141"/>
      <c r="M1100" s="141"/>
    </row>
    <row r="1101" spans="1:13" x14ac:dyDescent="0.25">
      <c r="A1101" s="6"/>
      <c r="B1101" s="6"/>
      <c r="C1101" s="102"/>
      <c r="D1101" s="102"/>
      <c r="E1101" s="102"/>
      <c r="F1101" s="103"/>
      <c r="G1101" s="6"/>
      <c r="H1101" s="103"/>
      <c r="I1101" s="6"/>
      <c r="J1101" s="141"/>
      <c r="K1101" s="141"/>
      <c r="L1101" s="141"/>
      <c r="M1101" s="141"/>
    </row>
    <row r="1102" spans="1:13" x14ac:dyDescent="0.25">
      <c r="A1102" s="6"/>
      <c r="B1102" s="6"/>
      <c r="C1102" s="102"/>
      <c r="D1102" s="102"/>
      <c r="E1102" s="102"/>
      <c r="F1102" s="103"/>
      <c r="G1102" s="6"/>
      <c r="H1102" s="103"/>
      <c r="I1102" s="6"/>
      <c r="J1102" s="141"/>
      <c r="K1102" s="141"/>
      <c r="L1102" s="141"/>
      <c r="M1102" s="141"/>
    </row>
    <row r="1103" spans="1:13" x14ac:dyDescent="0.25">
      <c r="A1103" s="6"/>
      <c r="B1103" s="6"/>
      <c r="C1103" s="102"/>
      <c r="D1103" s="102"/>
      <c r="E1103" s="102"/>
      <c r="F1103" s="103"/>
      <c r="G1103" s="6"/>
      <c r="H1103" s="103"/>
      <c r="I1103" s="6"/>
      <c r="J1103" s="141"/>
      <c r="K1103" s="141"/>
      <c r="L1103" s="141"/>
      <c r="M1103" s="141"/>
    </row>
    <row r="1104" spans="1:13" x14ac:dyDescent="0.25">
      <c r="A1104" s="6"/>
      <c r="B1104" s="6"/>
      <c r="C1104" s="102"/>
      <c r="D1104" s="102"/>
      <c r="E1104" s="102"/>
      <c r="F1104" s="103"/>
      <c r="G1104" s="6"/>
      <c r="H1104" s="103"/>
      <c r="I1104" s="6"/>
      <c r="J1104" s="141"/>
      <c r="K1104" s="141"/>
      <c r="L1104" s="141"/>
      <c r="M1104" s="141"/>
    </row>
    <row r="1105" spans="1:13" x14ac:dyDescent="0.25">
      <c r="A1105" s="6"/>
      <c r="B1105" s="6"/>
      <c r="C1105" s="102"/>
      <c r="D1105" s="102"/>
      <c r="E1105" s="102"/>
      <c r="F1105" s="103"/>
      <c r="G1105" s="6"/>
      <c r="H1105" s="103"/>
      <c r="I1105" s="6"/>
      <c r="J1105" s="141"/>
      <c r="K1105" s="141"/>
      <c r="L1105" s="141"/>
      <c r="M1105" s="141"/>
    </row>
    <row r="1106" spans="1:13" x14ac:dyDescent="0.25">
      <c r="A1106" s="6"/>
      <c r="B1106" s="6"/>
      <c r="C1106" s="102"/>
      <c r="D1106" s="102"/>
      <c r="E1106" s="102"/>
      <c r="F1106" s="103"/>
      <c r="G1106" s="6"/>
      <c r="H1106" s="103"/>
      <c r="I1106" s="6"/>
      <c r="J1106" s="141"/>
      <c r="K1106" s="141"/>
      <c r="L1106" s="141"/>
      <c r="M1106" s="141"/>
    </row>
    <row r="1107" spans="1:13" x14ac:dyDescent="0.25">
      <c r="A1107" s="6"/>
      <c r="B1107" s="6"/>
      <c r="C1107" s="102"/>
      <c r="D1107" s="102"/>
      <c r="E1107" s="102"/>
      <c r="F1107" s="103"/>
      <c r="G1107" s="6"/>
      <c r="H1107" s="103"/>
      <c r="I1107" s="6"/>
      <c r="J1107" s="141"/>
      <c r="K1107" s="141"/>
      <c r="L1107" s="141"/>
      <c r="M1107" s="141"/>
    </row>
    <row r="1108" spans="1:13" x14ac:dyDescent="0.25">
      <c r="A1108" s="6"/>
      <c r="B1108" s="6"/>
      <c r="C1108" s="102"/>
      <c r="D1108" s="102"/>
      <c r="E1108" s="102"/>
      <c r="F1108" s="103"/>
      <c r="G1108" s="6"/>
      <c r="H1108" s="103"/>
      <c r="I1108" s="6"/>
      <c r="J1108" s="141"/>
      <c r="K1108" s="141"/>
      <c r="L1108" s="141"/>
      <c r="M1108" s="141"/>
    </row>
    <row r="1109" spans="1:13" x14ac:dyDescent="0.25">
      <c r="A1109" s="6"/>
      <c r="B1109" s="6"/>
      <c r="C1109" s="102"/>
      <c r="D1109" s="102"/>
      <c r="E1109" s="102"/>
      <c r="F1109" s="103"/>
      <c r="G1109" s="6"/>
      <c r="H1109" s="103"/>
      <c r="I1109" s="6"/>
      <c r="J1109" s="141"/>
      <c r="K1109" s="141"/>
      <c r="L1109" s="141"/>
      <c r="M1109" s="141"/>
    </row>
    <row r="1110" spans="1:13" x14ac:dyDescent="0.25">
      <c r="A1110" s="6"/>
      <c r="B1110" s="6"/>
      <c r="C1110" s="102"/>
      <c r="D1110" s="102"/>
      <c r="E1110" s="102"/>
      <c r="F1110" s="103"/>
      <c r="G1110" s="6"/>
      <c r="H1110" s="103"/>
      <c r="I1110" s="6"/>
      <c r="J1110" s="141"/>
      <c r="K1110" s="141"/>
      <c r="L1110" s="141"/>
      <c r="M1110" s="141"/>
    </row>
    <row r="1111" spans="1:13" x14ac:dyDescent="0.25">
      <c r="A1111" s="6"/>
      <c r="B1111" s="6"/>
      <c r="C1111" s="102"/>
      <c r="D1111" s="102"/>
      <c r="E1111" s="102"/>
      <c r="F1111" s="103"/>
      <c r="G1111" s="6"/>
      <c r="H1111" s="103"/>
      <c r="I1111" s="6"/>
      <c r="J1111" s="141"/>
      <c r="K1111" s="141"/>
      <c r="L1111" s="141"/>
      <c r="M1111" s="141"/>
    </row>
    <row r="1112" spans="1:13" x14ac:dyDescent="0.25">
      <c r="A1112" s="6"/>
      <c r="B1112" s="6"/>
      <c r="C1112" s="102"/>
      <c r="D1112" s="102"/>
      <c r="E1112" s="102"/>
      <c r="F1112" s="103"/>
      <c r="G1112" s="6"/>
      <c r="H1112" s="103"/>
      <c r="I1112" s="6"/>
      <c r="J1112" s="141"/>
      <c r="K1112" s="141"/>
      <c r="L1112" s="141"/>
      <c r="M1112" s="141"/>
    </row>
    <row r="1113" spans="1:13" x14ac:dyDescent="0.25">
      <c r="A1113" s="6"/>
      <c r="B1113" s="6"/>
      <c r="C1113" s="102"/>
      <c r="D1113" s="102"/>
      <c r="E1113" s="102"/>
      <c r="F1113" s="103"/>
      <c r="G1113" s="6"/>
      <c r="H1113" s="103"/>
      <c r="I1113" s="6"/>
      <c r="J1113" s="141"/>
      <c r="K1113" s="141"/>
      <c r="L1113" s="141"/>
      <c r="M1113" s="141"/>
    </row>
    <row r="1114" spans="1:13" x14ac:dyDescent="0.25">
      <c r="A1114" s="6"/>
      <c r="B1114" s="6"/>
      <c r="C1114" s="102"/>
      <c r="D1114" s="102"/>
      <c r="E1114" s="102"/>
      <c r="F1114" s="103"/>
      <c r="G1114" s="6"/>
      <c r="H1114" s="103"/>
      <c r="I1114" s="6"/>
      <c r="J1114" s="141"/>
      <c r="K1114" s="141"/>
      <c r="L1114" s="141"/>
      <c r="M1114" s="141"/>
    </row>
    <row r="1115" spans="1:13" x14ac:dyDescent="0.25">
      <c r="A1115" s="6"/>
      <c r="B1115" s="6"/>
      <c r="C1115" s="102"/>
      <c r="D1115" s="102"/>
      <c r="E1115" s="102"/>
      <c r="F1115" s="103"/>
      <c r="G1115" s="6"/>
      <c r="H1115" s="103"/>
      <c r="I1115" s="6"/>
      <c r="J1115" s="141"/>
      <c r="K1115" s="141"/>
      <c r="L1115" s="141"/>
      <c r="M1115" s="141"/>
    </row>
    <row r="1116" spans="1:13" x14ac:dyDescent="0.25">
      <c r="A1116" s="6"/>
      <c r="B1116" s="6"/>
      <c r="C1116" s="102"/>
      <c r="D1116" s="102"/>
      <c r="E1116" s="102"/>
      <c r="F1116" s="103"/>
      <c r="G1116" s="6"/>
      <c r="H1116" s="103"/>
      <c r="I1116" s="6"/>
      <c r="J1116" s="141"/>
      <c r="K1116" s="141"/>
      <c r="L1116" s="141"/>
      <c r="M1116" s="141"/>
    </row>
    <row r="1117" spans="1:13" x14ac:dyDescent="0.25">
      <c r="A1117" s="6"/>
      <c r="B1117" s="6"/>
      <c r="C1117" s="102"/>
      <c r="D1117" s="102"/>
      <c r="E1117" s="102"/>
      <c r="F1117" s="103"/>
      <c r="G1117" s="6"/>
      <c r="H1117" s="103"/>
      <c r="I1117" s="6"/>
      <c r="J1117" s="141"/>
      <c r="K1117" s="141"/>
      <c r="L1117" s="141"/>
      <c r="M1117" s="141"/>
    </row>
    <row r="1118" spans="1:13" x14ac:dyDescent="0.25">
      <c r="A1118" s="6"/>
      <c r="B1118" s="6"/>
      <c r="C1118" s="102"/>
      <c r="D1118" s="102"/>
      <c r="E1118" s="102"/>
      <c r="F1118" s="103"/>
      <c r="G1118" s="6"/>
      <c r="H1118" s="103"/>
      <c r="I1118" s="6"/>
      <c r="J1118" s="141"/>
      <c r="K1118" s="141"/>
      <c r="L1118" s="141"/>
      <c r="M1118" s="141"/>
    </row>
    <row r="1119" spans="1:13" x14ac:dyDescent="0.25">
      <c r="A1119" s="6"/>
      <c r="B1119" s="6"/>
      <c r="C1119" s="102"/>
      <c r="D1119" s="102"/>
      <c r="E1119" s="102"/>
      <c r="F1119" s="103"/>
      <c r="G1119" s="6"/>
      <c r="H1119" s="103"/>
      <c r="I1119" s="6"/>
      <c r="J1119" s="141"/>
      <c r="K1119" s="141"/>
      <c r="L1119" s="141"/>
      <c r="M1119" s="141"/>
    </row>
    <row r="1120" spans="1:13" x14ac:dyDescent="0.25">
      <c r="A1120" s="6"/>
      <c r="B1120" s="6"/>
      <c r="C1120" s="102"/>
      <c r="D1120" s="102"/>
      <c r="E1120" s="102"/>
      <c r="F1120" s="103"/>
      <c r="G1120" s="6"/>
      <c r="H1120" s="103"/>
      <c r="I1120" s="6"/>
      <c r="J1120" s="141"/>
      <c r="K1120" s="141"/>
      <c r="L1120" s="141"/>
      <c r="M1120" s="141"/>
    </row>
    <row r="1121" spans="1:13" x14ac:dyDescent="0.25">
      <c r="A1121" s="6"/>
      <c r="B1121" s="6"/>
      <c r="C1121" s="102"/>
      <c r="D1121" s="102"/>
      <c r="E1121" s="102"/>
      <c r="F1121" s="103"/>
      <c r="G1121" s="6"/>
      <c r="H1121" s="103"/>
      <c r="I1121" s="6"/>
      <c r="J1121" s="141"/>
      <c r="K1121" s="141"/>
      <c r="L1121" s="141"/>
      <c r="M1121" s="141"/>
    </row>
    <row r="1122" spans="1:13" x14ac:dyDescent="0.25">
      <c r="A1122" s="6"/>
      <c r="B1122" s="6"/>
      <c r="C1122" s="102"/>
      <c r="D1122" s="102"/>
      <c r="E1122" s="102"/>
      <c r="F1122" s="103"/>
      <c r="G1122" s="6"/>
      <c r="H1122" s="103"/>
      <c r="I1122" s="6"/>
      <c r="J1122" s="141"/>
      <c r="K1122" s="141"/>
      <c r="L1122" s="141"/>
      <c r="M1122" s="141"/>
    </row>
    <row r="1123" spans="1:13" x14ac:dyDescent="0.25">
      <c r="A1123" s="6"/>
      <c r="B1123" s="6"/>
      <c r="C1123" s="102"/>
      <c r="D1123" s="102"/>
      <c r="E1123" s="102"/>
      <c r="F1123" s="103"/>
      <c r="G1123" s="6"/>
      <c r="H1123" s="103"/>
      <c r="I1123" s="6"/>
      <c r="J1123" s="141"/>
      <c r="K1123" s="141"/>
      <c r="L1123" s="141"/>
      <c r="M1123" s="141"/>
    </row>
    <row r="1124" spans="1:13" x14ac:dyDescent="0.25">
      <c r="A1124" s="6"/>
      <c r="B1124" s="6"/>
      <c r="C1124" s="102"/>
      <c r="D1124" s="102"/>
      <c r="E1124" s="102"/>
      <c r="F1124" s="103"/>
      <c r="G1124" s="6"/>
      <c r="H1124" s="103"/>
      <c r="I1124" s="6"/>
      <c r="J1124" s="141"/>
      <c r="K1124" s="141"/>
      <c r="L1124" s="141"/>
      <c r="M1124" s="141"/>
    </row>
    <row r="1125" spans="1:13" x14ac:dyDescent="0.25">
      <c r="A1125" s="6"/>
      <c r="B1125" s="6"/>
      <c r="C1125" s="102"/>
      <c r="D1125" s="102"/>
      <c r="E1125" s="102"/>
      <c r="F1125" s="103"/>
      <c r="G1125" s="6"/>
      <c r="H1125" s="103"/>
      <c r="I1125" s="6"/>
      <c r="J1125" s="141"/>
      <c r="K1125" s="141"/>
      <c r="L1125" s="141"/>
      <c r="M1125" s="141"/>
    </row>
    <row r="1126" spans="1:13" x14ac:dyDescent="0.25">
      <c r="A1126" s="6"/>
      <c r="B1126" s="6"/>
      <c r="C1126" s="102"/>
      <c r="D1126" s="102"/>
      <c r="E1126" s="102"/>
      <c r="F1126" s="103"/>
      <c r="G1126" s="6"/>
      <c r="H1126" s="103"/>
      <c r="I1126" s="6"/>
      <c r="J1126" s="141"/>
      <c r="K1126" s="141"/>
      <c r="L1126" s="141"/>
      <c r="M1126" s="141"/>
    </row>
    <row r="1127" spans="1:13" x14ac:dyDescent="0.25">
      <c r="A1127" s="6"/>
      <c r="B1127" s="6"/>
      <c r="C1127" s="102"/>
      <c r="D1127" s="102"/>
      <c r="E1127" s="102"/>
      <c r="F1127" s="103"/>
      <c r="G1127" s="6"/>
      <c r="H1127" s="103"/>
      <c r="I1127" s="6"/>
      <c r="J1127" s="141"/>
      <c r="K1127" s="141"/>
      <c r="L1127" s="141"/>
      <c r="M1127" s="141"/>
    </row>
    <row r="1128" spans="1:13" x14ac:dyDescent="0.25">
      <c r="A1128" s="6"/>
      <c r="B1128" s="6"/>
      <c r="C1128" s="102"/>
      <c r="D1128" s="102"/>
      <c r="E1128" s="102"/>
      <c r="F1128" s="103"/>
      <c r="G1128" s="6"/>
      <c r="H1128" s="103"/>
      <c r="I1128" s="6"/>
      <c r="J1128" s="141"/>
      <c r="K1128" s="141"/>
      <c r="L1128" s="141"/>
      <c r="M1128" s="141"/>
    </row>
    <row r="1129" spans="1:13" x14ac:dyDescent="0.25">
      <c r="A1129" s="6"/>
      <c r="B1129" s="6"/>
      <c r="C1129" s="102"/>
      <c r="D1129" s="102"/>
      <c r="E1129" s="102"/>
      <c r="F1129" s="103"/>
      <c r="G1129" s="6"/>
      <c r="H1129" s="103"/>
      <c r="I1129" s="6"/>
      <c r="J1129" s="141"/>
      <c r="K1129" s="141"/>
      <c r="L1129" s="141"/>
      <c r="M1129" s="141"/>
    </row>
    <row r="1130" spans="1:13" x14ac:dyDescent="0.25">
      <c r="A1130" s="6"/>
      <c r="B1130" s="6"/>
      <c r="C1130" s="102"/>
      <c r="D1130" s="102"/>
      <c r="E1130" s="102"/>
      <c r="F1130" s="103"/>
      <c r="G1130" s="6"/>
      <c r="H1130" s="103"/>
      <c r="I1130" s="6"/>
      <c r="J1130" s="141"/>
      <c r="K1130" s="141"/>
      <c r="L1130" s="141"/>
      <c r="M1130" s="141"/>
    </row>
    <row r="1131" spans="1:13" x14ac:dyDescent="0.25">
      <c r="A1131" s="6"/>
      <c r="B1131" s="6"/>
      <c r="C1131" s="102"/>
      <c r="D1131" s="102"/>
      <c r="E1131" s="102"/>
      <c r="F1131" s="103"/>
      <c r="G1131" s="6"/>
      <c r="H1131" s="103"/>
      <c r="I1131" s="6"/>
      <c r="J1131" s="141"/>
      <c r="K1131" s="141"/>
      <c r="L1131" s="141"/>
      <c r="M1131" s="141"/>
    </row>
    <row r="1132" spans="1:13" x14ac:dyDescent="0.25">
      <c r="A1132" s="6"/>
      <c r="B1132" s="6"/>
      <c r="C1132" s="102"/>
      <c r="D1132" s="102"/>
      <c r="E1132" s="102"/>
      <c r="F1132" s="103"/>
      <c r="G1132" s="6"/>
      <c r="H1132" s="103"/>
      <c r="I1132" s="6"/>
      <c r="J1132" s="141"/>
      <c r="K1132" s="141"/>
      <c r="L1132" s="141"/>
      <c r="M1132" s="141"/>
    </row>
    <row r="1133" spans="1:13" x14ac:dyDescent="0.25">
      <c r="A1133" s="6"/>
      <c r="B1133" s="6"/>
      <c r="C1133" s="102"/>
      <c r="D1133" s="102"/>
      <c r="E1133" s="102"/>
      <c r="F1133" s="103"/>
      <c r="G1133" s="6"/>
      <c r="H1133" s="103"/>
      <c r="I1133" s="6"/>
      <c r="J1133" s="141"/>
      <c r="K1133" s="141"/>
      <c r="L1133" s="141"/>
      <c r="M1133" s="141"/>
    </row>
    <row r="1134" spans="1:13" x14ac:dyDescent="0.25">
      <c r="A1134" s="6"/>
      <c r="B1134" s="6"/>
      <c r="C1134" s="102"/>
      <c r="D1134" s="102"/>
      <c r="E1134" s="102"/>
      <c r="F1134" s="103"/>
      <c r="G1134" s="6"/>
      <c r="H1134" s="103"/>
      <c r="I1134" s="6"/>
      <c r="J1134" s="141"/>
      <c r="K1134" s="141"/>
      <c r="L1134" s="141"/>
      <c r="M1134" s="141"/>
    </row>
    <row r="1135" spans="1:13" x14ac:dyDescent="0.25">
      <c r="A1135" s="6"/>
      <c r="B1135" s="6"/>
      <c r="C1135" s="102"/>
      <c r="D1135" s="102"/>
      <c r="E1135" s="102"/>
      <c r="F1135" s="103"/>
      <c r="G1135" s="6"/>
      <c r="H1135" s="103"/>
      <c r="I1135" s="6"/>
      <c r="J1135" s="141"/>
      <c r="K1135" s="141"/>
      <c r="L1135" s="141"/>
      <c r="M1135" s="141"/>
    </row>
    <row r="1136" spans="1:13" x14ac:dyDescent="0.25">
      <c r="A1136" s="6"/>
      <c r="B1136" s="6"/>
      <c r="C1136" s="102"/>
      <c r="D1136" s="102"/>
      <c r="E1136" s="102"/>
      <c r="F1136" s="103"/>
      <c r="G1136" s="6"/>
      <c r="H1136" s="103"/>
      <c r="I1136" s="6"/>
      <c r="J1136" s="141"/>
      <c r="K1136" s="141"/>
      <c r="L1136" s="141"/>
      <c r="M1136" s="141"/>
    </row>
    <row r="1137" spans="1:13" x14ac:dyDescent="0.25">
      <c r="A1137" s="6"/>
      <c r="B1137" s="6"/>
      <c r="C1137" s="102"/>
      <c r="D1137" s="102"/>
      <c r="E1137" s="102"/>
      <c r="F1137" s="103"/>
      <c r="G1137" s="6"/>
      <c r="H1137" s="103"/>
      <c r="I1137" s="6"/>
      <c r="J1137" s="141"/>
      <c r="K1137" s="141"/>
      <c r="L1137" s="141"/>
      <c r="M1137" s="141"/>
    </row>
    <row r="1138" spans="1:13" x14ac:dyDescent="0.25">
      <c r="A1138" s="6"/>
      <c r="B1138" s="6"/>
      <c r="C1138" s="102"/>
      <c r="D1138" s="102"/>
      <c r="E1138" s="102"/>
      <c r="F1138" s="103"/>
      <c r="G1138" s="6"/>
      <c r="H1138" s="103"/>
      <c r="I1138" s="6"/>
      <c r="J1138" s="141"/>
      <c r="K1138" s="141"/>
      <c r="L1138" s="141"/>
      <c r="M1138" s="141"/>
    </row>
    <row r="1139" spans="1:13" x14ac:dyDescent="0.25">
      <c r="A1139" s="6"/>
      <c r="B1139" s="6"/>
      <c r="C1139" s="102"/>
      <c r="D1139" s="102"/>
      <c r="E1139" s="102"/>
      <c r="F1139" s="103"/>
      <c r="G1139" s="6"/>
      <c r="H1139" s="103"/>
      <c r="I1139" s="6"/>
      <c r="J1139" s="141"/>
      <c r="K1139" s="141"/>
      <c r="L1139" s="141"/>
      <c r="M1139" s="141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42EC8-42DA-4218-85A5-93B01AFE31F8}">
  <sheetPr codeName="Sheet9"/>
  <dimension ref="A1:S63"/>
  <sheetViews>
    <sheetView workbookViewId="0">
      <selection activeCell="I8" sqref="I8"/>
    </sheetView>
  </sheetViews>
  <sheetFormatPr defaultRowHeight="15" x14ac:dyDescent="0.25"/>
  <cols>
    <col min="2" max="2" width="12.7109375" bestFit="1" customWidth="1"/>
    <col min="3" max="3" width="11.140625" bestFit="1" customWidth="1"/>
    <col min="6" max="8" width="10.140625" bestFit="1" customWidth="1"/>
    <col min="12" max="12" width="13.42578125" bestFit="1" customWidth="1"/>
    <col min="15" max="15" width="10" bestFit="1" customWidth="1"/>
    <col min="18" max="20" width="14.7109375" bestFit="1" customWidth="1"/>
  </cols>
  <sheetData>
    <row r="1" spans="1:19" x14ac:dyDescent="0.25">
      <c r="A1" s="3" t="s">
        <v>180</v>
      </c>
      <c r="B1" s="6" t="s">
        <v>379</v>
      </c>
      <c r="D1" s="187"/>
      <c r="L1" s="189"/>
    </row>
    <row r="2" spans="1:19" x14ac:dyDescent="0.25">
      <c r="S2" s="23"/>
    </row>
    <row r="3" spans="1:19" x14ac:dyDescent="0.25">
      <c r="A3" s="3" t="s">
        <v>183</v>
      </c>
      <c r="B3" t="str">
        <f ca="1">_xll.QIns_CreatePortfolio("PF_"&amp;B1,_xll.QUtils_Join(_xll.QUtils_Filter(AsianOptionObjects,AsianOptionTags,Tag,FALSE),_xll.QUtils_Filter(EuroOptionObjects,EuroOptionTags,Tag,FALSE),_xll.QUtils_Filter(AsianSwapObjects,AsianSwapTags,Tag,FALSE)))</f>
        <v>PF_ClientZ¬2</v>
      </c>
    </row>
    <row r="4" spans="1:19" x14ac:dyDescent="0.25">
      <c r="D4" s="185"/>
      <c r="S4" s="21"/>
    </row>
    <row r="5" spans="1:19" x14ac:dyDescent="0.25">
      <c r="S5" s="21"/>
    </row>
    <row r="6" spans="1:19" x14ac:dyDescent="0.25">
      <c r="S6" s="21"/>
    </row>
    <row r="7" spans="1:19" x14ac:dyDescent="0.25">
      <c r="S7" s="21"/>
    </row>
    <row r="8" spans="1:19" x14ac:dyDescent="0.25">
      <c r="S8" s="21"/>
    </row>
    <row r="9" spans="1:19" x14ac:dyDescent="0.25">
      <c r="S9" s="21"/>
    </row>
    <row r="10" spans="1:19" x14ac:dyDescent="0.25">
      <c r="S10" s="21"/>
    </row>
    <row r="11" spans="1:19" x14ac:dyDescent="0.25">
      <c r="S11" s="21"/>
    </row>
    <row r="17" spans="1:13" x14ac:dyDescent="0.25">
      <c r="A17" t="s">
        <v>184</v>
      </c>
      <c r="B17" t="str">
        <f t="array" aca="1" ref="B17:M63" ca="1">_xll.QIns_DisplayPortfolio(B3)</f>
        <v>TradeId</v>
      </c>
      <c r="C17" t="str">
        <f ca="1"/>
        <v>Type</v>
      </c>
      <c r="D17" t="str">
        <f ca="1"/>
        <v>Asset</v>
      </c>
      <c r="E17" t="str">
        <f ca="1"/>
        <v>Ccy</v>
      </c>
      <c r="F17" s="1" t="str">
        <f ca="1"/>
        <v>Start</v>
      </c>
      <c r="G17" s="1" t="str">
        <f ca="1"/>
        <v>End</v>
      </c>
      <c r="H17" s="1" t="str">
        <f ca="1"/>
        <v>Settle</v>
      </c>
      <c r="I17" t="str">
        <f ca="1"/>
        <v>Strike/Rate</v>
      </c>
      <c r="J17" t="str">
        <f ca="1"/>
        <v>Quantity</v>
      </c>
      <c r="K17" t="str">
        <f ca="1"/>
        <v>Call/Put</v>
      </c>
      <c r="L17" t="str">
        <f ca="1"/>
        <v>Counterparty</v>
      </c>
      <c r="M17" t="e">
        <f ca="1"/>
        <v>#N/A</v>
      </c>
    </row>
    <row r="18" spans="1:13" x14ac:dyDescent="0.25">
      <c r="B18" t="str">
        <f ca="1"/>
        <v>asiOpt_79</v>
      </c>
      <c r="C18" t="str">
        <f ca="1"/>
        <v>AsianOption</v>
      </c>
      <c r="D18" t="str">
        <f ca="1"/>
        <v>XAU/USD</v>
      </c>
      <c r="E18" t="str">
        <f ca="1"/>
        <v>ZAR</v>
      </c>
      <c r="F18" s="1">
        <f ca="1"/>
        <v>44287</v>
      </c>
      <c r="G18" s="1">
        <f ca="1"/>
        <v>44316</v>
      </c>
      <c r="H18" s="1">
        <f ca="1"/>
        <v>44321</v>
      </c>
      <c r="I18">
        <f ca="1"/>
        <v>28398.133748055989</v>
      </c>
      <c r="J18">
        <f ca="1"/>
        <v>16666.666666666668</v>
      </c>
      <c r="K18" t="str">
        <f ca="1"/>
        <v>Call</v>
      </c>
      <c r="L18" t="str">
        <f ca="1"/>
        <v/>
      </c>
      <c r="M18" t="e">
        <f ca="1"/>
        <v>#N/A</v>
      </c>
    </row>
    <row r="19" spans="1:13" x14ac:dyDescent="0.25">
      <c r="B19" t="str">
        <f ca="1"/>
        <v>asiOpt_80</v>
      </c>
      <c r="C19" t="str">
        <f ca="1"/>
        <v>AsianOption</v>
      </c>
      <c r="D19" t="str">
        <f ca="1"/>
        <v>XAU/USD</v>
      </c>
      <c r="E19" t="str">
        <f ca="1"/>
        <v>ZAR</v>
      </c>
      <c r="F19" s="1">
        <f ca="1"/>
        <v>44317</v>
      </c>
      <c r="G19" s="1">
        <f ca="1"/>
        <v>44347</v>
      </c>
      <c r="H19" s="1">
        <f ca="1"/>
        <v>44349</v>
      </c>
      <c r="I19">
        <f ca="1"/>
        <v>28398.133748055989</v>
      </c>
      <c r="J19">
        <f ca="1"/>
        <v>16666.666666666668</v>
      </c>
      <c r="K19" t="str">
        <f ca="1"/>
        <v>Call</v>
      </c>
      <c r="L19" t="str">
        <f ca="1"/>
        <v/>
      </c>
      <c r="M19" t="e">
        <f ca="1"/>
        <v>#N/A</v>
      </c>
    </row>
    <row r="20" spans="1:13" x14ac:dyDescent="0.25">
      <c r="B20" t="str">
        <f ca="1"/>
        <v>asiOpt_81</v>
      </c>
      <c r="C20" t="str">
        <f ca="1"/>
        <v>AsianOption</v>
      </c>
      <c r="D20" t="str">
        <f ca="1"/>
        <v>XAU/USD</v>
      </c>
      <c r="E20" t="str">
        <f ca="1"/>
        <v>ZAR</v>
      </c>
      <c r="F20" s="1">
        <f ca="1"/>
        <v>44348</v>
      </c>
      <c r="G20" s="1">
        <f ca="1"/>
        <v>44377</v>
      </c>
      <c r="H20" s="1">
        <f ca="1"/>
        <v>44379</v>
      </c>
      <c r="I20">
        <f ca="1"/>
        <v>28398.133748055989</v>
      </c>
      <c r="J20">
        <f ca="1"/>
        <v>16666.666666666668</v>
      </c>
      <c r="K20" t="str">
        <f ca="1"/>
        <v>Call</v>
      </c>
      <c r="L20" t="str">
        <f ca="1"/>
        <v/>
      </c>
      <c r="M20" t="e">
        <f ca="1"/>
        <v>#N/A</v>
      </c>
    </row>
    <row r="21" spans="1:13" x14ac:dyDescent="0.25">
      <c r="B21" t="str">
        <f ca="1"/>
        <v>asiOpt_82</v>
      </c>
      <c r="C21" t="str">
        <f ca="1"/>
        <v>AsianOption</v>
      </c>
      <c r="D21" t="str">
        <f ca="1"/>
        <v>XAU/USD</v>
      </c>
      <c r="E21" t="str">
        <f ca="1"/>
        <v>ZAR</v>
      </c>
      <c r="F21" s="1">
        <f ca="1"/>
        <v>44287</v>
      </c>
      <c r="G21" s="1">
        <f ca="1"/>
        <v>44316</v>
      </c>
      <c r="H21" s="1">
        <f ca="1"/>
        <v>44321</v>
      </c>
      <c r="I21">
        <f ca="1"/>
        <v>26438.569206842923</v>
      </c>
      <c r="J21">
        <f ca="1"/>
        <v>-16666.666666666668</v>
      </c>
      <c r="K21" t="str">
        <f ca="1"/>
        <v>Put</v>
      </c>
      <c r="L21" t="str">
        <f ca="1"/>
        <v/>
      </c>
      <c r="M21" t="e">
        <f ca="1"/>
        <v>#N/A</v>
      </c>
    </row>
    <row r="22" spans="1:13" x14ac:dyDescent="0.25">
      <c r="B22" t="str">
        <f ca="1"/>
        <v>asiOpt_83</v>
      </c>
      <c r="C22" t="str">
        <f ca="1"/>
        <v>AsianOption</v>
      </c>
      <c r="D22" t="str">
        <f ca="1"/>
        <v>XAU/USD</v>
      </c>
      <c r="E22" t="str">
        <f ca="1"/>
        <v>ZAR</v>
      </c>
      <c r="F22" s="1">
        <f ca="1"/>
        <v>44317</v>
      </c>
      <c r="G22" s="1">
        <f ca="1"/>
        <v>44347</v>
      </c>
      <c r="H22" s="1">
        <f ca="1"/>
        <v>44349</v>
      </c>
      <c r="I22">
        <f ca="1"/>
        <v>26438.569206842923</v>
      </c>
      <c r="J22">
        <f ca="1"/>
        <v>-16666.666666666668</v>
      </c>
      <c r="K22" t="str">
        <f ca="1"/>
        <v>Put</v>
      </c>
      <c r="L22" t="str">
        <f ca="1"/>
        <v/>
      </c>
      <c r="M22" t="e">
        <f ca="1"/>
        <v>#N/A</v>
      </c>
    </row>
    <row r="23" spans="1:13" x14ac:dyDescent="0.25">
      <c r="B23" t="str">
        <f ca="1"/>
        <v>asiOpt_84</v>
      </c>
      <c r="C23" t="str">
        <f ca="1"/>
        <v>AsianOption</v>
      </c>
      <c r="D23" t="str">
        <f ca="1"/>
        <v>XAU/USD</v>
      </c>
      <c r="E23" t="str">
        <f ca="1"/>
        <v>ZAR</v>
      </c>
      <c r="F23" s="1">
        <f ca="1"/>
        <v>44348</v>
      </c>
      <c r="G23" s="1">
        <f ca="1"/>
        <v>44377</v>
      </c>
      <c r="H23" s="1">
        <f ca="1"/>
        <v>44379</v>
      </c>
      <c r="I23">
        <f ca="1"/>
        <v>26438.569206842923</v>
      </c>
      <c r="J23">
        <f ca="1"/>
        <v>-16666.666666666668</v>
      </c>
      <c r="K23" t="str">
        <f ca="1"/>
        <v>Put</v>
      </c>
      <c r="L23" t="str">
        <f ca="1"/>
        <v/>
      </c>
      <c r="M23" t="e">
        <f ca="1"/>
        <v>#N/A</v>
      </c>
    </row>
    <row r="24" spans="1:13" x14ac:dyDescent="0.25">
      <c r="B24" t="e">
        <f ca="1"/>
        <v>#N/A</v>
      </c>
      <c r="C24" t="e">
        <f ca="1"/>
        <v>#N/A</v>
      </c>
      <c r="D24" t="e">
        <f ca="1"/>
        <v>#N/A</v>
      </c>
      <c r="E24" t="e">
        <f ca="1"/>
        <v>#N/A</v>
      </c>
      <c r="F24" s="1" t="e">
        <f ca="1"/>
        <v>#N/A</v>
      </c>
      <c r="G24" s="1" t="e">
        <f ca="1"/>
        <v>#N/A</v>
      </c>
      <c r="H24" s="1" t="e">
        <f ca="1"/>
        <v>#N/A</v>
      </c>
      <c r="I24" t="e">
        <f ca="1"/>
        <v>#N/A</v>
      </c>
      <c r="J24" t="e">
        <f ca="1"/>
        <v>#N/A</v>
      </c>
      <c r="K24" t="e">
        <f ca="1"/>
        <v>#N/A</v>
      </c>
      <c r="L24" t="e">
        <f ca="1"/>
        <v>#N/A</v>
      </c>
      <c r="M24" t="e">
        <f ca="1"/>
        <v>#N/A</v>
      </c>
    </row>
    <row r="25" spans="1:13" x14ac:dyDescent="0.25">
      <c r="B25" t="e">
        <f ca="1"/>
        <v>#N/A</v>
      </c>
      <c r="C25" t="e">
        <f ca="1"/>
        <v>#N/A</v>
      </c>
      <c r="D25" t="e">
        <f ca="1"/>
        <v>#N/A</v>
      </c>
      <c r="E25" t="e">
        <f ca="1"/>
        <v>#N/A</v>
      </c>
      <c r="F25" s="1" t="e">
        <f ca="1"/>
        <v>#N/A</v>
      </c>
      <c r="G25" s="1" t="e">
        <f ca="1"/>
        <v>#N/A</v>
      </c>
      <c r="H25" s="1" t="e">
        <f ca="1"/>
        <v>#N/A</v>
      </c>
      <c r="I25" t="e">
        <f ca="1"/>
        <v>#N/A</v>
      </c>
      <c r="J25" t="e">
        <f ca="1"/>
        <v>#N/A</v>
      </c>
      <c r="K25" t="e">
        <f ca="1"/>
        <v>#N/A</v>
      </c>
      <c r="L25" t="e">
        <f ca="1"/>
        <v>#N/A</v>
      </c>
      <c r="M25" t="e">
        <f ca="1"/>
        <v>#N/A</v>
      </c>
    </row>
    <row r="26" spans="1:13" x14ac:dyDescent="0.25">
      <c r="B26" t="e">
        <f ca="1"/>
        <v>#N/A</v>
      </c>
      <c r="C26" t="e">
        <f ca="1"/>
        <v>#N/A</v>
      </c>
      <c r="D26" t="e">
        <f ca="1"/>
        <v>#N/A</v>
      </c>
      <c r="E26" t="e">
        <f ca="1"/>
        <v>#N/A</v>
      </c>
      <c r="F26" s="1" t="e">
        <f ca="1"/>
        <v>#N/A</v>
      </c>
      <c r="G26" s="1" t="e">
        <f ca="1"/>
        <v>#N/A</v>
      </c>
      <c r="H26" s="1" t="e">
        <f ca="1"/>
        <v>#N/A</v>
      </c>
      <c r="I26" t="e">
        <f ca="1"/>
        <v>#N/A</v>
      </c>
      <c r="J26" t="e">
        <f ca="1"/>
        <v>#N/A</v>
      </c>
      <c r="K26" t="e">
        <f ca="1"/>
        <v>#N/A</v>
      </c>
      <c r="L26" t="e">
        <f ca="1"/>
        <v>#N/A</v>
      </c>
      <c r="M26" t="e">
        <f ca="1"/>
        <v>#N/A</v>
      </c>
    </row>
    <row r="27" spans="1:13" x14ac:dyDescent="0.25">
      <c r="B27" t="e">
        <f ca="1"/>
        <v>#N/A</v>
      </c>
      <c r="C27" t="e">
        <f ca="1"/>
        <v>#N/A</v>
      </c>
      <c r="D27" t="e">
        <f ca="1"/>
        <v>#N/A</v>
      </c>
      <c r="E27" t="e">
        <f ca="1"/>
        <v>#N/A</v>
      </c>
      <c r="F27" s="1" t="e">
        <f ca="1"/>
        <v>#N/A</v>
      </c>
      <c r="G27" s="1" t="e">
        <f ca="1"/>
        <v>#N/A</v>
      </c>
      <c r="H27" s="1" t="e">
        <f ca="1"/>
        <v>#N/A</v>
      </c>
      <c r="I27" t="e">
        <f ca="1"/>
        <v>#N/A</v>
      </c>
      <c r="J27" t="e">
        <f ca="1"/>
        <v>#N/A</v>
      </c>
      <c r="K27" t="e">
        <f ca="1"/>
        <v>#N/A</v>
      </c>
      <c r="L27" t="e">
        <f ca="1"/>
        <v>#N/A</v>
      </c>
      <c r="M27" t="e">
        <f ca="1"/>
        <v>#N/A</v>
      </c>
    </row>
    <row r="28" spans="1:13" x14ac:dyDescent="0.25">
      <c r="B28" t="e">
        <f ca="1"/>
        <v>#N/A</v>
      </c>
      <c r="C28" t="e">
        <f ca="1"/>
        <v>#N/A</v>
      </c>
      <c r="D28" t="e">
        <f ca="1"/>
        <v>#N/A</v>
      </c>
      <c r="E28" t="e">
        <f ca="1"/>
        <v>#N/A</v>
      </c>
      <c r="F28" s="1" t="e">
        <f ca="1"/>
        <v>#N/A</v>
      </c>
      <c r="G28" s="1" t="e">
        <f ca="1"/>
        <v>#N/A</v>
      </c>
      <c r="H28" s="1" t="e">
        <f ca="1"/>
        <v>#N/A</v>
      </c>
      <c r="I28" t="e">
        <f ca="1"/>
        <v>#N/A</v>
      </c>
      <c r="J28" t="e">
        <f ca="1"/>
        <v>#N/A</v>
      </c>
      <c r="K28" t="e">
        <f ca="1"/>
        <v>#N/A</v>
      </c>
      <c r="L28" t="e">
        <f ca="1"/>
        <v>#N/A</v>
      </c>
      <c r="M28" t="e">
        <f ca="1"/>
        <v>#N/A</v>
      </c>
    </row>
    <row r="29" spans="1:13" x14ac:dyDescent="0.25">
      <c r="B29" t="e">
        <f ca="1"/>
        <v>#N/A</v>
      </c>
      <c r="C29" t="e">
        <f ca="1"/>
        <v>#N/A</v>
      </c>
      <c r="D29" t="e">
        <f ca="1"/>
        <v>#N/A</v>
      </c>
      <c r="E29" t="e">
        <f ca="1"/>
        <v>#N/A</v>
      </c>
      <c r="F29" s="1" t="e">
        <f ca="1"/>
        <v>#N/A</v>
      </c>
      <c r="G29" s="1" t="e">
        <f ca="1"/>
        <v>#N/A</v>
      </c>
      <c r="H29" s="1" t="e">
        <f ca="1"/>
        <v>#N/A</v>
      </c>
      <c r="I29" t="e">
        <f ca="1"/>
        <v>#N/A</v>
      </c>
      <c r="J29" t="e">
        <f ca="1"/>
        <v>#N/A</v>
      </c>
      <c r="K29" t="e">
        <f ca="1"/>
        <v>#N/A</v>
      </c>
      <c r="L29" t="e">
        <f ca="1"/>
        <v>#N/A</v>
      </c>
      <c r="M29" t="e">
        <f ca="1"/>
        <v>#N/A</v>
      </c>
    </row>
    <row r="30" spans="1:13" x14ac:dyDescent="0.25">
      <c r="B30" t="e">
        <f ca="1"/>
        <v>#N/A</v>
      </c>
      <c r="C30" t="e">
        <f ca="1"/>
        <v>#N/A</v>
      </c>
      <c r="D30" t="e">
        <f ca="1"/>
        <v>#N/A</v>
      </c>
      <c r="E30" t="e">
        <f ca="1"/>
        <v>#N/A</v>
      </c>
      <c r="F30" s="1" t="e">
        <f ca="1"/>
        <v>#N/A</v>
      </c>
      <c r="G30" s="1" t="e">
        <f ca="1"/>
        <v>#N/A</v>
      </c>
      <c r="H30" s="1" t="e">
        <f ca="1"/>
        <v>#N/A</v>
      </c>
      <c r="I30" t="e">
        <f ca="1"/>
        <v>#N/A</v>
      </c>
      <c r="J30" t="e">
        <f ca="1"/>
        <v>#N/A</v>
      </c>
      <c r="K30" t="e">
        <f ca="1"/>
        <v>#N/A</v>
      </c>
      <c r="L30" t="e">
        <f ca="1"/>
        <v>#N/A</v>
      </c>
      <c r="M30" t="e">
        <f ca="1"/>
        <v>#N/A</v>
      </c>
    </row>
    <row r="31" spans="1:13" x14ac:dyDescent="0.25">
      <c r="B31" t="e">
        <f ca="1"/>
        <v>#N/A</v>
      </c>
      <c r="C31" t="e">
        <f ca="1"/>
        <v>#N/A</v>
      </c>
      <c r="D31" t="e">
        <f ca="1"/>
        <v>#N/A</v>
      </c>
      <c r="E31" t="e">
        <f ca="1"/>
        <v>#N/A</v>
      </c>
      <c r="F31" s="1" t="e">
        <f ca="1"/>
        <v>#N/A</v>
      </c>
      <c r="G31" s="1" t="e">
        <f ca="1"/>
        <v>#N/A</v>
      </c>
      <c r="H31" s="1" t="e">
        <f ca="1"/>
        <v>#N/A</v>
      </c>
      <c r="I31" t="e">
        <f ca="1"/>
        <v>#N/A</v>
      </c>
      <c r="J31" t="e">
        <f ca="1"/>
        <v>#N/A</v>
      </c>
      <c r="K31" t="e">
        <f ca="1"/>
        <v>#N/A</v>
      </c>
      <c r="L31" t="e">
        <f ca="1"/>
        <v>#N/A</v>
      </c>
      <c r="M31" t="e">
        <f ca="1"/>
        <v>#N/A</v>
      </c>
    </row>
    <row r="32" spans="1:13" x14ac:dyDescent="0.25">
      <c r="B32" t="e">
        <f ca="1"/>
        <v>#N/A</v>
      </c>
      <c r="C32" t="e">
        <f ca="1"/>
        <v>#N/A</v>
      </c>
      <c r="D32" t="e">
        <f ca="1"/>
        <v>#N/A</v>
      </c>
      <c r="E32" t="e">
        <f ca="1"/>
        <v>#N/A</v>
      </c>
      <c r="F32" s="1" t="e">
        <f ca="1"/>
        <v>#N/A</v>
      </c>
      <c r="G32" s="1" t="e">
        <f ca="1"/>
        <v>#N/A</v>
      </c>
      <c r="H32" s="1" t="e">
        <f ca="1"/>
        <v>#N/A</v>
      </c>
      <c r="I32" t="e">
        <f ca="1"/>
        <v>#N/A</v>
      </c>
      <c r="J32" t="e">
        <f ca="1"/>
        <v>#N/A</v>
      </c>
      <c r="K32" t="e">
        <f ca="1"/>
        <v>#N/A</v>
      </c>
      <c r="L32" t="e">
        <f ca="1"/>
        <v>#N/A</v>
      </c>
      <c r="M32" t="e">
        <f ca="1"/>
        <v>#N/A</v>
      </c>
    </row>
    <row r="33" spans="2:13" x14ac:dyDescent="0.25">
      <c r="B33" t="e">
        <f ca="1"/>
        <v>#N/A</v>
      </c>
      <c r="C33" t="e">
        <f ca="1"/>
        <v>#N/A</v>
      </c>
      <c r="D33" t="e">
        <f ca="1"/>
        <v>#N/A</v>
      </c>
      <c r="E33" t="e">
        <f ca="1"/>
        <v>#N/A</v>
      </c>
      <c r="F33" t="e">
        <f ca="1"/>
        <v>#N/A</v>
      </c>
      <c r="G33" t="e">
        <f ca="1"/>
        <v>#N/A</v>
      </c>
      <c r="H33" t="e">
        <f ca="1"/>
        <v>#N/A</v>
      </c>
      <c r="I33" t="e">
        <f ca="1"/>
        <v>#N/A</v>
      </c>
      <c r="J33" t="e">
        <f ca="1"/>
        <v>#N/A</v>
      </c>
      <c r="K33" t="e">
        <f ca="1"/>
        <v>#N/A</v>
      </c>
      <c r="L33" t="e">
        <f ca="1"/>
        <v>#N/A</v>
      </c>
      <c r="M33" t="e">
        <f ca="1"/>
        <v>#N/A</v>
      </c>
    </row>
    <row r="34" spans="2:13" x14ac:dyDescent="0.25">
      <c r="B34" t="e">
        <f ca="1"/>
        <v>#N/A</v>
      </c>
      <c r="C34" t="e">
        <f ca="1"/>
        <v>#N/A</v>
      </c>
      <c r="D34" t="e">
        <f ca="1"/>
        <v>#N/A</v>
      </c>
      <c r="E34" t="e">
        <f ca="1"/>
        <v>#N/A</v>
      </c>
      <c r="F34" t="e">
        <f ca="1"/>
        <v>#N/A</v>
      </c>
      <c r="G34" t="e">
        <f ca="1"/>
        <v>#N/A</v>
      </c>
      <c r="H34" t="e">
        <f ca="1"/>
        <v>#N/A</v>
      </c>
      <c r="I34" t="e">
        <f ca="1"/>
        <v>#N/A</v>
      </c>
      <c r="J34" t="e">
        <f ca="1"/>
        <v>#N/A</v>
      </c>
      <c r="K34" t="e">
        <f ca="1"/>
        <v>#N/A</v>
      </c>
      <c r="L34" t="e">
        <f ca="1"/>
        <v>#N/A</v>
      </c>
      <c r="M34" t="e">
        <f ca="1"/>
        <v>#N/A</v>
      </c>
    </row>
    <row r="35" spans="2:13" x14ac:dyDescent="0.25">
      <c r="B35" t="e">
        <f ca="1"/>
        <v>#N/A</v>
      </c>
      <c r="C35" t="e">
        <f ca="1"/>
        <v>#N/A</v>
      </c>
      <c r="D35" t="e">
        <f ca="1"/>
        <v>#N/A</v>
      </c>
      <c r="E35" t="e">
        <f ca="1"/>
        <v>#N/A</v>
      </c>
      <c r="F35" t="e">
        <f ca="1"/>
        <v>#N/A</v>
      </c>
      <c r="G35" t="e">
        <f ca="1"/>
        <v>#N/A</v>
      </c>
      <c r="H35" t="e">
        <f ca="1"/>
        <v>#N/A</v>
      </c>
      <c r="I35" t="e">
        <f ca="1"/>
        <v>#N/A</v>
      </c>
      <c r="J35" t="e">
        <f ca="1"/>
        <v>#N/A</v>
      </c>
      <c r="K35" t="e">
        <f ca="1"/>
        <v>#N/A</v>
      </c>
      <c r="L35" t="e">
        <f ca="1"/>
        <v>#N/A</v>
      </c>
      <c r="M35" t="e">
        <f ca="1"/>
        <v>#N/A</v>
      </c>
    </row>
    <row r="36" spans="2:13" x14ac:dyDescent="0.25">
      <c r="B36" t="e">
        <f ca="1"/>
        <v>#N/A</v>
      </c>
      <c r="C36" t="e">
        <f ca="1"/>
        <v>#N/A</v>
      </c>
      <c r="D36" t="e">
        <f ca="1"/>
        <v>#N/A</v>
      </c>
      <c r="E36" t="e">
        <f ca="1"/>
        <v>#N/A</v>
      </c>
      <c r="F36" t="e">
        <f ca="1"/>
        <v>#N/A</v>
      </c>
      <c r="G36" t="e">
        <f ca="1"/>
        <v>#N/A</v>
      </c>
      <c r="H36" t="e">
        <f ca="1"/>
        <v>#N/A</v>
      </c>
      <c r="I36" t="e">
        <f ca="1"/>
        <v>#N/A</v>
      </c>
      <c r="J36" t="e">
        <f ca="1"/>
        <v>#N/A</v>
      </c>
      <c r="K36" t="e">
        <f ca="1"/>
        <v>#N/A</v>
      </c>
      <c r="L36" t="e">
        <f ca="1"/>
        <v>#N/A</v>
      </c>
      <c r="M36" t="e">
        <f ca="1"/>
        <v>#N/A</v>
      </c>
    </row>
    <row r="37" spans="2:13" x14ac:dyDescent="0.25">
      <c r="B37" t="e">
        <f ca="1"/>
        <v>#N/A</v>
      </c>
      <c r="C37" t="e">
        <f ca="1"/>
        <v>#N/A</v>
      </c>
      <c r="D37" t="e">
        <f ca="1"/>
        <v>#N/A</v>
      </c>
      <c r="E37" t="e">
        <f ca="1"/>
        <v>#N/A</v>
      </c>
      <c r="F37" t="e">
        <f ca="1"/>
        <v>#N/A</v>
      </c>
      <c r="G37" t="e">
        <f ca="1"/>
        <v>#N/A</v>
      </c>
      <c r="H37" t="e">
        <f ca="1"/>
        <v>#N/A</v>
      </c>
      <c r="I37" t="e">
        <f ca="1"/>
        <v>#N/A</v>
      </c>
      <c r="J37" t="e">
        <f ca="1"/>
        <v>#N/A</v>
      </c>
      <c r="K37" t="e">
        <f ca="1"/>
        <v>#N/A</v>
      </c>
      <c r="L37" t="e">
        <f ca="1"/>
        <v>#N/A</v>
      </c>
      <c r="M37" t="e">
        <f ca="1"/>
        <v>#N/A</v>
      </c>
    </row>
    <row r="38" spans="2:13" x14ac:dyDescent="0.25">
      <c r="B38" t="e">
        <f ca="1"/>
        <v>#N/A</v>
      </c>
      <c r="C38" t="e">
        <f ca="1"/>
        <v>#N/A</v>
      </c>
      <c r="D38" t="e">
        <f ca="1"/>
        <v>#N/A</v>
      </c>
      <c r="E38" t="e">
        <f ca="1"/>
        <v>#N/A</v>
      </c>
      <c r="F38" t="e">
        <f ca="1"/>
        <v>#N/A</v>
      </c>
      <c r="G38" t="e">
        <f ca="1"/>
        <v>#N/A</v>
      </c>
      <c r="H38" t="e">
        <f ca="1"/>
        <v>#N/A</v>
      </c>
      <c r="I38" t="e">
        <f ca="1"/>
        <v>#N/A</v>
      </c>
      <c r="J38" t="e">
        <f ca="1"/>
        <v>#N/A</v>
      </c>
      <c r="K38" t="e">
        <f ca="1"/>
        <v>#N/A</v>
      </c>
      <c r="L38" t="e">
        <f ca="1"/>
        <v>#N/A</v>
      </c>
      <c r="M38" t="e">
        <f ca="1"/>
        <v>#N/A</v>
      </c>
    </row>
    <row r="39" spans="2:13" x14ac:dyDescent="0.25">
      <c r="B39" t="e">
        <f ca="1"/>
        <v>#N/A</v>
      </c>
      <c r="C39" t="e">
        <f ca="1"/>
        <v>#N/A</v>
      </c>
      <c r="D39" t="e">
        <f ca="1"/>
        <v>#N/A</v>
      </c>
      <c r="E39" t="e">
        <f ca="1"/>
        <v>#N/A</v>
      </c>
      <c r="F39" t="e">
        <f ca="1"/>
        <v>#N/A</v>
      </c>
      <c r="G39" t="e">
        <f ca="1"/>
        <v>#N/A</v>
      </c>
      <c r="H39" t="e">
        <f ca="1"/>
        <v>#N/A</v>
      </c>
      <c r="I39" t="e">
        <f ca="1"/>
        <v>#N/A</v>
      </c>
      <c r="J39" t="e">
        <f ca="1"/>
        <v>#N/A</v>
      </c>
      <c r="K39" t="e">
        <f ca="1"/>
        <v>#N/A</v>
      </c>
      <c r="L39" t="e">
        <f ca="1"/>
        <v>#N/A</v>
      </c>
      <c r="M39" t="e">
        <f ca="1"/>
        <v>#N/A</v>
      </c>
    </row>
    <row r="40" spans="2:13" x14ac:dyDescent="0.25">
      <c r="B40" t="e">
        <f ca="1"/>
        <v>#N/A</v>
      </c>
      <c r="C40" t="e">
        <f ca="1"/>
        <v>#N/A</v>
      </c>
      <c r="D40" t="e">
        <f ca="1"/>
        <v>#N/A</v>
      </c>
      <c r="E40" t="e">
        <f ca="1"/>
        <v>#N/A</v>
      </c>
      <c r="F40" t="e">
        <f ca="1"/>
        <v>#N/A</v>
      </c>
      <c r="G40" t="e">
        <f ca="1"/>
        <v>#N/A</v>
      </c>
      <c r="H40" t="e">
        <f ca="1"/>
        <v>#N/A</v>
      </c>
      <c r="I40" t="e">
        <f ca="1"/>
        <v>#N/A</v>
      </c>
      <c r="J40" t="e">
        <f ca="1"/>
        <v>#N/A</v>
      </c>
      <c r="K40" t="e">
        <f ca="1"/>
        <v>#N/A</v>
      </c>
      <c r="L40" t="e">
        <f ca="1"/>
        <v>#N/A</v>
      </c>
      <c r="M40" t="e">
        <f ca="1"/>
        <v>#N/A</v>
      </c>
    </row>
    <row r="41" spans="2:13" x14ac:dyDescent="0.25">
      <c r="B41" t="e">
        <f ca="1"/>
        <v>#N/A</v>
      </c>
      <c r="C41" t="e">
        <f ca="1"/>
        <v>#N/A</v>
      </c>
      <c r="D41" t="e">
        <f ca="1"/>
        <v>#N/A</v>
      </c>
      <c r="E41" t="e">
        <f ca="1"/>
        <v>#N/A</v>
      </c>
      <c r="F41" t="e">
        <f ca="1"/>
        <v>#N/A</v>
      </c>
      <c r="G41" t="e">
        <f ca="1"/>
        <v>#N/A</v>
      </c>
      <c r="H41" t="e">
        <f ca="1"/>
        <v>#N/A</v>
      </c>
      <c r="I41" t="e">
        <f ca="1"/>
        <v>#N/A</v>
      </c>
      <c r="J41" t="e">
        <f ca="1"/>
        <v>#N/A</v>
      </c>
      <c r="K41" t="e">
        <f ca="1"/>
        <v>#N/A</v>
      </c>
      <c r="L41" t="e">
        <f ca="1"/>
        <v>#N/A</v>
      </c>
      <c r="M41" t="e">
        <f ca="1"/>
        <v>#N/A</v>
      </c>
    </row>
    <row r="42" spans="2:13" x14ac:dyDescent="0.25">
      <c r="B42" t="e">
        <f ca="1"/>
        <v>#N/A</v>
      </c>
      <c r="C42" t="e">
        <f ca="1"/>
        <v>#N/A</v>
      </c>
      <c r="D42" t="e">
        <f ca="1"/>
        <v>#N/A</v>
      </c>
      <c r="E42" t="e">
        <f ca="1"/>
        <v>#N/A</v>
      </c>
      <c r="F42" t="e">
        <f ca="1"/>
        <v>#N/A</v>
      </c>
      <c r="G42" t="e">
        <f ca="1"/>
        <v>#N/A</v>
      </c>
      <c r="H42" t="e">
        <f ca="1"/>
        <v>#N/A</v>
      </c>
      <c r="I42" t="e">
        <f ca="1"/>
        <v>#N/A</v>
      </c>
      <c r="J42" t="e">
        <f ca="1"/>
        <v>#N/A</v>
      </c>
      <c r="K42" t="e">
        <f ca="1"/>
        <v>#N/A</v>
      </c>
      <c r="L42" t="e">
        <f ca="1"/>
        <v>#N/A</v>
      </c>
      <c r="M42" t="e">
        <f ca="1"/>
        <v>#N/A</v>
      </c>
    </row>
    <row r="43" spans="2:13" x14ac:dyDescent="0.25">
      <c r="B43" t="e">
        <f ca="1"/>
        <v>#N/A</v>
      </c>
      <c r="C43" t="e">
        <f ca="1"/>
        <v>#N/A</v>
      </c>
      <c r="D43" t="e">
        <f ca="1"/>
        <v>#N/A</v>
      </c>
      <c r="E43" t="e">
        <f ca="1"/>
        <v>#N/A</v>
      </c>
      <c r="F43" t="e">
        <f ca="1"/>
        <v>#N/A</v>
      </c>
      <c r="G43" t="e">
        <f ca="1"/>
        <v>#N/A</v>
      </c>
      <c r="H43" t="e">
        <f ca="1"/>
        <v>#N/A</v>
      </c>
      <c r="I43" t="e">
        <f ca="1"/>
        <v>#N/A</v>
      </c>
      <c r="J43" t="e">
        <f ca="1"/>
        <v>#N/A</v>
      </c>
      <c r="K43" t="e">
        <f ca="1"/>
        <v>#N/A</v>
      </c>
      <c r="L43" t="e">
        <f ca="1"/>
        <v>#N/A</v>
      </c>
      <c r="M43" t="e">
        <f ca="1"/>
        <v>#N/A</v>
      </c>
    </row>
    <row r="44" spans="2:13" x14ac:dyDescent="0.25">
      <c r="B44" t="e">
        <f ca="1"/>
        <v>#N/A</v>
      </c>
      <c r="C44" t="e">
        <f ca="1"/>
        <v>#N/A</v>
      </c>
      <c r="D44" t="e">
        <f ca="1"/>
        <v>#N/A</v>
      </c>
      <c r="E44" t="e">
        <f ca="1"/>
        <v>#N/A</v>
      </c>
      <c r="F44" t="e">
        <f ca="1"/>
        <v>#N/A</v>
      </c>
      <c r="G44" t="e">
        <f ca="1"/>
        <v>#N/A</v>
      </c>
      <c r="H44" t="e">
        <f ca="1"/>
        <v>#N/A</v>
      </c>
      <c r="I44" t="e">
        <f ca="1"/>
        <v>#N/A</v>
      </c>
      <c r="J44" t="e">
        <f ca="1"/>
        <v>#N/A</v>
      </c>
      <c r="K44" t="e">
        <f ca="1"/>
        <v>#N/A</v>
      </c>
      <c r="L44" t="e">
        <f ca="1"/>
        <v>#N/A</v>
      </c>
      <c r="M44" t="e">
        <f ca="1"/>
        <v>#N/A</v>
      </c>
    </row>
    <row r="45" spans="2:13" x14ac:dyDescent="0.25">
      <c r="B45" t="e">
        <f ca="1"/>
        <v>#N/A</v>
      </c>
      <c r="C45" t="e">
        <f ca="1"/>
        <v>#N/A</v>
      </c>
      <c r="D45" t="e">
        <f ca="1"/>
        <v>#N/A</v>
      </c>
      <c r="E45" t="e">
        <f ca="1"/>
        <v>#N/A</v>
      </c>
      <c r="F45" t="e">
        <f ca="1"/>
        <v>#N/A</v>
      </c>
      <c r="G45" t="e">
        <f ca="1"/>
        <v>#N/A</v>
      </c>
      <c r="H45" t="e">
        <f ca="1"/>
        <v>#N/A</v>
      </c>
      <c r="I45" t="e">
        <f ca="1"/>
        <v>#N/A</v>
      </c>
      <c r="J45" t="e">
        <f ca="1"/>
        <v>#N/A</v>
      </c>
      <c r="K45" t="e">
        <f ca="1"/>
        <v>#N/A</v>
      </c>
      <c r="L45" t="e">
        <f ca="1"/>
        <v>#N/A</v>
      </c>
      <c r="M45" t="e">
        <f ca="1"/>
        <v>#N/A</v>
      </c>
    </row>
    <row r="46" spans="2:13" x14ac:dyDescent="0.25">
      <c r="B46" t="e">
        <f ca="1"/>
        <v>#N/A</v>
      </c>
      <c r="C46" t="e">
        <f ca="1"/>
        <v>#N/A</v>
      </c>
      <c r="D46" t="e">
        <f ca="1"/>
        <v>#N/A</v>
      </c>
      <c r="E46" t="e">
        <f ca="1"/>
        <v>#N/A</v>
      </c>
      <c r="F46" t="e">
        <f ca="1"/>
        <v>#N/A</v>
      </c>
      <c r="G46" t="e">
        <f ca="1"/>
        <v>#N/A</v>
      </c>
      <c r="H46" t="e">
        <f ca="1"/>
        <v>#N/A</v>
      </c>
      <c r="I46" t="e">
        <f ca="1"/>
        <v>#N/A</v>
      </c>
      <c r="J46" t="e">
        <f ca="1"/>
        <v>#N/A</v>
      </c>
      <c r="K46" t="e">
        <f ca="1"/>
        <v>#N/A</v>
      </c>
      <c r="L46" t="e">
        <f ca="1"/>
        <v>#N/A</v>
      </c>
      <c r="M46" t="e">
        <f ca="1"/>
        <v>#N/A</v>
      </c>
    </row>
    <row r="47" spans="2:13" x14ac:dyDescent="0.25">
      <c r="B47" t="e">
        <f ca="1"/>
        <v>#N/A</v>
      </c>
      <c r="C47" t="e">
        <f ca="1"/>
        <v>#N/A</v>
      </c>
      <c r="D47" t="e">
        <f ca="1"/>
        <v>#N/A</v>
      </c>
      <c r="E47" t="e">
        <f ca="1"/>
        <v>#N/A</v>
      </c>
      <c r="F47" t="e">
        <f ca="1"/>
        <v>#N/A</v>
      </c>
      <c r="G47" t="e">
        <f ca="1"/>
        <v>#N/A</v>
      </c>
      <c r="H47" t="e">
        <f ca="1"/>
        <v>#N/A</v>
      </c>
      <c r="I47" t="e">
        <f ca="1"/>
        <v>#N/A</v>
      </c>
      <c r="J47" t="e">
        <f ca="1"/>
        <v>#N/A</v>
      </c>
      <c r="K47" t="e">
        <f ca="1"/>
        <v>#N/A</v>
      </c>
      <c r="L47" t="e">
        <f ca="1"/>
        <v>#N/A</v>
      </c>
      <c r="M47" t="e">
        <f ca="1"/>
        <v>#N/A</v>
      </c>
    </row>
    <row r="48" spans="2:13" x14ac:dyDescent="0.25">
      <c r="B48" t="e">
        <f ca="1"/>
        <v>#N/A</v>
      </c>
      <c r="C48" t="e">
        <f ca="1"/>
        <v>#N/A</v>
      </c>
      <c r="D48" t="e">
        <f ca="1"/>
        <v>#N/A</v>
      </c>
      <c r="E48" t="e">
        <f ca="1"/>
        <v>#N/A</v>
      </c>
      <c r="F48" t="e">
        <f ca="1"/>
        <v>#N/A</v>
      </c>
      <c r="G48" t="e">
        <f ca="1"/>
        <v>#N/A</v>
      </c>
      <c r="H48" t="e">
        <f ca="1"/>
        <v>#N/A</v>
      </c>
      <c r="I48" t="e">
        <f ca="1"/>
        <v>#N/A</v>
      </c>
      <c r="J48" t="e">
        <f ca="1"/>
        <v>#N/A</v>
      </c>
      <c r="K48" t="e">
        <f ca="1"/>
        <v>#N/A</v>
      </c>
      <c r="L48" t="e">
        <f ca="1"/>
        <v>#N/A</v>
      </c>
      <c r="M48" t="e">
        <f ca="1"/>
        <v>#N/A</v>
      </c>
    </row>
    <row r="49" spans="2:13" x14ac:dyDescent="0.25">
      <c r="B49" t="e">
        <f ca="1"/>
        <v>#N/A</v>
      </c>
      <c r="C49" t="e">
        <f ca="1"/>
        <v>#N/A</v>
      </c>
      <c r="D49" t="e">
        <f ca="1"/>
        <v>#N/A</v>
      </c>
      <c r="E49" t="e">
        <f ca="1"/>
        <v>#N/A</v>
      </c>
      <c r="F49" t="e">
        <f ca="1"/>
        <v>#N/A</v>
      </c>
      <c r="G49" t="e">
        <f ca="1"/>
        <v>#N/A</v>
      </c>
      <c r="H49" t="e">
        <f ca="1"/>
        <v>#N/A</v>
      </c>
      <c r="I49" t="e">
        <f ca="1"/>
        <v>#N/A</v>
      </c>
      <c r="J49" t="e">
        <f ca="1"/>
        <v>#N/A</v>
      </c>
      <c r="K49" t="e">
        <f ca="1"/>
        <v>#N/A</v>
      </c>
      <c r="L49" t="e">
        <f ca="1"/>
        <v>#N/A</v>
      </c>
      <c r="M49" t="e">
        <f ca="1"/>
        <v>#N/A</v>
      </c>
    </row>
    <row r="50" spans="2:13" x14ac:dyDescent="0.25">
      <c r="B50" t="e">
        <f ca="1"/>
        <v>#N/A</v>
      </c>
      <c r="C50" t="e">
        <f ca="1"/>
        <v>#N/A</v>
      </c>
      <c r="D50" t="e">
        <f ca="1"/>
        <v>#N/A</v>
      </c>
      <c r="E50" t="e">
        <f ca="1"/>
        <v>#N/A</v>
      </c>
      <c r="F50" t="e">
        <f ca="1"/>
        <v>#N/A</v>
      </c>
      <c r="G50" t="e">
        <f ca="1"/>
        <v>#N/A</v>
      </c>
      <c r="H50" t="e">
        <f ca="1"/>
        <v>#N/A</v>
      </c>
      <c r="I50" t="e">
        <f ca="1"/>
        <v>#N/A</v>
      </c>
      <c r="J50" t="e">
        <f ca="1"/>
        <v>#N/A</v>
      </c>
      <c r="K50" t="e">
        <f ca="1"/>
        <v>#N/A</v>
      </c>
      <c r="L50" t="e">
        <f ca="1"/>
        <v>#N/A</v>
      </c>
      <c r="M50" t="e">
        <f ca="1"/>
        <v>#N/A</v>
      </c>
    </row>
    <row r="51" spans="2:13" x14ac:dyDescent="0.25">
      <c r="B51" t="e">
        <f ca="1"/>
        <v>#N/A</v>
      </c>
      <c r="C51" t="e">
        <f ca="1"/>
        <v>#N/A</v>
      </c>
      <c r="D51" t="e">
        <f ca="1"/>
        <v>#N/A</v>
      </c>
      <c r="E51" t="e">
        <f ca="1"/>
        <v>#N/A</v>
      </c>
      <c r="F51" t="e">
        <f ca="1"/>
        <v>#N/A</v>
      </c>
      <c r="G51" t="e">
        <f ca="1"/>
        <v>#N/A</v>
      </c>
      <c r="H51" t="e">
        <f ca="1"/>
        <v>#N/A</v>
      </c>
      <c r="I51" t="e">
        <f ca="1"/>
        <v>#N/A</v>
      </c>
      <c r="J51" t="e">
        <f ca="1"/>
        <v>#N/A</v>
      </c>
      <c r="K51" t="e">
        <f ca="1"/>
        <v>#N/A</v>
      </c>
      <c r="L51" t="e">
        <f ca="1"/>
        <v>#N/A</v>
      </c>
      <c r="M51" t="e">
        <f ca="1"/>
        <v>#N/A</v>
      </c>
    </row>
    <row r="52" spans="2:13" x14ac:dyDescent="0.25">
      <c r="B52" t="e">
        <f ca="1"/>
        <v>#N/A</v>
      </c>
      <c r="C52" t="e">
        <f ca="1"/>
        <v>#N/A</v>
      </c>
      <c r="D52" t="e">
        <f ca="1"/>
        <v>#N/A</v>
      </c>
      <c r="E52" t="e">
        <f ca="1"/>
        <v>#N/A</v>
      </c>
      <c r="F52" t="e">
        <f ca="1"/>
        <v>#N/A</v>
      </c>
      <c r="G52" t="e">
        <f ca="1"/>
        <v>#N/A</v>
      </c>
      <c r="H52" t="e">
        <f ca="1"/>
        <v>#N/A</v>
      </c>
      <c r="I52" t="e">
        <f ca="1"/>
        <v>#N/A</v>
      </c>
      <c r="J52" t="e">
        <f ca="1"/>
        <v>#N/A</v>
      </c>
      <c r="K52" t="e">
        <f ca="1"/>
        <v>#N/A</v>
      </c>
      <c r="L52" t="e">
        <f ca="1"/>
        <v>#N/A</v>
      </c>
      <c r="M52" t="e">
        <f ca="1"/>
        <v>#N/A</v>
      </c>
    </row>
    <row r="53" spans="2:13" x14ac:dyDescent="0.25">
      <c r="B53" t="e">
        <f ca="1"/>
        <v>#N/A</v>
      </c>
      <c r="C53" t="e">
        <f ca="1"/>
        <v>#N/A</v>
      </c>
      <c r="D53" t="e">
        <f ca="1"/>
        <v>#N/A</v>
      </c>
      <c r="E53" t="e">
        <f ca="1"/>
        <v>#N/A</v>
      </c>
      <c r="F53" t="e">
        <f ca="1"/>
        <v>#N/A</v>
      </c>
      <c r="G53" t="e">
        <f ca="1"/>
        <v>#N/A</v>
      </c>
      <c r="H53" t="e">
        <f ca="1"/>
        <v>#N/A</v>
      </c>
      <c r="I53" t="e">
        <f ca="1"/>
        <v>#N/A</v>
      </c>
      <c r="J53" t="e">
        <f ca="1"/>
        <v>#N/A</v>
      </c>
      <c r="K53" t="e">
        <f ca="1"/>
        <v>#N/A</v>
      </c>
      <c r="L53" t="e">
        <f ca="1"/>
        <v>#N/A</v>
      </c>
      <c r="M53" t="e">
        <f ca="1"/>
        <v>#N/A</v>
      </c>
    </row>
    <row r="54" spans="2:13" x14ac:dyDescent="0.25">
      <c r="B54" t="e">
        <f ca="1"/>
        <v>#N/A</v>
      </c>
      <c r="C54" t="e">
        <f ca="1"/>
        <v>#N/A</v>
      </c>
      <c r="D54" t="e">
        <f ca="1"/>
        <v>#N/A</v>
      </c>
      <c r="E54" t="e">
        <f ca="1"/>
        <v>#N/A</v>
      </c>
      <c r="F54" t="e">
        <f ca="1"/>
        <v>#N/A</v>
      </c>
      <c r="G54" t="e">
        <f ca="1"/>
        <v>#N/A</v>
      </c>
      <c r="H54" t="e">
        <f ca="1"/>
        <v>#N/A</v>
      </c>
      <c r="I54" t="e">
        <f ca="1"/>
        <v>#N/A</v>
      </c>
      <c r="J54" t="e">
        <f ca="1"/>
        <v>#N/A</v>
      </c>
      <c r="K54" t="e">
        <f ca="1"/>
        <v>#N/A</v>
      </c>
      <c r="L54" t="e">
        <f ca="1"/>
        <v>#N/A</v>
      </c>
      <c r="M54" t="e">
        <f ca="1"/>
        <v>#N/A</v>
      </c>
    </row>
    <row r="55" spans="2:13" x14ac:dyDescent="0.25">
      <c r="B55" t="e">
        <f ca="1"/>
        <v>#N/A</v>
      </c>
      <c r="C55" t="e">
        <f ca="1"/>
        <v>#N/A</v>
      </c>
      <c r="D55" t="e">
        <f ca="1"/>
        <v>#N/A</v>
      </c>
      <c r="E55" t="e">
        <f ca="1"/>
        <v>#N/A</v>
      </c>
      <c r="F55" t="e">
        <f ca="1"/>
        <v>#N/A</v>
      </c>
      <c r="G55" t="e">
        <f ca="1"/>
        <v>#N/A</v>
      </c>
      <c r="H55" t="e">
        <f ca="1"/>
        <v>#N/A</v>
      </c>
      <c r="I55" t="e">
        <f ca="1"/>
        <v>#N/A</v>
      </c>
      <c r="J55" t="e">
        <f ca="1"/>
        <v>#N/A</v>
      </c>
      <c r="K55" t="e">
        <f ca="1"/>
        <v>#N/A</v>
      </c>
      <c r="L55" t="e">
        <f ca="1"/>
        <v>#N/A</v>
      </c>
      <c r="M55" t="e">
        <f ca="1"/>
        <v>#N/A</v>
      </c>
    </row>
    <row r="56" spans="2:13" x14ac:dyDescent="0.25">
      <c r="B56" t="e">
        <f ca="1"/>
        <v>#N/A</v>
      </c>
      <c r="C56" t="e">
        <f ca="1"/>
        <v>#N/A</v>
      </c>
      <c r="D56" t="e">
        <f ca="1"/>
        <v>#N/A</v>
      </c>
      <c r="E56" t="e">
        <f ca="1"/>
        <v>#N/A</v>
      </c>
      <c r="F56" t="e">
        <f ca="1"/>
        <v>#N/A</v>
      </c>
      <c r="G56" t="e">
        <f ca="1"/>
        <v>#N/A</v>
      </c>
      <c r="H56" t="e">
        <f ca="1"/>
        <v>#N/A</v>
      </c>
      <c r="I56" t="e">
        <f ca="1"/>
        <v>#N/A</v>
      </c>
      <c r="J56" t="e">
        <f ca="1"/>
        <v>#N/A</v>
      </c>
      <c r="K56" t="e">
        <f ca="1"/>
        <v>#N/A</v>
      </c>
      <c r="L56" t="e">
        <f ca="1"/>
        <v>#N/A</v>
      </c>
      <c r="M56" t="e">
        <f ca="1"/>
        <v>#N/A</v>
      </c>
    </row>
    <row r="57" spans="2:13" x14ac:dyDescent="0.25">
      <c r="B57" t="e">
        <f ca="1"/>
        <v>#N/A</v>
      </c>
      <c r="C57" t="e">
        <f ca="1"/>
        <v>#N/A</v>
      </c>
      <c r="D57" t="e">
        <f ca="1"/>
        <v>#N/A</v>
      </c>
      <c r="E57" t="e">
        <f ca="1"/>
        <v>#N/A</v>
      </c>
      <c r="F57" t="e">
        <f ca="1"/>
        <v>#N/A</v>
      </c>
      <c r="G57" t="e">
        <f ca="1"/>
        <v>#N/A</v>
      </c>
      <c r="H57" t="e">
        <f ca="1"/>
        <v>#N/A</v>
      </c>
      <c r="I57" t="e">
        <f ca="1"/>
        <v>#N/A</v>
      </c>
      <c r="J57" t="e">
        <f ca="1"/>
        <v>#N/A</v>
      </c>
      <c r="K57" t="e">
        <f ca="1"/>
        <v>#N/A</v>
      </c>
      <c r="L57" t="e">
        <f ca="1"/>
        <v>#N/A</v>
      </c>
      <c r="M57" t="e">
        <f ca="1"/>
        <v>#N/A</v>
      </c>
    </row>
    <row r="58" spans="2:13" x14ac:dyDescent="0.25">
      <c r="B58" t="e">
        <f ca="1"/>
        <v>#N/A</v>
      </c>
      <c r="C58" t="e">
        <f ca="1"/>
        <v>#N/A</v>
      </c>
      <c r="D58" t="e">
        <f ca="1"/>
        <v>#N/A</v>
      </c>
      <c r="E58" t="e">
        <f ca="1"/>
        <v>#N/A</v>
      </c>
      <c r="F58" t="e">
        <f ca="1"/>
        <v>#N/A</v>
      </c>
      <c r="G58" t="e">
        <f ca="1"/>
        <v>#N/A</v>
      </c>
      <c r="H58" t="e">
        <f ca="1"/>
        <v>#N/A</v>
      </c>
      <c r="I58" t="e">
        <f ca="1"/>
        <v>#N/A</v>
      </c>
      <c r="J58" t="e">
        <f ca="1"/>
        <v>#N/A</v>
      </c>
      <c r="K58" t="e">
        <f ca="1"/>
        <v>#N/A</v>
      </c>
      <c r="L58" t="e">
        <f ca="1"/>
        <v>#N/A</v>
      </c>
      <c r="M58" t="e">
        <f ca="1"/>
        <v>#N/A</v>
      </c>
    </row>
    <row r="59" spans="2:13" x14ac:dyDescent="0.25">
      <c r="B59" t="e">
        <f ca="1"/>
        <v>#N/A</v>
      </c>
      <c r="C59" t="e">
        <f ca="1"/>
        <v>#N/A</v>
      </c>
      <c r="D59" t="e">
        <f ca="1"/>
        <v>#N/A</v>
      </c>
      <c r="E59" t="e">
        <f ca="1"/>
        <v>#N/A</v>
      </c>
      <c r="F59" t="e">
        <f ca="1"/>
        <v>#N/A</v>
      </c>
      <c r="G59" t="e">
        <f ca="1"/>
        <v>#N/A</v>
      </c>
      <c r="H59" t="e">
        <f ca="1"/>
        <v>#N/A</v>
      </c>
      <c r="I59" t="e">
        <f ca="1"/>
        <v>#N/A</v>
      </c>
      <c r="J59" t="e">
        <f ca="1"/>
        <v>#N/A</v>
      </c>
      <c r="K59" t="e">
        <f ca="1"/>
        <v>#N/A</v>
      </c>
      <c r="L59" t="e">
        <f ca="1"/>
        <v>#N/A</v>
      </c>
      <c r="M59" t="e">
        <f ca="1"/>
        <v>#N/A</v>
      </c>
    </row>
    <row r="60" spans="2:13" x14ac:dyDescent="0.25">
      <c r="B60" t="e">
        <f ca="1"/>
        <v>#N/A</v>
      </c>
      <c r="C60" t="e">
        <f ca="1"/>
        <v>#N/A</v>
      </c>
      <c r="D60" t="e">
        <f ca="1"/>
        <v>#N/A</v>
      </c>
      <c r="E60" t="e">
        <f ca="1"/>
        <v>#N/A</v>
      </c>
      <c r="F60" t="e">
        <f ca="1"/>
        <v>#N/A</v>
      </c>
      <c r="G60" t="e">
        <f ca="1"/>
        <v>#N/A</v>
      </c>
      <c r="H60" t="e">
        <f ca="1"/>
        <v>#N/A</v>
      </c>
      <c r="I60" t="e">
        <f ca="1"/>
        <v>#N/A</v>
      </c>
      <c r="J60" t="e">
        <f ca="1"/>
        <v>#N/A</v>
      </c>
      <c r="K60" t="e">
        <f ca="1"/>
        <v>#N/A</v>
      </c>
      <c r="L60" t="e">
        <f ca="1"/>
        <v>#N/A</v>
      </c>
      <c r="M60" t="e">
        <f ca="1"/>
        <v>#N/A</v>
      </c>
    </row>
    <row r="61" spans="2:13" x14ac:dyDescent="0.25">
      <c r="B61" t="e">
        <f ca="1"/>
        <v>#N/A</v>
      </c>
      <c r="C61" t="e">
        <f ca="1"/>
        <v>#N/A</v>
      </c>
      <c r="D61" t="e">
        <f ca="1"/>
        <v>#N/A</v>
      </c>
      <c r="E61" t="e">
        <f ca="1"/>
        <v>#N/A</v>
      </c>
      <c r="F61" t="e">
        <f ca="1"/>
        <v>#N/A</v>
      </c>
      <c r="G61" t="e">
        <f ca="1"/>
        <v>#N/A</v>
      </c>
      <c r="H61" t="e">
        <f ca="1"/>
        <v>#N/A</v>
      </c>
      <c r="I61" t="e">
        <f ca="1"/>
        <v>#N/A</v>
      </c>
      <c r="J61" t="e">
        <f ca="1"/>
        <v>#N/A</v>
      </c>
      <c r="K61" t="e">
        <f ca="1"/>
        <v>#N/A</v>
      </c>
      <c r="L61" t="e">
        <f ca="1"/>
        <v>#N/A</v>
      </c>
      <c r="M61" t="e">
        <f ca="1"/>
        <v>#N/A</v>
      </c>
    </row>
    <row r="62" spans="2:13" x14ac:dyDescent="0.25">
      <c r="B62" t="e">
        <f ca="1"/>
        <v>#N/A</v>
      </c>
      <c r="C62" t="e">
        <f ca="1"/>
        <v>#N/A</v>
      </c>
      <c r="D62" t="e">
        <f ca="1"/>
        <v>#N/A</v>
      </c>
      <c r="E62" t="e">
        <f ca="1"/>
        <v>#N/A</v>
      </c>
      <c r="F62" t="e">
        <f ca="1"/>
        <v>#N/A</v>
      </c>
      <c r="G62" t="e">
        <f ca="1"/>
        <v>#N/A</v>
      </c>
      <c r="H62" t="e">
        <f ca="1"/>
        <v>#N/A</v>
      </c>
      <c r="I62" t="e">
        <f ca="1"/>
        <v>#N/A</v>
      </c>
      <c r="J62" t="e">
        <f ca="1"/>
        <v>#N/A</v>
      </c>
      <c r="K62" t="e">
        <f ca="1"/>
        <v>#N/A</v>
      </c>
      <c r="L62" t="e">
        <f ca="1"/>
        <v>#N/A</v>
      </c>
      <c r="M62" t="e">
        <f ca="1"/>
        <v>#N/A</v>
      </c>
    </row>
    <row r="63" spans="2:13" x14ac:dyDescent="0.25">
      <c r="B63" t="e">
        <f ca="1"/>
        <v>#N/A</v>
      </c>
      <c r="C63" t="e">
        <f ca="1"/>
        <v>#N/A</v>
      </c>
      <c r="D63" t="e">
        <f ca="1"/>
        <v>#N/A</v>
      </c>
      <c r="E63" t="e">
        <f ca="1"/>
        <v>#N/A</v>
      </c>
      <c r="F63" t="e">
        <f ca="1"/>
        <v>#N/A</v>
      </c>
      <c r="G63" t="e">
        <f ca="1"/>
        <v>#N/A</v>
      </c>
      <c r="H63" t="e">
        <f ca="1"/>
        <v>#N/A</v>
      </c>
      <c r="I63" t="e">
        <f ca="1"/>
        <v>#N/A</v>
      </c>
      <c r="J63" t="e">
        <f ca="1"/>
        <v>#N/A</v>
      </c>
      <c r="K63" t="e">
        <f ca="1"/>
        <v>#N/A</v>
      </c>
      <c r="L63" t="e">
        <f ca="1"/>
        <v>#N/A</v>
      </c>
      <c r="M63" t="e">
        <f ca="1"/>
        <v>#N/A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F0CDA-D8CB-46CE-9A1B-CB84241FA071}">
  <sheetPr codeName="Sheet10"/>
  <dimension ref="A1:U56"/>
  <sheetViews>
    <sheetView workbookViewId="0">
      <selection activeCell="E18" sqref="E18"/>
    </sheetView>
  </sheetViews>
  <sheetFormatPr defaultRowHeight="15" x14ac:dyDescent="0.25"/>
  <cols>
    <col min="1" max="1" width="9.140625" style="3"/>
    <col min="2" max="2" width="15.28515625" bestFit="1" customWidth="1"/>
    <col min="3" max="3" width="17.42578125" bestFit="1" customWidth="1"/>
    <col min="5" max="5" width="13.85546875" bestFit="1" customWidth="1"/>
    <col min="6" max="6" width="14.28515625" bestFit="1" customWidth="1"/>
    <col min="7" max="7" width="10.5703125" bestFit="1" customWidth="1"/>
    <col min="15" max="15" width="11.28515625" bestFit="1" customWidth="1"/>
    <col min="16" max="16" width="13.28515625" bestFit="1" customWidth="1"/>
    <col min="17" max="17" width="10.5703125" bestFit="1" customWidth="1"/>
  </cols>
  <sheetData>
    <row r="1" spans="1:21" x14ac:dyDescent="0.25">
      <c r="A1" s="3" t="s">
        <v>188</v>
      </c>
      <c r="B1" s="8" t="str">
        <f ca="1">AModel</f>
        <v>A-Model¬1</v>
      </c>
      <c r="E1" s="96" t="s">
        <v>205</v>
      </c>
      <c r="F1" s="23">
        <f ca="1">SUM(F3:F24)</f>
        <v>64380082.257208496</v>
      </c>
      <c r="G1" s="23">
        <f ca="1">SUM(G3:G24)</f>
        <v>34923.947143079546</v>
      </c>
      <c r="O1" s="96" t="s">
        <v>206</v>
      </c>
      <c r="P1" s="23">
        <f ca="1">SUM(P3:P13)</f>
        <v>32536.349289380014</v>
      </c>
      <c r="Q1" s="23">
        <f ca="1">SUM(Q3:Q13)</f>
        <v>39793.07064303197</v>
      </c>
    </row>
    <row r="2" spans="1:21" x14ac:dyDescent="0.25">
      <c r="A2" s="3" t="s">
        <v>183</v>
      </c>
      <c r="B2" s="34" t="str">
        <f ca="1">Portfolio</f>
        <v>PF_ClientZ¬2</v>
      </c>
      <c r="E2" s="110">
        <f t="array" aca="1" ref="E2:M26" ca="1">_xll.QCube_CubeToMatrix(C6,"TradeId","AssetId")</f>
        <v>0</v>
      </c>
      <c r="F2" s="111" t="str">
        <f ca="1"/>
        <v>USD/ZAR</v>
      </c>
      <c r="G2" s="111" t="str">
        <f ca="1"/>
        <v>XAU/USD</v>
      </c>
      <c r="H2" s="111" t="str">
        <f ca="1"/>
        <v/>
      </c>
      <c r="I2" s="111" t="str">
        <f ca="1"/>
        <v/>
      </c>
      <c r="J2" s="111" t="str">
        <f ca="1"/>
        <v/>
      </c>
      <c r="K2" s="111" t="str">
        <f ca="1"/>
        <v/>
      </c>
      <c r="L2" s="111" t="str">
        <f ca="1"/>
        <v/>
      </c>
      <c r="M2" s="112" t="str">
        <f ca="1"/>
        <v/>
      </c>
      <c r="O2" s="110">
        <f t="array" aca="1" ref="O2:U13" ca="1">_xll.QCube_CubeToMatrix(C7,"PointLabel","AssetId")</f>
        <v>0</v>
      </c>
      <c r="P2" s="111" t="str">
        <f ca="1"/>
        <v>USD/ZAR</v>
      </c>
      <c r="Q2" s="111" t="str">
        <f ca="1"/>
        <v>XAU/USD</v>
      </c>
      <c r="R2" s="111" t="str">
        <f ca="1"/>
        <v/>
      </c>
      <c r="S2" s="111" t="str">
        <f ca="1"/>
        <v/>
      </c>
      <c r="T2" s="111" t="str">
        <f ca="1"/>
        <v/>
      </c>
      <c r="U2" s="112" t="str">
        <f ca="1"/>
        <v/>
      </c>
    </row>
    <row r="3" spans="1:21" x14ac:dyDescent="0.25">
      <c r="B3" s="8"/>
      <c r="E3" s="113" t="str">
        <f ca="1"/>
        <v>asiOpt_79</v>
      </c>
      <c r="F3" s="114">
        <f ca="1"/>
        <v>9586902.6834352631</v>
      </c>
      <c r="G3" s="114">
        <f ca="1"/>
        <v>5192.9590199337399</v>
      </c>
      <c r="H3" s="114" t="str">
        <f ca="1"/>
        <v/>
      </c>
      <c r="I3" s="114" t="str">
        <f ca="1"/>
        <v/>
      </c>
      <c r="J3" s="114" t="str">
        <f ca="1"/>
        <v/>
      </c>
      <c r="K3" s="114" t="str">
        <f ca="1"/>
        <v/>
      </c>
      <c r="L3" s="114" t="str">
        <f ca="1"/>
        <v/>
      </c>
      <c r="M3" s="115" t="str">
        <f ca="1"/>
        <v/>
      </c>
      <c r="O3" s="113" t="str">
        <f ca="1"/>
        <v>1m</v>
      </c>
      <c r="P3" s="114">
        <f ca="1"/>
        <v>-250.16105774790049</v>
      </c>
      <c r="Q3" s="114">
        <f ca="1"/>
        <v>-271.60283657722175</v>
      </c>
      <c r="R3" s="114" t="str">
        <f ca="1"/>
        <v/>
      </c>
      <c r="S3" s="114" t="str">
        <f ca="1"/>
        <v/>
      </c>
      <c r="T3" s="114" t="str">
        <f ca="1"/>
        <v/>
      </c>
      <c r="U3" s="115" t="str">
        <f ca="1"/>
        <v/>
      </c>
    </row>
    <row r="4" spans="1:21" x14ac:dyDescent="0.25">
      <c r="A4" s="3" t="s">
        <v>209</v>
      </c>
      <c r="B4" s="34" t="s">
        <v>210</v>
      </c>
      <c r="E4" s="113" t="str">
        <f ca="1"/>
        <v>asiOpt_80</v>
      </c>
      <c r="F4" s="114">
        <f ca="1"/>
        <v>11299550.373413147</v>
      </c>
      <c r="G4" s="114">
        <f ca="1"/>
        <v>6123.0948920787514</v>
      </c>
      <c r="H4" s="114" t="str">
        <f ca="1"/>
        <v/>
      </c>
      <c r="I4" s="114" t="str">
        <f ca="1"/>
        <v/>
      </c>
      <c r="J4" s="114" t="str">
        <f ca="1"/>
        <v/>
      </c>
      <c r="K4" s="114" t="str">
        <f ca="1"/>
        <v/>
      </c>
      <c r="L4" s="114" t="str">
        <f ca="1"/>
        <v/>
      </c>
      <c r="M4" s="115" t="str">
        <f ca="1"/>
        <v/>
      </c>
      <c r="O4" s="113" t="str">
        <f ca="1"/>
        <v>2m</v>
      </c>
      <c r="P4" s="114">
        <f ca="1"/>
        <v>-5312.5851517729461</v>
      </c>
      <c r="Q4" s="114">
        <f ca="1"/>
        <v>-5935.0727971829474</v>
      </c>
      <c r="R4" s="114" t="str">
        <f ca="1"/>
        <v/>
      </c>
      <c r="S4" s="114" t="str">
        <f ca="1"/>
        <v/>
      </c>
      <c r="T4" s="114" t="str">
        <f ca="1"/>
        <v/>
      </c>
      <c r="U4" s="115" t="str">
        <f ca="1"/>
        <v/>
      </c>
    </row>
    <row r="5" spans="1:21" x14ac:dyDescent="0.25">
      <c r="B5" s="8"/>
      <c r="E5" s="113" t="str">
        <f ca="1"/>
        <v>asiOpt_81</v>
      </c>
      <c r="F5" s="114">
        <f ca="1"/>
        <v>12464311.330575623</v>
      </c>
      <c r="G5" s="114">
        <f ca="1"/>
        <v>6755.7349144689751</v>
      </c>
      <c r="H5" s="114" t="str">
        <f ca="1"/>
        <v/>
      </c>
      <c r="I5" s="114" t="str">
        <f ca="1"/>
        <v/>
      </c>
      <c r="J5" s="114" t="str">
        <f ca="1"/>
        <v/>
      </c>
      <c r="K5" s="114" t="str">
        <f ca="1"/>
        <v/>
      </c>
      <c r="L5" s="114" t="str">
        <f ca="1"/>
        <v/>
      </c>
      <c r="M5" s="115" t="str">
        <f ca="1"/>
        <v/>
      </c>
      <c r="O5" s="113" t="str">
        <f ca="1"/>
        <v>3m</v>
      </c>
      <c r="P5" s="114">
        <f ca="1"/>
        <v>22001.242729350924</v>
      </c>
      <c r="Q5" s="114">
        <f ca="1"/>
        <v>26006.350083276629</v>
      </c>
      <c r="R5" s="114" t="str">
        <f ca="1"/>
        <v/>
      </c>
      <c r="S5" s="114" t="str">
        <f ca="1"/>
        <v/>
      </c>
      <c r="T5" s="114" t="str">
        <f ca="1"/>
        <v/>
      </c>
      <c r="U5" s="115" t="str">
        <f ca="1"/>
        <v/>
      </c>
    </row>
    <row r="6" spans="1:21" x14ac:dyDescent="0.25">
      <c r="A6" s="3" t="s">
        <v>202</v>
      </c>
      <c r="B6" s="8" t="s">
        <v>200</v>
      </c>
      <c r="C6" t="str">
        <f t="array" aca="1" ref="C6" ca="1">IF(B4="On",_xll.QRisk_PortfolioFxDeltaSpecific(B6,B2,B1,Static!$B$9:$B$15,"ZAR",FALSE),B6)</f>
        <v>FxDelta¬0</v>
      </c>
      <c r="E6" s="113" t="str">
        <f ca="1"/>
        <v>asiOpt_82</v>
      </c>
      <c r="F6" s="114">
        <f ca="1"/>
        <v>10102687.03022911</v>
      </c>
      <c r="G6" s="114">
        <f ca="1"/>
        <v>5488.225677067644</v>
      </c>
      <c r="H6" s="114" t="str">
        <f ca="1"/>
        <v/>
      </c>
      <c r="I6" s="114" t="str">
        <f ca="1"/>
        <v/>
      </c>
      <c r="J6" s="114" t="str">
        <f ca="1"/>
        <v/>
      </c>
      <c r="K6" s="114" t="str">
        <f ca="1"/>
        <v/>
      </c>
      <c r="L6" s="114" t="str">
        <f ca="1"/>
        <v/>
      </c>
      <c r="M6" s="115" t="str">
        <f ca="1"/>
        <v/>
      </c>
      <c r="O6" s="113" t="str">
        <f ca="1"/>
        <v>6m</v>
      </c>
      <c r="P6" s="114">
        <f ca="1"/>
        <v>16097.852769549936</v>
      </c>
      <c r="Q6" s="114">
        <f ca="1"/>
        <v>19993.396193515509</v>
      </c>
      <c r="R6" s="114" t="str">
        <f ca="1"/>
        <v/>
      </c>
      <c r="S6" s="114" t="str">
        <f ca="1"/>
        <v/>
      </c>
      <c r="T6" s="114" t="str">
        <f ca="1"/>
        <v/>
      </c>
      <c r="U6" s="115" t="str">
        <f ca="1"/>
        <v/>
      </c>
    </row>
    <row r="7" spans="1:21" x14ac:dyDescent="0.25">
      <c r="B7" s="8" t="s">
        <v>201</v>
      </c>
      <c r="C7" t="str" cm="1">
        <f t="array" aca="1" ref="C7" ca="1">IF(B4="On",_xll.QRisk_PortfolioFxVega(B7,B2,B1,"ZAR"),B7)</f>
        <v>FxVega(ZAR)¬0</v>
      </c>
      <c r="E7" s="113" t="str">
        <f ca="1"/>
        <v>asiOpt_83</v>
      </c>
      <c r="F7" s="114">
        <f ca="1"/>
        <v>10407030.137841212</v>
      </c>
      <c r="G7" s="114">
        <f ca="1"/>
        <v>5651.8857501211369</v>
      </c>
      <c r="H7" s="114" t="str">
        <f ca="1"/>
        <v/>
      </c>
      <c r="I7" s="114" t="str">
        <f ca="1"/>
        <v/>
      </c>
      <c r="J7" s="114" t="str">
        <f ca="1"/>
        <v/>
      </c>
      <c r="K7" s="114" t="str">
        <f ca="1"/>
        <v/>
      </c>
      <c r="L7" s="114" t="str">
        <f ca="1"/>
        <v/>
      </c>
      <c r="M7" s="115" t="str">
        <f ca="1"/>
        <v/>
      </c>
      <c r="O7" s="113" t="str">
        <f ca="1"/>
        <v/>
      </c>
      <c r="P7" s="114" t="str">
        <f ca="1"/>
        <v/>
      </c>
      <c r="Q7" s="114" t="str">
        <f ca="1"/>
        <v/>
      </c>
      <c r="R7" s="114" t="str">
        <f ca="1"/>
        <v/>
      </c>
      <c r="S7" s="114" t="str">
        <f ca="1"/>
        <v/>
      </c>
      <c r="T7" s="114" t="str">
        <f ca="1"/>
        <v/>
      </c>
      <c r="U7" s="115" t="str">
        <f ca="1"/>
        <v/>
      </c>
    </row>
    <row r="8" spans="1:21" x14ac:dyDescent="0.25">
      <c r="B8" s="8" t="s">
        <v>203</v>
      </c>
      <c r="C8" t="str" cm="1">
        <f t="array" aca="1" ref="C8" ca="1">IF(B4="On",_xll.QRisk_PortfolioDelta(B8,B2,B1,FALSE),B8)</f>
        <v>AssetDelta¬0</v>
      </c>
      <c r="E8" s="113" t="str">
        <f ca="1"/>
        <v>asiOpt_84</v>
      </c>
      <c r="F8" s="114">
        <f ca="1"/>
        <v>10519600.701714143</v>
      </c>
      <c r="G8" s="114">
        <f ca="1"/>
        <v>5712.0468894092983</v>
      </c>
      <c r="H8" s="114" t="str">
        <f ca="1"/>
        <v/>
      </c>
      <c r="I8" s="114" t="str">
        <f ca="1"/>
        <v/>
      </c>
      <c r="J8" s="114" t="str">
        <f ca="1"/>
        <v/>
      </c>
      <c r="K8" s="114" t="str">
        <f ca="1"/>
        <v/>
      </c>
      <c r="L8" s="114" t="str">
        <f ca="1"/>
        <v/>
      </c>
      <c r="M8" s="115" t="str">
        <f ca="1"/>
        <v/>
      </c>
      <c r="O8" s="113" t="str">
        <f ca="1"/>
        <v/>
      </c>
      <c r="P8" s="114" t="str">
        <f ca="1"/>
        <v/>
      </c>
      <c r="Q8" s="114" t="str">
        <f ca="1"/>
        <v/>
      </c>
      <c r="R8" s="114" t="str">
        <f ca="1"/>
        <v/>
      </c>
      <c r="S8" s="114" t="str">
        <f ca="1"/>
        <v/>
      </c>
      <c r="T8" s="114" t="str">
        <f ca="1"/>
        <v/>
      </c>
      <c r="U8" s="115" t="str">
        <f ca="1"/>
        <v/>
      </c>
    </row>
    <row r="9" spans="1:21" x14ac:dyDescent="0.25">
      <c r="B9" s="8" t="s">
        <v>204</v>
      </c>
      <c r="C9" t="str" cm="1">
        <f t="array" aca="1" ref="C9" ca="1">IF(B4="On",_xll.QRisk_PortfolioVega(B9,B2,B1,"ZAR"),B9)</f>
        <v>AssetVega(ZAR)¬0</v>
      </c>
      <c r="E9" s="113" t="str">
        <f ca="1"/>
        <v/>
      </c>
      <c r="F9" s="114" t="str">
        <f ca="1"/>
        <v/>
      </c>
      <c r="G9" s="114" t="str">
        <f ca="1"/>
        <v/>
      </c>
      <c r="H9" s="114" t="str">
        <f ca="1"/>
        <v/>
      </c>
      <c r="I9" s="114" t="str">
        <f ca="1"/>
        <v/>
      </c>
      <c r="J9" s="114" t="str">
        <f ca="1"/>
        <v/>
      </c>
      <c r="K9" s="114" t="str">
        <f ca="1"/>
        <v/>
      </c>
      <c r="L9" s="114" t="str">
        <f ca="1"/>
        <v/>
      </c>
      <c r="M9" s="115" t="str">
        <f ca="1"/>
        <v/>
      </c>
      <c r="O9" s="113" t="str">
        <f ca="1"/>
        <v/>
      </c>
      <c r="P9" s="114" t="str">
        <f ca="1"/>
        <v/>
      </c>
      <c r="Q9" s="114" t="str">
        <f ca="1"/>
        <v/>
      </c>
      <c r="R9" s="114" t="str">
        <f ca="1"/>
        <v/>
      </c>
      <c r="S9" s="114" t="str">
        <f ca="1"/>
        <v/>
      </c>
      <c r="T9" s="114" t="str">
        <f ca="1"/>
        <v/>
      </c>
      <c r="U9" s="115" t="str">
        <f ca="1"/>
        <v/>
      </c>
    </row>
    <row r="10" spans="1:21" x14ac:dyDescent="0.25">
      <c r="B10" s="8"/>
      <c r="E10" s="113" t="str">
        <f ca="1"/>
        <v/>
      </c>
      <c r="F10" s="114" t="str">
        <f ca="1"/>
        <v/>
      </c>
      <c r="G10" s="114" t="str">
        <f ca="1"/>
        <v/>
      </c>
      <c r="H10" s="114" t="str">
        <f ca="1"/>
        <v/>
      </c>
      <c r="I10" s="114" t="str">
        <f ca="1"/>
        <v/>
      </c>
      <c r="J10" s="114" t="str">
        <f ca="1"/>
        <v/>
      </c>
      <c r="K10" s="114" t="str">
        <f ca="1"/>
        <v/>
      </c>
      <c r="L10" s="114" t="str">
        <f ca="1"/>
        <v/>
      </c>
      <c r="M10" s="115" t="str">
        <f ca="1"/>
        <v/>
      </c>
      <c r="O10" s="113" t="str">
        <f ca="1"/>
        <v/>
      </c>
      <c r="P10" s="114" t="str">
        <f ca="1"/>
        <v/>
      </c>
      <c r="Q10" s="114" t="str">
        <f ca="1"/>
        <v/>
      </c>
      <c r="R10" s="114" t="str">
        <f ca="1"/>
        <v/>
      </c>
      <c r="S10" s="114" t="str">
        <f ca="1"/>
        <v/>
      </c>
      <c r="T10" s="114" t="str">
        <f ca="1"/>
        <v/>
      </c>
      <c r="U10" s="115" t="str">
        <f ca="1"/>
        <v/>
      </c>
    </row>
    <row r="11" spans="1:21" x14ac:dyDescent="0.25">
      <c r="B11" s="8"/>
      <c r="E11" s="113" t="str">
        <f ca="1"/>
        <v/>
      </c>
      <c r="F11" s="114" t="str">
        <f ca="1"/>
        <v/>
      </c>
      <c r="G11" s="114" t="str">
        <f ca="1"/>
        <v/>
      </c>
      <c r="H11" s="114" t="str">
        <f ca="1"/>
        <v/>
      </c>
      <c r="I11" s="114" t="str">
        <f ca="1"/>
        <v/>
      </c>
      <c r="J11" s="114" t="str">
        <f ca="1"/>
        <v/>
      </c>
      <c r="K11" s="114" t="str">
        <f ca="1"/>
        <v/>
      </c>
      <c r="L11" s="114" t="str">
        <f ca="1"/>
        <v/>
      </c>
      <c r="M11" s="115" t="str">
        <f ca="1"/>
        <v/>
      </c>
      <c r="O11" s="113" t="str">
        <f ca="1"/>
        <v/>
      </c>
      <c r="P11" s="114" t="str">
        <f ca="1"/>
        <v/>
      </c>
      <c r="Q11" s="114" t="str">
        <f ca="1"/>
        <v/>
      </c>
      <c r="R11" s="114" t="str">
        <f ca="1"/>
        <v/>
      </c>
      <c r="S11" s="114" t="str">
        <f ca="1"/>
        <v/>
      </c>
      <c r="T11" s="114" t="str">
        <f ca="1"/>
        <v/>
      </c>
      <c r="U11" s="115" t="str">
        <f ca="1"/>
        <v/>
      </c>
    </row>
    <row r="12" spans="1:21" x14ac:dyDescent="0.25">
      <c r="B12" s="8"/>
      <c r="E12" s="113" t="str">
        <f ca="1"/>
        <v/>
      </c>
      <c r="F12" s="114" t="str">
        <f ca="1"/>
        <v/>
      </c>
      <c r="G12" s="114" t="str">
        <f ca="1"/>
        <v/>
      </c>
      <c r="H12" s="114" t="str">
        <f ca="1"/>
        <v/>
      </c>
      <c r="I12" s="114" t="str">
        <f ca="1"/>
        <v/>
      </c>
      <c r="J12" s="114" t="str">
        <f ca="1"/>
        <v/>
      </c>
      <c r="K12" s="114" t="str">
        <f ca="1"/>
        <v/>
      </c>
      <c r="L12" s="114" t="str">
        <f ca="1"/>
        <v/>
      </c>
      <c r="M12" s="115" t="str">
        <f ca="1"/>
        <v/>
      </c>
      <c r="O12" s="113" t="str">
        <f ca="1"/>
        <v/>
      </c>
      <c r="P12" s="114" t="str">
        <f ca="1"/>
        <v/>
      </c>
      <c r="Q12" s="114" t="str">
        <f ca="1"/>
        <v/>
      </c>
      <c r="R12" s="114" t="str">
        <f ca="1"/>
        <v/>
      </c>
      <c r="S12" s="114" t="str">
        <f ca="1"/>
        <v/>
      </c>
      <c r="T12" s="114" t="str">
        <f ca="1"/>
        <v/>
      </c>
      <c r="U12" s="115" t="str">
        <f ca="1"/>
        <v/>
      </c>
    </row>
    <row r="13" spans="1:21" x14ac:dyDescent="0.25">
      <c r="E13" s="116" t="str">
        <f ca="1"/>
        <v/>
      </c>
      <c r="F13" s="117" t="str">
        <f ca="1"/>
        <v/>
      </c>
      <c r="G13" s="117" t="str">
        <f ca="1"/>
        <v/>
      </c>
      <c r="H13" s="117" t="str">
        <f ca="1"/>
        <v/>
      </c>
      <c r="I13" s="117" t="str">
        <f ca="1"/>
        <v/>
      </c>
      <c r="J13" s="117" t="str">
        <f ca="1"/>
        <v/>
      </c>
      <c r="K13" s="117" t="str">
        <f ca="1"/>
        <v/>
      </c>
      <c r="L13" s="117" t="str">
        <f ca="1"/>
        <v/>
      </c>
      <c r="M13" s="118" t="str">
        <f ca="1"/>
        <v/>
      </c>
      <c r="O13" s="116" t="str">
        <f ca="1"/>
        <v/>
      </c>
      <c r="P13" s="117" t="str">
        <f ca="1"/>
        <v/>
      </c>
      <c r="Q13" s="117" t="str">
        <f ca="1"/>
        <v/>
      </c>
      <c r="R13" s="117" t="str">
        <f ca="1"/>
        <v/>
      </c>
      <c r="S13" s="117" t="str">
        <f ca="1"/>
        <v/>
      </c>
      <c r="T13" s="117" t="str">
        <f ca="1"/>
        <v/>
      </c>
      <c r="U13" s="118" t="str">
        <f ca="1"/>
        <v/>
      </c>
    </row>
    <row r="14" spans="1:21" x14ac:dyDescent="0.25">
      <c r="E14" s="114" t="str">
        <f ca="1"/>
        <v/>
      </c>
      <c r="F14" s="114" t="str">
        <f ca="1"/>
        <v/>
      </c>
      <c r="G14" s="114" t="str">
        <f ca="1"/>
        <v/>
      </c>
      <c r="H14" s="114" t="str">
        <f ca="1"/>
        <v/>
      </c>
      <c r="I14" s="114" t="str">
        <f ca="1"/>
        <v/>
      </c>
      <c r="J14" s="114" t="str">
        <f ca="1"/>
        <v/>
      </c>
      <c r="K14" s="114" t="str">
        <f ca="1"/>
        <v/>
      </c>
      <c r="L14" s="114" t="str">
        <f ca="1"/>
        <v/>
      </c>
      <c r="M14" s="114" t="str">
        <f ca="1"/>
        <v/>
      </c>
      <c r="O14" s="114"/>
      <c r="P14" s="114"/>
      <c r="Q14" s="114"/>
      <c r="R14" s="114"/>
      <c r="S14" s="114"/>
      <c r="T14" s="114"/>
      <c r="U14" s="114"/>
    </row>
    <row r="15" spans="1:21" x14ac:dyDescent="0.25">
      <c r="E15" s="114" t="str">
        <f ca="1"/>
        <v/>
      </c>
      <c r="F15" s="114" t="str">
        <f ca="1"/>
        <v/>
      </c>
      <c r="G15" s="114" t="str">
        <f ca="1"/>
        <v/>
      </c>
      <c r="H15" s="114" t="str">
        <f ca="1"/>
        <v/>
      </c>
      <c r="I15" s="114" t="str">
        <f ca="1"/>
        <v/>
      </c>
      <c r="J15" s="114" t="str">
        <f ca="1"/>
        <v/>
      </c>
      <c r="K15" s="114" t="str">
        <f ca="1"/>
        <v/>
      </c>
      <c r="L15" s="114" t="str">
        <f ca="1"/>
        <v/>
      </c>
      <c r="M15" s="114" t="str">
        <f ca="1"/>
        <v/>
      </c>
      <c r="O15" s="114"/>
      <c r="P15" s="114"/>
      <c r="Q15" s="114"/>
      <c r="R15" s="114"/>
      <c r="S15" s="114"/>
      <c r="T15" s="114"/>
      <c r="U15" s="114"/>
    </row>
    <row r="16" spans="1:21" x14ac:dyDescent="0.25">
      <c r="E16" s="114" t="str">
        <f ca="1"/>
        <v/>
      </c>
      <c r="F16" s="114" t="str">
        <f ca="1"/>
        <v/>
      </c>
      <c r="G16" s="114" t="str">
        <f ca="1"/>
        <v/>
      </c>
      <c r="H16" s="114" t="str">
        <f ca="1"/>
        <v/>
      </c>
      <c r="I16" s="114" t="str">
        <f ca="1"/>
        <v/>
      </c>
      <c r="J16" s="114" t="str">
        <f ca="1"/>
        <v/>
      </c>
      <c r="K16" s="114" t="str">
        <f ca="1"/>
        <v/>
      </c>
      <c r="L16" s="114" t="str">
        <f ca="1"/>
        <v/>
      </c>
      <c r="M16" s="114" t="str">
        <f ca="1"/>
        <v/>
      </c>
      <c r="O16" s="114"/>
      <c r="P16" s="114"/>
      <c r="Q16" s="114"/>
      <c r="R16" s="114"/>
      <c r="S16" s="114"/>
      <c r="T16" s="114"/>
      <c r="U16" s="114"/>
    </row>
    <row r="17" spans="5:21" x14ac:dyDescent="0.25">
      <c r="E17" s="114" t="str">
        <f ca="1"/>
        <v/>
      </c>
      <c r="F17" s="114" t="str">
        <f ca="1"/>
        <v/>
      </c>
      <c r="G17" s="114" t="str">
        <f ca="1"/>
        <v/>
      </c>
      <c r="H17" s="114" t="str">
        <f ca="1"/>
        <v/>
      </c>
      <c r="I17" s="114" t="str">
        <f ca="1"/>
        <v/>
      </c>
      <c r="J17" s="114" t="str">
        <f ca="1"/>
        <v/>
      </c>
      <c r="K17" s="114" t="str">
        <f ca="1"/>
        <v/>
      </c>
      <c r="L17" s="114" t="str">
        <f ca="1"/>
        <v/>
      </c>
      <c r="M17" s="114" t="str">
        <f ca="1"/>
        <v/>
      </c>
      <c r="O17" s="114"/>
      <c r="P17" s="114"/>
      <c r="Q17" s="114"/>
      <c r="R17" s="114"/>
      <c r="S17" s="114"/>
      <c r="T17" s="114"/>
      <c r="U17" s="114"/>
    </row>
    <row r="18" spans="5:21" x14ac:dyDescent="0.25">
      <c r="E18" s="114" t="str">
        <f ca="1"/>
        <v/>
      </c>
      <c r="F18" s="114" t="str">
        <f ca="1"/>
        <v/>
      </c>
      <c r="G18" s="114" t="str">
        <f ca="1"/>
        <v/>
      </c>
      <c r="H18" s="114" t="str">
        <f ca="1"/>
        <v/>
      </c>
      <c r="I18" s="114" t="str">
        <f ca="1"/>
        <v/>
      </c>
      <c r="J18" s="114" t="str">
        <f ca="1"/>
        <v/>
      </c>
      <c r="K18" s="114" t="str">
        <f ca="1"/>
        <v/>
      </c>
      <c r="L18" s="114" t="str">
        <f ca="1"/>
        <v/>
      </c>
      <c r="M18" s="114" t="str">
        <f ca="1"/>
        <v/>
      </c>
      <c r="O18" s="114"/>
      <c r="P18" s="114"/>
      <c r="Q18" s="114"/>
      <c r="R18" s="114"/>
      <c r="S18" s="114"/>
      <c r="T18" s="114"/>
      <c r="U18" s="114"/>
    </row>
    <row r="19" spans="5:21" x14ac:dyDescent="0.25">
      <c r="E19" s="114" t="str">
        <f ca="1"/>
        <v/>
      </c>
      <c r="F19" s="114" t="str">
        <f ca="1"/>
        <v/>
      </c>
      <c r="G19" s="114" t="str">
        <f ca="1"/>
        <v/>
      </c>
      <c r="H19" s="114" t="str">
        <f ca="1"/>
        <v/>
      </c>
      <c r="I19" s="114" t="str">
        <f ca="1"/>
        <v/>
      </c>
      <c r="J19" s="114" t="str">
        <f ca="1"/>
        <v/>
      </c>
      <c r="K19" s="114" t="str">
        <f ca="1"/>
        <v/>
      </c>
      <c r="L19" s="114" t="str">
        <f ca="1"/>
        <v/>
      </c>
      <c r="M19" s="114" t="str">
        <f ca="1"/>
        <v/>
      </c>
      <c r="O19" s="114"/>
      <c r="P19" s="114"/>
      <c r="Q19" s="114"/>
      <c r="R19" s="114"/>
      <c r="S19" s="114"/>
      <c r="T19" s="114"/>
      <c r="U19" s="114"/>
    </row>
    <row r="20" spans="5:21" x14ac:dyDescent="0.25">
      <c r="E20" s="114" t="str">
        <f ca="1"/>
        <v/>
      </c>
      <c r="F20" s="114" t="str">
        <f ca="1"/>
        <v/>
      </c>
      <c r="G20" s="114" t="str">
        <f ca="1"/>
        <v/>
      </c>
      <c r="H20" s="114" t="str">
        <f ca="1"/>
        <v/>
      </c>
      <c r="I20" s="114" t="str">
        <f ca="1"/>
        <v/>
      </c>
      <c r="J20" s="114" t="str">
        <f ca="1"/>
        <v/>
      </c>
      <c r="K20" s="114" t="str">
        <f ca="1"/>
        <v/>
      </c>
      <c r="L20" s="114" t="str">
        <f ca="1"/>
        <v/>
      </c>
      <c r="M20" s="114" t="str">
        <f ca="1"/>
        <v/>
      </c>
      <c r="O20" s="114"/>
      <c r="P20" s="114"/>
      <c r="Q20" s="114"/>
      <c r="R20" s="114"/>
      <c r="S20" s="114"/>
      <c r="T20" s="114"/>
      <c r="U20" s="114"/>
    </row>
    <row r="21" spans="5:21" x14ac:dyDescent="0.25">
      <c r="E21" s="114" t="str">
        <f ca="1"/>
        <v/>
      </c>
      <c r="F21" s="114" t="str">
        <f ca="1"/>
        <v/>
      </c>
      <c r="G21" s="114" t="str">
        <f ca="1"/>
        <v/>
      </c>
      <c r="H21" s="114" t="str">
        <f ca="1"/>
        <v/>
      </c>
      <c r="I21" s="114" t="str">
        <f ca="1"/>
        <v/>
      </c>
      <c r="J21" s="114" t="str">
        <f ca="1"/>
        <v/>
      </c>
      <c r="K21" s="114" t="str">
        <f ca="1"/>
        <v/>
      </c>
      <c r="L21" s="114" t="str">
        <f ca="1"/>
        <v/>
      </c>
      <c r="M21" s="114" t="str">
        <f ca="1"/>
        <v/>
      </c>
      <c r="O21" s="114"/>
      <c r="P21" s="114"/>
      <c r="Q21" s="114"/>
      <c r="R21" s="114"/>
      <c r="S21" s="114"/>
      <c r="T21" s="114"/>
      <c r="U21" s="114"/>
    </row>
    <row r="22" spans="5:21" x14ac:dyDescent="0.25">
      <c r="E22" s="114" t="str">
        <f ca="1"/>
        <v/>
      </c>
      <c r="F22" s="114" t="str">
        <f ca="1"/>
        <v/>
      </c>
      <c r="G22" s="114" t="str">
        <f ca="1"/>
        <v/>
      </c>
      <c r="H22" s="114" t="str">
        <f ca="1"/>
        <v/>
      </c>
      <c r="I22" s="114" t="str">
        <f ca="1"/>
        <v/>
      </c>
      <c r="J22" s="114" t="str">
        <f ca="1"/>
        <v/>
      </c>
      <c r="K22" s="114" t="str">
        <f ca="1"/>
        <v/>
      </c>
      <c r="L22" s="114" t="str">
        <f ca="1"/>
        <v/>
      </c>
      <c r="M22" s="114" t="str">
        <f ca="1"/>
        <v/>
      </c>
      <c r="O22" s="114"/>
      <c r="P22" s="114"/>
      <c r="Q22" s="114"/>
      <c r="R22" s="114"/>
      <c r="S22" s="114"/>
      <c r="T22" s="114"/>
      <c r="U22" s="114"/>
    </row>
    <row r="23" spans="5:21" x14ac:dyDescent="0.25">
      <c r="E23" s="114" t="str">
        <f ca="1"/>
        <v/>
      </c>
      <c r="F23" s="114" t="str">
        <f ca="1"/>
        <v/>
      </c>
      <c r="G23" s="114" t="str">
        <f ca="1"/>
        <v/>
      </c>
      <c r="H23" s="114" t="str">
        <f ca="1"/>
        <v/>
      </c>
      <c r="I23" s="114" t="str">
        <f ca="1"/>
        <v/>
      </c>
      <c r="J23" s="114" t="str">
        <f ca="1"/>
        <v/>
      </c>
      <c r="K23" s="114" t="str">
        <f ca="1"/>
        <v/>
      </c>
      <c r="L23" s="114" t="str">
        <f ca="1"/>
        <v/>
      </c>
      <c r="M23" s="114" t="str">
        <f ca="1"/>
        <v/>
      </c>
      <c r="O23" s="114"/>
      <c r="P23" s="114"/>
      <c r="Q23" s="114"/>
      <c r="R23" s="114"/>
      <c r="S23" s="114"/>
      <c r="T23" s="114"/>
      <c r="U23" s="114"/>
    </row>
    <row r="24" spans="5:21" x14ac:dyDescent="0.25">
      <c r="E24" s="114" t="str">
        <f ca="1"/>
        <v/>
      </c>
      <c r="F24" s="114" t="str">
        <f ca="1"/>
        <v/>
      </c>
      <c r="G24" s="114" t="str">
        <f ca="1"/>
        <v/>
      </c>
      <c r="H24" s="114" t="str">
        <f ca="1"/>
        <v/>
      </c>
      <c r="I24" s="114" t="str">
        <f ca="1"/>
        <v/>
      </c>
      <c r="J24" s="114" t="str">
        <f ca="1"/>
        <v/>
      </c>
      <c r="K24" s="114" t="str">
        <f ca="1"/>
        <v/>
      </c>
      <c r="L24" s="114" t="str">
        <f ca="1"/>
        <v/>
      </c>
      <c r="M24" s="114" t="str">
        <f ca="1"/>
        <v/>
      </c>
      <c r="O24" s="114"/>
      <c r="P24" s="114"/>
      <c r="Q24" s="114"/>
      <c r="R24" s="114"/>
      <c r="S24" s="114"/>
      <c r="T24" s="114"/>
      <c r="U24" s="114"/>
    </row>
    <row r="25" spans="5:21" x14ac:dyDescent="0.25">
      <c r="E25" t="str">
        <f ca="1"/>
        <v/>
      </c>
      <c r="F25" t="str">
        <f ca="1"/>
        <v/>
      </c>
      <c r="G25" t="str">
        <f ca="1"/>
        <v/>
      </c>
      <c r="H25" t="str">
        <f ca="1"/>
        <v/>
      </c>
      <c r="I25" t="str">
        <f ca="1"/>
        <v/>
      </c>
      <c r="J25" t="str">
        <f ca="1"/>
        <v/>
      </c>
      <c r="K25" t="str">
        <f ca="1"/>
        <v/>
      </c>
      <c r="L25" t="str">
        <f ca="1"/>
        <v/>
      </c>
      <c r="M25" t="str">
        <f ca="1"/>
        <v/>
      </c>
    </row>
    <row r="26" spans="5:21" x14ac:dyDescent="0.25">
      <c r="E26" t="str">
        <f ca="1"/>
        <v/>
      </c>
      <c r="F26" t="str">
        <f ca="1"/>
        <v/>
      </c>
      <c r="G26" t="str">
        <f ca="1"/>
        <v/>
      </c>
      <c r="H26" t="str">
        <f ca="1"/>
        <v/>
      </c>
      <c r="I26" t="str">
        <f ca="1"/>
        <v/>
      </c>
      <c r="J26" t="str">
        <f ca="1"/>
        <v/>
      </c>
      <c r="K26" t="str">
        <f ca="1"/>
        <v/>
      </c>
      <c r="L26" t="str">
        <f ca="1"/>
        <v/>
      </c>
      <c r="M26" t="str">
        <f ca="1"/>
        <v/>
      </c>
    </row>
    <row r="27" spans="5:21" x14ac:dyDescent="0.25">
      <c r="E27" s="96" t="s">
        <v>207</v>
      </c>
      <c r="F27" s="23">
        <f ca="1">SUM(F29:F56)</f>
        <v>0</v>
      </c>
      <c r="G27" s="23">
        <f ca="1">SUM(G29:G56)</f>
        <v>0</v>
      </c>
      <c r="O27" s="96" t="s">
        <v>208</v>
      </c>
      <c r="P27" s="23">
        <f ca="1">SUM(P29:P56)</f>
        <v>0</v>
      </c>
      <c r="Q27" s="23">
        <f ca="1">SUM(Q29:Q56)</f>
        <v>0</v>
      </c>
    </row>
    <row r="28" spans="5:21" x14ac:dyDescent="0.25">
      <c r="E28" s="110">
        <f t="array" aca="1" ref="E28:K56" ca="1">_xll.QCube_CubeToMatrix(C8,"PointLabel","AssetId")</f>
        <v>0</v>
      </c>
      <c r="F28" s="111" t="str">
        <f ca="1"/>
        <v/>
      </c>
      <c r="G28" s="111" t="str">
        <f ca="1"/>
        <v/>
      </c>
      <c r="H28" s="111" t="str">
        <f ca="1"/>
        <v/>
      </c>
      <c r="I28" s="111" t="str">
        <f ca="1"/>
        <v/>
      </c>
      <c r="J28" s="111" t="str">
        <f ca="1"/>
        <v/>
      </c>
      <c r="K28" s="112" t="str">
        <f ca="1"/>
        <v/>
      </c>
      <c r="O28" s="110">
        <f t="array" aca="1" ref="O28:U56" ca="1">_xll.QCube_CubeToMatrix(C9,"PointLabel","AssetId")</f>
        <v>0</v>
      </c>
      <c r="P28" s="111" t="str">
        <f ca="1"/>
        <v/>
      </c>
      <c r="Q28" s="111" t="str">
        <f ca="1"/>
        <v/>
      </c>
      <c r="R28" s="111" t="str">
        <f ca="1"/>
        <v/>
      </c>
      <c r="S28" s="111" t="str">
        <f ca="1"/>
        <v/>
      </c>
      <c r="T28" s="111" t="str">
        <f ca="1"/>
        <v/>
      </c>
      <c r="U28" s="112" t="str">
        <f ca="1"/>
        <v/>
      </c>
    </row>
    <row r="29" spans="5:21" x14ac:dyDescent="0.25">
      <c r="E29" s="113" t="str">
        <f ca="1"/>
        <v/>
      </c>
      <c r="F29" s="114" t="str">
        <f ca="1"/>
        <v/>
      </c>
      <c r="G29" s="114" t="str">
        <f ca="1"/>
        <v/>
      </c>
      <c r="H29" s="114" t="str">
        <f ca="1"/>
        <v/>
      </c>
      <c r="I29" s="114" t="str">
        <f ca="1"/>
        <v/>
      </c>
      <c r="J29" s="114" t="str">
        <f ca="1"/>
        <v/>
      </c>
      <c r="K29" s="115" t="str">
        <f ca="1"/>
        <v/>
      </c>
      <c r="O29" s="113" t="str">
        <f ca="1"/>
        <v/>
      </c>
      <c r="P29" s="114" t="str">
        <f ca="1"/>
        <v/>
      </c>
      <c r="Q29" s="114" t="str">
        <f ca="1"/>
        <v/>
      </c>
      <c r="R29" s="114" t="str">
        <f ca="1"/>
        <v/>
      </c>
      <c r="S29" s="114" t="str">
        <f ca="1"/>
        <v/>
      </c>
      <c r="T29" s="114" t="str">
        <f ca="1"/>
        <v/>
      </c>
      <c r="U29" s="115" t="str">
        <f ca="1"/>
        <v/>
      </c>
    </row>
    <row r="30" spans="5:21" x14ac:dyDescent="0.25">
      <c r="E30" s="113" t="str">
        <f ca="1"/>
        <v/>
      </c>
      <c r="F30" s="114" t="str">
        <f ca="1"/>
        <v/>
      </c>
      <c r="G30" s="114" t="str">
        <f ca="1"/>
        <v/>
      </c>
      <c r="H30" s="114" t="str">
        <f ca="1"/>
        <v/>
      </c>
      <c r="I30" s="114" t="str">
        <f ca="1"/>
        <v/>
      </c>
      <c r="J30" s="114" t="str">
        <f ca="1"/>
        <v/>
      </c>
      <c r="K30" s="115" t="str">
        <f ca="1"/>
        <v/>
      </c>
      <c r="O30" s="113" t="str">
        <f ca="1"/>
        <v/>
      </c>
      <c r="P30" s="114" t="str">
        <f ca="1"/>
        <v/>
      </c>
      <c r="Q30" s="114" t="str">
        <f ca="1"/>
        <v/>
      </c>
      <c r="R30" s="114" t="str">
        <f ca="1"/>
        <v/>
      </c>
      <c r="S30" s="114" t="str">
        <f ca="1"/>
        <v/>
      </c>
      <c r="T30" s="114" t="str">
        <f ca="1"/>
        <v/>
      </c>
      <c r="U30" s="115" t="str">
        <f ca="1"/>
        <v/>
      </c>
    </row>
    <row r="31" spans="5:21" x14ac:dyDescent="0.25">
      <c r="E31" s="113" t="str">
        <f ca="1"/>
        <v/>
      </c>
      <c r="F31" s="114" t="str">
        <f ca="1"/>
        <v/>
      </c>
      <c r="G31" s="114" t="str">
        <f ca="1"/>
        <v/>
      </c>
      <c r="H31" s="114" t="str">
        <f ca="1"/>
        <v/>
      </c>
      <c r="I31" s="114" t="str">
        <f ca="1"/>
        <v/>
      </c>
      <c r="J31" s="114" t="str">
        <f ca="1"/>
        <v/>
      </c>
      <c r="K31" s="115" t="str">
        <f ca="1"/>
        <v/>
      </c>
      <c r="O31" s="113" t="str">
        <f ca="1"/>
        <v/>
      </c>
      <c r="P31" s="114" t="str">
        <f ca="1"/>
        <v/>
      </c>
      <c r="Q31" s="114" t="str">
        <f ca="1"/>
        <v/>
      </c>
      <c r="R31" s="114" t="str">
        <f ca="1"/>
        <v/>
      </c>
      <c r="S31" s="114" t="str">
        <f ca="1"/>
        <v/>
      </c>
      <c r="T31" s="114" t="str">
        <f ca="1"/>
        <v/>
      </c>
      <c r="U31" s="115" t="str">
        <f ca="1"/>
        <v/>
      </c>
    </row>
    <row r="32" spans="5:21" x14ac:dyDescent="0.25">
      <c r="E32" s="113" t="str">
        <f ca="1"/>
        <v/>
      </c>
      <c r="F32" s="114" t="str">
        <f ca="1"/>
        <v/>
      </c>
      <c r="G32" s="114" t="str">
        <f ca="1"/>
        <v/>
      </c>
      <c r="H32" s="114" t="str">
        <f ca="1"/>
        <v/>
      </c>
      <c r="I32" s="114" t="str">
        <f ca="1"/>
        <v/>
      </c>
      <c r="J32" s="114" t="str">
        <f ca="1"/>
        <v/>
      </c>
      <c r="K32" s="115" t="str">
        <f ca="1"/>
        <v/>
      </c>
      <c r="O32" s="113" t="str">
        <f ca="1"/>
        <v/>
      </c>
      <c r="P32" s="114" t="str">
        <f ca="1"/>
        <v/>
      </c>
      <c r="Q32" s="114" t="str">
        <f ca="1"/>
        <v/>
      </c>
      <c r="R32" s="114" t="str">
        <f ca="1"/>
        <v/>
      </c>
      <c r="S32" s="114" t="str">
        <f ca="1"/>
        <v/>
      </c>
      <c r="T32" s="114" t="str">
        <f ca="1"/>
        <v/>
      </c>
      <c r="U32" s="115" t="str">
        <f ca="1"/>
        <v/>
      </c>
    </row>
    <row r="33" spans="5:21" x14ac:dyDescent="0.25">
      <c r="E33" s="113" t="str">
        <f ca="1"/>
        <v/>
      </c>
      <c r="F33" s="114" t="str">
        <f ca="1"/>
        <v/>
      </c>
      <c r="G33" s="114" t="str">
        <f ca="1"/>
        <v/>
      </c>
      <c r="H33" s="114" t="str">
        <f ca="1"/>
        <v/>
      </c>
      <c r="I33" s="114" t="str">
        <f ca="1"/>
        <v/>
      </c>
      <c r="J33" s="114" t="str">
        <f ca="1"/>
        <v/>
      </c>
      <c r="K33" s="115" t="str">
        <f ca="1"/>
        <v/>
      </c>
      <c r="O33" s="113" t="str">
        <f ca="1"/>
        <v/>
      </c>
      <c r="P33" s="114" t="str">
        <f ca="1"/>
        <v/>
      </c>
      <c r="Q33" s="114" t="str">
        <f ca="1"/>
        <v/>
      </c>
      <c r="R33" s="114" t="str">
        <f ca="1"/>
        <v/>
      </c>
      <c r="S33" s="114" t="str">
        <f ca="1"/>
        <v/>
      </c>
      <c r="T33" s="114" t="str">
        <f ca="1"/>
        <v/>
      </c>
      <c r="U33" s="115" t="str">
        <f ca="1"/>
        <v/>
      </c>
    </row>
    <row r="34" spans="5:21" x14ac:dyDescent="0.25">
      <c r="E34" s="113" t="str">
        <f ca="1"/>
        <v/>
      </c>
      <c r="F34" s="114" t="str">
        <f ca="1"/>
        <v/>
      </c>
      <c r="G34" s="114" t="str">
        <f ca="1"/>
        <v/>
      </c>
      <c r="H34" s="114" t="str">
        <f ca="1"/>
        <v/>
      </c>
      <c r="I34" s="114" t="str">
        <f ca="1"/>
        <v/>
      </c>
      <c r="J34" s="114" t="str">
        <f ca="1"/>
        <v/>
      </c>
      <c r="K34" s="115" t="str">
        <f ca="1"/>
        <v/>
      </c>
      <c r="O34" s="113" t="str">
        <f ca="1"/>
        <v/>
      </c>
      <c r="P34" s="114" t="str">
        <f ca="1"/>
        <v/>
      </c>
      <c r="Q34" s="114" t="str">
        <f ca="1"/>
        <v/>
      </c>
      <c r="R34" s="114" t="str">
        <f ca="1"/>
        <v/>
      </c>
      <c r="S34" s="114" t="str">
        <f ca="1"/>
        <v/>
      </c>
      <c r="T34" s="114" t="str">
        <f ca="1"/>
        <v/>
      </c>
      <c r="U34" s="115" t="str">
        <f ca="1"/>
        <v/>
      </c>
    </row>
    <row r="35" spans="5:21" x14ac:dyDescent="0.25">
      <c r="E35" s="113" t="str">
        <f ca="1"/>
        <v/>
      </c>
      <c r="F35" s="114" t="str">
        <f ca="1"/>
        <v/>
      </c>
      <c r="G35" s="114" t="str">
        <f ca="1"/>
        <v/>
      </c>
      <c r="H35" s="114" t="str">
        <f ca="1"/>
        <v/>
      </c>
      <c r="I35" s="114" t="str">
        <f ca="1"/>
        <v/>
      </c>
      <c r="J35" s="114" t="str">
        <f ca="1"/>
        <v/>
      </c>
      <c r="K35" s="115" t="str">
        <f ca="1"/>
        <v/>
      </c>
      <c r="O35" s="113" t="str">
        <f ca="1"/>
        <v/>
      </c>
      <c r="P35" s="114" t="str">
        <f ca="1"/>
        <v/>
      </c>
      <c r="Q35" s="114" t="str">
        <f ca="1"/>
        <v/>
      </c>
      <c r="R35" s="114" t="str">
        <f ca="1"/>
        <v/>
      </c>
      <c r="S35" s="114" t="str">
        <f ca="1"/>
        <v/>
      </c>
      <c r="T35" s="114" t="str">
        <f ca="1"/>
        <v/>
      </c>
      <c r="U35" s="115" t="str">
        <f ca="1"/>
        <v/>
      </c>
    </row>
    <row r="36" spans="5:21" x14ac:dyDescent="0.25">
      <c r="E36" s="113" t="str">
        <f ca="1"/>
        <v/>
      </c>
      <c r="F36" s="114" t="str">
        <f ca="1"/>
        <v/>
      </c>
      <c r="G36" s="114" t="str">
        <f ca="1"/>
        <v/>
      </c>
      <c r="H36" s="114" t="str">
        <f ca="1"/>
        <v/>
      </c>
      <c r="I36" s="114" t="str">
        <f ca="1"/>
        <v/>
      </c>
      <c r="J36" s="114" t="str">
        <f ca="1"/>
        <v/>
      </c>
      <c r="K36" s="115" t="str">
        <f ca="1"/>
        <v/>
      </c>
      <c r="O36" s="113" t="str">
        <f ca="1"/>
        <v/>
      </c>
      <c r="P36" s="114" t="str">
        <f ca="1"/>
        <v/>
      </c>
      <c r="Q36" s="114" t="str">
        <f ca="1"/>
        <v/>
      </c>
      <c r="R36" s="114" t="str">
        <f ca="1"/>
        <v/>
      </c>
      <c r="S36" s="114" t="str">
        <f ca="1"/>
        <v/>
      </c>
      <c r="T36" s="114" t="str">
        <f ca="1"/>
        <v/>
      </c>
      <c r="U36" s="115" t="str">
        <f ca="1"/>
        <v/>
      </c>
    </row>
    <row r="37" spans="5:21" x14ac:dyDescent="0.25">
      <c r="E37" s="113" t="str">
        <f ca="1"/>
        <v/>
      </c>
      <c r="F37" s="114" t="str">
        <f ca="1"/>
        <v/>
      </c>
      <c r="G37" s="114" t="str">
        <f ca="1"/>
        <v/>
      </c>
      <c r="H37" s="114" t="str">
        <f ca="1"/>
        <v/>
      </c>
      <c r="I37" s="114" t="str">
        <f ca="1"/>
        <v/>
      </c>
      <c r="J37" s="114" t="str">
        <f ca="1"/>
        <v/>
      </c>
      <c r="K37" s="115" t="str">
        <f ca="1"/>
        <v/>
      </c>
      <c r="O37" s="113" t="str">
        <f ca="1"/>
        <v/>
      </c>
      <c r="P37" s="114" t="str">
        <f ca="1"/>
        <v/>
      </c>
      <c r="Q37" s="114" t="str">
        <f ca="1"/>
        <v/>
      </c>
      <c r="R37" s="114" t="str">
        <f ca="1"/>
        <v/>
      </c>
      <c r="S37" s="114" t="str">
        <f ca="1"/>
        <v/>
      </c>
      <c r="T37" s="114" t="str">
        <f ca="1"/>
        <v/>
      </c>
      <c r="U37" s="115" t="str">
        <f ca="1"/>
        <v/>
      </c>
    </row>
    <row r="38" spans="5:21" x14ac:dyDescent="0.25">
      <c r="E38" s="113" t="str">
        <f ca="1"/>
        <v/>
      </c>
      <c r="F38" s="114" t="str">
        <f ca="1"/>
        <v/>
      </c>
      <c r="G38" s="114" t="str">
        <f ca="1"/>
        <v/>
      </c>
      <c r="H38" s="114" t="str">
        <f ca="1"/>
        <v/>
      </c>
      <c r="I38" s="114" t="str">
        <f ca="1"/>
        <v/>
      </c>
      <c r="J38" s="114" t="str">
        <f ca="1"/>
        <v/>
      </c>
      <c r="K38" s="115" t="str">
        <f ca="1"/>
        <v/>
      </c>
      <c r="O38" s="113" t="str">
        <f ca="1"/>
        <v/>
      </c>
      <c r="P38" s="114" t="str">
        <f ca="1"/>
        <v/>
      </c>
      <c r="Q38" s="114" t="str">
        <f ca="1"/>
        <v/>
      </c>
      <c r="R38" s="114" t="str">
        <f ca="1"/>
        <v/>
      </c>
      <c r="S38" s="114" t="str">
        <f ca="1"/>
        <v/>
      </c>
      <c r="T38" s="114" t="str">
        <f ca="1"/>
        <v/>
      </c>
      <c r="U38" s="115" t="str">
        <f ca="1"/>
        <v/>
      </c>
    </row>
    <row r="39" spans="5:21" x14ac:dyDescent="0.25">
      <c r="E39" s="113" t="str">
        <f ca="1"/>
        <v/>
      </c>
      <c r="F39" s="114" t="str">
        <f ca="1"/>
        <v/>
      </c>
      <c r="G39" s="114" t="str">
        <f ca="1"/>
        <v/>
      </c>
      <c r="H39" s="114" t="str">
        <f ca="1"/>
        <v/>
      </c>
      <c r="I39" s="114" t="str">
        <f ca="1"/>
        <v/>
      </c>
      <c r="J39" s="114" t="str">
        <f ca="1"/>
        <v/>
      </c>
      <c r="K39" s="115" t="str">
        <f ca="1"/>
        <v/>
      </c>
      <c r="O39" s="113" t="str">
        <f ca="1"/>
        <v/>
      </c>
      <c r="P39" s="114" t="str">
        <f ca="1"/>
        <v/>
      </c>
      <c r="Q39" s="114" t="str">
        <f ca="1"/>
        <v/>
      </c>
      <c r="R39" s="114" t="str">
        <f ca="1"/>
        <v/>
      </c>
      <c r="S39" s="114" t="str">
        <f ca="1"/>
        <v/>
      </c>
      <c r="T39" s="114" t="str">
        <f ca="1"/>
        <v/>
      </c>
      <c r="U39" s="115" t="str">
        <f ca="1"/>
        <v/>
      </c>
    </row>
    <row r="40" spans="5:21" x14ac:dyDescent="0.25">
      <c r="E40" s="113" t="str">
        <f ca="1"/>
        <v/>
      </c>
      <c r="F40" s="114" t="str">
        <f ca="1"/>
        <v/>
      </c>
      <c r="G40" s="114" t="str">
        <f ca="1"/>
        <v/>
      </c>
      <c r="H40" s="114" t="str">
        <f ca="1"/>
        <v/>
      </c>
      <c r="I40" s="114" t="str">
        <f ca="1"/>
        <v/>
      </c>
      <c r="J40" s="114" t="str">
        <f ca="1"/>
        <v/>
      </c>
      <c r="K40" s="115" t="str">
        <f ca="1"/>
        <v/>
      </c>
      <c r="O40" s="113" t="str">
        <f ca="1"/>
        <v/>
      </c>
      <c r="P40" s="114" t="str">
        <f ca="1"/>
        <v/>
      </c>
      <c r="Q40" s="114" t="str">
        <f ca="1"/>
        <v/>
      </c>
      <c r="R40" s="114" t="str">
        <f ca="1"/>
        <v/>
      </c>
      <c r="S40" s="114" t="str">
        <f ca="1"/>
        <v/>
      </c>
      <c r="T40" s="114" t="str">
        <f ca="1"/>
        <v/>
      </c>
      <c r="U40" s="115" t="str">
        <f ca="1"/>
        <v/>
      </c>
    </row>
    <row r="41" spans="5:21" x14ac:dyDescent="0.25">
      <c r="E41" s="113" t="str">
        <f ca="1"/>
        <v/>
      </c>
      <c r="F41" s="114" t="str">
        <f ca="1"/>
        <v/>
      </c>
      <c r="G41" s="114" t="str">
        <f ca="1"/>
        <v/>
      </c>
      <c r="H41" s="114" t="str">
        <f ca="1"/>
        <v/>
      </c>
      <c r="I41" s="114" t="str">
        <f ca="1"/>
        <v/>
      </c>
      <c r="J41" s="114" t="str">
        <f ca="1"/>
        <v/>
      </c>
      <c r="K41" s="115" t="str">
        <f ca="1"/>
        <v/>
      </c>
      <c r="O41" s="113" t="str">
        <f ca="1"/>
        <v/>
      </c>
      <c r="P41" s="114" t="str">
        <f ca="1"/>
        <v/>
      </c>
      <c r="Q41" s="114" t="str">
        <f ca="1"/>
        <v/>
      </c>
      <c r="R41" s="114" t="str">
        <f ca="1"/>
        <v/>
      </c>
      <c r="S41" s="114" t="str">
        <f ca="1"/>
        <v/>
      </c>
      <c r="T41" s="114" t="str">
        <f ca="1"/>
        <v/>
      </c>
      <c r="U41" s="115" t="str">
        <f ca="1"/>
        <v/>
      </c>
    </row>
    <row r="42" spans="5:21" x14ac:dyDescent="0.25">
      <c r="E42" s="113" t="str">
        <f ca="1"/>
        <v/>
      </c>
      <c r="F42" s="114" t="str">
        <f ca="1"/>
        <v/>
      </c>
      <c r="G42" s="114" t="str">
        <f ca="1"/>
        <v/>
      </c>
      <c r="H42" s="114" t="str">
        <f ca="1"/>
        <v/>
      </c>
      <c r="I42" s="114" t="str">
        <f ca="1"/>
        <v/>
      </c>
      <c r="J42" s="114" t="str">
        <f ca="1"/>
        <v/>
      </c>
      <c r="K42" s="115" t="str">
        <f ca="1"/>
        <v/>
      </c>
      <c r="O42" s="113" t="str">
        <f ca="1"/>
        <v/>
      </c>
      <c r="P42" s="114" t="str">
        <f ca="1"/>
        <v/>
      </c>
      <c r="Q42" s="114" t="str">
        <f ca="1"/>
        <v/>
      </c>
      <c r="R42" s="114" t="str">
        <f ca="1"/>
        <v/>
      </c>
      <c r="S42" s="114" t="str">
        <f ca="1"/>
        <v/>
      </c>
      <c r="T42" s="114" t="str">
        <f ca="1"/>
        <v/>
      </c>
      <c r="U42" s="115" t="str">
        <f ca="1"/>
        <v/>
      </c>
    </row>
    <row r="43" spans="5:21" x14ac:dyDescent="0.25">
      <c r="E43" s="113" t="str">
        <f ca="1"/>
        <v/>
      </c>
      <c r="F43" s="114" t="str">
        <f ca="1"/>
        <v/>
      </c>
      <c r="G43" s="114" t="str">
        <f ca="1"/>
        <v/>
      </c>
      <c r="H43" s="114" t="str">
        <f ca="1"/>
        <v/>
      </c>
      <c r="I43" s="114" t="str">
        <f ca="1"/>
        <v/>
      </c>
      <c r="J43" s="114" t="str">
        <f ca="1"/>
        <v/>
      </c>
      <c r="K43" s="115" t="str">
        <f ca="1"/>
        <v/>
      </c>
      <c r="O43" s="113" t="str">
        <f ca="1"/>
        <v/>
      </c>
      <c r="P43" s="114" t="str">
        <f ca="1"/>
        <v/>
      </c>
      <c r="Q43" s="114" t="str">
        <f ca="1"/>
        <v/>
      </c>
      <c r="R43" s="114" t="str">
        <f ca="1"/>
        <v/>
      </c>
      <c r="S43" s="114" t="str">
        <f ca="1"/>
        <v/>
      </c>
      <c r="T43" s="114" t="str">
        <f ca="1"/>
        <v/>
      </c>
      <c r="U43" s="115" t="str">
        <f ca="1"/>
        <v/>
      </c>
    </row>
    <row r="44" spans="5:21" x14ac:dyDescent="0.25">
      <c r="E44" s="113" t="str">
        <f ca="1"/>
        <v/>
      </c>
      <c r="F44" s="114" t="str">
        <f ca="1"/>
        <v/>
      </c>
      <c r="G44" s="114" t="str">
        <f ca="1"/>
        <v/>
      </c>
      <c r="H44" s="114" t="str">
        <f ca="1"/>
        <v/>
      </c>
      <c r="I44" s="114" t="str">
        <f ca="1"/>
        <v/>
      </c>
      <c r="J44" s="114" t="str">
        <f ca="1"/>
        <v/>
      </c>
      <c r="K44" s="115" t="str">
        <f ca="1"/>
        <v/>
      </c>
      <c r="O44" s="113" t="str">
        <f ca="1"/>
        <v/>
      </c>
      <c r="P44" s="114" t="str">
        <f ca="1"/>
        <v/>
      </c>
      <c r="Q44" s="114" t="str">
        <f ca="1"/>
        <v/>
      </c>
      <c r="R44" s="114" t="str">
        <f ca="1"/>
        <v/>
      </c>
      <c r="S44" s="114" t="str">
        <f ca="1"/>
        <v/>
      </c>
      <c r="T44" s="114" t="str">
        <f ca="1"/>
        <v/>
      </c>
      <c r="U44" s="115" t="str">
        <f ca="1"/>
        <v/>
      </c>
    </row>
    <row r="45" spans="5:21" x14ac:dyDescent="0.25">
      <c r="E45" s="113" t="str">
        <f ca="1"/>
        <v/>
      </c>
      <c r="F45" s="114" t="str">
        <f ca="1"/>
        <v/>
      </c>
      <c r="G45" s="114" t="str">
        <f ca="1"/>
        <v/>
      </c>
      <c r="H45" s="114" t="str">
        <f ca="1"/>
        <v/>
      </c>
      <c r="I45" s="114" t="str">
        <f ca="1"/>
        <v/>
      </c>
      <c r="J45" s="114" t="str">
        <f ca="1"/>
        <v/>
      </c>
      <c r="K45" s="115" t="str">
        <f ca="1"/>
        <v/>
      </c>
      <c r="O45" s="113" t="str">
        <f ca="1"/>
        <v/>
      </c>
      <c r="P45" s="114" t="str">
        <f ca="1"/>
        <v/>
      </c>
      <c r="Q45" s="114" t="str">
        <f ca="1"/>
        <v/>
      </c>
      <c r="R45" s="114" t="str">
        <f ca="1"/>
        <v/>
      </c>
      <c r="S45" s="114" t="str">
        <f ca="1"/>
        <v/>
      </c>
      <c r="T45" s="114" t="str">
        <f ca="1"/>
        <v/>
      </c>
      <c r="U45" s="115" t="str">
        <f ca="1"/>
        <v/>
      </c>
    </row>
    <row r="46" spans="5:21" x14ac:dyDescent="0.25">
      <c r="E46" s="113" t="str">
        <f ca="1"/>
        <v/>
      </c>
      <c r="F46" s="114" t="str">
        <f ca="1"/>
        <v/>
      </c>
      <c r="G46" s="114" t="str">
        <f ca="1"/>
        <v/>
      </c>
      <c r="H46" s="114" t="str">
        <f ca="1"/>
        <v/>
      </c>
      <c r="I46" s="114" t="str">
        <f ca="1"/>
        <v/>
      </c>
      <c r="J46" s="114" t="str">
        <f ca="1"/>
        <v/>
      </c>
      <c r="K46" s="115" t="str">
        <f ca="1"/>
        <v/>
      </c>
      <c r="O46" s="113" t="str">
        <f ca="1"/>
        <v/>
      </c>
      <c r="P46" s="114" t="str">
        <f ca="1"/>
        <v/>
      </c>
      <c r="Q46" s="114" t="str">
        <f ca="1"/>
        <v/>
      </c>
      <c r="R46" s="114" t="str">
        <f ca="1"/>
        <v/>
      </c>
      <c r="S46" s="114" t="str">
        <f ca="1"/>
        <v/>
      </c>
      <c r="T46" s="114" t="str">
        <f ca="1"/>
        <v/>
      </c>
      <c r="U46" s="115" t="str">
        <f ca="1"/>
        <v/>
      </c>
    </row>
    <row r="47" spans="5:21" x14ac:dyDescent="0.25">
      <c r="E47" s="113" t="str">
        <f ca="1"/>
        <v/>
      </c>
      <c r="F47" s="114" t="str">
        <f ca="1"/>
        <v/>
      </c>
      <c r="G47" s="114" t="str">
        <f ca="1"/>
        <v/>
      </c>
      <c r="H47" s="114" t="str">
        <f ca="1"/>
        <v/>
      </c>
      <c r="I47" s="114" t="str">
        <f ca="1"/>
        <v/>
      </c>
      <c r="J47" s="114" t="str">
        <f ca="1"/>
        <v/>
      </c>
      <c r="K47" s="115" t="str">
        <f ca="1"/>
        <v/>
      </c>
      <c r="O47" s="113" t="str">
        <f ca="1"/>
        <v/>
      </c>
      <c r="P47" s="114" t="str">
        <f ca="1"/>
        <v/>
      </c>
      <c r="Q47" s="114" t="str">
        <f ca="1"/>
        <v/>
      </c>
      <c r="R47" s="114" t="str">
        <f ca="1"/>
        <v/>
      </c>
      <c r="S47" s="114" t="str">
        <f ca="1"/>
        <v/>
      </c>
      <c r="T47" s="114" t="str">
        <f ca="1"/>
        <v/>
      </c>
      <c r="U47" s="115" t="str">
        <f ca="1"/>
        <v/>
      </c>
    </row>
    <row r="48" spans="5:21" x14ac:dyDescent="0.25">
      <c r="E48" s="113" t="str">
        <f ca="1"/>
        <v/>
      </c>
      <c r="F48" s="114" t="str">
        <f ca="1"/>
        <v/>
      </c>
      <c r="G48" s="114" t="str">
        <f ca="1"/>
        <v/>
      </c>
      <c r="H48" s="114" t="str">
        <f ca="1"/>
        <v/>
      </c>
      <c r="I48" s="114" t="str">
        <f ca="1"/>
        <v/>
      </c>
      <c r="J48" s="114" t="str">
        <f ca="1"/>
        <v/>
      </c>
      <c r="K48" s="115" t="str">
        <f ca="1"/>
        <v/>
      </c>
      <c r="O48" s="113" t="str">
        <f ca="1"/>
        <v/>
      </c>
      <c r="P48" s="114" t="str">
        <f ca="1"/>
        <v/>
      </c>
      <c r="Q48" s="114" t="str">
        <f ca="1"/>
        <v/>
      </c>
      <c r="R48" s="114" t="str">
        <f ca="1"/>
        <v/>
      </c>
      <c r="S48" s="114" t="str">
        <f ca="1"/>
        <v/>
      </c>
      <c r="T48" s="114" t="str">
        <f ca="1"/>
        <v/>
      </c>
      <c r="U48" s="115" t="str">
        <f ca="1"/>
        <v/>
      </c>
    </row>
    <row r="49" spans="5:21" x14ac:dyDescent="0.25">
      <c r="E49" s="113" t="str">
        <f ca="1"/>
        <v/>
      </c>
      <c r="F49" s="114" t="str">
        <f ca="1"/>
        <v/>
      </c>
      <c r="G49" s="114" t="str">
        <f ca="1"/>
        <v/>
      </c>
      <c r="H49" s="114" t="str">
        <f ca="1"/>
        <v/>
      </c>
      <c r="I49" s="114" t="str">
        <f ca="1"/>
        <v/>
      </c>
      <c r="J49" s="114" t="str">
        <f ca="1"/>
        <v/>
      </c>
      <c r="K49" s="115" t="str">
        <f ca="1"/>
        <v/>
      </c>
      <c r="O49" s="113" t="str">
        <f ca="1"/>
        <v/>
      </c>
      <c r="P49" s="114" t="str">
        <f ca="1"/>
        <v/>
      </c>
      <c r="Q49" s="114" t="str">
        <f ca="1"/>
        <v/>
      </c>
      <c r="R49" s="114" t="str">
        <f ca="1"/>
        <v/>
      </c>
      <c r="S49" s="114" t="str">
        <f ca="1"/>
        <v/>
      </c>
      <c r="T49" s="114" t="str">
        <f ca="1"/>
        <v/>
      </c>
      <c r="U49" s="115" t="str">
        <f ca="1"/>
        <v/>
      </c>
    </row>
    <row r="50" spans="5:21" x14ac:dyDescent="0.25">
      <c r="E50" s="113" t="str">
        <f ca="1"/>
        <v/>
      </c>
      <c r="F50" s="114" t="str">
        <f ca="1"/>
        <v/>
      </c>
      <c r="G50" s="114" t="str">
        <f ca="1"/>
        <v/>
      </c>
      <c r="H50" s="114" t="str">
        <f ca="1"/>
        <v/>
      </c>
      <c r="I50" s="114" t="str">
        <f ca="1"/>
        <v/>
      </c>
      <c r="J50" s="114" t="str">
        <f ca="1"/>
        <v/>
      </c>
      <c r="K50" s="115" t="str">
        <f ca="1"/>
        <v/>
      </c>
      <c r="O50" s="113" t="str">
        <f ca="1"/>
        <v/>
      </c>
      <c r="P50" s="114" t="str">
        <f ca="1"/>
        <v/>
      </c>
      <c r="Q50" s="114" t="str">
        <f ca="1"/>
        <v/>
      </c>
      <c r="R50" s="114" t="str">
        <f ca="1"/>
        <v/>
      </c>
      <c r="S50" s="114" t="str">
        <f ca="1"/>
        <v/>
      </c>
      <c r="T50" s="114" t="str">
        <f ca="1"/>
        <v/>
      </c>
      <c r="U50" s="115" t="str">
        <f ca="1"/>
        <v/>
      </c>
    </row>
    <row r="51" spans="5:21" x14ac:dyDescent="0.25">
      <c r="E51" s="113" t="str">
        <f ca="1"/>
        <v/>
      </c>
      <c r="F51" s="114" t="str">
        <f ca="1"/>
        <v/>
      </c>
      <c r="G51" s="114" t="str">
        <f ca="1"/>
        <v/>
      </c>
      <c r="H51" s="114" t="str">
        <f ca="1"/>
        <v/>
      </c>
      <c r="I51" s="114" t="str">
        <f ca="1"/>
        <v/>
      </c>
      <c r="J51" s="114" t="str">
        <f ca="1"/>
        <v/>
      </c>
      <c r="K51" s="115" t="str">
        <f ca="1"/>
        <v/>
      </c>
      <c r="O51" s="113" t="str">
        <f ca="1"/>
        <v/>
      </c>
      <c r="P51" s="114" t="str">
        <f ca="1"/>
        <v/>
      </c>
      <c r="Q51" s="114" t="str">
        <f ca="1"/>
        <v/>
      </c>
      <c r="R51" s="114" t="str">
        <f ca="1"/>
        <v/>
      </c>
      <c r="S51" s="114" t="str">
        <f ca="1"/>
        <v/>
      </c>
      <c r="T51" s="114" t="str">
        <f ca="1"/>
        <v/>
      </c>
      <c r="U51" s="115" t="str">
        <f ca="1"/>
        <v/>
      </c>
    </row>
    <row r="52" spans="5:21" x14ac:dyDescent="0.25">
      <c r="E52" s="113" t="str">
        <f ca="1"/>
        <v/>
      </c>
      <c r="F52" s="114" t="str">
        <f ca="1"/>
        <v/>
      </c>
      <c r="G52" s="114" t="str">
        <f ca="1"/>
        <v/>
      </c>
      <c r="H52" s="114" t="str">
        <f ca="1"/>
        <v/>
      </c>
      <c r="I52" s="114" t="str">
        <f ca="1"/>
        <v/>
      </c>
      <c r="J52" s="114" t="str">
        <f ca="1"/>
        <v/>
      </c>
      <c r="K52" s="115" t="str">
        <f ca="1"/>
        <v/>
      </c>
      <c r="O52" s="113" t="str">
        <f ca="1"/>
        <v/>
      </c>
      <c r="P52" s="114" t="str">
        <f ca="1"/>
        <v/>
      </c>
      <c r="Q52" s="114" t="str">
        <f ca="1"/>
        <v/>
      </c>
      <c r="R52" s="114" t="str">
        <f ca="1"/>
        <v/>
      </c>
      <c r="S52" s="114" t="str">
        <f ca="1"/>
        <v/>
      </c>
      <c r="T52" s="114" t="str">
        <f ca="1"/>
        <v/>
      </c>
      <c r="U52" s="115" t="str">
        <f ca="1"/>
        <v/>
      </c>
    </row>
    <row r="53" spans="5:21" x14ac:dyDescent="0.25">
      <c r="E53" s="113" t="str">
        <f ca="1"/>
        <v/>
      </c>
      <c r="F53" s="114" t="str">
        <f ca="1"/>
        <v/>
      </c>
      <c r="G53" s="114" t="str">
        <f ca="1"/>
        <v/>
      </c>
      <c r="H53" s="114" t="str">
        <f ca="1"/>
        <v/>
      </c>
      <c r="I53" s="114" t="str">
        <f ca="1"/>
        <v/>
      </c>
      <c r="J53" s="114" t="str">
        <f ca="1"/>
        <v/>
      </c>
      <c r="K53" s="115" t="str">
        <f ca="1"/>
        <v/>
      </c>
      <c r="O53" s="113" t="str">
        <f ca="1"/>
        <v/>
      </c>
      <c r="P53" s="114" t="str">
        <f ca="1"/>
        <v/>
      </c>
      <c r="Q53" s="114" t="str">
        <f ca="1"/>
        <v/>
      </c>
      <c r="R53" s="114" t="str">
        <f ca="1"/>
        <v/>
      </c>
      <c r="S53" s="114" t="str">
        <f ca="1"/>
        <v/>
      </c>
      <c r="T53" s="114" t="str">
        <f ca="1"/>
        <v/>
      </c>
      <c r="U53" s="115" t="str">
        <f ca="1"/>
        <v/>
      </c>
    </row>
    <row r="54" spans="5:21" x14ac:dyDescent="0.25">
      <c r="E54" s="113" t="str">
        <f ca="1"/>
        <v/>
      </c>
      <c r="F54" s="114" t="str">
        <f ca="1"/>
        <v/>
      </c>
      <c r="G54" s="114" t="str">
        <f ca="1"/>
        <v/>
      </c>
      <c r="H54" s="114" t="str">
        <f ca="1"/>
        <v/>
      </c>
      <c r="I54" s="114" t="str">
        <f ca="1"/>
        <v/>
      </c>
      <c r="J54" s="114" t="str">
        <f ca="1"/>
        <v/>
      </c>
      <c r="K54" s="115" t="str">
        <f ca="1"/>
        <v/>
      </c>
      <c r="O54" s="113" t="str">
        <f ca="1"/>
        <v/>
      </c>
      <c r="P54" s="114" t="str">
        <f ca="1"/>
        <v/>
      </c>
      <c r="Q54" s="114" t="str">
        <f ca="1"/>
        <v/>
      </c>
      <c r="R54" s="114" t="str">
        <f ca="1"/>
        <v/>
      </c>
      <c r="S54" s="114" t="str">
        <f ca="1"/>
        <v/>
      </c>
      <c r="T54" s="114" t="str">
        <f ca="1"/>
        <v/>
      </c>
      <c r="U54" s="115" t="str">
        <f ca="1"/>
        <v/>
      </c>
    </row>
    <row r="55" spans="5:21" x14ac:dyDescent="0.25">
      <c r="E55" s="119" t="str">
        <f ca="1"/>
        <v/>
      </c>
      <c r="F55" s="25" t="str">
        <f ca="1"/>
        <v/>
      </c>
      <c r="G55" s="25" t="str">
        <f ca="1"/>
        <v/>
      </c>
      <c r="H55" s="25" t="str">
        <f ca="1"/>
        <v/>
      </c>
      <c r="I55" s="25" t="str">
        <f ca="1"/>
        <v/>
      </c>
      <c r="J55" s="25" t="str">
        <f ca="1"/>
        <v/>
      </c>
      <c r="K55" s="120" t="str">
        <f ca="1"/>
        <v/>
      </c>
      <c r="O55" s="119" t="str">
        <f ca="1"/>
        <v/>
      </c>
      <c r="P55" s="25" t="str">
        <f ca="1"/>
        <v/>
      </c>
      <c r="Q55" s="25" t="str">
        <f ca="1"/>
        <v/>
      </c>
      <c r="R55" s="25" t="str">
        <f ca="1"/>
        <v/>
      </c>
      <c r="S55" s="25" t="str">
        <f ca="1"/>
        <v/>
      </c>
      <c r="T55" s="25" t="str">
        <f ca="1"/>
        <v/>
      </c>
      <c r="U55" s="120" t="str">
        <f ca="1"/>
        <v/>
      </c>
    </row>
    <row r="56" spans="5:21" x14ac:dyDescent="0.25">
      <c r="E56" s="121" t="str">
        <f ca="1"/>
        <v/>
      </c>
      <c r="F56" s="122" t="str">
        <f ca="1"/>
        <v/>
      </c>
      <c r="G56" s="122" t="str">
        <f ca="1"/>
        <v/>
      </c>
      <c r="H56" s="122" t="str">
        <f ca="1"/>
        <v/>
      </c>
      <c r="I56" s="122" t="str">
        <f ca="1"/>
        <v/>
      </c>
      <c r="J56" s="122" t="str">
        <f ca="1"/>
        <v/>
      </c>
      <c r="K56" s="123" t="str">
        <f ca="1"/>
        <v/>
      </c>
      <c r="O56" s="121" t="str">
        <f ca="1"/>
        <v/>
      </c>
      <c r="P56" s="122" t="str">
        <f ca="1"/>
        <v/>
      </c>
      <c r="Q56" s="122" t="str">
        <f ca="1"/>
        <v/>
      </c>
      <c r="R56" s="122" t="str">
        <f ca="1"/>
        <v/>
      </c>
      <c r="S56" s="122" t="str">
        <f ca="1"/>
        <v/>
      </c>
      <c r="T56" s="122" t="str">
        <f ca="1"/>
        <v/>
      </c>
      <c r="U56" s="123" t="str">
        <f ca="1"/>
        <v/>
      </c>
    </row>
  </sheetData>
  <dataValidations count="1">
    <dataValidation type="list" allowBlank="1" showInputMessage="1" showErrorMessage="1" sqref="B4" xr:uid="{C7D9EE1F-6699-48E4-BF92-8DCDDD140E32}">
      <formula1>"On,Off"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5CA45-2D39-4C87-9882-B99137C338E7}">
  <sheetPr codeName="Sheet11"/>
  <dimension ref="A1:Z108"/>
  <sheetViews>
    <sheetView tabSelected="1" workbookViewId="0">
      <selection activeCell="E25" sqref="E25"/>
    </sheetView>
  </sheetViews>
  <sheetFormatPr defaultRowHeight="15" x14ac:dyDescent="0.25"/>
  <cols>
    <col min="1" max="1" width="16.28515625" style="3" bestFit="1" customWidth="1"/>
    <col min="2" max="2" width="18.7109375" bestFit="1" customWidth="1"/>
    <col min="3" max="3" width="24" bestFit="1" customWidth="1"/>
    <col min="5" max="5" width="13.85546875" bestFit="1" customWidth="1"/>
    <col min="6" max="6" width="7.7109375" bestFit="1" customWidth="1"/>
    <col min="7" max="7" width="26.140625" bestFit="1" customWidth="1"/>
    <col min="8" max="8" width="17.42578125" customWidth="1"/>
    <col min="9" max="9" width="15.140625" customWidth="1"/>
    <col min="10" max="10" width="14.28515625" bestFit="1" customWidth="1"/>
    <col min="11" max="11" width="13.85546875" bestFit="1" customWidth="1"/>
    <col min="12" max="12" width="13.28515625" bestFit="1" customWidth="1"/>
    <col min="13" max="13" width="14.28515625" bestFit="1" customWidth="1"/>
    <col min="14" max="14" width="16.85546875" bestFit="1" customWidth="1"/>
    <col min="15" max="15" width="13.85546875" customWidth="1"/>
    <col min="16" max="16" width="15.28515625" bestFit="1" customWidth="1"/>
    <col min="17" max="17" width="13.28515625" bestFit="1" customWidth="1"/>
    <col min="18" max="18" width="11.5703125" bestFit="1" customWidth="1"/>
    <col min="20" max="20" width="11.5703125" bestFit="1" customWidth="1"/>
    <col min="21" max="21" width="10.140625" bestFit="1" customWidth="1"/>
    <col min="22" max="22" width="15.28515625" bestFit="1" customWidth="1"/>
    <col min="23" max="23" width="13.28515625" bestFit="1" customWidth="1"/>
    <col min="24" max="24" width="15.28515625" bestFit="1" customWidth="1"/>
    <col min="25" max="25" width="14.28515625" bestFit="1" customWidth="1"/>
    <col min="26" max="26" width="11.5703125" bestFit="1" customWidth="1"/>
    <col min="27" max="27" width="10" bestFit="1" customWidth="1"/>
  </cols>
  <sheetData>
    <row r="1" spans="1:24" x14ac:dyDescent="0.25">
      <c r="A1" s="3" t="s">
        <v>188</v>
      </c>
      <c r="B1" t="str">
        <f ca="1">AModel</f>
        <v>A-Model¬1</v>
      </c>
      <c r="F1" s="3" t="s">
        <v>202</v>
      </c>
      <c r="H1" s="8" t="str">
        <f ca="1">C11</f>
        <v>ZAR</v>
      </c>
      <c r="M1" s="3" t="s">
        <v>277</v>
      </c>
      <c r="O1" s="8" t="str">
        <f ca="1">H1</f>
        <v>ZAR</v>
      </c>
      <c r="P1" s="8" t="s">
        <v>1</v>
      </c>
      <c r="Q1">
        <f ca="1">'FX-IR'!D12</f>
        <v>14.660600000000001</v>
      </c>
    </row>
    <row r="2" spans="1:24" x14ac:dyDescent="0.25">
      <c r="A2" s="3" t="s">
        <v>183</v>
      </c>
      <c r="B2" t="str">
        <f ca="1">Portfolio</f>
        <v>PF_ClientZ¬2</v>
      </c>
      <c r="G2" s="12" t="s">
        <v>161</v>
      </c>
      <c r="H2" s="21">
        <f ca="1">_xll.QCube_SumAllRows(I2)</f>
        <v>451675.88128738664</v>
      </c>
      <c r="I2" s="21" t="str">
        <f ca="1">_xll.QRisk_PortfolioPV("C&amp;C_"&amp;G2,B2,B1,C11)</f>
        <v>C&amp;C_PV¬4</v>
      </c>
      <c r="N2" s="12" t="s">
        <v>161</v>
      </c>
      <c r="O2" s="23">
        <f ca="1">H2</f>
        <v>451675.88128738664</v>
      </c>
      <c r="P2" s="23">
        <f ca="1">O2*$Q$1</f>
        <v>6621839.4252018612</v>
      </c>
    </row>
    <row r="3" spans="1:24" x14ac:dyDescent="0.25">
      <c r="G3" s="12" t="s">
        <v>270</v>
      </c>
      <c r="H3" s="21">
        <f ca="1">IF(B4="On",_xll.QCap_ComputeEAD(B2,B1,C11,AssetToType,TypeToClass),0)</f>
        <v>176620782.48353612</v>
      </c>
      <c r="I3" s="21">
        <f ca="1">IF(B4="On",_xll.QCap_ComputeEAD(B2,B1,"USD",AssetToType,TypeToClass),0)</f>
        <v>12052652.317267952</v>
      </c>
      <c r="N3" s="12" t="s">
        <v>276</v>
      </c>
      <c r="O3" s="23">
        <f ca="1">-H14</f>
        <v>19960.322616522757</v>
      </c>
      <c r="P3" s="23">
        <f ca="1">O3*$Q$1</f>
        <v>292630.30575179355</v>
      </c>
    </row>
    <row r="4" spans="1:24" x14ac:dyDescent="0.25">
      <c r="A4" s="3" t="s">
        <v>209</v>
      </c>
      <c r="B4" s="34" t="s">
        <v>210</v>
      </c>
      <c r="G4" s="12"/>
      <c r="H4" s="148"/>
      <c r="N4" s="12" t="s">
        <v>278</v>
      </c>
      <c r="P4" s="23"/>
    </row>
    <row r="5" spans="1:24" x14ac:dyDescent="0.25">
      <c r="G5" s="12" t="s">
        <v>272</v>
      </c>
      <c r="H5" s="21">
        <f ca="1">IF(B4="On",_xll.QCap_PortfolioPvCcrCapital_B2_SM(C16,C18,B2,B1,C28,C11,H13,AssetToCCF),0)</f>
        <v>995298.78454114974</v>
      </c>
      <c r="N5" s="12" t="s">
        <v>279</v>
      </c>
      <c r="O5" s="23">
        <f ca="1">L9</f>
        <v>308440.63291147666</v>
      </c>
      <c r="P5" s="23">
        <f ca="1">O5*$Q$1</f>
        <v>4521924.7428619945</v>
      </c>
    </row>
    <row r="6" spans="1:24" x14ac:dyDescent="0.25">
      <c r="A6" s="3" t="s">
        <v>211</v>
      </c>
      <c r="B6" s="96" t="s">
        <v>269</v>
      </c>
      <c r="C6" s="8" t="str" cm="1">
        <f t="array" aca="1" ref="C6" ca="1">_xll.QModels_CreateMcSettings(B6,C7,C8,C9,C11,C10,FALSE,C12,,FALSE,C14,C13,FALSE,FALSE,C15)</f>
        <v>Sim Settings¬4</v>
      </c>
      <c r="G6" s="12" t="s">
        <v>273</v>
      </c>
      <c r="H6" s="21">
        <f ca="1">IF($B$4="On",_xll.QCap_PortfolioPvCvaCapital_B2_SM(C18,B2,B1,C11,H13,C32,AssetToCCF),0)</f>
        <v>8371862.8364108885</v>
      </c>
      <c r="N6" s="12" t="s">
        <v>280</v>
      </c>
      <c r="O6" s="23">
        <f ca="1">L10</f>
        <v>319457.78597887233</v>
      </c>
      <c r="P6" s="23">
        <f ca="1">O6*$Q$1</f>
        <v>4683442.8171218559</v>
      </c>
    </row>
    <row r="7" spans="1:24" x14ac:dyDescent="0.25">
      <c r="B7" s="96" t="s">
        <v>212</v>
      </c>
      <c r="C7" s="34">
        <f ca="1">2^14</f>
        <v>16384</v>
      </c>
      <c r="L7" s="12"/>
      <c r="N7" s="12"/>
      <c r="P7" s="23"/>
    </row>
    <row r="8" spans="1:24" x14ac:dyDescent="0.25">
      <c r="B8" s="96" t="s">
        <v>213</v>
      </c>
      <c r="C8" s="34">
        <v>1</v>
      </c>
      <c r="G8" s="12" t="s">
        <v>274</v>
      </c>
      <c r="H8" s="182" t="str">
        <f t="array" aca="1" ref="H8:J10" ca="1">IF(B4="On",_xll.QCap_PortfolioPvCapitalSplit(C18,C45,B2,B1,C11,H13,C28,C33,C31,AssetToType,TypeToClass,AssetToCCF,'C&amp;C'!C21,C22,C23,C24,C25),0)</f>
        <v>Type</v>
      </c>
      <c r="I8" s="73" t="str">
        <f ca="1"/>
        <v>Tier1</v>
      </c>
      <c r="J8" s="159" t="str">
        <f ca="1"/>
        <v>Tier2</v>
      </c>
      <c r="K8" s="23"/>
      <c r="L8" s="146" t="s">
        <v>293</v>
      </c>
      <c r="N8" s="12" t="s">
        <v>281</v>
      </c>
      <c r="O8" s="23">
        <f ca="1">SUM(O3:O6)</f>
        <v>647858.74150687177</v>
      </c>
      <c r="P8" s="23">
        <f ca="1">O8*$Q$1</f>
        <v>9497997.8657356445</v>
      </c>
    </row>
    <row r="9" spans="1:24" x14ac:dyDescent="0.25">
      <c r="B9" s="96" t="s">
        <v>214</v>
      </c>
      <c r="C9" s="34" t="s">
        <v>218</v>
      </c>
      <c r="H9" s="182" t="str">
        <f ca="1"/>
        <v>CCR</v>
      </c>
      <c r="I9" s="21">
        <f ca="1"/>
        <v>302792.22674169013</v>
      </c>
      <c r="J9" s="21">
        <f ca="1"/>
        <v>5648.4061697865309</v>
      </c>
      <c r="L9" s="23">
        <f ca="1">SUM(I9:J9)</f>
        <v>308440.63291147666</v>
      </c>
    </row>
    <row r="10" spans="1:24" x14ac:dyDescent="0.25">
      <c r="B10" s="96" t="s">
        <v>188</v>
      </c>
      <c r="C10" s="34" t="s">
        <v>219</v>
      </c>
      <c r="H10" s="182" t="str">
        <f ca="1"/>
        <v>CVA</v>
      </c>
      <c r="I10" s="21">
        <f ca="1"/>
        <v>319457.78597887233</v>
      </c>
      <c r="J10" s="21">
        <f ca="1"/>
        <v>0</v>
      </c>
      <c r="L10" s="23">
        <f ca="1">SUM(I10:J10)</f>
        <v>319457.78597887233</v>
      </c>
      <c r="N10" s="12" t="s">
        <v>302</v>
      </c>
      <c r="O10" s="11">
        <f ca="1">(O2-O3)/SUM(I9:J10)</f>
        <v>0.68755637167204764</v>
      </c>
    </row>
    <row r="11" spans="1:24" x14ac:dyDescent="0.25">
      <c r="B11" s="96" t="s">
        <v>162</v>
      </c>
      <c r="C11" s="34" t="s">
        <v>1</v>
      </c>
      <c r="N11" s="12" t="s">
        <v>304</v>
      </c>
      <c r="O11" s="11">
        <f ca="1">(O2-O3-O5-O6)/SUM(I9:J10)</f>
        <v>-0.31244362832795236</v>
      </c>
    </row>
    <row r="12" spans="1:24" x14ac:dyDescent="0.25">
      <c r="B12" s="96" t="s">
        <v>215</v>
      </c>
      <c r="C12" s="34" t="b">
        <v>1</v>
      </c>
      <c r="G12" s="12" t="s">
        <v>288</v>
      </c>
      <c r="H12" s="8" t="str">
        <f ca="1">IF($B$4="On",_xll.QModels_McPortfolioCreditPack(G12,$B$2,$B$1,$C$6,$C$20),G12)</f>
        <v>CreditPack¬4</v>
      </c>
    </row>
    <row r="13" spans="1:24" x14ac:dyDescent="0.25">
      <c r="B13" s="96" t="s">
        <v>216</v>
      </c>
      <c r="C13" s="34" t="b">
        <v>0</v>
      </c>
      <c r="G13" s="12" t="s">
        <v>275</v>
      </c>
      <c r="H13" s="8" t="str">
        <f ca="1">IF(B4="On",_xll.QCube_FilterCubeSpecific(G13,$H$12,"Metric",G13),G13)</f>
        <v>EPE¬4</v>
      </c>
      <c r="N13" s="12" t="s">
        <v>305</v>
      </c>
      <c r="O13" s="32">
        <f ca="1">O10-O11</f>
        <v>1</v>
      </c>
    </row>
    <row r="14" spans="1:24" x14ac:dyDescent="0.25">
      <c r="B14" s="96" t="s">
        <v>217</v>
      </c>
      <c r="C14" s="34" t="b">
        <v>0</v>
      </c>
      <c r="G14" s="12" t="s">
        <v>276</v>
      </c>
      <c r="H14" s="21">
        <f ca="1">_xll.QCap_ComputeCVA(C16,valDate,C18,H13,C28)</f>
        <v>-19960.322616522757</v>
      </c>
      <c r="X14" s="21">
        <v>180000000</v>
      </c>
    </row>
    <row r="15" spans="1:24" x14ac:dyDescent="0.25">
      <c r="B15" s="96" t="s">
        <v>261</v>
      </c>
      <c r="C15" s="8" t="str">
        <f ca="1">_xll.QModels_CreateCreditSettings(B15,_xll.QUtils_GoodValues(E48:E108),C17,,C45,C18,C18,C28,C20,C31)</f>
        <v>Credit Settings¬4</v>
      </c>
      <c r="G15" s="12" t="s">
        <v>301</v>
      </c>
      <c r="H15" s="8" t="str">
        <f ca="1">_xll.QCap_PortfolioExpectedEadSplit(G15,B2,B1,C11,H13,AssetToType,TypeToClass,AssetToCCF,C21)</f>
        <v>EAD¬4</v>
      </c>
    </row>
    <row r="16" spans="1:24" ht="16.5" x14ac:dyDescent="0.25">
      <c r="B16" s="96" t="s">
        <v>262</v>
      </c>
      <c r="C16" s="8" t="str">
        <f ca="1">C45</f>
        <v>CDSCurve¬4</v>
      </c>
      <c r="G16" s="12" t="s">
        <v>282</v>
      </c>
      <c r="H16" s="8" t="str">
        <f ca="1">IF($B$4="On",_xll.QCube_FilterCubeSpecific(G16,$H$12,"Metric",G16),G16)</f>
        <v>PFE¬4</v>
      </c>
      <c r="L16" s="150"/>
      <c r="O16">
        <f ca="1">O8/SUM(AsianSwap!G85:G90)</f>
        <v>2591.434966027487</v>
      </c>
      <c r="X16" s="213">
        <v>8395279.9600000009</v>
      </c>
    </row>
    <row r="17" spans="1:26" x14ac:dyDescent="0.25">
      <c r="B17" s="96" t="s">
        <v>263</v>
      </c>
      <c r="C17" s="34" t="s">
        <v>264</v>
      </c>
      <c r="O17">
        <f ca="1">O16/16.6</f>
        <v>156.11054012213776</v>
      </c>
      <c r="R17" s="23"/>
      <c r="X17">
        <v>15253</v>
      </c>
      <c r="Y17">
        <f ca="1">X17/X16</f>
        <v>1.8168542410347444E-3</v>
      </c>
    </row>
    <row r="18" spans="1:26" x14ac:dyDescent="0.25">
      <c r="B18" s="96" t="s">
        <v>265</v>
      </c>
      <c r="C18" s="8" t="str">
        <f ca="1">VLOOKUP(C11,'FX-IR'!$B$20:$C$27,2,FALSE)</f>
        <v>ZAR.DISC.[USD.LIBOR.3M]</v>
      </c>
      <c r="Y18">
        <f ca="1">Y17*(365/6)</f>
        <v>0.11052529966294695</v>
      </c>
    </row>
    <row r="19" spans="1:26" x14ac:dyDescent="0.25">
      <c r="B19" s="96" t="s">
        <v>284</v>
      </c>
    </row>
    <row r="20" spans="1:26" x14ac:dyDescent="0.25">
      <c r="B20" s="12" t="s">
        <v>268</v>
      </c>
      <c r="C20" s="31">
        <v>0.85</v>
      </c>
      <c r="F20" s="3" t="s">
        <v>282</v>
      </c>
      <c r="H20" s="12" t="s">
        <v>283</v>
      </c>
      <c r="I20" s="140">
        <f ca="1">MAX(_xll.QUtils_GoodValues(I22:I62))</f>
        <v>82458508.598455504</v>
      </c>
      <c r="L20" s="12" t="s">
        <v>283</v>
      </c>
      <c r="M20" s="140">
        <f ca="1">MAX(_xll.QUtils_GoodValues(M22:M62))</f>
        <v>182440116.231538</v>
      </c>
      <c r="R20" s="21">
        <f ca="1">SUM(_xll.QUtils_GoodValues(R22:R47))</f>
        <v>345080.75374286162</v>
      </c>
      <c r="T20" s="21">
        <f ca="1">SUM(_xll.QUtils_GoodValues(T22:T47))</f>
        <v>342373.28335376515</v>
      </c>
    </row>
    <row r="21" spans="1:26" x14ac:dyDescent="0.25">
      <c r="B21" s="96" t="s">
        <v>271</v>
      </c>
      <c r="C21" s="19">
        <v>44197</v>
      </c>
      <c r="G21" s="96" t="str">
        <f t="array" aca="1" ref="G21:I62" ca="1">_xll.QCube_DisplayCube(H16)</f>
        <v>ExposureDate</v>
      </c>
      <c r="H21" s="96" t="str">
        <f ca="1"/>
        <v>Metric</v>
      </c>
      <c r="I21" s="96" t="str">
        <f ca="1"/>
        <v>Value</v>
      </c>
      <c r="K21" s="97" t="str">
        <f t="array" aca="1" ref="K21:M62" ca="1">_xll.QCube_DisplayCube(H15)</f>
        <v>ExposureDate</v>
      </c>
      <c r="L21" s="97" t="str">
        <f ca="1"/>
        <v>Metric</v>
      </c>
      <c r="M21" s="97" t="str">
        <f ca="1"/>
        <v>Value</v>
      </c>
      <c r="N21" t="s">
        <v>357</v>
      </c>
      <c r="O21" t="s">
        <v>292</v>
      </c>
      <c r="P21" t="s">
        <v>358</v>
      </c>
      <c r="Q21" t="s">
        <v>359</v>
      </c>
      <c r="U21" s="20" t="s">
        <v>83</v>
      </c>
      <c r="V21" s="20" t="s">
        <v>376</v>
      </c>
      <c r="W21" s="20" t="s">
        <v>377</v>
      </c>
      <c r="X21" s="20" t="s">
        <v>280</v>
      </c>
    </row>
    <row r="22" spans="1:26" x14ac:dyDescent="0.25">
      <c r="B22" s="96" t="s">
        <v>290</v>
      </c>
      <c r="C22" s="31">
        <v>0.11</v>
      </c>
      <c r="G22" s="19">
        <f ca="1"/>
        <v>44238</v>
      </c>
      <c r="H22" s="8" t="str">
        <f ca="1"/>
        <v>PFE</v>
      </c>
      <c r="I22" s="139">
        <f ca="1"/>
        <v>-734393.84475829825</v>
      </c>
      <c r="K22" s="19">
        <f ca="1"/>
        <v>44238</v>
      </c>
      <c r="L22" s="8" t="str">
        <f ca="1"/>
        <v>EAD</v>
      </c>
      <c r="M22" s="139">
        <f ca="1"/>
        <v>175988436.24973378</v>
      </c>
      <c r="N22" s="11">
        <f ca="1">_xll.QCap_BaselK(D48,$C$28,1)</f>
        <v>3.3882297057278341E-2</v>
      </c>
      <c r="O22" s="21">
        <f ca="1">M22*N22*12.5</f>
        <v>74536155.945742145</v>
      </c>
      <c r="P22" s="21">
        <f ca="1">O22*$C$22</f>
        <v>8198977.1540316362</v>
      </c>
      <c r="Q22" s="23">
        <f ca="1">O22*$C$23</f>
        <v>1490723.1189148428</v>
      </c>
      <c r="R22" s="21">
        <f ca="1">(P22*$C$24+Q22*$C$25)*(G23-G22)/365</f>
        <v>20072.076274572293</v>
      </c>
      <c r="S22">
        <f ca="1">_xll.QCurves_GetDF($C$18,valDate,K23)</f>
        <v>0.99943352598935964</v>
      </c>
      <c r="T22" s="23">
        <f ca="1">S22*R22</f>
        <v>20060.705965023157</v>
      </c>
      <c r="U22" s="1">
        <f ca="1">K22</f>
        <v>44238</v>
      </c>
      <c r="V22">
        <f ca="1">(1-EXP(-0.05*W22))/(0.05*W22)</f>
        <v>0.97541150998571968</v>
      </c>
      <c r="W22" s="23">
        <f ca="1">MAX(1,_xll.QCap_PortfolioWeightedMaturity($B$2,G22))</f>
        <v>1</v>
      </c>
      <c r="X22" s="140">
        <f ca="1">W22*$C$33*M22*V22*2.33</f>
        <v>7999409.4195548333</v>
      </c>
      <c r="Y22" s="23">
        <f ca="1">(K23-K22)/365*X22*0.1462</f>
        <v>19224.88203516027</v>
      </c>
      <c r="Z22" s="23">
        <f ca="1">Y22</f>
        <v>19224.88203516027</v>
      </c>
    </row>
    <row r="23" spans="1:26" x14ac:dyDescent="0.25">
      <c r="B23" s="146" t="s">
        <v>291</v>
      </c>
      <c r="C23" s="31">
        <v>0.02</v>
      </c>
      <c r="G23" s="19">
        <f ca="1"/>
        <v>44244</v>
      </c>
      <c r="H23" s="8" t="str">
        <f ca="1"/>
        <v>PFE</v>
      </c>
      <c r="I23" s="139">
        <f ca="1"/>
        <v>22204409.246537603</v>
      </c>
      <c r="J23">
        <f ca="1">K23-K22</f>
        <v>6</v>
      </c>
      <c r="K23" s="19">
        <f ca="1"/>
        <v>44244</v>
      </c>
      <c r="L23" s="8" t="str">
        <f ca="1"/>
        <v>EAD</v>
      </c>
      <c r="M23" s="139">
        <f ca="1"/>
        <v>182440116.231538</v>
      </c>
      <c r="N23" s="11">
        <f ca="1">_xll.QCap_BaselK(D49,$C$28,1)</f>
        <v>3.3975124834195812E-2</v>
      </c>
      <c r="O23" s="21">
        <f t="shared" ref="O23:O42" ca="1" si="0">M23*N23*12.5</f>
        <v>77480321.546646222</v>
      </c>
      <c r="P23" s="21">
        <f t="shared" ref="P23:P42" ca="1" si="1">O23*$C$22</f>
        <v>8522835.3701310847</v>
      </c>
      <c r="Q23" s="23">
        <f t="shared" ref="Q23:Q42" ca="1" si="2">O23*$C$23</f>
        <v>1549606.4309329244</v>
      </c>
      <c r="R23" s="21">
        <f ca="1">(P23*$C$24+Q23*$C$25)*(G24-G23)/365</f>
        <v>24342.406556274273</v>
      </c>
      <c r="S23">
        <f ca="1">_xll.QCurves_GetDF($C$18,valDate,K24)</f>
        <v>0.99848854079529215</v>
      </c>
      <c r="T23" s="23">
        <f t="shared" ref="T23:T42" ca="1" si="3">S23*R23</f>
        <v>24305.614001820049</v>
      </c>
      <c r="U23" s="1">
        <f t="shared" ref="U23:U42" ca="1" si="4">K23</f>
        <v>44244</v>
      </c>
      <c r="V23" s="185">
        <f t="shared" ref="V23:V43" ca="1" si="5">(1-EXP(-0.05*W23))/(0.05*W23)</f>
        <v>0.97541150998571968</v>
      </c>
      <c r="W23" s="23">
        <f ca="1">MAX(1,_xll.QCap_PortfolioWeightedMaturity($B$2,G23))</f>
        <v>1</v>
      </c>
      <c r="X23" s="140">
        <f ca="1">W23*$C$33*M23*V23*2.33</f>
        <v>8292665.219300461</v>
      </c>
      <c r="Y23" s="23">
        <f t="shared" ref="Y23:Y41" ca="1" si="6">(K24-K23)/365*X23*0.1462</f>
        <v>23251.270097074226</v>
      </c>
      <c r="Z23" s="23">
        <f ca="1">Y23+Z22</f>
        <v>42476.152132234492</v>
      </c>
    </row>
    <row r="24" spans="1:26" x14ac:dyDescent="0.25">
      <c r="B24" s="146" t="s">
        <v>380</v>
      </c>
      <c r="C24" s="151">
        <v>0.1462</v>
      </c>
      <c r="G24" s="19">
        <f ca="1"/>
        <v>44251</v>
      </c>
      <c r="H24" s="8" t="str">
        <f ca="1"/>
        <v>PFE</v>
      </c>
      <c r="I24" s="139">
        <f ca="1"/>
        <v>33494524.164254647</v>
      </c>
      <c r="K24" s="19">
        <f ca="1"/>
        <v>44251</v>
      </c>
      <c r="L24" s="8" t="str">
        <f ca="1"/>
        <v>EAD</v>
      </c>
      <c r="M24" s="139">
        <f ca="1"/>
        <v>182174153.9483377</v>
      </c>
      <c r="N24" s="11">
        <f ca="1">_xll.QCap_BaselK(D50,$C$28,1)</f>
        <v>3.4086537122816424E-2</v>
      </c>
      <c r="O24" s="21">
        <f t="shared" ca="1" si="0"/>
        <v>77621075.767221093</v>
      </c>
      <c r="P24" s="21">
        <f t="shared" ca="1" si="1"/>
        <v>8538318.3343943208</v>
      </c>
      <c r="Q24" s="23">
        <f t="shared" ca="1" si="2"/>
        <v>1552421.5153444218</v>
      </c>
      <c r="R24" s="21">
        <f ca="1">(P24*$C$24+Q24*$C$25)*(G25-G24)/365</f>
        <v>24386.628061726882</v>
      </c>
      <c r="S24">
        <f ca="1">_xll.QCurves_GetDF($C$18,valDate,K25)</f>
        <v>0.9975078431712443</v>
      </c>
      <c r="T24" s="23">
        <f t="shared" ca="1" si="3"/>
        <v>24325.852760072525</v>
      </c>
      <c r="U24" s="1">
        <f t="shared" ca="1" si="4"/>
        <v>44251</v>
      </c>
      <c r="V24" s="185">
        <f t="shared" ca="1" si="5"/>
        <v>0.97541150998571968</v>
      </c>
      <c r="W24" s="23">
        <f ca="1">MAX(1,_xll.QCap_PortfolioWeightedMaturity($B$2,G24))</f>
        <v>1</v>
      </c>
      <c r="X24" s="140">
        <f ca="1">W24*$C$33*M24*V24*2.33</f>
        <v>8280576.1227733474</v>
      </c>
      <c r="Y24" s="23">
        <f t="shared" ca="1" si="6"/>
        <v>23217.374257660944</v>
      </c>
      <c r="Z24" s="23">
        <f t="shared" ref="Z24:Z87" ca="1" si="7">Y24+Z23</f>
        <v>65693.526389895444</v>
      </c>
    </row>
    <row r="25" spans="1:26" x14ac:dyDescent="0.25">
      <c r="B25" s="146" t="s">
        <v>381</v>
      </c>
      <c r="C25" s="151">
        <v>1.4999999999999999E-2</v>
      </c>
      <c r="G25" s="19">
        <f ca="1"/>
        <v>44258</v>
      </c>
      <c r="H25" s="8" t="str">
        <f ca="1"/>
        <v>PFE</v>
      </c>
      <c r="I25" s="139">
        <f ca="1"/>
        <v>41954840.525426894</v>
      </c>
      <c r="K25" s="19">
        <f ca="1"/>
        <v>44258</v>
      </c>
      <c r="L25" s="8" t="str">
        <f ca="1"/>
        <v>EAD</v>
      </c>
      <c r="M25" s="139">
        <f ca="1"/>
        <v>180133710.67381456</v>
      </c>
      <c r="N25" s="11">
        <f ca="1">_xll.QCap_BaselK(D51,$C$28,1)</f>
        <v>3.420123322199653E-2</v>
      </c>
      <c r="O25" s="21">
        <f t="shared" ca="1" si="0"/>
        <v>77009938.123734713</v>
      </c>
      <c r="P25" s="21">
        <f t="shared" ca="1" si="1"/>
        <v>8471093.1936108191</v>
      </c>
      <c r="Q25" s="23">
        <f t="shared" ca="1" si="2"/>
        <v>1540198.7624746943</v>
      </c>
      <c r="R25" s="21">
        <f ca="1">(P25*$C$24+Q25*$C$25)*(G26-G25)/365</f>
        <v>24194.623683290833</v>
      </c>
      <c r="S25">
        <f ca="1">_xll.QCurves_GetDF($C$18,valDate,K26)</f>
        <v>0.99654999164604163</v>
      </c>
      <c r="T25" s="23">
        <f t="shared" ca="1" si="3"/>
        <v>24111.152029462599</v>
      </c>
      <c r="U25" s="1">
        <f t="shared" ca="1" si="4"/>
        <v>44258</v>
      </c>
      <c r="V25" s="185">
        <f t="shared" ca="1" si="5"/>
        <v>0.97541150998571968</v>
      </c>
      <c r="W25" s="23">
        <f ca="1">MAX(1,_xll.QCap_PortfolioWeightedMaturity($B$2,G25))</f>
        <v>1</v>
      </c>
      <c r="X25" s="140">
        <f ca="1">W25*$C$33*M25*V25*2.33</f>
        <v>8187829.4543097122</v>
      </c>
      <c r="Y25" s="23">
        <f t="shared" ca="1" si="6"/>
        <v>22957.327845316602</v>
      </c>
      <c r="Z25" s="23">
        <f t="shared" ca="1" si="7"/>
        <v>88650.854235212042</v>
      </c>
    </row>
    <row r="26" spans="1:26" x14ac:dyDescent="0.25">
      <c r="G26" s="19">
        <f ca="1"/>
        <v>44265</v>
      </c>
      <c r="H26" s="8" t="str">
        <f ca="1"/>
        <v>PFE</v>
      </c>
      <c r="I26" s="139">
        <f ca="1"/>
        <v>48913102.347428463</v>
      </c>
      <c r="K26" s="19">
        <f ca="1"/>
        <v>44265</v>
      </c>
      <c r="L26" s="8" t="str">
        <f ca="1"/>
        <v>EAD</v>
      </c>
      <c r="M26" s="139">
        <f ca="1"/>
        <v>177119433.76708087</v>
      </c>
      <c r="N26" s="11">
        <f ca="1">_xll.QCap_BaselK(D52,$C$28,1)</f>
        <v>3.4319139744546437E-2</v>
      </c>
      <c r="O26" s="21">
        <f t="shared" ca="1" si="0"/>
        <v>75982332.486592308</v>
      </c>
      <c r="P26" s="21">
        <f t="shared" ca="1" si="1"/>
        <v>8358056.573525154</v>
      </c>
      <c r="Q26" s="23">
        <f t="shared" ca="1" si="2"/>
        <v>1519646.6497318463</v>
      </c>
      <c r="R26" s="21">
        <f t="shared" ref="R26:R42" ca="1" si="8">(P26*$C$24+Q26*$C$25)*(G27-G26)/365</f>
        <v>23871.775330321885</v>
      </c>
      <c r="S26">
        <f ca="1">_xll.QCurves_GetDF($C$18,valDate,K27)</f>
        <v>0.99555775031140858</v>
      </c>
      <c r="T26" s="23">
        <f t="shared" ca="1" si="3"/>
        <v>23765.730943794639</v>
      </c>
      <c r="U26" s="1">
        <f t="shared" ca="1" si="4"/>
        <v>44265</v>
      </c>
      <c r="V26" s="185">
        <f t="shared" ca="1" si="5"/>
        <v>0.97541150998571968</v>
      </c>
      <c r="W26" s="23">
        <f ca="1">MAX(1,_xll.QCap_PortfolioWeightedMaturity($B$2,G26))</f>
        <v>1</v>
      </c>
      <c r="X26" s="140">
        <f ca="1">W26*$C$33*M26*V26*2.33</f>
        <v>8050817.9801770831</v>
      </c>
      <c r="Y26" s="23">
        <f t="shared" ca="1" si="6"/>
        <v>22573.170194282815</v>
      </c>
      <c r="Z26" s="23">
        <f t="shared" ca="1" si="7"/>
        <v>111224.02442949486</v>
      </c>
    </row>
    <row r="27" spans="1:26" x14ac:dyDescent="0.25">
      <c r="A27" s="3" t="s">
        <v>253</v>
      </c>
      <c r="B27" s="12" t="s">
        <v>250</v>
      </c>
      <c r="C27" s="34" t="s">
        <v>241</v>
      </c>
      <c r="G27" s="19">
        <f ca="1"/>
        <v>44272</v>
      </c>
      <c r="H27" s="8" t="str">
        <f ca="1"/>
        <v>PFE</v>
      </c>
      <c r="I27" s="139">
        <f ca="1"/>
        <v>55216447.530274436</v>
      </c>
      <c r="K27" s="19">
        <f ca="1"/>
        <v>44272</v>
      </c>
      <c r="L27" s="8" t="str">
        <f ca="1"/>
        <v>EAD</v>
      </c>
      <c r="M27" s="139">
        <f ca="1"/>
        <v>173507509.55653509</v>
      </c>
      <c r="N27" s="11">
        <f ca="1">_xll.QCap_BaselK(D53,$C$28,1)</f>
        <v>3.4440182327510276E-2</v>
      </c>
      <c r="O27" s="21">
        <f t="shared" ca="1" si="0"/>
        <v>74695378.303991258</v>
      </c>
      <c r="P27" s="21">
        <f t="shared" ca="1" si="1"/>
        <v>8216491.6134390384</v>
      </c>
      <c r="Q27" s="23">
        <f t="shared" ca="1" si="2"/>
        <v>1493907.5660798252</v>
      </c>
      <c r="R27" s="21">
        <f t="shared" ca="1" si="8"/>
        <v>23467.446059265458</v>
      </c>
      <c r="S27">
        <f ca="1">_xll.QCurves_GetDF($C$18,valDate,K28)</f>
        <v>0.9945962255559303</v>
      </c>
      <c r="T27" s="23">
        <f t="shared" ca="1" si="3"/>
        <v>23340.633273982814</v>
      </c>
      <c r="U27" s="1">
        <f t="shared" ca="1" si="4"/>
        <v>44272</v>
      </c>
      <c r="V27" s="185">
        <f t="shared" ca="1" si="5"/>
        <v>0.97541150998571968</v>
      </c>
      <c r="W27" s="23">
        <f ca="1">MAX(1,_xll.QCap_PortfolioWeightedMaturity($B$2,G27))</f>
        <v>1</v>
      </c>
      <c r="X27" s="140">
        <f ca="1">W27*$C$33*M27*V27*2.33</f>
        <v>7886640.9400927145</v>
      </c>
      <c r="Y27" s="23">
        <f t="shared" ca="1" si="6"/>
        <v>22112.844761892833</v>
      </c>
      <c r="Z27" s="23">
        <f t="shared" ca="1" si="7"/>
        <v>133336.8691913877</v>
      </c>
    </row>
    <row r="28" spans="1:26" x14ac:dyDescent="0.25">
      <c r="B28" s="12" t="s">
        <v>267</v>
      </c>
      <c r="C28" s="31">
        <v>0.27</v>
      </c>
      <c r="G28" s="19">
        <f ca="1"/>
        <v>44279</v>
      </c>
      <c r="H28" s="8" t="str">
        <f ca="1"/>
        <v>PFE</v>
      </c>
      <c r="I28" s="139">
        <f ca="1"/>
        <v>61156906.433088735</v>
      </c>
      <c r="K28" s="19">
        <f ca="1"/>
        <v>44279</v>
      </c>
      <c r="L28" s="8" t="str">
        <f ca="1"/>
        <v>EAD</v>
      </c>
      <c r="M28" s="139">
        <f ca="1"/>
        <v>168990423.48795599</v>
      </c>
      <c r="N28" s="11">
        <f ca="1">_xll.QCap_BaselK(D54,$C$28,1)</f>
        <v>3.4564285758285788E-2</v>
      </c>
      <c r="O28" s="21">
        <f t="shared" ca="1" si="0"/>
        <v>73012916.098143026</v>
      </c>
      <c r="P28" s="21">
        <f t="shared" ca="1" si="1"/>
        <v>8031420.7707957327</v>
      </c>
      <c r="Q28" s="23">
        <f t="shared" ca="1" si="2"/>
        <v>1460258.3219628606</v>
      </c>
      <c r="R28" s="21">
        <f t="shared" ca="1" si="8"/>
        <v>22938.857919557409</v>
      </c>
      <c r="S28">
        <f ca="1">_xll.QCurves_GetDF($C$18,valDate,K29)</f>
        <v>0.99361877922668973</v>
      </c>
      <c r="T28" s="23">
        <f t="shared" ca="1" si="3"/>
        <v>22792.480002885117</v>
      </c>
      <c r="U28" s="1">
        <f t="shared" ca="1" si="4"/>
        <v>44279</v>
      </c>
      <c r="V28" s="185">
        <f t="shared" ca="1" si="5"/>
        <v>0.97541150998571968</v>
      </c>
      <c r="W28" s="23">
        <f ca="1">MAX(1,_xll.QCap_PortfolioWeightedMaturity($B$2,G28))</f>
        <v>1</v>
      </c>
      <c r="X28" s="140">
        <f ca="1">W28*$C$33*M28*V28*2.33</f>
        <v>7681320.5132741239</v>
      </c>
      <c r="Y28" s="23">
        <f t="shared" ca="1" si="6"/>
        <v>21537.160036396544</v>
      </c>
      <c r="Z28" s="23">
        <f t="shared" ca="1" si="7"/>
        <v>154874.02922778425</v>
      </c>
    </row>
    <row r="29" spans="1:26" x14ac:dyDescent="0.25">
      <c r="B29" s="12" t="s">
        <v>315</v>
      </c>
      <c r="C29" s="31" t="s">
        <v>310</v>
      </c>
      <c r="G29" s="19">
        <f ca="1"/>
        <v>44286</v>
      </c>
      <c r="H29" s="8" t="str">
        <f ca="1"/>
        <v>PFE</v>
      </c>
      <c r="I29" s="139">
        <f ca="1"/>
        <v>66505936.055125132</v>
      </c>
      <c r="K29" s="19">
        <f ca="1"/>
        <v>44286</v>
      </c>
      <c r="L29" s="8" t="str">
        <f ca="1"/>
        <v>EAD</v>
      </c>
      <c r="M29" s="139">
        <f ca="1"/>
        <v>163550926.83087316</v>
      </c>
      <c r="N29" s="11">
        <f ca="1">_xll.QCap_BaselK(D55,$C$28,1)</f>
        <v>3.4691374099484716E-2</v>
      </c>
      <c r="O29" s="21">
        <f t="shared" ca="1" si="0"/>
        <v>70922579.837590903</v>
      </c>
      <c r="P29" s="21">
        <f t="shared" ca="1" si="1"/>
        <v>7801483.7821349995</v>
      </c>
      <c r="Q29" s="23">
        <f t="shared" ca="1" si="2"/>
        <v>1418451.5967518182</v>
      </c>
      <c r="R29" s="21">
        <f t="shared" ca="1" si="8"/>
        <v>22282.125809029865</v>
      </c>
      <c r="S29">
        <f ca="1">_xll.QCurves_GetDF($C$18,valDate,K30)</f>
        <v>0.99262546010581021</v>
      </c>
      <c r="T29" s="23">
        <f t="shared" ca="1" si="3"/>
        <v>22117.805383323819</v>
      </c>
      <c r="U29" s="1">
        <f t="shared" ca="1" si="4"/>
        <v>44286</v>
      </c>
      <c r="V29" s="185">
        <f t="shared" ca="1" si="5"/>
        <v>0.97541150998571968</v>
      </c>
      <c r="W29" s="23">
        <f ca="1">MAX(1,_xll.QCap_PortfolioWeightedMaturity($B$2,G29))</f>
        <v>1</v>
      </c>
      <c r="X29" s="140">
        <f ca="1">W29*$C$33*M29*V29*2.33</f>
        <v>7434072.6728844335</v>
      </c>
      <c r="Y29" s="23">
        <f t="shared" ca="1" si="6"/>
        <v>20843.917735424468</v>
      </c>
      <c r="Z29" s="23">
        <f t="shared" ca="1" si="7"/>
        <v>175717.94696320873</v>
      </c>
    </row>
    <row r="30" spans="1:26" x14ac:dyDescent="0.25">
      <c r="B30" s="12" t="s">
        <v>254</v>
      </c>
      <c r="C30" s="136">
        <f ca="1">VLOOKUP($C$27,RatingTable,2,FALSE)</f>
        <v>1.1249340183243899E-2</v>
      </c>
      <c r="G30" s="19">
        <f ca="1"/>
        <v>44293</v>
      </c>
      <c r="H30" s="8" t="str">
        <f ca="1"/>
        <v>PFE</v>
      </c>
      <c r="I30" s="139">
        <f ca="1"/>
        <v>71844450.455883831</v>
      </c>
      <c r="K30" s="19">
        <f ca="1"/>
        <v>44293</v>
      </c>
      <c r="L30" s="8" t="str">
        <f ca="1"/>
        <v>EAD</v>
      </c>
      <c r="M30" s="139">
        <f ca="1"/>
        <v>157448509.07801807</v>
      </c>
      <c r="N30" s="11">
        <f ca="1">_xll.QCap_BaselK(D56,$C$28,1)</f>
        <v>3.4821370812231092E-2</v>
      </c>
      <c r="O30" s="21">
        <f t="shared" ca="1" si="0"/>
        <v>68532161.480482504</v>
      </c>
      <c r="P30" s="21">
        <f t="shared" ca="1" si="1"/>
        <v>7538537.7628530758</v>
      </c>
      <c r="Q30" s="23">
        <f t="shared" ca="1" si="2"/>
        <v>1370643.2296096501</v>
      </c>
      <c r="R30" s="21">
        <f t="shared" ca="1" si="8"/>
        <v>21531.115303048908</v>
      </c>
      <c r="S30">
        <f ca="1">_xll.QCurves_GetDF($C$18,valDate,K31)</f>
        <v>0.99161631773417958</v>
      </c>
      <c r="T30" s="23">
        <f t="shared" ca="1" si="3"/>
        <v>21350.605273519403</v>
      </c>
      <c r="U30" s="1">
        <f t="shared" ca="1" si="4"/>
        <v>44293</v>
      </c>
      <c r="V30" s="185">
        <f t="shared" ca="1" si="5"/>
        <v>0.97541150998571968</v>
      </c>
      <c r="W30" s="23">
        <f ca="1">MAX(1,_xll.QCap_PortfolioWeightedMaturity($B$2,G30))</f>
        <v>1</v>
      </c>
      <c r="X30" s="140">
        <f ca="1">W30*$C$33*M30*V30*2.33</f>
        <v>7156692.3000912089</v>
      </c>
      <c r="Y30" s="23">
        <f t="shared" ca="1" si="6"/>
        <v>20066.188766885869</v>
      </c>
      <c r="Z30" s="23">
        <f t="shared" ca="1" si="7"/>
        <v>195784.1357300946</v>
      </c>
    </row>
    <row r="31" spans="1:26" x14ac:dyDescent="0.25">
      <c r="B31" s="12" t="s">
        <v>251</v>
      </c>
      <c r="C31" s="137">
        <f ca="1">VLOOKUP($C$27,RatingTable,5,FALSE)</f>
        <v>1</v>
      </c>
      <c r="G31" s="19">
        <f ca="1"/>
        <v>44300</v>
      </c>
      <c r="H31" s="8" t="str">
        <f ca="1"/>
        <v>PFE</v>
      </c>
      <c r="I31" s="139">
        <f ca="1"/>
        <v>75413497.809011206</v>
      </c>
      <c r="K31" s="19">
        <f ca="1"/>
        <v>44300</v>
      </c>
      <c r="L31" s="8" t="str">
        <f ca="1"/>
        <v>EAD</v>
      </c>
      <c r="M31" s="139">
        <f ca="1"/>
        <v>150029746.57247415</v>
      </c>
      <c r="N31" s="11">
        <f ca="1">_xll.QCap_BaselK(D57,$C$28,1)</f>
        <v>3.495419887761169E-2</v>
      </c>
      <c r="O31" s="21">
        <f t="shared" ca="1" si="0"/>
        <v>65552119.990649283</v>
      </c>
      <c r="P31" s="21">
        <f t="shared" ca="1" si="1"/>
        <v>7210733.1989714215</v>
      </c>
      <c r="Q31" s="23">
        <f t="shared" ca="1" si="2"/>
        <v>1311042.3998129857</v>
      </c>
      <c r="R31" s="21">
        <f t="shared" ca="1" si="8"/>
        <v>20594.859747418399</v>
      </c>
      <c r="S31">
        <f ca="1">_xll.QCurves_GetDF($C$18,valDate,K32)</f>
        <v>0.99063324214236803</v>
      </c>
      <c r="T31" s="23">
        <f t="shared" ca="1" si="3"/>
        <v>20401.952683052441</v>
      </c>
      <c r="U31" s="1">
        <f t="shared" ca="1" si="4"/>
        <v>44300</v>
      </c>
      <c r="V31" s="185">
        <f t="shared" ca="1" si="5"/>
        <v>0.97541150998571968</v>
      </c>
      <c r="W31" s="23">
        <f ca="1">MAX(1,_xll.QCap_PortfolioWeightedMaturity($B$2,G31))</f>
        <v>1</v>
      </c>
      <c r="X31" s="140">
        <f ca="1">W31*$C$33*M31*V31*2.33</f>
        <v>6819478.5607516859</v>
      </c>
      <c r="Y31" s="23">
        <f t="shared" ca="1" si="6"/>
        <v>19120.696874173358</v>
      </c>
      <c r="Z31" s="23">
        <f t="shared" ca="1" si="7"/>
        <v>214904.83260426795</v>
      </c>
    </row>
    <row r="32" spans="1:26" x14ac:dyDescent="0.25">
      <c r="B32" s="12" t="s">
        <v>327</v>
      </c>
      <c r="C32" s="138">
        <f ca="1">VLOOKUP($C$27,RatingTable,MATCH(C29,Static!$B$36:$M$36),FALSE)</f>
        <v>0.13</v>
      </c>
      <c r="G32" s="19">
        <f ca="1"/>
        <v>44307</v>
      </c>
      <c r="H32" s="8" t="str">
        <f ca="1"/>
        <v>PFE</v>
      </c>
      <c r="I32" s="139">
        <f ca="1"/>
        <v>78631618.171757355</v>
      </c>
      <c r="K32" s="19">
        <f ca="1"/>
        <v>44307</v>
      </c>
      <c r="L32" s="8" t="str">
        <f ca="1"/>
        <v>EAD</v>
      </c>
      <c r="M32" s="139">
        <f ca="1"/>
        <v>141344351.44020778</v>
      </c>
      <c r="N32" s="11">
        <f ca="1">_xll.QCap_BaselK(D58,$C$28,1)</f>
        <v>3.5089780916013037E-2</v>
      </c>
      <c r="O32" s="21">
        <f t="shared" ca="1" si="0"/>
        <v>61996779.071910538</v>
      </c>
      <c r="P32" s="21">
        <f t="shared" ca="1" si="1"/>
        <v>6819645.6979101589</v>
      </c>
      <c r="Q32" s="23">
        <f t="shared" ca="1" si="2"/>
        <v>1239935.5814382108</v>
      </c>
      <c r="R32" s="21">
        <f t="shared" ca="1" si="8"/>
        <v>19477.859296691146</v>
      </c>
      <c r="S32">
        <f ca="1">_xll.QCurves_GetDF($C$18,valDate,K33)</f>
        <v>0.98966125524586745</v>
      </c>
      <c r="T32" s="23">
        <f t="shared" ca="1" si="3"/>
        <v>19276.482681065747</v>
      </c>
      <c r="U32" s="1">
        <f t="shared" ca="1" si="4"/>
        <v>44307</v>
      </c>
      <c r="V32" s="185">
        <f t="shared" ca="1" si="5"/>
        <v>0.97541150998571968</v>
      </c>
      <c r="W32" s="23">
        <f ca="1">MAX(1,_xll.QCap_PortfolioWeightedMaturity($B$2,G32))</f>
        <v>1</v>
      </c>
      <c r="X32" s="140">
        <f ca="1">W32*$C$33*M32*V32*2.33</f>
        <v>6424691.0786070311</v>
      </c>
      <c r="Y32" s="23">
        <f t="shared" ca="1" si="6"/>
        <v>18013.777670812153</v>
      </c>
      <c r="Z32" s="23">
        <f t="shared" ca="1" si="7"/>
        <v>232918.61027508011</v>
      </c>
    </row>
    <row r="33" spans="1:26" x14ac:dyDescent="0.25">
      <c r="B33" s="12" t="s">
        <v>328</v>
      </c>
      <c r="C33" s="138">
        <f ca="1">VLOOKUP($C$27,RatingTable,6,FALSE)</f>
        <v>0.02</v>
      </c>
      <c r="G33" s="19">
        <f ca="1"/>
        <v>44314</v>
      </c>
      <c r="H33" s="8" t="str">
        <f ca="1"/>
        <v>PFE</v>
      </c>
      <c r="I33" s="139">
        <f ca="1"/>
        <v>82458508.598455504</v>
      </c>
      <c r="K33" s="19">
        <f ca="1"/>
        <v>44314</v>
      </c>
      <c r="L33" s="8" t="str">
        <f ca="1"/>
        <v>EAD</v>
      </c>
      <c r="M33" s="139">
        <f ca="1"/>
        <v>130223271.58377227</v>
      </c>
      <c r="N33" s="11">
        <f ca="1">_xll.QCap_BaselK(D59,$C$28,1)</f>
        <v>3.5228039304093878E-2</v>
      </c>
      <c r="O33" s="21">
        <f t="shared" ca="1" si="0"/>
        <v>57343881.620760262</v>
      </c>
      <c r="P33" s="21">
        <f t="shared" ca="1" si="1"/>
        <v>6307826.9782836288</v>
      </c>
      <c r="Q33" s="23">
        <f t="shared" ca="1" si="2"/>
        <v>1146877.6324152052</v>
      </c>
      <c r="R33" s="21">
        <f t="shared" ca="1" si="8"/>
        <v>18016.033646517979</v>
      </c>
      <c r="S33">
        <f ca="1">_xll.QCurves_GetDF($C$18,valDate,K34)</f>
        <v>0.9886853173967215</v>
      </c>
      <c r="T33" s="23">
        <f t="shared" ca="1" si="3"/>
        <v>17812.187944037643</v>
      </c>
      <c r="U33" s="1">
        <f t="shared" ca="1" si="4"/>
        <v>44314</v>
      </c>
      <c r="V33" s="185">
        <f t="shared" ca="1" si="5"/>
        <v>0.97541150998571968</v>
      </c>
      <c r="W33" s="23">
        <f ca="1">MAX(1,_xll.QCap_PortfolioWeightedMaturity($B$2,G33))</f>
        <v>1</v>
      </c>
      <c r="X33" s="140">
        <f ca="1">W33*$C$33*M33*V33*2.33</f>
        <v>5919191.5534396423</v>
      </c>
      <c r="Y33" s="23">
        <f t="shared" ca="1" si="6"/>
        <v>16596.440098055151</v>
      </c>
      <c r="Z33" s="23">
        <f t="shared" ca="1" si="7"/>
        <v>249515.05037313525</v>
      </c>
    </row>
    <row r="34" spans="1:26" x14ac:dyDescent="0.25">
      <c r="B34" s="173"/>
      <c r="G34" s="19">
        <f ca="1"/>
        <v>44321</v>
      </c>
      <c r="H34" s="8" t="str">
        <f ca="1"/>
        <v>PFE</v>
      </c>
      <c r="I34" s="139">
        <f ca="1"/>
        <v>63888270.205379456</v>
      </c>
      <c r="K34" s="19">
        <f ca="1"/>
        <v>44321</v>
      </c>
      <c r="L34" s="8" t="str">
        <f ca="1"/>
        <v>EAD</v>
      </c>
      <c r="M34" s="139">
        <f ca="1"/>
        <v>102976782.51898642</v>
      </c>
      <c r="N34" s="11">
        <f ca="1">_xll.QCap_BaselK(D60,$C$28,1)</f>
        <v>3.5368896289166341E-2</v>
      </c>
      <c r="O34" s="21">
        <f t="shared" ca="1" si="0"/>
        <v>45527189.263825849</v>
      </c>
      <c r="P34" s="21">
        <f t="shared" ca="1" si="1"/>
        <v>5007990.8190208431</v>
      </c>
      <c r="Q34" s="23">
        <f t="shared" ca="1" si="2"/>
        <v>910543.78527651704</v>
      </c>
      <c r="R34" s="21">
        <f t="shared" ca="1" si="8"/>
        <v>14303.520278465659</v>
      </c>
      <c r="S34">
        <f ca="1">_xll.QCurves_GetDF($C$18,valDate,K35)</f>
        <v>0.98770544216908718</v>
      </c>
      <c r="T34" s="23">
        <f t="shared" ca="1" si="3"/>
        <v>14127.664821216429</v>
      </c>
      <c r="U34" s="1">
        <f t="shared" ca="1" si="4"/>
        <v>44321</v>
      </c>
      <c r="V34" s="185">
        <f t="shared" ca="1" si="5"/>
        <v>0.97541150998571968</v>
      </c>
      <c r="W34" s="23">
        <f ca="1">MAX(1,_xll.QCap_PortfolioWeightedMaturity($B$2,G34))</f>
        <v>1</v>
      </c>
      <c r="X34" s="140">
        <f ca="1">W34*$C$33*M34*V34*2.33</f>
        <v>4680724.8341527078</v>
      </c>
      <c r="Y34" s="23">
        <f t="shared" ca="1" si="6"/>
        <v>13123.98300074488</v>
      </c>
      <c r="Z34" s="23">
        <f t="shared" ca="1" si="7"/>
        <v>262639.03337388014</v>
      </c>
    </row>
    <row r="35" spans="1:26" x14ac:dyDescent="0.25">
      <c r="A35" s="3" t="s">
        <v>294</v>
      </c>
      <c r="B35" s="147" t="s">
        <v>70</v>
      </c>
      <c r="C35" s="147" t="s">
        <v>62</v>
      </c>
      <c r="D35" s="147" t="s">
        <v>300</v>
      </c>
      <c r="E35" s="147" t="s">
        <v>48</v>
      </c>
      <c r="G35" s="19">
        <f ca="1"/>
        <v>44328</v>
      </c>
      <c r="H35" s="8" t="str">
        <f ca="1"/>
        <v>PFE</v>
      </c>
      <c r="I35" s="139">
        <f ca="1"/>
        <v>65899609.780516684</v>
      </c>
      <c r="K35" s="19">
        <f ca="1"/>
        <v>44328</v>
      </c>
      <c r="L35" s="8" t="str">
        <f ca="1"/>
        <v>EAD</v>
      </c>
      <c r="M35" s="139">
        <f ca="1"/>
        <v>97100632.11577189</v>
      </c>
      <c r="N35" s="11">
        <f ca="1">_xll.QCap_BaselK(D61,$C$28,1)</f>
        <v>3.5512274100776987E-2</v>
      </c>
      <c r="O35" s="21">
        <f t="shared" ca="1" si="0"/>
        <v>43103303.288175002</v>
      </c>
      <c r="P35" s="21">
        <f t="shared" ca="1" si="1"/>
        <v>4741363.3616992505</v>
      </c>
      <c r="Q35" s="23">
        <f t="shared" ca="1" si="2"/>
        <v>862066.06576350005</v>
      </c>
      <c r="R35" s="21">
        <f t="shared" ca="1" si="8"/>
        <v>13541.99507196762</v>
      </c>
      <c r="S35">
        <f ca="1">_xll.QCurves_GetDF($C$18,valDate,K36)</f>
        <v>0.98674636748579014</v>
      </c>
      <c r="T35" s="23">
        <f t="shared" ca="1" si="3"/>
        <v>13362.514445774521</v>
      </c>
      <c r="U35" s="1">
        <f t="shared" ca="1" si="4"/>
        <v>44328</v>
      </c>
      <c r="V35" s="185">
        <f t="shared" ca="1" si="5"/>
        <v>0.97541150998571968</v>
      </c>
      <c r="W35" s="23">
        <f ca="1">MAX(1,_xll.QCap_PortfolioWeightedMaturity($B$2,G35))</f>
        <v>1</v>
      </c>
      <c r="X35" s="140">
        <f ca="1">W35*$C$33*M35*V35*2.33</f>
        <v>4413629.2573757619</v>
      </c>
      <c r="Y35" s="23">
        <f t="shared" ca="1" si="6"/>
        <v>12375.090909584533</v>
      </c>
      <c r="Z35" s="23">
        <f t="shared" ca="1" si="7"/>
        <v>275014.12428346468</v>
      </c>
    </row>
    <row r="36" spans="1:26" x14ac:dyDescent="0.25">
      <c r="B36" s="146" t="s">
        <v>71</v>
      </c>
      <c r="C36" t="str">
        <f ca="1">"CVASpread."&amp;$C$27&amp;"."&amp;B36&amp;".Pricing"</f>
        <v>CVASpread.BB-.1y.Pricing</v>
      </c>
      <c r="D36" s="11">
        <v>5.0908882647448337E-3</v>
      </c>
      <c r="E36" t="str">
        <f ca="1">_xll.QCurves_CreateCDS($C$27&amp;"_CDS_"&amp;B36,B36,D36,valDate,"ZAR")</f>
        <v>BB-_CDS_1y¬4</v>
      </c>
      <c r="G36" s="19">
        <f ca="1"/>
        <v>44335</v>
      </c>
      <c r="H36" s="8" t="str">
        <f ca="1"/>
        <v>PFE</v>
      </c>
      <c r="I36" s="139">
        <f ca="1"/>
        <v>68163651.027499557</v>
      </c>
      <c r="K36" s="19">
        <f ca="1"/>
        <v>44335</v>
      </c>
      <c r="L36" s="8" t="str">
        <f ca="1"/>
        <v>EAD</v>
      </c>
      <c r="M36" s="139">
        <f ca="1"/>
        <v>89845668.593643874</v>
      </c>
      <c r="N36" s="11">
        <f ca="1">_xll.QCap_BaselK(D62,$C$28,1)</f>
        <v>3.5658095059292391E-2</v>
      </c>
      <c r="O36" s="21">
        <f t="shared" ca="1" si="0"/>
        <v>40046567.392222926</v>
      </c>
      <c r="P36" s="21">
        <f t="shared" ca="1" si="1"/>
        <v>4405122.4131445223</v>
      </c>
      <c r="Q36" s="23">
        <f t="shared" ca="1" si="2"/>
        <v>800931.34784445853</v>
      </c>
      <c r="R36" s="21">
        <f t="shared" ca="1" si="8"/>
        <v>12581.644025029509</v>
      </c>
      <c r="S36">
        <f ca="1">_xll.QCurves_GetDF($C$18,valDate,K37)</f>
        <v>0.98585310879539523</v>
      </c>
      <c r="T36" s="23">
        <f t="shared" ca="1" si="3"/>
        <v>12403.652875832351</v>
      </c>
      <c r="U36" s="1">
        <f t="shared" ca="1" si="4"/>
        <v>44335</v>
      </c>
      <c r="V36" s="185">
        <f t="shared" ca="1" si="5"/>
        <v>0.97541150998571968</v>
      </c>
      <c r="W36" s="23">
        <f ca="1">MAX(1,_xll.QCap_PortfolioWeightedMaturity($B$2,G36))</f>
        <v>1</v>
      </c>
      <c r="X36" s="140">
        <f ca="1">W36*$C$33*M36*V36*2.33</f>
        <v>4083860.8659168868</v>
      </c>
      <c r="Y36" s="23">
        <f t="shared" ca="1" si="6"/>
        <v>11450.474548436554</v>
      </c>
      <c r="Z36" s="23">
        <f t="shared" ca="1" si="7"/>
        <v>286464.59883190121</v>
      </c>
    </row>
    <row r="37" spans="1:26" x14ac:dyDescent="0.25">
      <c r="B37" s="146" t="s">
        <v>35</v>
      </c>
      <c r="C37" t="str">
        <f t="shared" ref="C37:C40" ca="1" si="9">"CVASpread."&amp;$C$27&amp;"."&amp;B37&amp;".Pricing"</f>
        <v>CVASpread.BB-.2y.Pricing</v>
      </c>
      <c r="D37" s="11">
        <v>6.9527573517785598E-3</v>
      </c>
      <c r="E37" t="str">
        <f ca="1">_xll.QCurves_CreateCDS($C$27&amp;"_CDS_"&amp;B37,B37,D37,valDate,"ZAR")</f>
        <v>BB-_CDS_2y¬4</v>
      </c>
      <c r="G37" s="19">
        <f ca="1"/>
        <v>44342</v>
      </c>
      <c r="H37" s="8" t="str">
        <f ca="1"/>
        <v>PFE</v>
      </c>
      <c r="I37" s="139">
        <f ca="1"/>
        <v>69178701.558383092</v>
      </c>
      <c r="K37" s="19">
        <f ca="1"/>
        <v>44342</v>
      </c>
      <c r="L37" s="8" t="str">
        <f ca="1"/>
        <v>EAD</v>
      </c>
      <c r="M37" s="139">
        <f ca="1"/>
        <v>80493688.080250159</v>
      </c>
      <c r="N37" s="11">
        <f ca="1">_xll.QCap_BaselK(D63,$C$28,1)</f>
        <v>3.5806281681321585E-2</v>
      </c>
      <c r="O37" s="21">
        <f t="shared" ca="1" si="0"/>
        <v>36027245.862123437</v>
      </c>
      <c r="P37" s="21">
        <f t="shared" ca="1" si="1"/>
        <v>3962997.0448335782</v>
      </c>
      <c r="Q37" s="23">
        <f t="shared" ca="1" si="2"/>
        <v>720544.9172424688</v>
      </c>
      <c r="R37" s="21">
        <f t="shared" ca="1" si="8"/>
        <v>11318.87230683053</v>
      </c>
      <c r="S37">
        <f ca="1">_xll.QCurves_GetDF($C$18,valDate,K38)</f>
        <v>0.9849682397581343</v>
      </c>
      <c r="T37" s="23">
        <f t="shared" ca="1" si="3"/>
        <v>11148.72973210596</v>
      </c>
      <c r="U37" s="1">
        <f t="shared" ca="1" si="4"/>
        <v>44342</v>
      </c>
      <c r="V37" s="185">
        <f t="shared" ca="1" si="5"/>
        <v>0.97541150998571968</v>
      </c>
      <c r="W37" s="23">
        <f ca="1">MAX(1,_xll.QCap_PortfolioWeightedMaturity($B$2,G37))</f>
        <v>1</v>
      </c>
      <c r="X37" s="140">
        <f ca="1">W37*$C$33*M37*V37*2.33</f>
        <v>3658774.2942959168</v>
      </c>
      <c r="Y37" s="23">
        <f t="shared" ca="1" si="6"/>
        <v>10258.601678856005</v>
      </c>
      <c r="Z37" s="23">
        <f t="shared" ca="1" si="7"/>
        <v>296723.20051075722</v>
      </c>
    </row>
    <row r="38" spans="1:26" x14ac:dyDescent="0.25">
      <c r="B38" s="146" t="s">
        <v>36</v>
      </c>
      <c r="C38" t="str">
        <f t="shared" ca="1" si="9"/>
        <v>CVASpread.BB-.3y.Pricing</v>
      </c>
      <c r="D38" s="11">
        <v>8.0663613112187567E-3</v>
      </c>
      <c r="E38" t="str">
        <f ca="1">_xll.QCurves_CreateCDS($C$27&amp;"_CDS_"&amp;B38,B38,D38,valDate,"ZAR")</f>
        <v>BB-_CDS_3y¬4</v>
      </c>
      <c r="G38" s="19">
        <f ca="1"/>
        <v>44349</v>
      </c>
      <c r="H38" s="8" t="str">
        <f ca="1"/>
        <v>PFE</v>
      </c>
      <c r="I38" s="139">
        <f ca="1"/>
        <v>39747130.947813421</v>
      </c>
      <c r="K38" s="19">
        <f ca="1"/>
        <v>44349</v>
      </c>
      <c r="L38" s="8" t="str">
        <f ca="1"/>
        <v>EAD</v>
      </c>
      <c r="M38" s="139">
        <f ca="1"/>
        <v>49694138.033035152</v>
      </c>
      <c r="N38" s="11">
        <f ca="1">_xll.QCap_BaselK(D64,$C$28,1)</f>
        <v>3.5956756781819817E-2</v>
      </c>
      <c r="O38" s="21">
        <f t="shared" ca="1" si="0"/>
        <v>22335500.434200335</v>
      </c>
      <c r="P38" s="21">
        <f t="shared" ca="1" si="1"/>
        <v>2456905.0477620368</v>
      </c>
      <c r="Q38" s="23">
        <f t="shared" ca="1" si="2"/>
        <v>446710.00868400669</v>
      </c>
      <c r="R38" s="21">
        <f t="shared" ca="1" si="8"/>
        <v>7017.2634980588746</v>
      </c>
      <c r="S38">
        <f ca="1">_xll.QCurves_GetDF($C$18,valDate,K39)</f>
        <v>0.98409173922856252</v>
      </c>
      <c r="T38" s="23">
        <f t="shared" ca="1" si="3"/>
        <v>6905.6310404298647</v>
      </c>
      <c r="U38" s="1">
        <f t="shared" ca="1" si="4"/>
        <v>44349</v>
      </c>
      <c r="V38" s="185">
        <f t="shared" ca="1" si="5"/>
        <v>0.97541150998571968</v>
      </c>
      <c r="W38" s="23">
        <f ca="1">MAX(1,_xll.QCap_PortfolioWeightedMaturity($B$2,G38))</f>
        <v>1</v>
      </c>
      <c r="X38" s="140">
        <f ca="1">W38*$C$33*M38*V38*2.33</f>
        <v>2258806.1144768586</v>
      </c>
      <c r="Y38" s="23">
        <f t="shared" ca="1" si="6"/>
        <v>6333.3210343989513</v>
      </c>
      <c r="Z38" s="23">
        <f t="shared" ca="1" si="7"/>
        <v>303056.5215451562</v>
      </c>
    </row>
    <row r="39" spans="1:26" x14ac:dyDescent="0.25">
      <c r="B39" s="146" t="s">
        <v>58</v>
      </c>
      <c r="C39" t="str">
        <f t="shared" ca="1" si="9"/>
        <v>CVASpread.BB-.4y.Pricing</v>
      </c>
      <c r="D39" s="11">
        <v>8.736292073557677E-3</v>
      </c>
      <c r="E39" t="str">
        <f ca="1">_xll.QCurves_CreateCDS($C$27&amp;"_CDS_"&amp;B39,B39,D39,valDate,"ZAR")</f>
        <v>BB-_CDS_4y¬4</v>
      </c>
      <c r="G39" s="19">
        <f ca="1"/>
        <v>44356</v>
      </c>
      <c r="H39" s="8" t="str">
        <f ca="1"/>
        <v>PFE</v>
      </c>
      <c r="I39" s="139">
        <f ca="1"/>
        <v>40299556.469944634</v>
      </c>
      <c r="K39" s="19">
        <f ca="1"/>
        <v>44356</v>
      </c>
      <c r="L39" s="8" t="str">
        <f ca="1"/>
        <v>EAD</v>
      </c>
      <c r="M39" s="139">
        <f ca="1"/>
        <v>46047207.800963007</v>
      </c>
      <c r="N39" s="11">
        <f ca="1">_xll.QCap_BaselK(D65,$C$28,1)</f>
        <v>3.6109443572739097E-2</v>
      </c>
      <c r="O39" s="21">
        <f t="shared" ca="1" si="0"/>
        <v>20784238.147138316</v>
      </c>
      <c r="P39" s="21">
        <f t="shared" ca="1" si="1"/>
        <v>2286266.1961852149</v>
      </c>
      <c r="Q39" s="23">
        <f t="shared" ca="1" si="2"/>
        <v>415684.76294276631</v>
      </c>
      <c r="R39" s="21">
        <f t="shared" ca="1" si="8"/>
        <v>6529.8951377669582</v>
      </c>
      <c r="S39">
        <f ca="1">_xll.QCurves_GetDF($C$18,valDate,K40)</f>
        <v>0.98322358627327922</v>
      </c>
      <c r="T39" s="23">
        <f t="shared" ca="1" si="3"/>
        <v>6420.3469153436772</v>
      </c>
      <c r="U39" s="1">
        <f t="shared" ca="1" si="4"/>
        <v>44356</v>
      </c>
      <c r="V39" s="185">
        <f t="shared" ca="1" si="5"/>
        <v>0.97541150998571968</v>
      </c>
      <c r="W39" s="23">
        <f ca="1">MAX(1,_xll.QCap_PortfolioWeightedMaturity($B$2,G39))</f>
        <v>1</v>
      </c>
      <c r="X39" s="140">
        <f ca="1">W39*$C$33*M39*V39*2.33</f>
        <v>2093037.9045161812</v>
      </c>
      <c r="Y39" s="23">
        <f t="shared" ca="1" si="6"/>
        <v>5868.5342232379717</v>
      </c>
      <c r="Z39" s="23">
        <f t="shared" ca="1" si="7"/>
        <v>308925.05576839414</v>
      </c>
    </row>
    <row r="40" spans="1:26" x14ac:dyDescent="0.25">
      <c r="B40" s="146" t="s">
        <v>37</v>
      </c>
      <c r="C40" t="str">
        <f t="shared" ca="1" si="9"/>
        <v>CVASpread.BB-.5y.Pricing</v>
      </c>
      <c r="D40" s="11">
        <v>9.1753530100806384E-3</v>
      </c>
      <c r="E40" t="str">
        <f ca="1">_xll.QCurves_CreateCDS($C$27&amp;"_CDS_"&amp;B40,B40,D40,valDate,"ZAR")</f>
        <v>BB-_CDS_5y¬4</v>
      </c>
      <c r="G40" s="19">
        <f ca="1"/>
        <v>44363</v>
      </c>
      <c r="H40" s="8" t="str">
        <f ca="1"/>
        <v>PFE</v>
      </c>
      <c r="I40" s="139">
        <f ca="1"/>
        <v>41047134.799021453</v>
      </c>
      <c r="K40" s="19">
        <f ca="1"/>
        <v>44363</v>
      </c>
      <c r="L40" s="8" t="str">
        <f ca="1"/>
        <v>EAD</v>
      </c>
      <c r="M40" s="139">
        <f ca="1"/>
        <v>41401818.006585434</v>
      </c>
      <c r="N40" s="11">
        <f ca="1">_xll.QCap_BaselK(D66,$C$28,1)</f>
        <v>3.6264265758107574E-2</v>
      </c>
      <c r="O40" s="21">
        <f t="shared" ca="1" si="0"/>
        <v>18767581.638245221</v>
      </c>
      <c r="P40" s="21">
        <f t="shared" ca="1" si="1"/>
        <v>2064433.9802069743</v>
      </c>
      <c r="Q40" s="23">
        <f t="shared" ca="1" si="2"/>
        <v>375351.63276490441</v>
      </c>
      <c r="R40" s="21">
        <f t="shared" ca="1" si="8"/>
        <v>5896.311388449677</v>
      </c>
      <c r="S40">
        <f ca="1">_xll.QCurves_GetDF($C$18,valDate,K41)</f>
        <v>0.98236376017009386</v>
      </c>
      <c r="T40" s="23">
        <f t="shared" ca="1" si="3"/>
        <v>5792.3226266911715</v>
      </c>
      <c r="U40" s="1">
        <f t="shared" ca="1" si="4"/>
        <v>44363</v>
      </c>
      <c r="V40" s="185">
        <f t="shared" ca="1" si="5"/>
        <v>0.97541150998571968</v>
      </c>
      <c r="W40" s="23">
        <f ca="1">MAX(1,_xll.QCap_PortfolioWeightedMaturity($B$2,G40))</f>
        <v>1</v>
      </c>
      <c r="X40" s="140">
        <f ca="1">W40*$C$33*M40*V40*2.33</f>
        <v>1881885.5375168177</v>
      </c>
      <c r="Y40" s="23">
        <f t="shared" ca="1" si="6"/>
        <v>5276.4976961498933</v>
      </c>
      <c r="Z40" s="23">
        <f t="shared" ca="1" si="7"/>
        <v>314201.55346454406</v>
      </c>
    </row>
    <row r="41" spans="1:26" x14ac:dyDescent="0.25">
      <c r="B41" s="147" t="s">
        <v>299</v>
      </c>
      <c r="C41" t="str">
        <f t="shared" ref="C41" ca="1" si="10">"CVASpread."&amp;$C$27&amp;"."&amp;B41&amp;".Pricing"</f>
        <v>CVASpread.BB-.6y.Pricing</v>
      </c>
      <c r="D41" s="11">
        <v>9.4799124917100824E-3</v>
      </c>
      <c r="E41" t="str">
        <f ca="1">_xll.QCurves_CreateCDS($C$27&amp;"_CDS_"&amp;B41,B41,D41,valDate,"ZAR")</f>
        <v>BB-_CDS_6y¬4</v>
      </c>
      <c r="G41" s="19">
        <f ca="1"/>
        <v>44370</v>
      </c>
      <c r="H41" s="8" t="str">
        <f ca="1"/>
        <v>PFE</v>
      </c>
      <c r="I41" s="139">
        <f ca="1"/>
        <v>40310940.697592229</v>
      </c>
      <c r="K41" s="19">
        <f ca="1"/>
        <v>44370</v>
      </c>
      <c r="L41" s="8" t="str">
        <f ca="1"/>
        <v>EAD</v>
      </c>
      <c r="M41" s="139">
        <f ca="1"/>
        <v>35252453.620937891</v>
      </c>
      <c r="N41" s="11">
        <f ca="1">_xll.QCap_BaselK(D67,$C$28,1)</f>
        <v>3.6421147625437453E-2</v>
      </c>
      <c r="O41" s="21">
        <f t="shared" ca="1" si="0"/>
        <v>16049185.218588324</v>
      </c>
      <c r="P41" s="21">
        <f t="shared" ca="1" si="1"/>
        <v>1765410.3740447157</v>
      </c>
      <c r="Q41" s="23">
        <f t="shared" ca="1" si="2"/>
        <v>320983.70437176648</v>
      </c>
      <c r="R41" s="21">
        <f t="shared" ca="1" si="8"/>
        <v>5042.2582623462949</v>
      </c>
      <c r="S41">
        <f ca="1">_xll.QCurves_GetDF($C$18,valDate,K42)</f>
        <v>0.98151224040720308</v>
      </c>
      <c r="T41" s="23">
        <f t="shared" ca="1" si="3"/>
        <v>4949.0382037872423</v>
      </c>
      <c r="U41" s="1">
        <f t="shared" ca="1" si="4"/>
        <v>44370</v>
      </c>
      <c r="V41" s="185">
        <f t="shared" ca="1" si="5"/>
        <v>0.97541150998571968</v>
      </c>
      <c r="W41" s="23">
        <f ca="1">MAX(1,_xll.QCap_PortfolioWeightedMaturity($B$2,G41))</f>
        <v>1</v>
      </c>
      <c r="X41" s="140">
        <f ca="1">W41*$C$33*M41*V41*2.33</f>
        <v>1602371.2441968869</v>
      </c>
      <c r="Y41" s="23">
        <f t="shared" ca="1" si="6"/>
        <v>4492.7855652358749</v>
      </c>
      <c r="Z41" s="23">
        <f t="shared" ca="1" si="7"/>
        <v>318694.33902977995</v>
      </c>
    </row>
    <row r="42" spans="1:26" x14ac:dyDescent="0.25">
      <c r="G42" s="19">
        <f ca="1"/>
        <v>44377</v>
      </c>
      <c r="H42" s="8" t="str">
        <f ca="1"/>
        <v>PFE</v>
      </c>
      <c r="I42" s="139">
        <f ca="1"/>
        <v>39750861.245162055</v>
      </c>
      <c r="K42" s="19">
        <f ca="1"/>
        <v>44377</v>
      </c>
      <c r="L42" s="8" t="str">
        <f ca="1"/>
        <v>EAD</v>
      </c>
      <c r="M42" s="149">
        <f ca="1"/>
        <v>25569188.889202334</v>
      </c>
      <c r="N42" s="11">
        <f ca="1">_xll.QCap_BaselK(D68,$C$28,1)</f>
        <v>3.6580014133380204E-2</v>
      </c>
      <c r="O42" s="21">
        <f t="shared" ca="1" si="0"/>
        <v>11691516.136826118</v>
      </c>
      <c r="P42" s="21">
        <f t="shared" ca="1" si="1"/>
        <v>1286066.7750508729</v>
      </c>
      <c r="Q42" s="23">
        <f t="shared" ca="1" si="2"/>
        <v>233830.32273652239</v>
      </c>
      <c r="R42" s="21">
        <f t="shared" ca="1" si="8"/>
        <v>3673.1860862312283</v>
      </c>
      <c r="S42">
        <f ca="1">_xll.QCurves_GetDF($C$18,valDate,K43)</f>
        <v>0.98066900668237478</v>
      </c>
      <c r="T42" s="23">
        <f t="shared" ca="1" si="3"/>
        <v>3602.1797505438985</v>
      </c>
      <c r="U42" s="1">
        <f t="shared" ca="1" si="4"/>
        <v>44377</v>
      </c>
      <c r="V42" s="185">
        <f t="shared" ca="1" si="5"/>
        <v>0.97541150998571968</v>
      </c>
      <c r="W42" s="23">
        <f ca="1">MAX(1,_xll.QCap_PortfolioWeightedMaturity($B$2,G42))</f>
        <v>1</v>
      </c>
      <c r="X42" s="140">
        <f ca="1">W42*$C$33*M42*V42*2.33</f>
        <v>1162226.4212883553</v>
      </c>
      <c r="Y42" s="23">
        <f t="shared" ref="Y42" ca="1" si="11">(K43-K42)/365*X42*0.1462</f>
        <v>3258.6918343739803</v>
      </c>
      <c r="Z42" s="23">
        <f t="shared" ref="Z42" ca="1" si="12">Y42+Z41</f>
        <v>321953.03086415393</v>
      </c>
    </row>
    <row r="43" spans="1:26" x14ac:dyDescent="0.25">
      <c r="B43" s="147" t="s">
        <v>298</v>
      </c>
      <c r="C43" s="153">
        <v>0.45</v>
      </c>
      <c r="G43" s="19">
        <f ca="1"/>
        <v>44384</v>
      </c>
      <c r="H43" s="8" t="str">
        <f ca="1"/>
        <v>PFE</v>
      </c>
      <c r="I43" s="139">
        <f ca="1"/>
        <v>0</v>
      </c>
      <c r="K43" s="19">
        <f ca="1"/>
        <v>44384</v>
      </c>
      <c r="L43" s="8" t="str">
        <f ca="1"/>
        <v>EAD</v>
      </c>
      <c r="M43" s="149">
        <f ca="1"/>
        <v>0</v>
      </c>
      <c r="N43" s="11">
        <f ca="1">_xll.QCap_BaselK(D69,$C$28,1)</f>
        <v>3.6740790995558041E-2</v>
      </c>
      <c r="O43" s="21">
        <f t="shared" ref="O43" ca="1" si="13">M43*N43*12.5</f>
        <v>0</v>
      </c>
      <c r="P43" s="21">
        <f t="shared" ref="P43" ca="1" si="14">O43*$C$22</f>
        <v>0</v>
      </c>
      <c r="Q43" s="23">
        <f t="shared" ref="Q43" ca="1" si="15">O43*$C$23</f>
        <v>0</v>
      </c>
      <c r="R43" s="21"/>
      <c r="S43" s="185"/>
      <c r="T43" s="23"/>
      <c r="U43" s="1"/>
      <c r="V43" s="185"/>
      <c r="W43" s="23"/>
      <c r="Y43" s="23"/>
      <c r="Z43" s="23"/>
    </row>
    <row r="44" spans="1:26" x14ac:dyDescent="0.25">
      <c r="B44" s="147" t="s">
        <v>296</v>
      </c>
      <c r="C44" s="8" t="s">
        <v>52</v>
      </c>
      <c r="G44" s="19" t="e">
        <f ca="1"/>
        <v>#N/A</v>
      </c>
      <c r="H44" s="8" t="e">
        <f ca="1"/>
        <v>#N/A</v>
      </c>
      <c r="I44" s="139" t="e">
        <f ca="1"/>
        <v>#N/A</v>
      </c>
      <c r="K44" s="19" t="e">
        <f ca="1"/>
        <v>#N/A</v>
      </c>
      <c r="L44" s="8" t="e">
        <f ca="1"/>
        <v>#N/A</v>
      </c>
      <c r="M44" s="149" t="e">
        <f ca="1"/>
        <v>#N/A</v>
      </c>
      <c r="N44" s="11"/>
      <c r="O44" s="21"/>
      <c r="P44" s="21"/>
      <c r="Q44" s="23"/>
      <c r="R44" s="21"/>
      <c r="T44" s="23"/>
      <c r="U44" s="1"/>
      <c r="V44" s="23"/>
      <c r="W44" s="23"/>
      <c r="Y44" s="23"/>
      <c r="Z44" s="23"/>
    </row>
    <row r="45" spans="1:26" x14ac:dyDescent="0.25">
      <c r="B45" s="152" t="s">
        <v>295</v>
      </c>
      <c r="C45" s="8" t="str">
        <f ca="1">_xll.QCurves_CreateHazzardCurveFromCDSs(B45,valDate,E36:E41,C43,C44)</f>
        <v>CDSCurve¬4</v>
      </c>
      <c r="G45" s="19" t="e">
        <f ca="1"/>
        <v>#N/A</v>
      </c>
      <c r="H45" s="8" t="e">
        <f ca="1"/>
        <v>#N/A</v>
      </c>
      <c r="I45" s="139" t="e">
        <f ca="1"/>
        <v>#N/A</v>
      </c>
      <c r="K45" s="19" t="e">
        <f ca="1"/>
        <v>#N/A</v>
      </c>
      <c r="L45" s="8" t="e">
        <f ca="1"/>
        <v>#N/A</v>
      </c>
      <c r="M45" s="149" t="e">
        <f ca="1"/>
        <v>#N/A</v>
      </c>
      <c r="N45" s="11"/>
      <c r="O45" s="21"/>
      <c r="P45" s="21"/>
      <c r="Q45" s="23"/>
      <c r="R45" s="21"/>
      <c r="T45" s="23"/>
      <c r="U45" s="1"/>
      <c r="V45" s="23"/>
      <c r="W45" s="23"/>
      <c r="Y45" s="23"/>
      <c r="Z45" s="23"/>
    </row>
    <row r="46" spans="1:26" x14ac:dyDescent="0.25">
      <c r="B46" s="96"/>
      <c r="G46" s="19" t="e">
        <f ca="1"/>
        <v>#N/A</v>
      </c>
      <c r="H46" s="8" t="e">
        <f ca="1"/>
        <v>#N/A</v>
      </c>
      <c r="I46" s="139" t="e">
        <f ca="1"/>
        <v>#N/A</v>
      </c>
      <c r="K46" s="19" t="e">
        <f ca="1"/>
        <v>#N/A</v>
      </c>
      <c r="L46" s="8" t="e">
        <f ca="1"/>
        <v>#N/A</v>
      </c>
      <c r="M46" s="149" t="e">
        <f ca="1"/>
        <v>#N/A</v>
      </c>
      <c r="N46" s="11"/>
      <c r="O46" s="21"/>
      <c r="P46" s="21"/>
      <c r="Q46" s="23"/>
      <c r="R46" s="21"/>
      <c r="T46" s="23"/>
      <c r="U46" s="1"/>
      <c r="V46" s="23"/>
      <c r="W46" s="23"/>
      <c r="Y46" s="23"/>
      <c r="Z46" s="23"/>
    </row>
    <row r="47" spans="1:26" x14ac:dyDescent="0.25">
      <c r="A47" s="3" t="s">
        <v>266</v>
      </c>
      <c r="D47" s="8" t="s">
        <v>297</v>
      </c>
      <c r="E47" s="8"/>
      <c r="G47" s="19" t="e">
        <f ca="1"/>
        <v>#N/A</v>
      </c>
      <c r="H47" s="8" t="e">
        <f ca="1"/>
        <v>#N/A</v>
      </c>
      <c r="I47" s="139" t="e">
        <f ca="1"/>
        <v>#N/A</v>
      </c>
      <c r="K47" s="19" t="e">
        <f ca="1"/>
        <v>#N/A</v>
      </c>
      <c r="L47" s="8" t="e">
        <f ca="1"/>
        <v>#N/A</v>
      </c>
      <c r="M47" s="149" t="e">
        <f ca="1"/>
        <v>#N/A</v>
      </c>
      <c r="N47" s="11"/>
      <c r="O47" s="21"/>
      <c r="P47" s="21"/>
      <c r="Q47" s="23"/>
      <c r="R47" s="21"/>
      <c r="T47" s="23"/>
      <c r="U47" s="1"/>
      <c r="V47" s="23"/>
      <c r="W47" s="23"/>
      <c r="Y47" s="23"/>
      <c r="Z47" s="23"/>
    </row>
    <row r="48" spans="1:26" x14ac:dyDescent="0.25">
      <c r="B48" s="1">
        <f t="array" aca="1" ref="B48:B108" ca="1">_xll.QIns_ComputeSimDates(B2,valDate)</f>
        <v>44238</v>
      </c>
      <c r="D48" s="11">
        <f ca="1">-LN(_xll.QCurves_GetSurvivalProbability($C$45,E48,E48+365))</f>
        <v>9.1888729847614294E-3</v>
      </c>
      <c r="E48" s="211">
        <v>44238</v>
      </c>
      <c r="G48" s="19" t="e">
        <f ca="1"/>
        <v>#N/A</v>
      </c>
      <c r="H48" s="8" t="e">
        <f ca="1"/>
        <v>#N/A</v>
      </c>
      <c r="I48" s="139" t="e">
        <f ca="1"/>
        <v>#N/A</v>
      </c>
      <c r="K48" s="19" t="e">
        <f ca="1"/>
        <v>#N/A</v>
      </c>
      <c r="L48" s="8" t="e">
        <f ca="1"/>
        <v>#N/A</v>
      </c>
      <c r="M48" s="149" t="e">
        <f ca="1"/>
        <v>#N/A</v>
      </c>
      <c r="N48" s="11"/>
      <c r="O48" s="21"/>
      <c r="P48" s="21"/>
      <c r="Q48" s="23"/>
      <c r="R48" s="21"/>
      <c r="T48" s="23"/>
      <c r="U48" s="1"/>
      <c r="V48" s="23"/>
      <c r="W48" s="23"/>
      <c r="Y48" s="23"/>
      <c r="Z48" s="23"/>
    </row>
    <row r="49" spans="2:26" x14ac:dyDescent="0.25">
      <c r="B49" s="1">
        <f ca="1"/>
        <v>44283</v>
      </c>
      <c r="D49" s="11">
        <f ca="1">-LN(_xll.QCurves_GetSurvivalProbability($C$45,E49,E49+365))</f>
        <v>9.2451083726827477E-3</v>
      </c>
      <c r="E49" s="211">
        <v>44244</v>
      </c>
      <c r="G49" s="19" t="e">
        <f ca="1"/>
        <v>#N/A</v>
      </c>
      <c r="H49" s="8" t="e">
        <f ca="1"/>
        <v>#N/A</v>
      </c>
      <c r="I49" s="139" t="e">
        <f ca="1"/>
        <v>#N/A</v>
      </c>
      <c r="K49" s="19" t="e">
        <f ca="1"/>
        <v>#N/A</v>
      </c>
      <c r="L49" s="8" t="e">
        <f ca="1"/>
        <v>#N/A</v>
      </c>
      <c r="M49" s="149" t="e">
        <f ca="1"/>
        <v>#N/A</v>
      </c>
      <c r="N49" s="11"/>
      <c r="O49" s="21"/>
      <c r="P49" s="21"/>
      <c r="Q49" s="23"/>
      <c r="R49" s="21"/>
      <c r="T49" s="23"/>
      <c r="U49" s="1"/>
      <c r="V49" s="23"/>
      <c r="W49" s="23"/>
      <c r="Y49" s="23"/>
      <c r="Z49" s="23"/>
    </row>
    <row r="50" spans="2:26" x14ac:dyDescent="0.25">
      <c r="B50" s="1">
        <f ca="1"/>
        <v>44314</v>
      </c>
      <c r="D50" s="11">
        <f ca="1">-LN(_xll.QCurves_GetSurvivalProbability($C$45,E50,E50+365))</f>
        <v>9.3130152562102223E-3</v>
      </c>
      <c r="E50" s="211">
        <v>44251</v>
      </c>
      <c r="G50" s="19" t="e">
        <f ca="1"/>
        <v>#N/A</v>
      </c>
      <c r="H50" s="8" t="e">
        <f ca="1"/>
        <v>#N/A</v>
      </c>
      <c r="I50" s="139" t="e">
        <f ca="1"/>
        <v>#N/A</v>
      </c>
      <c r="K50" s="19" t="e">
        <f ca="1"/>
        <v>#N/A</v>
      </c>
      <c r="L50" s="8" t="e">
        <f ca="1"/>
        <v>#N/A</v>
      </c>
      <c r="M50" s="149" t="e">
        <f ca="1"/>
        <v>#N/A</v>
      </c>
      <c r="N50" s="21"/>
      <c r="P50" s="21"/>
      <c r="Q50" s="23"/>
      <c r="T50" s="23"/>
      <c r="U50" s="1"/>
      <c r="V50" s="23"/>
      <c r="W50" s="23"/>
      <c r="Y50" s="23"/>
      <c r="Z50" s="23"/>
    </row>
    <row r="51" spans="2:26" x14ac:dyDescent="0.25">
      <c r="B51" s="1">
        <f ca="1"/>
        <v>44344</v>
      </c>
      <c r="D51" s="11">
        <f ca="1">-LN(_xll.QCurves_GetSurvivalProbability($C$45,E51,E51+365))</f>
        <v>9.383397911533203E-3</v>
      </c>
      <c r="E51" s="211">
        <v>44258</v>
      </c>
      <c r="G51" s="19" t="e">
        <f ca="1"/>
        <v>#N/A</v>
      </c>
      <c r="H51" s="8" t="e">
        <f ca="1"/>
        <v>#N/A</v>
      </c>
      <c r="I51" s="139" t="e">
        <f ca="1"/>
        <v>#N/A</v>
      </c>
      <c r="K51" s="19" t="e">
        <f ca="1"/>
        <v>#N/A</v>
      </c>
      <c r="L51" s="8" t="e">
        <f ca="1"/>
        <v>#N/A</v>
      </c>
      <c r="M51" s="149" t="e">
        <f ca="1"/>
        <v>#N/A</v>
      </c>
      <c r="N51" s="21"/>
      <c r="P51" s="21"/>
      <c r="Q51" s="23"/>
      <c r="T51" s="23"/>
      <c r="U51" s="1"/>
      <c r="V51" s="23"/>
      <c r="W51" s="23"/>
      <c r="Y51" s="23"/>
      <c r="Z51" s="23"/>
    </row>
    <row r="52" spans="2:26" x14ac:dyDescent="0.25">
      <c r="B52" s="1">
        <f ca="1"/>
        <v>44375</v>
      </c>
      <c r="D52" s="11">
        <f ca="1">-LN(_xll.QCurves_GetSurvivalProbability($C$45,E52,E52+365))</f>
        <v>9.4562563386514295E-3</v>
      </c>
      <c r="E52" s="211">
        <v>44265</v>
      </c>
      <c r="G52" t="e">
        <f ca="1"/>
        <v>#N/A</v>
      </c>
      <c r="H52" t="e">
        <f ca="1"/>
        <v>#N/A</v>
      </c>
      <c r="I52" t="e">
        <f ca="1"/>
        <v>#N/A</v>
      </c>
      <c r="K52" s="19" t="e">
        <f ca="1"/>
        <v>#N/A</v>
      </c>
      <c r="L52" s="8" t="e">
        <f ca="1"/>
        <v>#N/A</v>
      </c>
      <c r="M52" s="139" t="e">
        <f ca="1"/>
        <v>#N/A</v>
      </c>
      <c r="N52" s="21"/>
      <c r="P52" s="21"/>
      <c r="Q52" s="23"/>
      <c r="T52" s="23"/>
      <c r="U52" s="1"/>
      <c r="V52" s="23"/>
      <c r="W52" s="23"/>
      <c r="Y52" s="23"/>
      <c r="Z52" s="23"/>
    </row>
    <row r="53" spans="2:26" x14ac:dyDescent="0.25">
      <c r="B53" s="1">
        <f ca="1"/>
        <v>44405</v>
      </c>
      <c r="D53" s="11">
        <f ca="1">-LN(_xll.QCurves_GetSurvivalProbability($C$45,E53,E53+365))</f>
        <v>9.5315905375648134E-3</v>
      </c>
      <c r="E53" s="211">
        <v>44272</v>
      </c>
      <c r="G53" t="e">
        <f ca="1"/>
        <v>#N/A</v>
      </c>
      <c r="H53" t="e">
        <f ca="1"/>
        <v>#N/A</v>
      </c>
      <c r="I53" t="e">
        <f ca="1"/>
        <v>#N/A</v>
      </c>
      <c r="K53" s="19" t="e">
        <f ca="1"/>
        <v>#N/A</v>
      </c>
      <c r="L53" s="8" t="e">
        <f ca="1"/>
        <v>#N/A</v>
      </c>
      <c r="M53" s="139" t="e">
        <f ca="1"/>
        <v>#N/A</v>
      </c>
      <c r="N53" s="21"/>
      <c r="P53" s="21"/>
      <c r="Q53" s="23"/>
      <c r="T53" s="23"/>
      <c r="U53" s="1"/>
      <c r="V53" s="23"/>
      <c r="W53" s="23"/>
      <c r="Y53" s="23"/>
      <c r="Z53" s="23"/>
    </row>
    <row r="54" spans="2:26" x14ac:dyDescent="0.25">
      <c r="B54" s="1" t="e">
        <f ca="1"/>
        <v>#N/A</v>
      </c>
      <c r="D54" s="11">
        <f ca="1">-LN(_xll.QCurves_GetSurvivalProbability($C$45,E54,E54+365))</f>
        <v>9.6094005082734742E-3</v>
      </c>
      <c r="E54" s="211">
        <v>44279</v>
      </c>
      <c r="G54" t="e">
        <f ca="1"/>
        <v>#N/A</v>
      </c>
      <c r="H54" t="e">
        <f ca="1"/>
        <v>#N/A</v>
      </c>
      <c r="I54" t="e">
        <f ca="1"/>
        <v>#N/A</v>
      </c>
      <c r="K54" t="e">
        <f ca="1"/>
        <v>#N/A</v>
      </c>
      <c r="L54" t="e">
        <f ca="1"/>
        <v>#N/A</v>
      </c>
      <c r="M54" t="e">
        <f ca="1"/>
        <v>#N/A</v>
      </c>
      <c r="N54" s="21"/>
      <c r="P54" s="21"/>
      <c r="Q54" s="23"/>
      <c r="T54" s="23"/>
      <c r="U54" s="1"/>
      <c r="V54" s="23"/>
      <c r="W54" s="23"/>
      <c r="Y54" s="23"/>
      <c r="Z54" s="23"/>
    </row>
    <row r="55" spans="2:26" x14ac:dyDescent="0.25">
      <c r="B55" s="1" t="e">
        <f ca="1"/>
        <v>#N/A</v>
      </c>
      <c r="D55" s="11">
        <f ca="1">-LN(_xll.QCurves_GetSurvivalProbability($C$45,E55,E55+365))</f>
        <v>9.6896862507774347E-3</v>
      </c>
      <c r="E55" s="211">
        <v>44286</v>
      </c>
      <c r="G55" t="e">
        <f ca="1"/>
        <v>#N/A</v>
      </c>
      <c r="H55" t="e">
        <f ca="1"/>
        <v>#N/A</v>
      </c>
      <c r="I55" t="e">
        <f ca="1"/>
        <v>#N/A</v>
      </c>
      <c r="K55" t="e">
        <f ca="1"/>
        <v>#N/A</v>
      </c>
      <c r="L55" t="e">
        <f ca="1"/>
        <v>#N/A</v>
      </c>
      <c r="M55" t="e">
        <f ca="1"/>
        <v>#N/A</v>
      </c>
      <c r="N55" s="21"/>
      <c r="P55" s="21"/>
      <c r="Q55" s="23"/>
      <c r="T55" s="23"/>
      <c r="U55" s="1"/>
      <c r="V55" s="23"/>
      <c r="W55" s="23"/>
      <c r="Y55" s="23"/>
      <c r="Z55" s="23"/>
    </row>
    <row r="56" spans="2:26" x14ac:dyDescent="0.25">
      <c r="B56" s="1" t="e">
        <f ca="1"/>
        <v>#N/A</v>
      </c>
      <c r="D56" s="11">
        <f ca="1">-LN(_xll.QCurves_GetSurvivalProbability($C$45,E56,E56+365))</f>
        <v>9.7724477650767642E-3</v>
      </c>
      <c r="E56" s="211">
        <v>44293</v>
      </c>
      <c r="G56" t="e">
        <f ca="1"/>
        <v>#N/A</v>
      </c>
      <c r="H56" t="e">
        <f ca="1"/>
        <v>#N/A</v>
      </c>
      <c r="I56" t="e">
        <f ca="1"/>
        <v>#N/A</v>
      </c>
      <c r="K56" t="e">
        <f ca="1"/>
        <v>#N/A</v>
      </c>
      <c r="L56" t="e">
        <f ca="1"/>
        <v>#N/A</v>
      </c>
      <c r="M56" t="e">
        <f ca="1"/>
        <v>#N/A</v>
      </c>
      <c r="N56" s="21"/>
      <c r="P56" s="21"/>
      <c r="Q56" s="23"/>
      <c r="T56" s="23"/>
      <c r="U56" s="1"/>
      <c r="V56" s="23"/>
      <c r="W56" s="23"/>
      <c r="Y56" s="23"/>
      <c r="Z56" s="23"/>
    </row>
    <row r="57" spans="2:26" x14ac:dyDescent="0.25">
      <c r="B57" s="1" t="e">
        <f ca="1"/>
        <v>#N/A</v>
      </c>
      <c r="D57" s="11">
        <f ca="1">-LN(_xll.QCurves_GetSurvivalProbability($C$45,E57,E57+365))</f>
        <v>9.857685051171277E-3</v>
      </c>
      <c r="E57" s="211">
        <v>44300</v>
      </c>
      <c r="G57" t="e">
        <f ca="1"/>
        <v>#N/A</v>
      </c>
      <c r="H57" t="e">
        <f ca="1"/>
        <v>#N/A</v>
      </c>
      <c r="I57" t="e">
        <f ca="1"/>
        <v>#N/A</v>
      </c>
      <c r="K57" t="e">
        <f ca="1"/>
        <v>#N/A</v>
      </c>
      <c r="L57" t="e">
        <f ca="1"/>
        <v>#N/A</v>
      </c>
      <c r="M57" t="e">
        <f ca="1"/>
        <v>#N/A</v>
      </c>
      <c r="N57" s="21"/>
      <c r="P57" s="21"/>
      <c r="Q57" s="23"/>
      <c r="T57" s="23"/>
      <c r="U57" s="1"/>
      <c r="V57" s="23"/>
      <c r="W57" s="23"/>
      <c r="Y57" s="23"/>
      <c r="Z57" s="23"/>
    </row>
    <row r="58" spans="2:26" x14ac:dyDescent="0.25">
      <c r="B58" s="1" t="e">
        <f ca="1"/>
        <v>#N/A</v>
      </c>
      <c r="D58" s="11">
        <f ca="1">-LN(_xll.QCurves_GetSurvivalProbability($C$45,E58,E58+365))</f>
        <v>9.9453981090611137E-3</v>
      </c>
      <c r="E58" s="211">
        <v>44307</v>
      </c>
      <c r="G58" t="e">
        <f ca="1"/>
        <v>#N/A</v>
      </c>
      <c r="H58" t="e">
        <f ca="1"/>
        <v>#N/A</v>
      </c>
      <c r="I58" t="e">
        <f ca="1"/>
        <v>#N/A</v>
      </c>
      <c r="K58" t="e">
        <f ca="1"/>
        <v>#N/A</v>
      </c>
      <c r="L58" t="e">
        <f ca="1"/>
        <v>#N/A</v>
      </c>
      <c r="M58" t="e">
        <f ca="1"/>
        <v>#N/A</v>
      </c>
      <c r="N58" s="21"/>
      <c r="P58" s="21"/>
      <c r="Q58" s="23"/>
      <c r="T58" s="23"/>
      <c r="U58" s="1"/>
      <c r="V58" s="23"/>
      <c r="W58" s="23"/>
      <c r="Y58" s="23"/>
      <c r="Z58" s="23"/>
    </row>
    <row r="59" spans="2:26" x14ac:dyDescent="0.25">
      <c r="B59" s="1" t="e">
        <f ca="1"/>
        <v>#N/A</v>
      </c>
      <c r="D59" s="11">
        <f ca="1">-LN(_xll.QCurves_GetSurvivalProbability($C$45,E59,E59+365))</f>
        <v>1.0035586938746323E-2</v>
      </c>
      <c r="E59" s="211">
        <v>44314</v>
      </c>
      <c r="G59" t="e">
        <f ca="1"/>
        <v>#N/A</v>
      </c>
      <c r="H59" t="e">
        <f ca="1"/>
        <v>#N/A</v>
      </c>
      <c r="I59" t="e">
        <f ca="1"/>
        <v>#N/A</v>
      </c>
      <c r="K59" t="e">
        <f ca="1"/>
        <v>#N/A</v>
      </c>
      <c r="L59" t="e">
        <f ca="1"/>
        <v>#N/A</v>
      </c>
      <c r="M59" t="e">
        <f ca="1"/>
        <v>#N/A</v>
      </c>
      <c r="N59" s="21"/>
      <c r="P59" s="21"/>
      <c r="Q59" s="23"/>
      <c r="T59" s="23"/>
      <c r="U59" s="1"/>
      <c r="V59" s="23"/>
      <c r="W59" s="23"/>
      <c r="Y59" s="23"/>
      <c r="Z59" s="23"/>
    </row>
    <row r="60" spans="2:26" x14ac:dyDescent="0.25">
      <c r="B60" s="1" t="e">
        <f ca="1"/>
        <v>#N/A</v>
      </c>
      <c r="D60" s="11">
        <f ca="1">-LN(_xll.QCurves_GetSurvivalProbability($C$45,E60,E60+365))</f>
        <v>1.0128251540226663E-2</v>
      </c>
      <c r="E60" s="211">
        <v>44321</v>
      </c>
      <c r="G60" t="e">
        <f ca="1"/>
        <v>#N/A</v>
      </c>
      <c r="H60" t="e">
        <f ca="1"/>
        <v>#N/A</v>
      </c>
      <c r="I60" t="e">
        <f ca="1"/>
        <v>#N/A</v>
      </c>
      <c r="K60" t="e">
        <f ca="1"/>
        <v>#N/A</v>
      </c>
      <c r="L60" t="e">
        <f ca="1"/>
        <v>#N/A</v>
      </c>
      <c r="M60" t="e">
        <f ca="1"/>
        <v>#N/A</v>
      </c>
      <c r="N60" s="21"/>
      <c r="P60" s="21"/>
      <c r="Q60" s="23"/>
      <c r="T60" s="23"/>
      <c r="U60" s="1"/>
      <c r="V60" s="23"/>
      <c r="W60" s="23"/>
      <c r="Y60" s="23"/>
      <c r="Z60" s="23"/>
    </row>
    <row r="61" spans="2:26" x14ac:dyDescent="0.25">
      <c r="B61" s="1" t="e">
        <f ca="1"/>
        <v>#N/A</v>
      </c>
      <c r="D61" s="11">
        <f ca="1">-LN(_xll.QCurves_GetSurvivalProbability($C$45,E61,E61+365))</f>
        <v>1.0223391913502302E-2</v>
      </c>
      <c r="E61" s="211">
        <v>44328</v>
      </c>
      <c r="G61" t="e">
        <f ca="1"/>
        <v>#N/A</v>
      </c>
      <c r="H61" t="e">
        <f ca="1"/>
        <v>#N/A</v>
      </c>
      <c r="I61" t="e">
        <f ca="1"/>
        <v>#N/A</v>
      </c>
      <c r="K61" t="e">
        <f ca="1"/>
        <v>#N/A</v>
      </c>
      <c r="L61" t="e">
        <f ca="1"/>
        <v>#N/A</v>
      </c>
      <c r="M61" t="e">
        <f ca="1"/>
        <v>#N/A</v>
      </c>
      <c r="N61" s="21"/>
      <c r="P61" s="21"/>
      <c r="Q61" s="23"/>
      <c r="T61" s="23"/>
      <c r="U61" s="1"/>
      <c r="V61" s="23"/>
      <c r="W61" s="23"/>
      <c r="Y61" s="23"/>
      <c r="Z61" s="23"/>
    </row>
    <row r="62" spans="2:26" x14ac:dyDescent="0.25">
      <c r="B62" s="1" t="e">
        <f ca="1"/>
        <v>#N/A</v>
      </c>
      <c r="D62" s="11">
        <f ca="1">-LN(_xll.QCurves_GetSurvivalProbability($C$45,E62,E62+365))</f>
        <v>1.0321008058573271E-2</v>
      </c>
      <c r="E62" s="211">
        <v>44335</v>
      </c>
      <c r="G62" t="e">
        <f ca="1"/>
        <v>#N/A</v>
      </c>
      <c r="H62" t="e">
        <f ca="1"/>
        <v>#N/A</v>
      </c>
      <c r="I62" t="e">
        <f ca="1"/>
        <v>#N/A</v>
      </c>
      <c r="K62" t="e">
        <f ca="1"/>
        <v>#N/A</v>
      </c>
      <c r="L62" t="e">
        <f ca="1"/>
        <v>#N/A</v>
      </c>
      <c r="M62" t="e">
        <f ca="1"/>
        <v>#N/A</v>
      </c>
      <c r="N62" s="21"/>
      <c r="P62" s="21"/>
      <c r="Q62" s="23"/>
      <c r="T62" s="23"/>
      <c r="U62" s="1"/>
      <c r="V62" s="23"/>
      <c r="W62" s="23"/>
      <c r="Y62" s="23"/>
      <c r="Z62" s="23"/>
    </row>
    <row r="63" spans="2:26" x14ac:dyDescent="0.25">
      <c r="B63" s="1" t="e">
        <f ca="1"/>
        <v>#N/A</v>
      </c>
      <c r="D63" s="11">
        <f ca="1">-LN(_xll.QCurves_GetSurvivalProbability($C$45,E63,E63+365))</f>
        <v>1.0421099975439494E-2</v>
      </c>
      <c r="E63" s="211">
        <v>44342</v>
      </c>
      <c r="Z63" s="23"/>
    </row>
    <row r="64" spans="2:26" x14ac:dyDescent="0.25">
      <c r="B64" s="1" t="e">
        <f ca="1"/>
        <v>#N/A</v>
      </c>
      <c r="D64" s="11">
        <f ca="1">-LN(_xll.QCurves_GetSurvivalProbability($C$45,E64,E64+365))</f>
        <v>1.0523667664100922E-2</v>
      </c>
      <c r="E64" s="211">
        <v>44349</v>
      </c>
      <c r="Z64" s="23"/>
    </row>
    <row r="65" spans="2:26" x14ac:dyDescent="0.25">
      <c r="B65" s="1" t="e">
        <f ca="1"/>
        <v>#N/A</v>
      </c>
      <c r="D65" s="11">
        <f ca="1">-LN(_xll.QCurves_GetSurvivalProbability($C$45,E65,E65+365))</f>
        <v>1.062871112455766E-2</v>
      </c>
      <c r="E65" s="211">
        <v>44356</v>
      </c>
      <c r="Z65" s="23"/>
    </row>
    <row r="66" spans="2:26" x14ac:dyDescent="0.25">
      <c r="B66" s="1" t="e">
        <f ca="1"/>
        <v>#N/A</v>
      </c>
      <c r="D66" s="11">
        <f ca="1">-LN(_xll.QCurves_GetSurvivalProbability($C$45,E66,E66+365))</f>
        <v>1.073623035680977E-2</v>
      </c>
      <c r="E66" s="211">
        <v>44363</v>
      </c>
      <c r="Z66" s="23"/>
    </row>
    <row r="67" spans="2:26" x14ac:dyDescent="0.25">
      <c r="B67" s="1" t="e">
        <f ca="1"/>
        <v>#N/A</v>
      </c>
      <c r="D67" s="11">
        <f ca="1">-LN(_xll.QCurves_GetSurvivalProbability($C$45,E67,E67+365))</f>
        <v>1.0846225360857064E-2</v>
      </c>
      <c r="E67" s="211">
        <v>44370</v>
      </c>
      <c r="Z67" s="23"/>
    </row>
    <row r="68" spans="2:26" x14ac:dyDescent="0.25">
      <c r="B68" s="1" t="e">
        <f ca="1"/>
        <v>#N/A</v>
      </c>
      <c r="D68" s="11">
        <f ca="1">-LN(_xll.QCurves_GetSurvivalProbability($C$45,E68,E68+365))</f>
        <v>1.095869613669968E-2</v>
      </c>
      <c r="E68" s="211">
        <v>44377</v>
      </c>
      <c r="Z68" s="23"/>
    </row>
    <row r="69" spans="2:26" x14ac:dyDescent="0.25">
      <c r="B69" s="1" t="e">
        <f ca="1"/>
        <v>#N/A</v>
      </c>
      <c r="D69" s="11">
        <f ca="1">-LN(_xll.QCurves_GetSurvivalProbability($C$45,E69,E69+365))</f>
        <v>1.1073642684337552E-2</v>
      </c>
      <c r="E69" s="211">
        <f ca="1">E68+7</f>
        <v>44384</v>
      </c>
      <c r="Z69" s="23"/>
    </row>
    <row r="70" spans="2:26" x14ac:dyDescent="0.25">
      <c r="B70" s="1" t="e">
        <f ca="1"/>
        <v>#N/A</v>
      </c>
      <c r="D70" s="11">
        <f ca="1">-LN(_xll.QCurves_GetSurvivalProbability($C$45,E70,E70+365))</f>
        <v>9.1888729847613183E-3</v>
      </c>
      <c r="E70" s="211"/>
      <c r="Z70" s="23"/>
    </row>
    <row r="71" spans="2:26" x14ac:dyDescent="0.25">
      <c r="B71" s="1" t="e">
        <f ca="1"/>
        <v>#N/A</v>
      </c>
      <c r="D71" s="11">
        <f ca="1">-LN(_xll.QCurves_GetSurvivalProbability($C$45,E71,E71+365))</f>
        <v>9.1888729847613183E-3</v>
      </c>
      <c r="E71" s="211"/>
      <c r="Z71" s="23"/>
    </row>
    <row r="72" spans="2:26" x14ac:dyDescent="0.25">
      <c r="B72" s="1" t="e">
        <f ca="1"/>
        <v>#N/A</v>
      </c>
      <c r="D72" s="11">
        <f ca="1">-LN(_xll.QCurves_GetSurvivalProbability($C$45,E72,E72+365))</f>
        <v>9.1888729847613183E-3</v>
      </c>
      <c r="E72" s="211"/>
      <c r="Z72" s="23"/>
    </row>
    <row r="73" spans="2:26" x14ac:dyDescent="0.25">
      <c r="B73" s="1" t="e">
        <f ca="1"/>
        <v>#N/A</v>
      </c>
      <c r="D73" s="11">
        <f ca="1">-LN(_xll.QCurves_GetSurvivalProbability($C$45,E73,E73+365))</f>
        <v>9.1888729847613183E-3</v>
      </c>
      <c r="E73" s="211"/>
      <c r="Z73" s="23"/>
    </row>
    <row r="74" spans="2:26" x14ac:dyDescent="0.25">
      <c r="B74" s="1" t="e">
        <f ca="1"/>
        <v>#N/A</v>
      </c>
      <c r="D74" s="11">
        <f ca="1">-LN(_xll.QCurves_GetSurvivalProbability($C$45,E74,E74+365))</f>
        <v>9.1888729847613183E-3</v>
      </c>
      <c r="E74" s="211"/>
      <c r="Z74" s="23"/>
    </row>
    <row r="75" spans="2:26" x14ac:dyDescent="0.25">
      <c r="B75" s="1" t="e">
        <f ca="1"/>
        <v>#N/A</v>
      </c>
      <c r="D75" s="11">
        <f ca="1">-LN(_xll.QCurves_GetSurvivalProbability($C$45,E75,E75+365))</f>
        <v>9.1888729847613183E-3</v>
      </c>
      <c r="Z75" s="23"/>
    </row>
    <row r="76" spans="2:26" x14ac:dyDescent="0.25">
      <c r="B76" s="1" t="e">
        <f ca="1"/>
        <v>#N/A</v>
      </c>
      <c r="Z76" s="23"/>
    </row>
    <row r="77" spans="2:26" x14ac:dyDescent="0.25">
      <c r="B77" s="1" t="e">
        <f ca="1"/>
        <v>#N/A</v>
      </c>
      <c r="Z77" s="23"/>
    </row>
    <row r="78" spans="2:26" x14ac:dyDescent="0.25">
      <c r="B78" s="1" t="e">
        <f ca="1"/>
        <v>#N/A</v>
      </c>
      <c r="Z78" s="23"/>
    </row>
    <row r="79" spans="2:26" x14ac:dyDescent="0.25">
      <c r="B79" s="1" t="e">
        <f ca="1"/>
        <v>#N/A</v>
      </c>
      <c r="Z79" s="23"/>
    </row>
    <row r="80" spans="2:26" x14ac:dyDescent="0.25">
      <c r="B80" s="1" t="e">
        <f ca="1"/>
        <v>#N/A</v>
      </c>
      <c r="Z80" s="23"/>
    </row>
    <row r="81" spans="2:26" x14ac:dyDescent="0.25">
      <c r="B81" s="1" t="e">
        <f ca="1"/>
        <v>#N/A</v>
      </c>
      <c r="Z81" s="23"/>
    </row>
    <row r="82" spans="2:26" x14ac:dyDescent="0.25">
      <c r="B82" s="1" t="e">
        <f ca="1"/>
        <v>#N/A</v>
      </c>
      <c r="Z82" s="23"/>
    </row>
    <row r="83" spans="2:26" x14ac:dyDescent="0.25">
      <c r="B83" s="1" t="e">
        <f ca="1"/>
        <v>#N/A</v>
      </c>
      <c r="Z83" s="23"/>
    </row>
    <row r="84" spans="2:26" x14ac:dyDescent="0.25">
      <c r="B84" s="1" t="e">
        <f ca="1"/>
        <v>#N/A</v>
      </c>
      <c r="Z84" s="23"/>
    </row>
    <row r="85" spans="2:26" x14ac:dyDescent="0.25">
      <c r="B85" s="1" t="e">
        <f ca="1"/>
        <v>#N/A</v>
      </c>
      <c r="Z85" s="23"/>
    </row>
    <row r="86" spans="2:26" x14ac:dyDescent="0.25">
      <c r="B86" s="1" t="e">
        <f ca="1"/>
        <v>#N/A</v>
      </c>
      <c r="Z86" s="23"/>
    </row>
    <row r="87" spans="2:26" x14ac:dyDescent="0.25">
      <c r="B87" s="1" t="e">
        <f ca="1"/>
        <v>#N/A</v>
      </c>
      <c r="Z87" s="23"/>
    </row>
    <row r="88" spans="2:26" x14ac:dyDescent="0.25">
      <c r="B88" s="1" t="e">
        <f ca="1"/>
        <v>#N/A</v>
      </c>
      <c r="Z88" s="23"/>
    </row>
    <row r="89" spans="2:26" x14ac:dyDescent="0.25">
      <c r="B89" s="1" t="e">
        <f ca="1"/>
        <v>#N/A</v>
      </c>
      <c r="Z89" s="23"/>
    </row>
    <row r="90" spans="2:26" x14ac:dyDescent="0.25">
      <c r="B90" s="1" t="e">
        <f ca="1"/>
        <v>#N/A</v>
      </c>
      <c r="Z90" s="23"/>
    </row>
    <row r="91" spans="2:26" x14ac:dyDescent="0.25">
      <c r="B91" s="1" t="e">
        <f ca="1"/>
        <v>#N/A</v>
      </c>
      <c r="Z91" s="23"/>
    </row>
    <row r="92" spans="2:26" x14ac:dyDescent="0.25">
      <c r="B92" s="1" t="e">
        <f ca="1"/>
        <v>#N/A</v>
      </c>
      <c r="Z92" s="23"/>
    </row>
    <row r="93" spans="2:26" x14ac:dyDescent="0.25">
      <c r="B93" s="1" t="e">
        <f ca="1"/>
        <v>#N/A</v>
      </c>
      <c r="Z93" s="23"/>
    </row>
    <row r="94" spans="2:26" x14ac:dyDescent="0.25">
      <c r="B94" s="1" t="e">
        <f ca="1"/>
        <v>#N/A</v>
      </c>
      <c r="Z94" s="23"/>
    </row>
    <row r="95" spans="2:26" x14ac:dyDescent="0.25">
      <c r="B95" s="1" t="e">
        <f ca="1"/>
        <v>#N/A</v>
      </c>
      <c r="Z95" s="23"/>
    </row>
    <row r="96" spans="2:26" x14ac:dyDescent="0.25">
      <c r="B96" s="1" t="e">
        <f ca="1"/>
        <v>#N/A</v>
      </c>
      <c r="Z96" s="23"/>
    </row>
    <row r="97" spans="2:26" x14ac:dyDescent="0.25">
      <c r="B97" t="e">
        <f ca="1"/>
        <v>#N/A</v>
      </c>
      <c r="Z97" s="23"/>
    </row>
    <row r="98" spans="2:26" x14ac:dyDescent="0.25">
      <c r="B98" t="e">
        <f ca="1"/>
        <v>#N/A</v>
      </c>
      <c r="Z98" s="23"/>
    </row>
    <row r="99" spans="2:26" x14ac:dyDescent="0.25">
      <c r="B99" t="e">
        <f ca="1"/>
        <v>#N/A</v>
      </c>
      <c r="Z99" s="23"/>
    </row>
    <row r="100" spans="2:26" x14ac:dyDescent="0.25">
      <c r="B100" t="e">
        <f ca="1"/>
        <v>#N/A</v>
      </c>
      <c r="Z100" s="23"/>
    </row>
    <row r="101" spans="2:26" x14ac:dyDescent="0.25">
      <c r="B101" t="e">
        <f ca="1"/>
        <v>#N/A</v>
      </c>
      <c r="Z101" s="23"/>
    </row>
    <row r="102" spans="2:26" x14ac:dyDescent="0.25">
      <c r="B102" t="e">
        <f ca="1"/>
        <v>#N/A</v>
      </c>
      <c r="Z102" s="23"/>
    </row>
    <row r="103" spans="2:26" x14ac:dyDescent="0.25">
      <c r="B103" t="e">
        <f ca="1"/>
        <v>#N/A</v>
      </c>
      <c r="Z103" s="23"/>
    </row>
    <row r="104" spans="2:26" x14ac:dyDescent="0.25">
      <c r="B104" t="e">
        <f ca="1"/>
        <v>#N/A</v>
      </c>
      <c r="Z104" s="23"/>
    </row>
    <row r="105" spans="2:26" x14ac:dyDescent="0.25">
      <c r="B105" t="e">
        <f ca="1"/>
        <v>#N/A</v>
      </c>
      <c r="Z105" s="23"/>
    </row>
    <row r="106" spans="2:26" x14ac:dyDescent="0.25">
      <c r="B106" t="e">
        <f ca="1"/>
        <v>#N/A</v>
      </c>
      <c r="Z106" s="23"/>
    </row>
    <row r="107" spans="2:26" x14ac:dyDescent="0.25">
      <c r="B107" t="e">
        <f ca="1"/>
        <v>#N/A</v>
      </c>
      <c r="Z107" s="23"/>
    </row>
    <row r="108" spans="2:26" x14ac:dyDescent="0.25">
      <c r="B108" t="e">
        <f ca="1"/>
        <v>#N/A</v>
      </c>
      <c r="Z108" s="23"/>
    </row>
  </sheetData>
  <dataValidations count="2">
    <dataValidation type="list" allowBlank="1" showInputMessage="1" showErrorMessage="1" sqref="B4" xr:uid="{750F832C-4335-4782-9965-C031444F4F6C}">
      <formula1>"On,Off"</formula1>
    </dataValidation>
    <dataValidation type="list" allowBlank="1" showInputMessage="1" showErrorMessage="1" sqref="C17" xr:uid="{252B4D13-6A59-4580-AC3C-CC05A22D5AC1}">
      <formula1>"MultiLinear,MonoLinear"</formula1>
    </dataValidation>
  </dataValidations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23CC367-8072-48ED-9EAD-A7963DF6A888}">
          <x14:formula1>
            <xm:f>Static!$H$36:$M$36</xm:f>
          </x14:formula1>
          <xm:sqref>C29</xm:sqref>
        </x14:dataValidation>
        <x14:dataValidation type="list" allowBlank="1" showInputMessage="1" showErrorMessage="1" xr:uid="{DE967358-505E-4C87-AC84-8663E454E8E0}">
          <x14:formula1>
            <xm:f>Static!B$37:B$62</xm:f>
          </x14:formula1>
          <xm:sqref>C27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86AE6-9DC6-479A-B2B4-0900DD083846}">
  <sheetPr codeName="Sheet12"/>
  <dimension ref="A1:V62"/>
  <sheetViews>
    <sheetView workbookViewId="0">
      <selection activeCell="H35" sqref="H35"/>
    </sheetView>
  </sheetViews>
  <sheetFormatPr defaultRowHeight="15" x14ac:dyDescent="0.25"/>
  <cols>
    <col min="1" max="1" width="11.7109375" bestFit="1" customWidth="1"/>
    <col min="6" max="6" width="11.85546875" bestFit="1" customWidth="1"/>
    <col min="8" max="8" width="14" bestFit="1" customWidth="1"/>
    <col min="11" max="11" width="10" customWidth="1"/>
    <col min="17" max="17" width="16.85546875" bestFit="1" customWidth="1"/>
  </cols>
  <sheetData>
    <row r="1" spans="1:9" x14ac:dyDescent="0.25">
      <c r="A1" s="2" t="s">
        <v>190</v>
      </c>
    </row>
    <row r="2" spans="1:9" x14ac:dyDescent="0.25">
      <c r="B2" s="96" t="s">
        <v>116</v>
      </c>
      <c r="C2" s="96" t="s">
        <v>170</v>
      </c>
      <c r="D2" s="96" t="s">
        <v>189</v>
      </c>
      <c r="E2" s="96" t="s">
        <v>195</v>
      </c>
      <c r="F2" s="96" t="s">
        <v>116</v>
      </c>
      <c r="G2" s="96" t="s">
        <v>316</v>
      </c>
      <c r="H2" s="171" t="s">
        <v>116</v>
      </c>
      <c r="I2" s="171" t="s">
        <v>317</v>
      </c>
    </row>
    <row r="3" spans="1:9" x14ac:dyDescent="0.25">
      <c r="B3" t="s">
        <v>129</v>
      </c>
      <c r="C3" t="s">
        <v>191</v>
      </c>
      <c r="D3" t="s">
        <v>192</v>
      </c>
      <c r="E3" t="b">
        <v>0</v>
      </c>
      <c r="F3" t="s">
        <v>129</v>
      </c>
      <c r="G3" s="172">
        <v>0.18</v>
      </c>
      <c r="H3" t="str">
        <f>B3</f>
        <v>CO</v>
      </c>
      <c r="I3" t="s">
        <v>318</v>
      </c>
    </row>
    <row r="4" spans="1:9" x14ac:dyDescent="0.25">
      <c r="B4" t="s">
        <v>134</v>
      </c>
      <c r="C4" t="s">
        <v>191</v>
      </c>
      <c r="D4" t="s">
        <v>192</v>
      </c>
      <c r="E4" t="b">
        <v>0</v>
      </c>
      <c r="F4" t="s">
        <v>134</v>
      </c>
      <c r="G4" s="172">
        <v>0.18</v>
      </c>
      <c r="H4" t="str">
        <f t="shared" ref="H4:H21" si="0">B4</f>
        <v>QS</v>
      </c>
      <c r="I4" t="s">
        <v>319</v>
      </c>
    </row>
    <row r="5" spans="1:9" x14ac:dyDescent="0.25">
      <c r="B5" t="s">
        <v>135</v>
      </c>
      <c r="C5" t="s">
        <v>191</v>
      </c>
      <c r="D5" t="s">
        <v>193</v>
      </c>
      <c r="E5" t="b">
        <v>0</v>
      </c>
      <c r="F5" t="s">
        <v>135</v>
      </c>
      <c r="G5" s="172">
        <v>0.18</v>
      </c>
      <c r="H5" t="str">
        <f t="shared" si="0"/>
        <v>XB</v>
      </c>
      <c r="I5" t="s">
        <v>319</v>
      </c>
    </row>
    <row r="6" spans="1:9" x14ac:dyDescent="0.25">
      <c r="B6" t="s">
        <v>136</v>
      </c>
      <c r="C6" t="s">
        <v>191</v>
      </c>
      <c r="D6" t="s">
        <v>193</v>
      </c>
      <c r="E6" t="b">
        <v>0</v>
      </c>
      <c r="F6" t="s">
        <v>136</v>
      </c>
      <c r="G6" s="172">
        <v>0.18</v>
      </c>
      <c r="H6" t="str">
        <f t="shared" si="0"/>
        <v>CL</v>
      </c>
      <c r="I6" t="s">
        <v>318</v>
      </c>
    </row>
    <row r="7" spans="1:9" x14ac:dyDescent="0.25">
      <c r="B7" t="s">
        <v>153</v>
      </c>
      <c r="C7" t="s">
        <v>191</v>
      </c>
      <c r="D7" t="s">
        <v>194</v>
      </c>
      <c r="E7" t="b">
        <v>0</v>
      </c>
      <c r="F7" t="s">
        <v>153</v>
      </c>
      <c r="G7" s="172">
        <v>0.18</v>
      </c>
      <c r="H7" t="str">
        <f t="shared" si="0"/>
        <v>Sing180</v>
      </c>
      <c r="I7" t="s">
        <v>319</v>
      </c>
    </row>
    <row r="8" spans="1:9" x14ac:dyDescent="0.25">
      <c r="B8" t="s">
        <v>143</v>
      </c>
      <c r="C8" t="s">
        <v>191</v>
      </c>
      <c r="D8" t="s">
        <v>194</v>
      </c>
      <c r="E8" t="b">
        <v>0</v>
      </c>
      <c r="F8" t="s">
        <v>143</v>
      </c>
      <c r="G8" s="172">
        <v>0.18</v>
      </c>
      <c r="H8" t="str">
        <f t="shared" si="0"/>
        <v>Dated</v>
      </c>
      <c r="I8" t="s">
        <v>318</v>
      </c>
    </row>
    <row r="9" spans="1:9" x14ac:dyDescent="0.25">
      <c r="B9" t="s">
        <v>10</v>
      </c>
      <c r="C9" t="s">
        <v>171</v>
      </c>
      <c r="D9" t="s">
        <v>194</v>
      </c>
      <c r="E9" t="b">
        <v>1</v>
      </c>
      <c r="F9" t="s">
        <v>10</v>
      </c>
      <c r="G9" s="172">
        <v>0.18</v>
      </c>
      <c r="H9" t="str">
        <f t="shared" si="0"/>
        <v>XAU/USD</v>
      </c>
      <c r="I9" t="s">
        <v>255</v>
      </c>
    </row>
    <row r="10" spans="1:9" x14ac:dyDescent="0.25">
      <c r="B10" t="s">
        <v>11</v>
      </c>
      <c r="C10" t="s">
        <v>171</v>
      </c>
      <c r="D10" t="s">
        <v>194</v>
      </c>
      <c r="E10" t="b">
        <v>1</v>
      </c>
      <c r="F10" t="s">
        <v>11</v>
      </c>
      <c r="G10" s="172">
        <v>0.18</v>
      </c>
      <c r="H10" t="str">
        <f t="shared" si="0"/>
        <v>XAG/USD</v>
      </c>
      <c r="I10" t="s">
        <v>320</v>
      </c>
    </row>
    <row r="11" spans="1:9" x14ac:dyDescent="0.25">
      <c r="B11" t="s">
        <v>13</v>
      </c>
      <c r="C11" t="s">
        <v>171</v>
      </c>
      <c r="D11" t="s">
        <v>194</v>
      </c>
      <c r="E11" t="b">
        <v>1</v>
      </c>
      <c r="F11" t="s">
        <v>13</v>
      </c>
      <c r="G11" s="172">
        <v>0.18</v>
      </c>
      <c r="H11" t="str">
        <f t="shared" si="0"/>
        <v>XPT/USD</v>
      </c>
      <c r="I11" t="s">
        <v>321</v>
      </c>
    </row>
    <row r="12" spans="1:9" x14ac:dyDescent="0.25">
      <c r="B12" t="s">
        <v>12</v>
      </c>
      <c r="C12" t="s">
        <v>171</v>
      </c>
      <c r="D12" t="s">
        <v>194</v>
      </c>
      <c r="E12" t="b">
        <v>1</v>
      </c>
      <c r="F12" t="s">
        <v>12</v>
      </c>
      <c r="G12" s="172">
        <v>0.18</v>
      </c>
      <c r="H12" t="str">
        <f t="shared" si="0"/>
        <v>XPD/USD</v>
      </c>
      <c r="I12" t="s">
        <v>321</v>
      </c>
    </row>
    <row r="13" spans="1:9" x14ac:dyDescent="0.25">
      <c r="B13" t="s">
        <v>7</v>
      </c>
      <c r="C13" t="s">
        <v>171</v>
      </c>
      <c r="D13" t="s">
        <v>196</v>
      </c>
      <c r="E13" t="b">
        <v>1</v>
      </c>
      <c r="F13" t="s">
        <v>7</v>
      </c>
      <c r="G13" s="32">
        <v>2.5000000000000001E-2</v>
      </c>
      <c r="H13" t="str">
        <f t="shared" si="0"/>
        <v>USD/ZAR</v>
      </c>
      <c r="I13" t="s">
        <v>257</v>
      </c>
    </row>
    <row r="14" spans="1:9" x14ac:dyDescent="0.25">
      <c r="B14" t="s">
        <v>9</v>
      </c>
      <c r="C14" t="s">
        <v>171</v>
      </c>
      <c r="D14" t="s">
        <v>197</v>
      </c>
      <c r="E14" t="b">
        <v>1</v>
      </c>
      <c r="F14" t="s">
        <v>9</v>
      </c>
      <c r="G14" s="32">
        <v>2.5000000000000001E-2</v>
      </c>
      <c r="H14" t="str">
        <f t="shared" si="0"/>
        <v>AUD/USD</v>
      </c>
      <c r="I14" t="s">
        <v>257</v>
      </c>
    </row>
    <row r="15" spans="1:9" x14ac:dyDescent="0.25">
      <c r="B15" t="s">
        <v>8</v>
      </c>
      <c r="C15" t="s">
        <v>171</v>
      </c>
      <c r="D15" t="s">
        <v>198</v>
      </c>
      <c r="E15" t="b">
        <v>1</v>
      </c>
      <c r="F15" t="s">
        <v>8</v>
      </c>
      <c r="G15" s="32">
        <v>2.5000000000000001E-2</v>
      </c>
      <c r="H15" t="str">
        <f t="shared" si="0"/>
        <v>EUR/USD</v>
      </c>
      <c r="I15" t="s">
        <v>257</v>
      </c>
    </row>
    <row r="16" spans="1:9" x14ac:dyDescent="0.25">
      <c r="B16" t="s">
        <v>104</v>
      </c>
      <c r="C16" t="s">
        <v>171</v>
      </c>
      <c r="D16" t="s">
        <v>194</v>
      </c>
      <c r="E16" t="b">
        <v>0</v>
      </c>
      <c r="F16" t="s">
        <v>104</v>
      </c>
      <c r="G16" s="172">
        <v>0.18</v>
      </c>
      <c r="H16" t="str">
        <f t="shared" si="0"/>
        <v>AH</v>
      </c>
      <c r="I16" t="s">
        <v>322</v>
      </c>
    </row>
    <row r="17" spans="1:22" x14ac:dyDescent="0.25">
      <c r="B17" t="s">
        <v>108</v>
      </c>
      <c r="C17" t="s">
        <v>171</v>
      </c>
      <c r="D17" t="s">
        <v>194</v>
      </c>
      <c r="E17" t="b">
        <v>0</v>
      </c>
      <c r="F17" t="s">
        <v>108</v>
      </c>
      <c r="G17" s="172">
        <v>0.18</v>
      </c>
      <c r="H17" t="str">
        <f t="shared" si="0"/>
        <v>CA</v>
      </c>
      <c r="I17" t="s">
        <v>322</v>
      </c>
    </row>
    <row r="18" spans="1:22" x14ac:dyDescent="0.25">
      <c r="B18" t="s">
        <v>109</v>
      </c>
      <c r="C18" t="s">
        <v>171</v>
      </c>
      <c r="D18" t="s">
        <v>194</v>
      </c>
      <c r="E18" t="b">
        <v>0</v>
      </c>
      <c r="F18" t="s">
        <v>109</v>
      </c>
      <c r="G18" s="172">
        <v>0.18</v>
      </c>
      <c r="H18" t="str">
        <f t="shared" si="0"/>
        <v>ZS</v>
      </c>
      <c r="I18" t="s">
        <v>322</v>
      </c>
    </row>
    <row r="19" spans="1:22" x14ac:dyDescent="0.25">
      <c r="B19" t="s">
        <v>110</v>
      </c>
      <c r="C19" t="s">
        <v>171</v>
      </c>
      <c r="D19" t="s">
        <v>194</v>
      </c>
      <c r="E19" t="b">
        <v>0</v>
      </c>
      <c r="F19" t="s">
        <v>110</v>
      </c>
      <c r="G19" s="172">
        <v>0.18</v>
      </c>
      <c r="H19" t="str">
        <f t="shared" si="0"/>
        <v>NI</v>
      </c>
      <c r="I19" t="s">
        <v>322</v>
      </c>
    </row>
    <row r="20" spans="1:22" x14ac:dyDescent="0.25">
      <c r="B20" t="s">
        <v>111</v>
      </c>
      <c r="C20" t="s">
        <v>171</v>
      </c>
      <c r="D20" t="s">
        <v>194</v>
      </c>
      <c r="E20" t="b">
        <v>0</v>
      </c>
      <c r="F20" t="s">
        <v>111</v>
      </c>
      <c r="G20" s="172">
        <v>0.18</v>
      </c>
      <c r="H20" t="str">
        <f t="shared" si="0"/>
        <v>PB</v>
      </c>
      <c r="I20" t="s">
        <v>322</v>
      </c>
    </row>
    <row r="21" spans="1:22" x14ac:dyDescent="0.25">
      <c r="B21" t="s">
        <v>112</v>
      </c>
      <c r="C21" t="s">
        <v>171</v>
      </c>
      <c r="D21" t="s">
        <v>194</v>
      </c>
      <c r="E21" t="b">
        <v>0</v>
      </c>
      <c r="F21" t="s">
        <v>112</v>
      </c>
      <c r="G21" s="172">
        <v>0.18</v>
      </c>
      <c r="H21" t="str">
        <f t="shared" si="0"/>
        <v>SN</v>
      </c>
      <c r="I21" t="s">
        <v>322</v>
      </c>
    </row>
    <row r="22" spans="1:22" x14ac:dyDescent="0.25">
      <c r="G22" s="172"/>
    </row>
    <row r="23" spans="1:22" x14ac:dyDescent="0.25">
      <c r="G23" s="172"/>
    </row>
    <row r="24" spans="1:22" x14ac:dyDescent="0.25">
      <c r="A24" t="s">
        <v>323</v>
      </c>
      <c r="B24" s="3" t="s">
        <v>257</v>
      </c>
      <c r="C24" s="11">
        <v>2.5000000000000001E-2</v>
      </c>
      <c r="F24" t="s">
        <v>324</v>
      </c>
      <c r="G24" s="172" t="s">
        <v>318</v>
      </c>
      <c r="H24" t="s">
        <v>325</v>
      </c>
    </row>
    <row r="25" spans="1:22" x14ac:dyDescent="0.25">
      <c r="B25" s="3" t="s">
        <v>255</v>
      </c>
      <c r="C25" s="11">
        <v>0.05</v>
      </c>
      <c r="G25" t="s">
        <v>319</v>
      </c>
      <c r="H25" t="s">
        <v>325</v>
      </c>
    </row>
    <row r="26" spans="1:22" x14ac:dyDescent="0.25">
      <c r="B26" s="3" t="s">
        <v>260</v>
      </c>
      <c r="C26" s="11">
        <v>7.0000000000000007E-2</v>
      </c>
      <c r="G26" t="s">
        <v>255</v>
      </c>
      <c r="H26" t="s">
        <v>326</v>
      </c>
    </row>
    <row r="27" spans="1:22" x14ac:dyDescent="0.25">
      <c r="B27" s="3" t="s">
        <v>256</v>
      </c>
      <c r="C27" s="11">
        <v>8.5000000000000006E-2</v>
      </c>
      <c r="G27" t="s">
        <v>320</v>
      </c>
      <c r="H27" t="s">
        <v>326</v>
      </c>
    </row>
    <row r="28" spans="1:22" x14ac:dyDescent="0.25">
      <c r="B28" s="3" t="s">
        <v>258</v>
      </c>
      <c r="C28" s="11">
        <v>0.1</v>
      </c>
      <c r="G28" t="s">
        <v>321</v>
      </c>
      <c r="H28" t="s">
        <v>326</v>
      </c>
    </row>
    <row r="29" spans="1:22" x14ac:dyDescent="0.25">
      <c r="B29" s="3" t="s">
        <v>259</v>
      </c>
      <c r="C29" s="11">
        <v>0.1</v>
      </c>
      <c r="G29" t="s">
        <v>322</v>
      </c>
      <c r="H29" t="s">
        <v>326</v>
      </c>
    </row>
    <row r="30" spans="1:22" x14ac:dyDescent="0.25">
      <c r="T30" s="212"/>
      <c r="U30" s="21"/>
      <c r="V30" s="23"/>
    </row>
    <row r="31" spans="1:22" x14ac:dyDescent="0.25">
      <c r="T31" s="212"/>
      <c r="U31" s="21"/>
      <c r="V31" s="23"/>
    </row>
    <row r="32" spans="1:22" x14ac:dyDescent="0.25">
      <c r="M32" s="3"/>
      <c r="N32" s="11"/>
      <c r="T32" s="212"/>
      <c r="U32" s="21"/>
      <c r="V32" s="23"/>
    </row>
    <row r="33" spans="1:17" x14ac:dyDescent="0.25">
      <c r="M33" s="3"/>
      <c r="N33" s="11"/>
      <c r="Q33" s="21"/>
    </row>
    <row r="34" spans="1:17" ht="15.75" thickBot="1" x14ac:dyDescent="0.3">
      <c r="Q34" s="21"/>
    </row>
    <row r="35" spans="1:17" ht="15.75" thickBot="1" x14ac:dyDescent="0.3">
      <c r="A35" s="2" t="s">
        <v>220</v>
      </c>
      <c r="B35" s="124"/>
      <c r="C35" s="125"/>
      <c r="D35" s="125"/>
      <c r="E35" s="125"/>
      <c r="F35" s="125"/>
      <c r="G35" s="126"/>
      <c r="Q35" s="23"/>
    </row>
    <row r="36" spans="1:17" ht="30.75" thickBot="1" x14ac:dyDescent="0.3">
      <c r="B36" s="127" t="s">
        <v>221</v>
      </c>
      <c r="C36" s="128" t="s">
        <v>222</v>
      </c>
      <c r="D36" s="128" t="s">
        <v>223</v>
      </c>
      <c r="E36" s="128" t="s">
        <v>224</v>
      </c>
      <c r="F36" s="128" t="s">
        <v>251</v>
      </c>
      <c r="G36" s="128" t="s">
        <v>252</v>
      </c>
      <c r="H36" s="128" t="s">
        <v>309</v>
      </c>
      <c r="I36" s="128" t="s">
        <v>311</v>
      </c>
      <c r="J36" s="128" t="s">
        <v>310</v>
      </c>
      <c r="K36" s="128" t="s">
        <v>312</v>
      </c>
      <c r="L36" s="128" t="s">
        <v>313</v>
      </c>
      <c r="M36" s="128" t="s">
        <v>314</v>
      </c>
      <c r="Q36" s="23"/>
    </row>
    <row r="37" spans="1:17" ht="15.75" thickBot="1" x14ac:dyDescent="0.3">
      <c r="B37" s="129" t="s">
        <v>225</v>
      </c>
      <c r="C37" s="130">
        <v>3.8450848270366999E-4</v>
      </c>
      <c r="D37" s="131">
        <v>0</v>
      </c>
      <c r="E37" s="131">
        <v>3.8450848270366999E-4</v>
      </c>
      <c r="F37" s="131">
        <v>0.2</v>
      </c>
      <c r="G37" s="131">
        <v>7.0000000000000001E-3</v>
      </c>
      <c r="H37" s="32">
        <v>8.7999999999999995E-2</v>
      </c>
      <c r="I37" s="32">
        <v>0.10199999999999999</v>
      </c>
      <c r="J37" s="32">
        <v>7.0999999999999994E-2</v>
      </c>
      <c r="K37" s="32">
        <v>6.0999999999999999E-2</v>
      </c>
      <c r="L37" s="32">
        <v>5.0999999999999997E-2</v>
      </c>
      <c r="M37" s="32">
        <v>4.1000000000000002E-2</v>
      </c>
    </row>
    <row r="38" spans="1:17" ht="15.75" thickBot="1" x14ac:dyDescent="0.3">
      <c r="B38" s="132" t="s">
        <v>226</v>
      </c>
      <c r="C38" s="133">
        <v>3.8450848270366999E-4</v>
      </c>
      <c r="D38" s="134">
        <v>3.8450848270366999E-4</v>
      </c>
      <c r="E38" s="134">
        <v>3.8450848270366999E-4</v>
      </c>
      <c r="F38" s="134">
        <v>0.2</v>
      </c>
      <c r="G38" s="134">
        <v>7.0000000000000001E-3</v>
      </c>
      <c r="H38" s="32">
        <f>H37</f>
        <v>8.7999999999999995E-2</v>
      </c>
      <c r="I38" s="32">
        <f t="shared" ref="I38:M38" si="1">I37</f>
        <v>0.10199999999999999</v>
      </c>
      <c r="J38" s="32">
        <f t="shared" si="1"/>
        <v>7.0999999999999994E-2</v>
      </c>
      <c r="K38" s="32">
        <f t="shared" si="1"/>
        <v>6.0999999999999999E-2</v>
      </c>
      <c r="L38" s="32">
        <f t="shared" si="1"/>
        <v>5.0999999999999997E-2</v>
      </c>
      <c r="M38" s="32">
        <f t="shared" si="1"/>
        <v>4.1000000000000002E-2</v>
      </c>
    </row>
    <row r="39" spans="1:17" ht="15.75" thickBot="1" x14ac:dyDescent="0.3">
      <c r="B39" s="132" t="s">
        <v>227</v>
      </c>
      <c r="C39" s="133">
        <v>3.8450848270366999E-4</v>
      </c>
      <c r="D39" s="135">
        <v>3.8450848270366999E-4</v>
      </c>
      <c r="E39" s="135">
        <v>3.8450848270366999E-4</v>
      </c>
      <c r="F39" s="135">
        <v>0.2</v>
      </c>
      <c r="G39" s="135">
        <v>7.0000000000000001E-3</v>
      </c>
      <c r="H39" s="32">
        <f t="shared" ref="H39:H48" si="2">H38</f>
        <v>8.7999999999999995E-2</v>
      </c>
      <c r="I39" s="32">
        <f t="shared" ref="I39:I48" si="3">I38</f>
        <v>0.10199999999999999</v>
      </c>
      <c r="J39" s="32">
        <f t="shared" ref="J39:J48" si="4">J38</f>
        <v>7.0999999999999994E-2</v>
      </c>
      <c r="K39" s="32">
        <f t="shared" ref="K39:K48" si="5">K38</f>
        <v>6.0999999999999999E-2</v>
      </c>
      <c r="L39" s="32">
        <f t="shared" ref="L39:L48" si="6">L38</f>
        <v>5.0999999999999997E-2</v>
      </c>
      <c r="M39" s="32">
        <f t="shared" ref="M39:M48" si="7">M38</f>
        <v>4.1000000000000002E-2</v>
      </c>
    </row>
    <row r="40" spans="1:17" ht="15.75" thickBot="1" x14ac:dyDescent="0.3">
      <c r="B40" s="132" t="s">
        <v>228</v>
      </c>
      <c r="C40" s="133">
        <v>3.8450848270366999E-4</v>
      </c>
      <c r="D40" s="133">
        <v>3.8450848270366999E-4</v>
      </c>
      <c r="E40" s="133">
        <v>4.79035945633728E-4</v>
      </c>
      <c r="F40" s="133">
        <v>0.2</v>
      </c>
      <c r="G40" s="133">
        <v>7.0000000000000001E-3</v>
      </c>
      <c r="H40" s="32">
        <f t="shared" si="2"/>
        <v>8.7999999999999995E-2</v>
      </c>
      <c r="I40" s="32">
        <f t="shared" si="3"/>
        <v>0.10199999999999999</v>
      </c>
      <c r="J40" s="32">
        <f t="shared" si="4"/>
        <v>7.0999999999999994E-2</v>
      </c>
      <c r="K40" s="32">
        <f t="shared" si="5"/>
        <v>6.0999999999999999E-2</v>
      </c>
      <c r="L40" s="32">
        <f t="shared" si="6"/>
        <v>5.0999999999999997E-2</v>
      </c>
      <c r="M40" s="32">
        <f t="shared" si="7"/>
        <v>4.1000000000000002E-2</v>
      </c>
    </row>
    <row r="41" spans="1:17" ht="15.75" thickBot="1" x14ac:dyDescent="0.3">
      <c r="B41" s="132" t="s">
        <v>229</v>
      </c>
      <c r="C41" s="133">
        <v>5.9680201486231104E-4</v>
      </c>
      <c r="D41" s="133">
        <v>4.79035945633728E-4</v>
      </c>
      <c r="E41" s="133">
        <v>6.9065416042752995E-4</v>
      </c>
      <c r="F41" s="133">
        <v>0.5</v>
      </c>
      <c r="G41" s="133">
        <v>8.0000000000000002E-3</v>
      </c>
      <c r="H41" s="32">
        <f t="shared" si="2"/>
        <v>8.7999999999999995E-2</v>
      </c>
      <c r="I41" s="32">
        <f t="shared" si="3"/>
        <v>0.10199999999999999</v>
      </c>
      <c r="J41" s="32">
        <f t="shared" si="4"/>
        <v>7.0999999999999994E-2</v>
      </c>
      <c r="K41" s="32">
        <f t="shared" si="5"/>
        <v>6.0999999999999999E-2</v>
      </c>
      <c r="L41" s="32">
        <f t="shared" si="6"/>
        <v>5.0999999999999997E-2</v>
      </c>
      <c r="M41" s="32">
        <f t="shared" si="7"/>
        <v>4.1000000000000002E-2</v>
      </c>
    </row>
    <row r="42" spans="1:17" ht="15.75" thickBot="1" x14ac:dyDescent="0.3">
      <c r="B42" s="132" t="s">
        <v>181</v>
      </c>
      <c r="C42" s="133">
        <v>7.9926534669274901E-4</v>
      </c>
      <c r="D42" s="133">
        <v>6.9065416042752995E-4</v>
      </c>
      <c r="E42" s="133">
        <v>8.2656925717321304E-4</v>
      </c>
      <c r="F42" s="133">
        <v>0.5</v>
      </c>
      <c r="G42" s="133">
        <v>8.0000000000000002E-3</v>
      </c>
      <c r="H42" s="32">
        <f t="shared" si="2"/>
        <v>8.7999999999999995E-2</v>
      </c>
      <c r="I42" s="32">
        <f t="shared" si="3"/>
        <v>0.10199999999999999</v>
      </c>
      <c r="J42" s="32">
        <f t="shared" si="4"/>
        <v>7.0999999999999994E-2</v>
      </c>
      <c r="K42" s="32">
        <f t="shared" si="5"/>
        <v>6.0999999999999999E-2</v>
      </c>
      <c r="L42" s="32">
        <f t="shared" si="6"/>
        <v>5.0999999999999997E-2</v>
      </c>
      <c r="M42" s="32">
        <f t="shared" si="7"/>
        <v>4.1000000000000002E-2</v>
      </c>
    </row>
    <row r="43" spans="1:17" ht="15.75" thickBot="1" x14ac:dyDescent="0.3">
      <c r="B43" s="132" t="s">
        <v>230</v>
      </c>
      <c r="C43" s="133">
        <v>8.5480590361002701E-4</v>
      </c>
      <c r="D43" s="133">
        <v>8.2656925717321304E-4</v>
      </c>
      <c r="E43" s="133">
        <v>1.16740944703136E-3</v>
      </c>
      <c r="F43" s="133">
        <v>0.5</v>
      </c>
      <c r="G43" s="133">
        <v>8.0000000000000002E-3</v>
      </c>
      <c r="H43" s="32">
        <f t="shared" si="2"/>
        <v>8.7999999999999995E-2</v>
      </c>
      <c r="I43" s="32">
        <f t="shared" si="3"/>
        <v>0.10199999999999999</v>
      </c>
      <c r="J43" s="32">
        <f t="shared" si="4"/>
        <v>7.0999999999999994E-2</v>
      </c>
      <c r="K43" s="32">
        <f t="shared" si="5"/>
        <v>6.0999999999999999E-2</v>
      </c>
      <c r="L43" s="32">
        <f t="shared" si="6"/>
        <v>5.0999999999999997E-2</v>
      </c>
      <c r="M43" s="32">
        <f t="shared" si="7"/>
        <v>4.1000000000000002E-2</v>
      </c>
    </row>
    <row r="44" spans="1:17" ht="15.75" thickBot="1" x14ac:dyDescent="0.3">
      <c r="B44" s="132" t="s">
        <v>231</v>
      </c>
      <c r="C44" s="133">
        <v>1.5943324809321901E-3</v>
      </c>
      <c r="D44" s="133">
        <v>1.16740944703136E-3</v>
      </c>
      <c r="E44" s="133">
        <v>1.6282179373851E-3</v>
      </c>
      <c r="F44" s="133">
        <v>1</v>
      </c>
      <c r="G44" s="133">
        <v>0.01</v>
      </c>
      <c r="H44" s="32">
        <f t="shared" si="2"/>
        <v>8.7999999999999995E-2</v>
      </c>
      <c r="I44" s="32">
        <f t="shared" si="3"/>
        <v>0.10199999999999999</v>
      </c>
      <c r="J44" s="32">
        <f t="shared" si="4"/>
        <v>7.0999999999999994E-2</v>
      </c>
      <c r="K44" s="32">
        <f t="shared" si="5"/>
        <v>6.0999999999999999E-2</v>
      </c>
      <c r="L44" s="32">
        <f t="shared" si="6"/>
        <v>5.0999999999999997E-2</v>
      </c>
      <c r="M44" s="32">
        <f t="shared" si="7"/>
        <v>4.1000000000000002E-2</v>
      </c>
    </row>
    <row r="45" spans="1:17" ht="15.75" thickBot="1" x14ac:dyDescent="0.3">
      <c r="B45" s="132" t="s">
        <v>232</v>
      </c>
      <c r="C45" s="133">
        <v>1.6628235849981E-3</v>
      </c>
      <c r="D45" s="133">
        <v>1.6282179373851E-3</v>
      </c>
      <c r="E45" s="133">
        <v>1.69672357737767E-3</v>
      </c>
      <c r="F45" s="133">
        <v>1</v>
      </c>
      <c r="G45" s="133">
        <v>0.01</v>
      </c>
      <c r="H45" s="32">
        <f t="shared" si="2"/>
        <v>8.7999999999999995E-2</v>
      </c>
      <c r="I45" s="32">
        <f t="shared" si="3"/>
        <v>0.10199999999999999</v>
      </c>
      <c r="J45" s="32">
        <f t="shared" si="4"/>
        <v>7.0999999999999994E-2</v>
      </c>
      <c r="K45" s="32">
        <f t="shared" si="5"/>
        <v>6.0999999999999999E-2</v>
      </c>
      <c r="L45" s="32">
        <f t="shared" si="6"/>
        <v>5.0999999999999997E-2</v>
      </c>
      <c r="M45" s="32">
        <f t="shared" si="7"/>
        <v>4.1000000000000002E-2</v>
      </c>
    </row>
    <row r="46" spans="1:17" ht="15.75" thickBot="1" x14ac:dyDescent="0.3">
      <c r="B46" s="132" t="s">
        <v>233</v>
      </c>
      <c r="C46" s="133">
        <v>1.7313146890640099E-3</v>
      </c>
      <c r="D46" s="133">
        <v>1.69672357737767E-3</v>
      </c>
      <c r="E46" s="133">
        <v>2.0829446172798802E-3</v>
      </c>
      <c r="F46" s="133">
        <v>1</v>
      </c>
      <c r="G46" s="133">
        <v>0.01</v>
      </c>
      <c r="H46" s="32">
        <f t="shared" si="2"/>
        <v>8.7999999999999995E-2</v>
      </c>
      <c r="I46" s="32">
        <f t="shared" si="3"/>
        <v>0.10199999999999999</v>
      </c>
      <c r="J46" s="32">
        <f t="shared" si="4"/>
        <v>7.0999999999999994E-2</v>
      </c>
      <c r="K46" s="32">
        <f t="shared" si="5"/>
        <v>6.0999999999999999E-2</v>
      </c>
      <c r="L46" s="32">
        <f t="shared" si="6"/>
        <v>5.0999999999999997E-2</v>
      </c>
      <c r="M46" s="32">
        <f t="shared" si="7"/>
        <v>4.1000000000000002E-2</v>
      </c>
    </row>
    <row r="47" spans="1:17" ht="15.75" thickBot="1" x14ac:dyDescent="0.3">
      <c r="B47" s="132" t="s">
        <v>234</v>
      </c>
      <c r="C47" s="133">
        <v>2.5059905666258799E-3</v>
      </c>
      <c r="D47" s="133">
        <v>2.0829446172798802E-3</v>
      </c>
      <c r="E47" s="133">
        <v>2.8672842833211598E-3</v>
      </c>
      <c r="F47" s="133">
        <v>1</v>
      </c>
      <c r="G47" s="133">
        <v>0.01</v>
      </c>
      <c r="H47" s="32">
        <f t="shared" si="2"/>
        <v>8.7999999999999995E-2</v>
      </c>
      <c r="I47" s="32">
        <f t="shared" si="3"/>
        <v>0.10199999999999999</v>
      </c>
      <c r="J47" s="32">
        <f t="shared" si="4"/>
        <v>7.0999999999999994E-2</v>
      </c>
      <c r="K47" s="32">
        <f t="shared" si="5"/>
        <v>6.0999999999999999E-2</v>
      </c>
      <c r="L47" s="32">
        <f t="shared" si="6"/>
        <v>5.0999999999999997E-2</v>
      </c>
      <c r="M47" s="32">
        <f t="shared" si="7"/>
        <v>4.1000000000000002E-2</v>
      </c>
    </row>
    <row r="48" spans="1:17" ht="15.75" thickBot="1" x14ac:dyDescent="0.3">
      <c r="B48" s="132" t="s">
        <v>235</v>
      </c>
      <c r="C48" s="133">
        <v>3.2806664441877502E-3</v>
      </c>
      <c r="D48" s="133">
        <v>2.8672842833211598E-3</v>
      </c>
      <c r="E48" s="133">
        <v>3.6330961829909498E-3</v>
      </c>
      <c r="F48" s="133">
        <v>1</v>
      </c>
      <c r="G48" s="133">
        <v>0.01</v>
      </c>
      <c r="H48" s="32">
        <f t="shared" si="2"/>
        <v>8.7999999999999995E-2</v>
      </c>
      <c r="I48" s="32">
        <f t="shared" si="3"/>
        <v>0.10199999999999999</v>
      </c>
      <c r="J48" s="32">
        <f t="shared" si="4"/>
        <v>7.0999999999999994E-2</v>
      </c>
      <c r="K48" s="32">
        <f t="shared" si="5"/>
        <v>6.0999999999999999E-2</v>
      </c>
      <c r="L48" s="32">
        <f t="shared" si="6"/>
        <v>5.0999999999999997E-2</v>
      </c>
      <c r="M48" s="32">
        <f t="shared" si="7"/>
        <v>4.1000000000000002E-2</v>
      </c>
    </row>
    <row r="49" spans="2:13" ht="15.75" thickBot="1" x14ac:dyDescent="0.3">
      <c r="B49" s="132" t="s">
        <v>236</v>
      </c>
      <c r="C49" s="133">
        <v>4.0233861318782699E-3</v>
      </c>
      <c r="D49" s="133">
        <v>3.6330961829909498E-3</v>
      </c>
      <c r="E49" s="133">
        <v>4.3790277525402096E-3</v>
      </c>
      <c r="F49" s="133">
        <v>1</v>
      </c>
      <c r="G49" s="133">
        <v>0.02</v>
      </c>
      <c r="H49" s="32">
        <v>0.20399999999999999</v>
      </c>
      <c r="I49" s="32">
        <v>0.17299999999999999</v>
      </c>
      <c r="J49" s="32">
        <v>0.13</v>
      </c>
      <c r="K49" s="32">
        <v>0.14399999999999999</v>
      </c>
      <c r="L49" s="172">
        <v>0.13</v>
      </c>
      <c r="M49" s="32">
        <v>8.6999999999999994E-2</v>
      </c>
    </row>
    <row r="50" spans="2:13" ht="15.75" thickBot="1" x14ac:dyDescent="0.3">
      <c r="B50" s="132" t="s">
        <v>237</v>
      </c>
      <c r="C50" s="133">
        <v>4.7661058195687901E-3</v>
      </c>
      <c r="D50" s="133">
        <v>4.3790277525402096E-3</v>
      </c>
      <c r="E50" s="133">
        <v>5.3918150040372604E-3</v>
      </c>
      <c r="F50" s="133">
        <v>1</v>
      </c>
      <c r="G50" s="133">
        <v>0.02</v>
      </c>
      <c r="H50" s="32">
        <f>H49</f>
        <v>0.20399999999999999</v>
      </c>
      <c r="I50" s="32">
        <f t="shared" ref="I50:M50" si="8">I49</f>
        <v>0.17299999999999999</v>
      </c>
      <c r="J50" s="32">
        <f t="shared" si="8"/>
        <v>0.13</v>
      </c>
      <c r="K50" s="32">
        <f t="shared" si="8"/>
        <v>0.14399999999999999</v>
      </c>
      <c r="L50" s="32">
        <f t="shared" si="8"/>
        <v>0.13</v>
      </c>
      <c r="M50" s="32">
        <f t="shared" si="8"/>
        <v>8.6999999999999994E-2</v>
      </c>
    </row>
    <row r="51" spans="2:13" ht="15.75" thickBot="1" x14ac:dyDescent="0.3">
      <c r="B51" s="132" t="s">
        <v>238</v>
      </c>
      <c r="C51" s="133">
        <v>6.0996692348705599E-3</v>
      </c>
      <c r="D51" s="133">
        <v>5.3918150040372604E-3</v>
      </c>
      <c r="E51" s="133">
        <v>6.7335176922535501E-3</v>
      </c>
      <c r="F51" s="133">
        <v>1</v>
      </c>
      <c r="G51" s="133">
        <v>0.02</v>
      </c>
      <c r="H51" s="32">
        <f t="shared" ref="H51:H62" si="9">H50</f>
        <v>0.20399999999999999</v>
      </c>
      <c r="I51" s="32">
        <f t="shared" ref="I51:I62" si="10">I50</f>
        <v>0.17299999999999999</v>
      </c>
      <c r="J51" s="32">
        <f t="shared" ref="J51:J62" si="11">J50</f>
        <v>0.13</v>
      </c>
      <c r="K51" s="32">
        <f t="shared" ref="K51:K62" si="12">K50</f>
        <v>0.14399999999999999</v>
      </c>
      <c r="L51" s="32">
        <f t="shared" ref="L51:L62" si="13">L50</f>
        <v>0.13</v>
      </c>
      <c r="M51" s="32">
        <f t="shared" ref="M51:M62" si="14">M50</f>
        <v>8.6999999999999994E-2</v>
      </c>
    </row>
    <row r="52" spans="2:13" ht="15.75" thickBot="1" x14ac:dyDescent="0.3">
      <c r="B52" s="132" t="s">
        <v>239</v>
      </c>
      <c r="C52" s="133">
        <v>7.4332326501723297E-3</v>
      </c>
      <c r="D52" s="133">
        <v>6.7335176922535501E-3</v>
      </c>
      <c r="E52" s="133">
        <v>8.3328239623363005E-3</v>
      </c>
      <c r="F52" s="133">
        <v>1</v>
      </c>
      <c r="G52" s="133">
        <v>0.02</v>
      </c>
      <c r="H52" s="32">
        <f t="shared" si="9"/>
        <v>0.20399999999999999</v>
      </c>
      <c r="I52" s="32">
        <f t="shared" si="10"/>
        <v>0.17299999999999999</v>
      </c>
      <c r="J52" s="32">
        <f t="shared" si="11"/>
        <v>0.13</v>
      </c>
      <c r="K52" s="32">
        <f t="shared" si="12"/>
        <v>0.14399999999999999</v>
      </c>
      <c r="L52" s="32">
        <f t="shared" si="13"/>
        <v>0.13</v>
      </c>
      <c r="M52" s="32">
        <f t="shared" si="14"/>
        <v>8.6999999999999994E-2</v>
      </c>
    </row>
    <row r="53" spans="2:13" ht="15.75" thickBot="1" x14ac:dyDescent="0.3">
      <c r="B53" s="132" t="s">
        <v>240</v>
      </c>
      <c r="C53" s="133">
        <v>9.3412864167081097E-3</v>
      </c>
      <c r="D53" s="133">
        <v>8.3328239623363005E-3</v>
      </c>
      <c r="E53" s="133">
        <v>1.0251015005874499E-2</v>
      </c>
      <c r="F53" s="133">
        <v>1</v>
      </c>
      <c r="G53" s="133">
        <v>0.02</v>
      </c>
      <c r="H53" s="32">
        <f t="shared" si="9"/>
        <v>0.20399999999999999</v>
      </c>
      <c r="I53" s="32">
        <f t="shared" si="10"/>
        <v>0.17299999999999999</v>
      </c>
      <c r="J53" s="32">
        <f t="shared" si="11"/>
        <v>0.13</v>
      </c>
      <c r="K53" s="32">
        <f t="shared" si="12"/>
        <v>0.14399999999999999</v>
      </c>
      <c r="L53" s="32">
        <f t="shared" si="13"/>
        <v>0.13</v>
      </c>
      <c r="M53" s="32">
        <f t="shared" si="14"/>
        <v>8.6999999999999994E-2</v>
      </c>
    </row>
    <row r="54" spans="2:13" ht="15.75" thickBot="1" x14ac:dyDescent="0.3">
      <c r="B54" s="132" t="s">
        <v>241</v>
      </c>
      <c r="C54" s="133">
        <v>1.1249340183243899E-2</v>
      </c>
      <c r="D54" s="133">
        <v>1.0251015005874499E-2</v>
      </c>
      <c r="E54" s="133">
        <v>1.4187363557E-2</v>
      </c>
      <c r="F54" s="133">
        <v>1</v>
      </c>
      <c r="G54" s="133">
        <v>0.02</v>
      </c>
      <c r="H54" s="32">
        <f t="shared" si="9"/>
        <v>0.20399999999999999</v>
      </c>
      <c r="I54" s="32">
        <f t="shared" si="10"/>
        <v>0.17299999999999999</v>
      </c>
      <c r="J54" s="32">
        <f t="shared" si="11"/>
        <v>0.13</v>
      </c>
      <c r="K54" s="32">
        <f t="shared" si="12"/>
        <v>0.14399999999999999</v>
      </c>
      <c r="L54" s="32">
        <f t="shared" si="13"/>
        <v>0.13</v>
      </c>
      <c r="M54" s="32">
        <f t="shared" si="14"/>
        <v>8.6999999999999994E-2</v>
      </c>
    </row>
    <row r="55" spans="2:13" ht="15.75" thickBot="1" x14ac:dyDescent="0.3">
      <c r="B55" s="132" t="s">
        <v>242</v>
      </c>
      <c r="C55" s="133">
        <v>1.78927191657254E-2</v>
      </c>
      <c r="D55" s="133">
        <v>1.4187363557E-2</v>
      </c>
      <c r="E55" s="133">
        <v>2.0952744774576499E-2</v>
      </c>
      <c r="F55" s="133">
        <v>1.5</v>
      </c>
      <c r="G55" s="133">
        <v>0.03</v>
      </c>
      <c r="H55" s="32">
        <f t="shared" si="9"/>
        <v>0.20399999999999999</v>
      </c>
      <c r="I55" s="32">
        <f t="shared" si="10"/>
        <v>0.17299999999999999</v>
      </c>
      <c r="J55" s="32">
        <f t="shared" si="11"/>
        <v>0.13</v>
      </c>
      <c r="K55" s="32">
        <f t="shared" si="12"/>
        <v>0.14399999999999999</v>
      </c>
      <c r="L55" s="32">
        <f t="shared" si="13"/>
        <v>0.13</v>
      </c>
      <c r="M55" s="32">
        <f t="shared" si="14"/>
        <v>8.6999999999999994E-2</v>
      </c>
    </row>
    <row r="56" spans="2:13" ht="15.75" thickBot="1" x14ac:dyDescent="0.3">
      <c r="B56" s="132" t="s">
        <v>243</v>
      </c>
      <c r="C56" s="133">
        <v>2.4536098148206901E-2</v>
      </c>
      <c r="D56" s="133">
        <v>2.0952744774576499E-2</v>
      </c>
      <c r="E56" s="133">
        <v>3.0095007478138199E-2</v>
      </c>
      <c r="F56" s="133">
        <v>1.5</v>
      </c>
      <c r="G56" s="133">
        <v>0.03</v>
      </c>
      <c r="H56" s="32">
        <f t="shared" si="9"/>
        <v>0.20399999999999999</v>
      </c>
      <c r="I56" s="32">
        <f t="shared" si="10"/>
        <v>0.17299999999999999</v>
      </c>
      <c r="J56" s="32">
        <f t="shared" si="11"/>
        <v>0.13</v>
      </c>
      <c r="K56" s="32">
        <f t="shared" si="12"/>
        <v>0.14399999999999999</v>
      </c>
      <c r="L56" s="32">
        <f t="shared" si="13"/>
        <v>0.13</v>
      </c>
      <c r="M56" s="32">
        <f t="shared" si="14"/>
        <v>8.6999999999999994E-2</v>
      </c>
    </row>
    <row r="57" spans="2:13" ht="15.75" thickBot="1" x14ac:dyDescent="0.3">
      <c r="B57" s="132" t="s">
        <v>244</v>
      </c>
      <c r="C57" s="133">
        <v>3.6913345782951301E-2</v>
      </c>
      <c r="D57" s="133">
        <v>3.0095007478138199E-2</v>
      </c>
      <c r="E57" s="133">
        <v>4.2655371510212599E-2</v>
      </c>
      <c r="F57" s="133">
        <v>1.5</v>
      </c>
      <c r="G57" s="133">
        <v>0.03</v>
      </c>
      <c r="H57" s="32">
        <f t="shared" si="9"/>
        <v>0.20399999999999999</v>
      </c>
      <c r="I57" s="32">
        <f t="shared" si="10"/>
        <v>0.17299999999999999</v>
      </c>
      <c r="J57" s="32">
        <f t="shared" si="11"/>
        <v>0.13</v>
      </c>
      <c r="K57" s="32">
        <f t="shared" si="12"/>
        <v>0.14399999999999999</v>
      </c>
      <c r="L57" s="32">
        <f t="shared" si="13"/>
        <v>0.13</v>
      </c>
      <c r="M57" s="32">
        <f t="shared" si="14"/>
        <v>8.6999999999999994E-2</v>
      </c>
    </row>
    <row r="58" spans="2:13" ht="15.75" thickBot="1" x14ac:dyDescent="0.3">
      <c r="B58" s="132" t="s">
        <v>245</v>
      </c>
      <c r="C58" s="133">
        <v>4.9290593417695601E-2</v>
      </c>
      <c r="D58" s="133">
        <v>4.2655371510212599E-2</v>
      </c>
      <c r="E58" s="133">
        <v>6.0807891392586001E-2</v>
      </c>
      <c r="F58" s="133">
        <v>1.5</v>
      </c>
      <c r="G58" s="133">
        <v>0.03</v>
      </c>
      <c r="H58" s="32">
        <f t="shared" si="9"/>
        <v>0.20399999999999999</v>
      </c>
      <c r="I58" s="32">
        <f t="shared" si="10"/>
        <v>0.17299999999999999</v>
      </c>
      <c r="J58" s="32">
        <f t="shared" si="11"/>
        <v>0.13</v>
      </c>
      <c r="K58" s="32">
        <f t="shared" si="12"/>
        <v>0.14399999999999999</v>
      </c>
      <c r="L58" s="32">
        <f t="shared" si="13"/>
        <v>0.13</v>
      </c>
      <c r="M58" s="32">
        <f t="shared" si="14"/>
        <v>8.6999999999999994E-2</v>
      </c>
    </row>
    <row r="59" spans="2:13" ht="15.75" thickBot="1" x14ac:dyDescent="0.3">
      <c r="B59" s="132" t="s">
        <v>246</v>
      </c>
      <c r="C59" s="133">
        <v>7.5016334745222804E-2</v>
      </c>
      <c r="D59" s="133">
        <v>6.0807891392586001E-2</v>
      </c>
      <c r="E59" s="133">
        <v>8.6932740101771294E-2</v>
      </c>
      <c r="F59" s="133">
        <v>1.5</v>
      </c>
      <c r="G59" s="133">
        <v>0.03</v>
      </c>
      <c r="H59" s="32">
        <f t="shared" si="9"/>
        <v>0.20399999999999999</v>
      </c>
      <c r="I59" s="32">
        <f t="shared" si="10"/>
        <v>0.17299999999999999</v>
      </c>
      <c r="J59" s="32">
        <f t="shared" si="11"/>
        <v>0.13</v>
      </c>
      <c r="K59" s="32">
        <f t="shared" si="12"/>
        <v>0.14399999999999999</v>
      </c>
      <c r="L59" s="32">
        <f t="shared" si="13"/>
        <v>0.13</v>
      </c>
      <c r="M59" s="32">
        <f t="shared" si="14"/>
        <v>8.6999999999999994E-2</v>
      </c>
    </row>
    <row r="60" spans="2:13" ht="15.75" thickBot="1" x14ac:dyDescent="0.3">
      <c r="B60" s="132" t="s">
        <v>247</v>
      </c>
      <c r="C60" s="133">
        <v>0.10074207607275</v>
      </c>
      <c r="D60" s="133">
        <v>8.6932740101771294E-2</v>
      </c>
      <c r="E60" s="133">
        <v>0.19032801599777299</v>
      </c>
      <c r="F60" s="133">
        <v>1.5</v>
      </c>
      <c r="G60" s="133">
        <v>0.03</v>
      </c>
      <c r="H60" s="32">
        <f t="shared" si="9"/>
        <v>0.20399999999999999</v>
      </c>
      <c r="I60" s="32">
        <f t="shared" si="10"/>
        <v>0.17299999999999999</v>
      </c>
      <c r="J60" s="32">
        <f t="shared" si="11"/>
        <v>0.13</v>
      </c>
      <c r="K60" s="32">
        <f t="shared" si="12"/>
        <v>0.14399999999999999</v>
      </c>
      <c r="L60" s="32">
        <f t="shared" si="13"/>
        <v>0.13</v>
      </c>
      <c r="M60" s="32">
        <f t="shared" si="14"/>
        <v>8.6999999999999994E-2</v>
      </c>
    </row>
    <row r="61" spans="2:13" ht="15.75" thickBot="1" x14ac:dyDescent="0.3">
      <c r="B61" s="132" t="s">
        <v>248</v>
      </c>
      <c r="C61" s="133">
        <v>0.35957918563727997</v>
      </c>
      <c r="D61" s="133">
        <v>0.19032801599777299</v>
      </c>
      <c r="E61" s="133">
        <v>1</v>
      </c>
      <c r="F61" s="133">
        <v>1.5</v>
      </c>
      <c r="G61" s="133">
        <v>0.1</v>
      </c>
      <c r="H61" s="32">
        <f t="shared" si="9"/>
        <v>0.20399999999999999</v>
      </c>
      <c r="I61" s="32">
        <f t="shared" si="10"/>
        <v>0.17299999999999999</v>
      </c>
      <c r="J61" s="32">
        <f t="shared" si="11"/>
        <v>0.13</v>
      </c>
      <c r="K61" s="32">
        <f t="shared" si="12"/>
        <v>0.14399999999999999</v>
      </c>
      <c r="L61" s="32">
        <f t="shared" si="13"/>
        <v>0.13</v>
      </c>
      <c r="M61" s="32">
        <f t="shared" si="14"/>
        <v>8.6999999999999994E-2</v>
      </c>
    </row>
    <row r="62" spans="2:13" ht="15.75" thickBot="1" x14ac:dyDescent="0.3">
      <c r="B62" s="132" t="s">
        <v>249</v>
      </c>
      <c r="C62" s="133">
        <v>1</v>
      </c>
      <c r="D62" s="133">
        <v>1</v>
      </c>
      <c r="E62" s="133">
        <v>0</v>
      </c>
      <c r="F62" s="133">
        <v>1.5</v>
      </c>
      <c r="G62" s="133">
        <v>0.1</v>
      </c>
      <c r="H62" s="32">
        <f t="shared" si="9"/>
        <v>0.20399999999999999</v>
      </c>
      <c r="I62" s="32">
        <f t="shared" si="10"/>
        <v>0.17299999999999999</v>
      </c>
      <c r="J62" s="32">
        <f t="shared" si="11"/>
        <v>0.13</v>
      </c>
      <c r="K62" s="32">
        <f t="shared" si="12"/>
        <v>0.14399999999999999</v>
      </c>
      <c r="L62" s="32">
        <f t="shared" si="13"/>
        <v>0.13</v>
      </c>
      <c r="M62" s="32">
        <f t="shared" si="14"/>
        <v>8.6999999999999994E-2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31</vt:i4>
      </vt:variant>
    </vt:vector>
  </HeadingPairs>
  <TitlesOfParts>
    <vt:vector size="43" baseType="lpstr">
      <vt:lpstr>FX-IR</vt:lpstr>
      <vt:lpstr>Base</vt:lpstr>
      <vt:lpstr>Energy</vt:lpstr>
      <vt:lpstr>Correlations</vt:lpstr>
      <vt:lpstr>AsianSwap</vt:lpstr>
      <vt:lpstr>CustomSwap</vt:lpstr>
      <vt:lpstr>EuroOption</vt:lpstr>
      <vt:lpstr>AsianOption</vt:lpstr>
      <vt:lpstr>PortfolioBuilder</vt:lpstr>
      <vt:lpstr>Risk</vt:lpstr>
      <vt:lpstr>C&amp;C</vt:lpstr>
      <vt:lpstr>Static</vt:lpstr>
      <vt:lpstr>AModel</vt:lpstr>
      <vt:lpstr>AsianOptionObjects</vt:lpstr>
      <vt:lpstr>AsianOptionTags</vt:lpstr>
      <vt:lpstr>CustomSwap!AsianSwapObjects</vt:lpstr>
      <vt:lpstr>AsianSwapObjects</vt:lpstr>
      <vt:lpstr>CustomSwap!AsianSwapTags</vt:lpstr>
      <vt:lpstr>AsianSwapTags</vt:lpstr>
      <vt:lpstr>AssetStatic</vt:lpstr>
      <vt:lpstr>AssetToCCF</vt:lpstr>
      <vt:lpstr>AssetToType</vt:lpstr>
      <vt:lpstr>BidMidASK</vt:lpstr>
      <vt:lpstr>CCFs</vt:lpstr>
      <vt:lpstr>CorrelMatrix</vt:lpstr>
      <vt:lpstr>CurvesBase</vt:lpstr>
      <vt:lpstr>CurvesEnergyBasis</vt:lpstr>
      <vt:lpstr>CurvesEnergyFlat</vt:lpstr>
      <vt:lpstr>EuroOptionObjects</vt:lpstr>
      <vt:lpstr>EuroOptionTags</vt:lpstr>
      <vt:lpstr>FixingsBase</vt:lpstr>
      <vt:lpstr>FixingsEnergy</vt:lpstr>
      <vt:lpstr>FundingModel</vt:lpstr>
      <vt:lpstr>LiborSpot</vt:lpstr>
      <vt:lpstr>m3Date</vt:lpstr>
      <vt:lpstr>MetalSpotDate</vt:lpstr>
      <vt:lpstr>Portfolio</vt:lpstr>
      <vt:lpstr>RatingTable</vt:lpstr>
      <vt:lpstr>Tag</vt:lpstr>
      <vt:lpstr>TypeToClass</vt:lpstr>
      <vt:lpstr>valDate</vt:lpstr>
      <vt:lpstr>VolsBase</vt:lpstr>
      <vt:lpstr>VolsEnergy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Gavin Brennan</dc:creator>
  <cp:lastModifiedBy>Gavin Brennan</cp:lastModifiedBy>
  <dcterms:created xsi:type="dcterms:W3CDTF">2020-05-04T10:29:36Z</dcterms:created>
  <dcterms:modified xsi:type="dcterms:W3CDTF">2021-02-11T14:02:38Z</dcterms:modified>
</cp:coreProperties>
</file>