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Qwack\examples\"/>
    </mc:Choice>
  </mc:AlternateContent>
  <xr:revisionPtr revIDLastSave="0" documentId="13_ncr:1_{1CAFD43B-C02A-414F-B042-C9AC991E3CF2}" xr6:coauthVersionLast="47" xr6:coauthVersionMax="47" xr10:uidLastSave="{00000000-0000-0000-0000-000000000000}"/>
  <bookViews>
    <workbookView xWindow="28680" yWindow="-120" windowWidth="29040" windowHeight="17520" activeTab="3" xr2:uid="{00000000-000D-0000-FFFF-FFFF00000000}"/>
  </bookViews>
  <sheets>
    <sheet name="SelfDiscounting" sheetId="1" r:id="rId1"/>
    <sheet name="OisDiscounting" sheetId="2" r:id="rId2"/>
    <sheet name="ComplexBuild" sheetId="3" r:id="rId3"/>
    <sheet name="CPI" sheetId="4" r:id="rId4"/>
  </sheets>
  <definedNames>
    <definedName name="index" localSheetId="2">ComplexBuild!$C$2</definedName>
    <definedName name="index" localSheetId="1">OisDiscounting!$C$2</definedName>
    <definedName name="index">SelfDiscounting!$C$2</definedName>
    <definedName name="oisIndex" localSheetId="2">ComplexBuild!$C$3</definedName>
    <definedName name="oisIndex">OisDiscounting!$C$3</definedName>
    <definedName name="valDate" localSheetId="2">ComplexBuild!$C$1</definedName>
    <definedName name="valDate" localSheetId="1">OisDiscounting!$C$1</definedName>
    <definedName name="valDate">SelfDiscounting!$C$1</definedName>
  </definedNames>
  <calcPr calcId="191029" calcMode="manual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8" i="3" l="1"/>
  <c r="J9" i="3"/>
  <c r="J10" i="3"/>
  <c r="J11" i="3"/>
  <c r="J7" i="3"/>
  <c r="U4" i="3"/>
  <c r="U5" i="3" s="1"/>
  <c r="U6" i="3" s="1"/>
  <c r="U7" i="3" s="1"/>
  <c r="U8" i="3" s="1"/>
  <c r="U9" i="3" s="1"/>
  <c r="U10" i="3" s="1"/>
  <c r="U11" i="3" s="1"/>
  <c r="U12" i="3" s="1"/>
  <c r="U13" i="3" s="1"/>
  <c r="U14" i="3" s="1"/>
  <c r="U15" i="3" s="1"/>
  <c r="U16" i="3" s="1"/>
  <c r="U17" i="3" s="1"/>
  <c r="U18" i="3" s="1"/>
  <c r="U19" i="3" s="1"/>
  <c r="U20" i="3" s="1"/>
  <c r="U21" i="3" s="1"/>
  <c r="U22" i="3" s="1"/>
  <c r="U23" i="3" s="1"/>
  <c r="U24" i="3" s="1"/>
  <c r="U25" i="3" s="1"/>
  <c r="U26" i="3" s="1"/>
  <c r="U27" i="3" s="1"/>
  <c r="U28" i="3" s="1"/>
  <c r="U29" i="3" s="1"/>
  <c r="U30" i="3" s="1"/>
  <c r="U31" i="3" s="1"/>
  <c r="U32" i="3" s="1"/>
  <c r="U33" i="3" s="1"/>
  <c r="U34" i="3" s="1"/>
  <c r="U35" i="3" s="1"/>
  <c r="U36" i="3" s="1"/>
  <c r="U37" i="3" s="1"/>
  <c r="B1" i="4" a="1"/>
  <c r="J27" i="3"/>
  <c r="C2" i="3"/>
  <c r="C3" i="3"/>
  <c r="J2" i="3"/>
  <c r="J3" i="3"/>
  <c r="B1" i="4" l="1"/>
  <c r="M27" i="3"/>
  <c r="R10" i="3"/>
  <c r="R18" i="3"/>
  <c r="R11" i="3"/>
  <c r="R6" i="3"/>
  <c r="R12" i="3"/>
  <c r="R13" i="3"/>
  <c r="R14" i="3"/>
  <c r="R7" i="3"/>
  <c r="R15" i="3"/>
  <c r="R8" i="3"/>
  <c r="R16" i="3"/>
  <c r="R9" i="3"/>
  <c r="R17" i="3"/>
  <c r="L7" i="3"/>
  <c r="L10" i="3"/>
  <c r="L8" i="3"/>
  <c r="L11" i="3"/>
  <c r="L9" i="3"/>
  <c r="L6" i="3"/>
  <c r="L14" i="3"/>
  <c r="L12" i="3"/>
  <c r="L15" i="3"/>
  <c r="L13" i="3"/>
  <c r="L16" i="3"/>
  <c r="L17" i="3"/>
  <c r="E8" i="3"/>
  <c r="E15" i="3"/>
  <c r="E13" i="3"/>
  <c r="E12" i="3"/>
  <c r="E11" i="3"/>
  <c r="E16" i="3"/>
  <c r="E7" i="3"/>
  <c r="E14" i="3"/>
  <c r="E6" i="3"/>
  <c r="E10" i="3"/>
  <c r="E9" i="3"/>
  <c r="E17" i="3"/>
  <c r="M23" i="3"/>
  <c r="M17" i="3"/>
  <c r="M18" i="3"/>
  <c r="M6" i="3"/>
  <c r="R5" i="3"/>
  <c r="F15" i="3"/>
  <c r="F17" i="3"/>
  <c r="F13" i="3"/>
  <c r="F19" i="3"/>
  <c r="M12" i="3"/>
  <c r="M15" i="3"/>
  <c r="F16" i="3"/>
  <c r="F21" i="3"/>
  <c r="M9" i="3"/>
  <c r="F6" i="3"/>
  <c r="M7" i="3"/>
  <c r="F24" i="3"/>
  <c r="M14" i="3"/>
  <c r="O6" i="3"/>
  <c r="J28" i="3"/>
  <c r="F22" i="3"/>
  <c r="O18" i="3"/>
  <c r="F9" i="3"/>
  <c r="F10" i="3"/>
  <c r="M13" i="3"/>
  <c r="O13" i="3"/>
  <c r="F23" i="3"/>
  <c r="M10" i="3"/>
  <c r="F8" i="3"/>
  <c r="F20" i="3"/>
  <c r="M21" i="3"/>
  <c r="S13" i="3"/>
  <c r="M11" i="3"/>
  <c r="M24" i="3"/>
  <c r="M22" i="3"/>
  <c r="M25" i="3"/>
  <c r="F25" i="3"/>
  <c r="M20" i="3"/>
  <c r="M16" i="3"/>
  <c r="F14" i="3"/>
  <c r="F18" i="3"/>
  <c r="M8" i="3"/>
  <c r="O17" i="3"/>
  <c r="S17" i="3" s="1"/>
  <c r="F7" i="3"/>
  <c r="O9" i="3"/>
  <c r="S9" i="3" s="1"/>
  <c r="O10" i="3"/>
  <c r="O15" i="3"/>
  <c r="O8" i="3"/>
  <c r="S8" i="3" s="1"/>
  <c r="F11" i="3"/>
  <c r="M19" i="3"/>
  <c r="O7" i="3"/>
  <c r="F12" i="3"/>
  <c r="C2" i="2"/>
  <c r="C3" i="2"/>
  <c r="O12" i="3"/>
  <c r="O11" i="3"/>
  <c r="S11" i="3" s="1"/>
  <c r="H4" i="2" l="1"/>
  <c r="H5" i="2" s="1"/>
  <c r="H6" i="2" s="1"/>
  <c r="H7" i="2" s="1"/>
  <c r="H8" i="2" s="1"/>
  <c r="H9" i="2" s="1"/>
  <c r="H10" i="2" s="1"/>
  <c r="H11" i="2" s="1"/>
  <c r="H12" i="2" s="1"/>
  <c r="H13" i="2" s="1"/>
  <c r="H14" i="2" s="1"/>
  <c r="H15" i="2" s="1"/>
  <c r="H16" i="2" s="1"/>
  <c r="H17" i="2" s="1"/>
  <c r="H18" i="2" s="1"/>
  <c r="H19" i="2" s="1"/>
  <c r="H20" i="2" s="1"/>
  <c r="H21" i="2" s="1"/>
  <c r="H22" i="2" s="1"/>
  <c r="H23" i="2" s="1"/>
  <c r="H24" i="2" s="1"/>
  <c r="H25" i="2" s="1"/>
  <c r="H26" i="2" s="1"/>
  <c r="H27" i="2" s="1"/>
  <c r="H28" i="2" s="1"/>
  <c r="H29" i="2" s="1"/>
  <c r="H30" i="2" s="1"/>
  <c r="H31" i="2" s="1"/>
  <c r="H32" i="2" s="1"/>
  <c r="H33" i="2" s="1"/>
  <c r="H34" i="2" s="1"/>
  <c r="H35" i="2" s="1"/>
  <c r="H36" i="2" s="1"/>
  <c r="H37" i="2" s="1"/>
  <c r="E8" i="2"/>
  <c r="E12" i="2"/>
  <c r="E16" i="2"/>
  <c r="E7" i="2"/>
  <c r="E11" i="2"/>
  <c r="E15" i="2"/>
  <c r="E6" i="2"/>
  <c r="E10" i="2"/>
  <c r="E14" i="2"/>
  <c r="E9" i="2"/>
  <c r="E13" i="2"/>
  <c r="E17" i="2"/>
  <c r="S12" i="3"/>
  <c r="S10" i="3"/>
  <c r="O16" i="3"/>
  <c r="S16" i="3" s="1"/>
  <c r="S6" i="3"/>
  <c r="S15" i="3"/>
  <c r="O14" i="3"/>
  <c r="S18" i="3"/>
  <c r="S7" i="3"/>
  <c r="F19" i="2"/>
  <c r="F21" i="2"/>
  <c r="F16" i="2"/>
  <c r="F10" i="2"/>
  <c r="F17" i="2"/>
  <c r="F20" i="2"/>
  <c r="F18" i="2"/>
  <c r="F12" i="2"/>
  <c r="F9" i="2"/>
  <c r="F15" i="2"/>
  <c r="F8" i="2"/>
  <c r="F25" i="2"/>
  <c r="F24" i="2"/>
  <c r="F11" i="2"/>
  <c r="F14" i="2"/>
  <c r="F13" i="2"/>
  <c r="F6" i="2"/>
  <c r="F22" i="2"/>
  <c r="F23" i="2"/>
  <c r="F7" i="2"/>
  <c r="C2" i="1"/>
  <c r="H4" i="1" l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S14" i="3"/>
  <c r="C29" i="2"/>
  <c r="C31" i="2"/>
  <c r="E6" i="1" l="1"/>
  <c r="E5" i="1"/>
  <c r="E4" i="1"/>
  <c r="E11" i="1"/>
  <c r="E15" i="1"/>
  <c r="E7" i="1"/>
  <c r="E14" i="1"/>
  <c r="E10" i="1"/>
  <c r="E9" i="1"/>
  <c r="E13" i="1"/>
  <c r="E8" i="1"/>
  <c r="E12" i="1"/>
  <c r="F6" i="1"/>
  <c r="F15" i="1"/>
  <c r="F14" i="1"/>
  <c r="F10" i="1"/>
  <c r="F12" i="1"/>
  <c r="F5" i="1"/>
  <c r="F9" i="1"/>
  <c r="F11" i="1"/>
  <c r="F8" i="1"/>
  <c r="F13" i="1"/>
  <c r="F4" i="1"/>
  <c r="F7" i="1"/>
  <c r="C27" i="3"/>
  <c r="C29" i="3"/>
  <c r="C28" i="3"/>
  <c r="C33" i="2"/>
  <c r="K16" i="2"/>
  <c r="K7" i="2"/>
  <c r="C32" i="2"/>
  <c r="J10" i="2"/>
  <c r="I29" i="2"/>
  <c r="I35" i="2"/>
  <c r="K13" i="2"/>
  <c r="I8" i="2"/>
  <c r="K24" i="2"/>
  <c r="J14" i="2"/>
  <c r="J28" i="2"/>
  <c r="I23" i="2"/>
  <c r="I6" i="2"/>
  <c r="I34" i="2"/>
  <c r="K5" i="2"/>
  <c r="J12" i="2"/>
  <c r="K17" i="2"/>
  <c r="I4" i="2"/>
  <c r="J36" i="2"/>
  <c r="K28" i="2"/>
  <c r="J5" i="2"/>
  <c r="J16" i="2"/>
  <c r="J4" i="2"/>
  <c r="K4" i="2"/>
  <c r="J19" i="2"/>
  <c r="K21" i="2"/>
  <c r="K12" i="2"/>
  <c r="I25" i="2"/>
  <c r="J30" i="2"/>
  <c r="I30" i="2"/>
  <c r="J15" i="2"/>
  <c r="I22" i="2"/>
  <c r="I10" i="2"/>
  <c r="I27" i="2"/>
  <c r="K22" i="2"/>
  <c r="K32" i="2"/>
  <c r="I19" i="2"/>
  <c r="I24" i="2"/>
  <c r="K31" i="2"/>
  <c r="J22" i="2"/>
  <c r="J33" i="2"/>
  <c r="K20" i="2"/>
  <c r="I28" i="2"/>
  <c r="J27" i="2"/>
  <c r="C18" i="1"/>
  <c r="C20" i="1"/>
  <c r="C21" i="1"/>
  <c r="J16" i="1"/>
  <c r="I7" i="1"/>
  <c r="I24" i="1"/>
  <c r="J23" i="1"/>
  <c r="I20" i="1"/>
  <c r="I16" i="1"/>
  <c r="J26" i="1"/>
  <c r="I32" i="1"/>
  <c r="J5" i="1"/>
  <c r="I35" i="1"/>
  <c r="I11" i="1"/>
  <c r="J36" i="1"/>
  <c r="I26" i="1"/>
  <c r="I34" i="1"/>
  <c r="I13" i="1"/>
  <c r="J13" i="1"/>
  <c r="J35" i="1"/>
  <c r="I18" i="1"/>
  <c r="J21" i="1"/>
  <c r="I22" i="1"/>
  <c r="I21" i="1"/>
  <c r="J27" i="1"/>
  <c r="J6" i="1"/>
  <c r="J31" i="1"/>
  <c r="J14" i="1"/>
  <c r="J22" i="1"/>
  <c r="J4" i="1"/>
  <c r="J20" i="1"/>
  <c r="J7" i="1"/>
  <c r="I14" i="1"/>
  <c r="J15" i="1"/>
  <c r="J17" i="1"/>
  <c r="J11" i="1"/>
  <c r="J32" i="1"/>
  <c r="J19" i="1"/>
  <c r="I17" i="1"/>
  <c r="J8" i="1"/>
  <c r="I15" i="1"/>
  <c r="J29" i="1"/>
  <c r="I25" i="1"/>
  <c r="I29" i="1"/>
  <c r="I6" i="1"/>
  <c r="J9" i="1"/>
  <c r="J34" i="1"/>
  <c r="I31" i="1"/>
  <c r="I8" i="1"/>
  <c r="J18" i="1"/>
  <c r="J12" i="1"/>
  <c r="I28" i="1"/>
  <c r="I19" i="1"/>
  <c r="I5" i="1"/>
  <c r="I12" i="1"/>
  <c r="J28" i="1"/>
  <c r="J30" i="1"/>
  <c r="I30" i="1"/>
  <c r="I36" i="1"/>
  <c r="J24" i="1"/>
  <c r="J10" i="1"/>
  <c r="J25" i="1"/>
  <c r="I27" i="1"/>
  <c r="J33" i="1"/>
  <c r="I4" i="1"/>
  <c r="I33" i="1"/>
  <c r="I23" i="1"/>
  <c r="I9" i="1"/>
  <c r="I10" i="1"/>
  <c r="K29" i="2"/>
  <c r="K26" i="2"/>
  <c r="K30" i="2"/>
  <c r="K34" i="2"/>
  <c r="K19" i="2"/>
  <c r="K9" i="2"/>
  <c r="K14" i="2"/>
  <c r="K33" i="2"/>
  <c r="K27" i="2"/>
  <c r="K25" i="2"/>
  <c r="K36" i="2"/>
  <c r="K11" i="2"/>
  <c r="K15" i="2"/>
  <c r="K35" i="2"/>
  <c r="K8" i="2"/>
  <c r="K23" i="2"/>
  <c r="K18" i="2"/>
  <c r="K6" i="2"/>
  <c r="K10" i="2"/>
  <c r="I26" i="2"/>
  <c r="J21" i="2"/>
  <c r="I14" i="2"/>
  <c r="J18" i="2"/>
  <c r="I11" i="2"/>
  <c r="I5" i="2"/>
  <c r="J31" i="2"/>
  <c r="I18" i="2"/>
  <c r="J9" i="2"/>
  <c r="J11" i="2"/>
  <c r="I12" i="2"/>
  <c r="J23" i="2"/>
  <c r="I36" i="2"/>
  <c r="I13" i="2"/>
  <c r="J26" i="2"/>
  <c r="I32" i="2"/>
  <c r="J24" i="2"/>
  <c r="I15" i="2"/>
  <c r="I33" i="2"/>
  <c r="J13" i="2"/>
  <c r="I7" i="2"/>
  <c r="I16" i="2"/>
  <c r="J7" i="2"/>
  <c r="I17" i="2"/>
  <c r="J17" i="2"/>
  <c r="I20" i="2"/>
  <c r="J25" i="2"/>
  <c r="I31" i="2"/>
  <c r="J32" i="2"/>
  <c r="J20" i="2"/>
  <c r="I21" i="2"/>
  <c r="J34" i="2"/>
  <c r="J35" i="2"/>
  <c r="J29" i="2"/>
  <c r="I9" i="2"/>
  <c r="J8" i="2"/>
  <c r="J6" i="2"/>
  <c r="B43" i="2" l="1"/>
  <c r="C30" i="3"/>
  <c r="C32" i="3" s="1"/>
  <c r="C33" i="3" a="1"/>
  <c r="C33" i="3" l="1"/>
  <c r="C36" i="3"/>
  <c r="C35" i="3"/>
  <c r="C37" i="3"/>
  <c r="C38" i="3"/>
  <c r="C34" i="3"/>
  <c r="D36" i="3"/>
  <c r="D34" i="3"/>
  <c r="D35" i="3"/>
  <c r="Y4" i="3"/>
  <c r="X20" i="3"/>
  <c r="Y31" i="3"/>
  <c r="Y9" i="3"/>
  <c r="Y30" i="3"/>
  <c r="Y5" i="3"/>
  <c r="X13" i="3"/>
  <c r="X25" i="3"/>
  <c r="Y36" i="3"/>
  <c r="Y17" i="3"/>
  <c r="X24" i="3"/>
  <c r="D33" i="3"/>
  <c r="X4" i="3"/>
  <c r="X16" i="3"/>
  <c r="V12" i="3"/>
  <c r="X36" i="3"/>
  <c r="V14" i="3"/>
  <c r="V24" i="3"/>
  <c r="X11" i="3"/>
  <c r="V30" i="3"/>
  <c r="Y28" i="3"/>
  <c r="Y13" i="3"/>
  <c r="Y7" i="3"/>
  <c r="X10" i="3"/>
  <c r="X12" i="3"/>
  <c r="W10" i="3"/>
  <c r="V26" i="3"/>
  <c r="V8" i="3"/>
  <c r="X14" i="3"/>
  <c r="X6" i="3"/>
  <c r="W18" i="3"/>
  <c r="W36" i="3"/>
  <c r="Y33" i="3"/>
  <c r="X15" i="3"/>
  <c r="V13" i="3"/>
  <c r="W5" i="3"/>
  <c r="X32" i="3"/>
  <c r="W17" i="3"/>
  <c r="Y18" i="3"/>
  <c r="Y19" i="3"/>
  <c r="W8" i="3"/>
  <c r="Y16" i="3"/>
  <c r="W35" i="3"/>
  <c r="W25" i="3"/>
  <c r="W27" i="3"/>
  <c r="Y14" i="3"/>
  <c r="Y35" i="3"/>
  <c r="V5" i="3"/>
  <c r="V34" i="3"/>
  <c r="W26" i="3"/>
  <c r="X22" i="3"/>
  <c r="V35" i="3"/>
  <c r="W7" i="3"/>
  <c r="D37" i="3"/>
  <c r="X35" i="3"/>
  <c r="X7" i="3"/>
  <c r="W21" i="3"/>
  <c r="X19" i="3"/>
  <c r="V18" i="3"/>
  <c r="X33" i="3"/>
  <c r="W22" i="3"/>
  <c r="X34" i="3"/>
  <c r="Y24" i="3"/>
  <c r="V36" i="3"/>
  <c r="X18" i="3"/>
  <c r="W24" i="3"/>
  <c r="X5" i="3"/>
  <c r="X27" i="3"/>
  <c r="X31" i="3"/>
  <c r="X8" i="3"/>
  <c r="X23" i="3"/>
  <c r="X9" i="3"/>
  <c r="X30" i="3"/>
  <c r="X28" i="3"/>
  <c r="X29" i="3"/>
  <c r="X26" i="3"/>
  <c r="X17" i="3"/>
  <c r="X21" i="3"/>
  <c r="Y26" i="3"/>
  <c r="Y34" i="3"/>
  <c r="Y29" i="3"/>
  <c r="Y20" i="3"/>
  <c r="Y6" i="3"/>
  <c r="Y27" i="3"/>
  <c r="Y23" i="3"/>
  <c r="Y22" i="3"/>
  <c r="Y32" i="3"/>
  <c r="Y10" i="3"/>
  <c r="Y21" i="3"/>
  <c r="Y12" i="3"/>
  <c r="Y15" i="3"/>
  <c r="Y8" i="3"/>
  <c r="Y25" i="3"/>
  <c r="Y11" i="3"/>
  <c r="W11" i="3"/>
  <c r="V10" i="3"/>
  <c r="V15" i="3"/>
  <c r="V4" i="3"/>
  <c r="V28" i="3"/>
  <c r="W6" i="3"/>
  <c r="V27" i="3"/>
  <c r="V19" i="3"/>
  <c r="W34" i="3"/>
  <c r="V21" i="3"/>
  <c r="W20" i="3"/>
  <c r="V25" i="3"/>
  <c r="V22" i="3"/>
  <c r="W29" i="3"/>
  <c r="V17" i="3"/>
  <c r="W33" i="3"/>
  <c r="W32" i="3"/>
  <c r="W9" i="3"/>
  <c r="V9" i="3"/>
  <c r="W19" i="3"/>
  <c r="V16" i="3"/>
  <c r="W23" i="3"/>
  <c r="W28" i="3"/>
  <c r="W4" i="3"/>
  <c r="W31" i="3"/>
  <c r="V23" i="3"/>
  <c r="V7" i="3"/>
  <c r="V33" i="3"/>
  <c r="V20" i="3"/>
  <c r="V6" i="3"/>
  <c r="W30" i="3"/>
  <c r="V31" i="3"/>
  <c r="V32" i="3"/>
  <c r="W16" i="3"/>
  <c r="W13" i="3"/>
  <c r="V11" i="3"/>
  <c r="V29" i="3"/>
  <c r="W14" i="3"/>
  <c r="W12" i="3"/>
  <c r="W15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<sst xmlns="http://schemas.openxmlformats.org/spreadsheetml/2006/main" count="184" uniqueCount="74">
  <si>
    <t>3m</t>
  </si>
  <si>
    <t>JIBA3M Index</t>
  </si>
  <si>
    <t>3x6</t>
  </si>
  <si>
    <t>SAFR0CF Curncy</t>
  </si>
  <si>
    <t>6x9</t>
  </si>
  <si>
    <t>SAFR0FI Curncy</t>
  </si>
  <si>
    <t>9x12</t>
  </si>
  <si>
    <t>SAFR0I1 Curncy</t>
  </si>
  <si>
    <t>12x15</t>
  </si>
  <si>
    <t>SAFR011C Curncy</t>
  </si>
  <si>
    <t>15x18</t>
  </si>
  <si>
    <t>SAFR1C1F Curncy</t>
  </si>
  <si>
    <t>2y</t>
  </si>
  <si>
    <t>3y</t>
  </si>
  <si>
    <t>4y</t>
  </si>
  <si>
    <t>5y</t>
  </si>
  <si>
    <t>7y</t>
  </si>
  <si>
    <t>10y</t>
  </si>
  <si>
    <t>SASW2 Curncy</t>
  </si>
  <si>
    <t>SASW3 Curncy</t>
  </si>
  <si>
    <t>SASW4 Curncy</t>
  </si>
  <si>
    <t>SASW5 Curncy</t>
  </si>
  <si>
    <t>SASW7 Curncy</t>
  </si>
  <si>
    <t>SASW10 Curncy</t>
  </si>
  <si>
    <t>Val Date</t>
  </si>
  <si>
    <t>Index</t>
  </si>
  <si>
    <t>FIC</t>
  </si>
  <si>
    <t>Model</t>
  </si>
  <si>
    <t>Curve</t>
  </si>
  <si>
    <t>DF</t>
  </si>
  <si>
    <t>3mFwd</t>
  </si>
  <si>
    <t>IndexOis</t>
  </si>
  <si>
    <t>6m</t>
  </si>
  <si>
    <t>9m</t>
  </si>
  <si>
    <t>1y</t>
  </si>
  <si>
    <t>18m</t>
  </si>
  <si>
    <t>DF_3m</t>
  </si>
  <si>
    <t>DF_Ois</t>
  </si>
  <si>
    <t>US0003M Index</t>
  </si>
  <si>
    <t>EDU8</t>
  </si>
  <si>
    <t>EDZ8</t>
  </si>
  <si>
    <t>EDM9</t>
  </si>
  <si>
    <t>EDH9</t>
  </si>
  <si>
    <t>EDU9</t>
  </si>
  <si>
    <t>USSW2 Curncy</t>
  </si>
  <si>
    <t>USSW3 Curncy</t>
  </si>
  <si>
    <t>USSW5 Curncy</t>
  </si>
  <si>
    <t>USSW10 Curncy</t>
  </si>
  <si>
    <t>USSW4 Curncy</t>
  </si>
  <si>
    <t>USSW7 Curncy</t>
  </si>
  <si>
    <t>FIC_USD</t>
  </si>
  <si>
    <t>FIC_ZAR</t>
  </si>
  <si>
    <t>DF_USD</t>
  </si>
  <si>
    <t>USD.LIBOR.3M</t>
  </si>
  <si>
    <t>USD.OIS.1B</t>
  </si>
  <si>
    <t>ZAR.JIBAR.3M</t>
  </si>
  <si>
    <t>ZAR.OIS.1B</t>
  </si>
  <si>
    <t>1w</t>
  </si>
  <si>
    <t>1m</t>
  </si>
  <si>
    <t>2m</t>
  </si>
  <si>
    <t>15m</t>
  </si>
  <si>
    <t>12m</t>
  </si>
  <si>
    <t>FIC_XCY</t>
  </si>
  <si>
    <t>ZAR</t>
  </si>
  <si>
    <t>USD</t>
  </si>
  <si>
    <t>ZAR.DISC.[USD.OIS.1B]</t>
  </si>
  <si>
    <t>Infation Index</t>
  </si>
  <si>
    <t>US.CPI</t>
  </si>
  <si>
    <t>Name</t>
  </si>
  <si>
    <t>Day Count</t>
  </si>
  <si>
    <t>Fixed Day Count</t>
  </si>
  <si>
    <t>Ccy</t>
  </si>
  <si>
    <t>Act360</t>
  </si>
  <si>
    <t>Act365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</si>
</sst>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8">
    <xf numFmtId="0" fontId="0" fillId="0" borderId="0" xfId="0"/>
    <xf numFmtId="10" fontId="0" fillId="0" borderId="0" xfId="1" applyNumberFormat="1" applyFont="1"/>
    <xf numFmtId="15" fontId="0" fillId="0" borderId="0" xfId="0" applyNumberFormat="1"/>
    <xf numFmtId="10" fontId="0" fillId="0" borderId="0" xfId="0" applyNumberFormat="1"/>
    <xf numFmtId="43" fontId="0" fillId="0" borderId="0" xfId="2" applyFont="1"/>
    <xf numFmtId="164" fontId="0" fillId="0" borderId="0" xfId="0" applyNumberFormat="1"/>
    <xf numFmtId="0" fontId="0" fillId="2" borderId="0" xfId="0" applyFill="1"/>
    <xf numFmtId="15" fontId="0" fillId="2" borderId="0" xfId="0" applyNumberFormat="1" applyFill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37"/>
  <sheetViews>
    <sheetView workbookViewId="0">
      <selection activeCell="I21" sqref="I21"/>
    </sheetView>
  </sheetViews>
  <sheetFormatPr defaultRowHeight="15" x14ac:dyDescent="0.25"/>
  <cols>
    <col min="3" max="3" width="15.5703125" customWidth="1"/>
    <col min="8" max="8" width="10.7109375" bestFit="1" customWidth="1"/>
    <col min="10" max="10" width="7" customWidth="1"/>
  </cols>
  <sheetData>
    <row r="1" spans="2:10" x14ac:dyDescent="0.25">
      <c r="B1" t="s">
        <v>24</v>
      </c>
      <c r="C1" s="7">
        <v>43930</v>
      </c>
    </row>
    <row r="2" spans="2:10" x14ac:dyDescent="0.25">
      <c r="B2" t="s">
        <v>25</v>
      </c>
      <c r="C2" t="str">
        <f ca="1">_xll.QIns_CreateRateIndex("ZAR.JIBAR.3M","ZAR","3M","Act365F","Act365F","3M","JHB","0b","MF")</f>
        <v>ZAR.JIBAR.3M¬10</v>
      </c>
    </row>
    <row r="3" spans="2:10" x14ac:dyDescent="0.25">
      <c r="I3" t="s">
        <v>29</v>
      </c>
      <c r="J3" t="s">
        <v>30</v>
      </c>
    </row>
    <row r="4" spans="2:10" x14ac:dyDescent="0.25">
      <c r="B4" t="s">
        <v>0</v>
      </c>
      <c r="C4" t="s">
        <v>1</v>
      </c>
      <c r="D4" s="6">
        <v>5.6</v>
      </c>
      <c r="E4" s="1">
        <f ca="1">D4/100</f>
        <v>5.5999999999999994E-2</v>
      </c>
      <c r="F4" t="str">
        <f ca="1">_xll.QIns_CreateFRA(B4,valDate,"0x3",index,"ZAR",E4,1,"ZAR.JIBAR.3M","ZAR.JIBAR.3M",,,"ZAR.JIBAR.3M")</f>
        <v>3m¬4</v>
      </c>
      <c r="H4" s="2">
        <f ca="1">valDate</f>
        <v>43930</v>
      </c>
      <c r="I4" s="1">
        <f ca="1">_xll.QCurves_GetDF($C$21,valDate,H4)</f>
        <v>1</v>
      </c>
      <c r="J4" s="1">
        <f ca="1">_xll.QCurves_GetForwardRate($C$21,H4,H5,"Linear","Act365F")</f>
        <v>5.6000000000000202E-2</v>
      </c>
    </row>
    <row r="5" spans="2:10" x14ac:dyDescent="0.25">
      <c r="B5" t="s">
        <v>2</v>
      </c>
      <c r="C5" t="s">
        <v>3</v>
      </c>
      <c r="D5" s="6">
        <v>4.8250000000000002</v>
      </c>
      <c r="E5" s="1">
        <f t="shared" ref="E5:E15" ca="1" si="0">D5/100</f>
        <v>4.8250000000000001E-2</v>
      </c>
      <c r="F5" t="str">
        <f ca="1">_xll.QIns_CreateFRA(B5,valDate,B5,index,"ZAR",E5,1,"ZAR.JIBAR.3M","ZAR.JIBAR.3M",,,"ZAR.JIBAR.3M")</f>
        <v>3x6¬4</v>
      </c>
      <c r="H5" s="2">
        <f ca="1">EDATE(H4,3)</f>
        <v>44021</v>
      </c>
      <c r="I5" s="1">
        <f ca="1">_xll.QCurves_GetDF($C$21,valDate,H5)</f>
        <v>0.98623059962820459</v>
      </c>
      <c r="J5" s="1">
        <f ca="1">_xll.QCurves_GetForwardRate($C$21,H5,H6,"Linear","Act365F")</f>
        <v>4.8250000000000098E-2</v>
      </c>
    </row>
    <row r="6" spans="2:10" x14ac:dyDescent="0.25">
      <c r="B6" t="s">
        <v>4</v>
      </c>
      <c r="C6" t="s">
        <v>5</v>
      </c>
      <c r="D6" s="6">
        <v>4.7850000000000001</v>
      </c>
      <c r="E6" s="1">
        <f t="shared" ca="1" si="0"/>
        <v>4.7850000000000004E-2</v>
      </c>
      <c r="F6" t="str">
        <f ca="1">_xll.QIns_CreateFRA(B6,valDate,B6,index,"ZAR",E6,1,"ZAR.JIBAR.3M","ZAR.JIBAR.3M",,,"ZAR.JIBAR.3M")</f>
        <v>6x9¬4</v>
      </c>
      <c r="H6" s="2">
        <f t="shared" ref="H6:H37" ca="1" si="1">EDATE(H5,3)</f>
        <v>44113</v>
      </c>
      <c r="I6" s="1">
        <f ca="1">_xll.QCurves_GetDF($C$21,valDate,H6)</f>
        <v>0.9743805306540313</v>
      </c>
      <c r="J6" s="1">
        <f ca="1">_xll.QCurves_GetForwardRate($C$21,H6,H7,"Linear","Act365F")</f>
        <v>4.787449751931195E-2</v>
      </c>
    </row>
    <row r="7" spans="2:10" x14ac:dyDescent="0.25">
      <c r="B7" t="s">
        <v>6</v>
      </c>
      <c r="C7" t="s">
        <v>7</v>
      </c>
      <c r="D7" s="6">
        <v>4.9000000000000004</v>
      </c>
      <c r="E7" s="1">
        <f t="shared" ca="1" si="0"/>
        <v>4.9000000000000002E-2</v>
      </c>
      <c r="F7" t="str">
        <f ca="1">_xll.QIns_CreateFRA(B7,valDate,B7,index,"ZAR",E7,1,"ZAR.JIBAR.3M","ZAR.JIBAR.3M",,,"ZAR.JIBAR.3M")</f>
        <v>9x12¬4</v>
      </c>
      <c r="H7" s="2">
        <f t="shared" ca="1" si="1"/>
        <v>44205</v>
      </c>
      <c r="I7" s="1">
        <f ca="1">_xll.QCurves_GetDF($C$21,valDate,H7)</f>
        <v>0.96276287428967056</v>
      </c>
      <c r="J7" s="1">
        <f ca="1">_xll.QCurves_GetForwardRate($C$21,H7,H8,"Linear","Act365F")</f>
        <v>4.8952714816994258E-2</v>
      </c>
    </row>
    <row r="8" spans="2:10" x14ac:dyDescent="0.25">
      <c r="B8" t="s">
        <v>8</v>
      </c>
      <c r="C8" t="s">
        <v>9</v>
      </c>
      <c r="D8" s="6">
        <v>5.37</v>
      </c>
      <c r="E8" s="1">
        <f t="shared" ca="1" si="0"/>
        <v>5.3699999999999998E-2</v>
      </c>
      <c r="F8" t="str">
        <f ca="1">_xll.QIns_CreateFRA(B8,valDate,B8,index,"ZAR",E8,1,"ZAR.JIBAR.3M","ZAR.JIBAR.3M",,,"ZAR.JIBAR.3M")</f>
        <v>12x15¬4</v>
      </c>
      <c r="H8" s="2">
        <f t="shared" ca="1" si="1"/>
        <v>44295</v>
      </c>
      <c r="I8" s="1">
        <f ca="1">_xll.QCurves_GetDF($C$21,valDate,H8)</f>
        <v>0.95128041322078016</v>
      </c>
      <c r="J8" s="1">
        <f ca="1">_xll.QCurves_GetForwardRate($C$21,H8,H9,"Linear","Act365F")</f>
        <v>5.3700000000000456E-2</v>
      </c>
    </row>
    <row r="9" spans="2:10" x14ac:dyDescent="0.25">
      <c r="B9" t="s">
        <v>10</v>
      </c>
      <c r="C9" t="s">
        <v>11</v>
      </c>
      <c r="D9" s="6">
        <v>5.62</v>
      </c>
      <c r="E9" s="1">
        <f t="shared" ca="1" si="0"/>
        <v>5.62E-2</v>
      </c>
      <c r="F9" t="str">
        <f ca="1">_xll.QIns_CreateFRA(B9,valDate,B9,index,"ZAR",E9,1,"ZAR.JIBAR.3M","ZAR.JIBAR.3M",,,"ZAR.JIBAR.3M")</f>
        <v>15x18¬4</v>
      </c>
      <c r="H9" s="2">
        <f t="shared" ca="1" si="1"/>
        <v>44386</v>
      </c>
      <c r="I9" s="1">
        <f ca="1">_xll.QCurves_GetDF($C$21,valDate,H9)</f>
        <v>0.93871272155929031</v>
      </c>
      <c r="J9" s="1">
        <f ca="1">_xll.QCurves_GetForwardRate($C$21,H9,H10,"Linear","Act365F")</f>
        <v>5.6172312479854318E-2</v>
      </c>
    </row>
    <row r="10" spans="2:10" x14ac:dyDescent="0.25">
      <c r="B10" t="s">
        <v>12</v>
      </c>
      <c r="C10" t="s">
        <v>18</v>
      </c>
      <c r="D10" s="6">
        <v>5.4275000000000002</v>
      </c>
      <c r="E10" s="1">
        <f t="shared" ca="1" si="0"/>
        <v>5.4275000000000004E-2</v>
      </c>
      <c r="F10" t="str">
        <f ca="1">_xll.QIns_CreateIRS(B10,valDate,B10,index,E10,1,"ZAR.JIBAR.3M","ZAR.JIBAR.3M","Pay","ZAR.JIBAR.3M")</f>
        <v>2y¬4</v>
      </c>
      <c r="H10" s="2">
        <f t="shared" ca="1" si="1"/>
        <v>44478</v>
      </c>
      <c r="I10" s="1">
        <f ca="1">_xll.QCurves_GetDF($C$21,valDate,H10)</f>
        <v>0.92560750704156458</v>
      </c>
      <c r="J10" s="1">
        <f ca="1">_xll.QCurves_GetForwardRate($C$21,H10,H11,"Linear","Act365F")</f>
        <v>6.0745627121553118E-2</v>
      </c>
    </row>
    <row r="11" spans="2:10" x14ac:dyDescent="0.25">
      <c r="B11" t="s">
        <v>13</v>
      </c>
      <c r="C11" t="s">
        <v>19</v>
      </c>
      <c r="D11" s="6">
        <v>5.9175000000000004</v>
      </c>
      <c r="E11" s="1">
        <f t="shared" ca="1" si="0"/>
        <v>5.9175000000000005E-2</v>
      </c>
      <c r="F11" t="str">
        <f ca="1">_xll.QIns_CreateIRS(B11,valDate,B11,index,E11,1,"ZAR.JIBAR.3M","ZAR.JIBAR.3M","Pay","ZAR.JIBAR.3M")</f>
        <v>3y¬4</v>
      </c>
      <c r="H11" s="2">
        <f t="shared" ca="1" si="1"/>
        <v>44570</v>
      </c>
      <c r="I11" s="1">
        <f ca="1">_xll.QCurves_GetDF($C$21,valDate,H11)</f>
        <v>0.911649042014124</v>
      </c>
      <c r="J11" s="1">
        <f ca="1">_xll.QCurves_GetForwardRate($C$21,H11,H12,"Linear","Act365F")</f>
        <v>6.3346542112462656E-2</v>
      </c>
    </row>
    <row r="12" spans="2:10" x14ac:dyDescent="0.25">
      <c r="B12" t="s">
        <v>14</v>
      </c>
      <c r="C12" t="s">
        <v>20</v>
      </c>
      <c r="D12" s="6">
        <v>6.4550000000000001</v>
      </c>
      <c r="E12" s="1">
        <f t="shared" ca="1" si="0"/>
        <v>6.4549999999999996E-2</v>
      </c>
      <c r="F12" t="str">
        <f ca="1">_xll.QIns_CreateIRS(B12,valDate,B12,index,E12,1,"ZAR.JIBAR.3M","ZAR.JIBAR.3M","Pay","ZAR.JIBAR.3M")</f>
        <v>4y¬4</v>
      </c>
      <c r="H12" s="2">
        <f t="shared" ca="1" si="1"/>
        <v>44660</v>
      </c>
      <c r="I12" s="1">
        <f ca="1">_xll.QCurves_GetDF($C$21,valDate,H12)</f>
        <v>0.89762836051639427</v>
      </c>
      <c r="J12" s="1">
        <f ca="1">_xll.QCurves_GetForwardRate($C$21,H12,H13,"Linear","Act365F")</f>
        <v>6.6064480834296058E-2</v>
      </c>
    </row>
    <row r="13" spans="2:10" x14ac:dyDescent="0.25">
      <c r="B13" t="s">
        <v>15</v>
      </c>
      <c r="C13" t="s">
        <v>21</v>
      </c>
      <c r="D13" s="6">
        <v>7.0625</v>
      </c>
      <c r="E13" s="1">
        <f t="shared" ca="1" si="0"/>
        <v>7.0624999999999993E-2</v>
      </c>
      <c r="F13" t="str">
        <f ca="1">_xll.QIns_CreateIRS(B13,valDate,B13,index,E13,1,"ZAR.JIBAR.3M","ZAR.JIBAR.3M","Pay","ZAR.JIBAR.3M")</f>
        <v>5y¬4</v>
      </c>
      <c r="H13" s="2">
        <f t="shared" ca="1" si="1"/>
        <v>44751</v>
      </c>
      <c r="I13" s="1">
        <f ca="1">_xll.QCurves_GetDF($C$21,valDate,H13)</f>
        <v>0.88308321124656319</v>
      </c>
      <c r="J13" s="1">
        <f ca="1">_xll.QCurves_GetForwardRate($C$21,H13,H14,"Linear","Act365F")</f>
        <v>6.868753865951642E-2</v>
      </c>
    </row>
    <row r="14" spans="2:10" x14ac:dyDescent="0.25">
      <c r="B14" t="s">
        <v>16</v>
      </c>
      <c r="C14" t="s">
        <v>22</v>
      </c>
      <c r="D14" s="6">
        <v>8.0924999999999994</v>
      </c>
      <c r="E14" s="1">
        <f t="shared" ca="1" si="0"/>
        <v>8.0924999999999997E-2</v>
      </c>
      <c r="F14" t="str">
        <f ca="1">_xll.QIns_CreateIRS(B14,valDate,B14,index,E14,1,"ZAR.JIBAR.3M","ZAR.JIBAR.3M","Pay","ZAR.JIBAR.3M")</f>
        <v>7y¬4</v>
      </c>
      <c r="H14" s="2">
        <f t="shared" ca="1" si="1"/>
        <v>44843</v>
      </c>
      <c r="I14" s="1">
        <f ca="1">_xll.QCurves_GetDF($C$21,valDate,H14)</f>
        <v>0.86805456226039224</v>
      </c>
      <c r="J14" s="1">
        <f ca="1">_xll.QCurves_GetForwardRate($C$21,H14,H15,"Linear","Act365F")</f>
        <v>7.1317300060843886E-2</v>
      </c>
    </row>
    <row r="15" spans="2:10" x14ac:dyDescent="0.25">
      <c r="B15" t="s">
        <v>17</v>
      </c>
      <c r="C15" t="s">
        <v>23</v>
      </c>
      <c r="D15" s="6">
        <v>8.9600000000000009</v>
      </c>
      <c r="E15" s="1">
        <f t="shared" ca="1" si="0"/>
        <v>8.9600000000000013E-2</v>
      </c>
      <c r="F15" t="str">
        <f ca="1">_xll.QIns_CreateIRS(B15,valDate,B15,index,E15,1,"ZAR.JIBAR.3M","ZAR.JIBAR.3M","Pay","ZAR.JIBAR.3M")</f>
        <v>10y¬4</v>
      </c>
      <c r="H15" s="2">
        <f t="shared" ca="1" si="1"/>
        <v>44935</v>
      </c>
      <c r="I15" s="1">
        <f ca="1">_xll.QCurves_GetDF($C$21,valDate,H15)</f>
        <v>0.85272607146055324</v>
      </c>
      <c r="J15" s="1">
        <f ca="1">_xll.QCurves_GetForwardRate($C$21,H15,H16,"Linear","Act365F")</f>
        <v>7.3905286443411974E-2</v>
      </c>
    </row>
    <row r="16" spans="2:10" x14ac:dyDescent="0.25">
      <c r="H16" s="2">
        <f t="shared" ca="1" si="1"/>
        <v>45025</v>
      </c>
      <c r="I16" s="1">
        <f ca="1">_xll.QCurves_GetDF($C$21,valDate,H16)</f>
        <v>0.83746476569198924</v>
      </c>
      <c r="J16" s="1">
        <f ca="1">_xll.QCurves_GetForwardRate($C$21,H16,H17,"Linear","Act365F")</f>
        <v>7.8661980007314503E-2</v>
      </c>
    </row>
    <row r="17" spans="2:10" x14ac:dyDescent="0.25">
      <c r="H17" s="2">
        <f t="shared" ca="1" si="1"/>
        <v>45116</v>
      </c>
      <c r="I17" s="1">
        <f ca="1">_xll.QCurves_GetDF($C$21,valDate,H17)</f>
        <v>0.82135663401994041</v>
      </c>
      <c r="J17" s="1">
        <f ca="1">_xll.QCurves_GetForwardRate($C$21,H17,H18,"Linear","Act365F")</f>
        <v>8.1678302583325479E-2</v>
      </c>
    </row>
    <row r="18" spans="2:10" x14ac:dyDescent="0.25">
      <c r="B18" t="s">
        <v>26</v>
      </c>
      <c r="C18" t="str">
        <f ca="1">_xll.QIns_CreateFundingInstrumentCollection("FundingInstruments",F4:F15)</f>
        <v>FundingInstruments¬6</v>
      </c>
      <c r="H18" s="2">
        <f t="shared" ca="1" si="1"/>
        <v>45208</v>
      </c>
      <c r="I18" s="1">
        <f ca="1">_xll.QCurves_GetDF($C$21,valDate,H18)</f>
        <v>0.8047881325628492</v>
      </c>
      <c r="J18" s="1">
        <f ca="1">_xll.QCurves_GetForwardRate($C$21,H18,H19,"Linear","Act365F")</f>
        <v>8.4659755047945914E-2</v>
      </c>
    </row>
    <row r="19" spans="2:10" x14ac:dyDescent="0.25">
      <c r="H19" s="2">
        <f t="shared" ca="1" si="1"/>
        <v>45300</v>
      </c>
      <c r="I19" s="1">
        <f ca="1">_xll.QCurves_GetDF($C$21,valDate,H19)</f>
        <v>0.78797364400642311</v>
      </c>
      <c r="J19" s="1">
        <f ca="1">_xll.QCurves_GetForwardRate($C$21,H19,H20,"Linear","Act365F")</f>
        <v>8.7616740332739224E-2</v>
      </c>
    </row>
    <row r="20" spans="2:10" x14ac:dyDescent="0.25">
      <c r="B20" t="s">
        <v>27</v>
      </c>
      <c r="C20" t="str">
        <f ca="1">_xll.QCurves_CreateFundingModel("Model",valDate,C18)</f>
        <v>Model¬4</v>
      </c>
      <c r="H20" s="2">
        <f t="shared" ca="1" si="1"/>
        <v>45391</v>
      </c>
      <c r="I20" s="1">
        <f ca="1">_xll.QCurves_GetDF($C$21,valDate,H20)</f>
        <v>0.77112896892790683</v>
      </c>
      <c r="J20" s="1">
        <f ca="1">_xll.QCurves_GetForwardRate($C$21,H20,H21,"Linear","Act365F")</f>
        <v>9.5214525382017495E-2</v>
      </c>
    </row>
    <row r="21" spans="2:10" x14ac:dyDescent="0.25">
      <c r="B21" t="s">
        <v>28</v>
      </c>
      <c r="C21" t="str">
        <f ca="1">_xll.QCurves_ExtractCurveFromModel(C20,"ZAR.JIBAR.3M","curve.ZAR.JIBAR.3M")</f>
        <v>curve.ZAR.JIBAR.3M¬4</v>
      </c>
      <c r="H21" s="2">
        <f t="shared" ca="1" si="1"/>
        <v>45482</v>
      </c>
      <c r="I21" s="1">
        <f ca="1">_xll.QCurves_GetDF($C$21,valDate,H21)</f>
        <v>0.75324805334872325</v>
      </c>
      <c r="J21" s="1">
        <f ca="1">_xll.QCurves_GetForwardRate($C$21,H21,H22,"Linear","Act365F")</f>
        <v>9.8750621474272507E-2</v>
      </c>
    </row>
    <row r="22" spans="2:10" x14ac:dyDescent="0.25">
      <c r="H22" s="2">
        <f t="shared" ca="1" si="1"/>
        <v>45574</v>
      </c>
      <c r="I22" s="1">
        <f ca="1">_xll.QCurves_GetDF($C$21,valDate,H22)</f>
        <v>0.73495461579798316</v>
      </c>
      <c r="J22" s="1">
        <f ca="1">_xll.QCurves_GetForwardRate($C$21,H22,H23,"Linear","Act365F")</f>
        <v>0.10229673180415129</v>
      </c>
    </row>
    <row r="23" spans="2:10" x14ac:dyDescent="0.25">
      <c r="H23" s="2">
        <f t="shared" ca="1" si="1"/>
        <v>45666</v>
      </c>
      <c r="I23" s="1">
        <f ca="1">_xll.QCurves_GetDF($C$21,valDate,H23)</f>
        <v>0.71648060635238509</v>
      </c>
      <c r="J23" s="1">
        <f ca="1">_xll.QCurves_GetForwardRate($C$21,H23,H24,"Linear","Act365F")</f>
        <v>0.1057769429280481</v>
      </c>
    </row>
    <row r="24" spans="2:10" x14ac:dyDescent="0.25">
      <c r="H24" s="2">
        <f t="shared" ca="1" si="1"/>
        <v>45756</v>
      </c>
      <c r="I24" s="1">
        <f ca="1">_xll.QCurves_GetDF($C$21,valDate,H24)</f>
        <v>0.69826838028421911</v>
      </c>
      <c r="J24" s="1">
        <f ca="1">_xll.QCurves_GetForwardRate($C$21,H24,H25,"Linear","Act365F")</f>
        <v>0.10565970450408878</v>
      </c>
    </row>
    <row r="25" spans="2:10" x14ac:dyDescent="0.25">
      <c r="H25" s="2">
        <f t="shared" ca="1" si="1"/>
        <v>45847</v>
      </c>
      <c r="I25" s="1">
        <f ca="1">_xll.QCurves_GetDF($C$21,valDate,H25)</f>
        <v>0.68034631896096098</v>
      </c>
      <c r="J25" s="1">
        <f ca="1">_xll.QCurves_GetForwardRate($C$21,H25,H26,"Linear","Act365F")</f>
        <v>0.10886135067736374</v>
      </c>
    </row>
    <row r="26" spans="2:10" x14ac:dyDescent="0.25">
      <c r="H26" s="2">
        <f t="shared" ca="1" si="1"/>
        <v>45939</v>
      </c>
      <c r="I26" s="1">
        <f ca="1">_xll.QCurves_GetDF($C$21,valDate,H26)</f>
        <v>0.66217683206245936</v>
      </c>
      <c r="J26" s="1">
        <f ca="1">_xll.QCurves_GetForwardRate($C$21,H26,H27,"Linear","Act365F")</f>
        <v>0.11206776067482987</v>
      </c>
    </row>
    <row r="27" spans="2:10" x14ac:dyDescent="0.25">
      <c r="H27" s="2">
        <f t="shared" ca="1" si="1"/>
        <v>46031</v>
      </c>
      <c r="I27" s="1">
        <f ca="1">_xll.QCurves_GetDF($C$21,valDate,H27)</f>
        <v>0.64398601961473578</v>
      </c>
      <c r="J27" s="1">
        <f ca="1">_xll.QCurves_GetForwardRate($C$21,H27,H28,"Linear","Act365F")</f>
        <v>0.11520576895429746</v>
      </c>
    </row>
    <row r="28" spans="2:10" x14ac:dyDescent="0.25">
      <c r="H28" s="2">
        <f t="shared" ca="1" si="1"/>
        <v>46121</v>
      </c>
      <c r="I28" s="1">
        <f ca="1">_xll.QCurves_GetDF($C$21,valDate,H28)</f>
        <v>0.62619768343027393</v>
      </c>
      <c r="J28" s="1">
        <f ca="1">_xll.QCurves_GetForwardRate($C$21,H28,H29,"Linear","Act365F")</f>
        <v>0.11838183447768585</v>
      </c>
    </row>
    <row r="29" spans="2:10" x14ac:dyDescent="0.25">
      <c r="H29" s="2">
        <f t="shared" ca="1" si="1"/>
        <v>46212</v>
      </c>
      <c r="I29" s="1">
        <f ca="1">_xll.QCurves_GetDF($C$21,valDate,H29)</f>
        <v>0.60824569188378086</v>
      </c>
      <c r="J29" s="1">
        <f ca="1">_xll.QCurves_GetForwardRate($C$21,H29,H30,"Linear","Act365F")</f>
        <v>0.1215972880750683</v>
      </c>
    </row>
    <row r="30" spans="2:10" x14ac:dyDescent="0.25">
      <c r="H30" s="2">
        <f t="shared" ca="1" si="1"/>
        <v>46304</v>
      </c>
      <c r="I30" s="1">
        <f ca="1">_xll.QCurves_GetDF($C$21,valDate,H30)</f>
        <v>0.59015783838537172</v>
      </c>
      <c r="J30" s="1">
        <f ca="1">_xll.QCurves_GetForwardRate($C$21,H30,H31,"Linear","Act365F")</f>
        <v>0.12481371625355868</v>
      </c>
    </row>
    <row r="31" spans="2:10" x14ac:dyDescent="0.25">
      <c r="H31" s="2">
        <f t="shared" ca="1" si="1"/>
        <v>46396</v>
      </c>
      <c r="I31" s="1">
        <f ca="1">_xll.QCurves_GetDF($C$21,valDate,H31)</f>
        <v>0.57215781330983917</v>
      </c>
      <c r="J31" s="1">
        <f ca="1">_xll.QCurves_GetForwardRate($C$21,H31,H32,"Linear","Act365F")</f>
        <v>0.12795327149028263</v>
      </c>
    </row>
    <row r="32" spans="2:10" x14ac:dyDescent="0.25">
      <c r="H32" s="2">
        <f t="shared" ca="1" si="1"/>
        <v>46486</v>
      </c>
      <c r="I32" s="1">
        <f ca="1">_xll.QCurves_GetDF($C$21,valDate,H32)</f>
        <v>0.55465827714334881</v>
      </c>
      <c r="J32" s="1">
        <f ca="1">_xll.QCurves_GetForwardRate($C$21,H32,H33,"Linear","Act365F")</f>
        <v>0.1140754343407147</v>
      </c>
    </row>
    <row r="33" spans="8:10" x14ac:dyDescent="0.25">
      <c r="H33" s="2">
        <f t="shared" ca="1" si="1"/>
        <v>46577</v>
      </c>
      <c r="I33" s="1">
        <f ca="1">_xll.QCurves_GetDF($C$21,valDate,H33)</f>
        <v>0.53931963584104481</v>
      </c>
      <c r="J33" s="1">
        <f ca="1">_xll.QCurves_GetForwardRate($C$21,H33,H34,"Linear","Act365F")</f>
        <v>0.11610750253143677</v>
      </c>
    </row>
    <row r="34" spans="8:10" x14ac:dyDescent="0.25">
      <c r="H34" s="2">
        <f t="shared" ca="1" si="1"/>
        <v>46669</v>
      </c>
      <c r="I34" s="1">
        <f ca="1">_xll.QCurves_GetDF($C$21,valDate,H34)</f>
        <v>0.52398497824835089</v>
      </c>
      <c r="J34" s="1">
        <f ca="1">_xll.QCurves_GetForwardRate($C$21,H34,H35,"Linear","Act365F")</f>
        <v>0.11813391928799184</v>
      </c>
    </row>
    <row r="35" spans="8:10" x14ac:dyDescent="0.25">
      <c r="H35" s="2">
        <f t="shared" ca="1" si="1"/>
        <v>46761</v>
      </c>
      <c r="I35" s="1">
        <f ca="1">_xll.QCurves_GetDF($C$21,valDate,H35)</f>
        <v>0.50883382980594227</v>
      </c>
      <c r="J35" s="1">
        <f ca="1">_xll.QCurves_GetForwardRate($C$21,H35,H36,"Linear","Act365F")</f>
        <v>0.12013074362945345</v>
      </c>
    </row>
    <row r="36" spans="8:10" x14ac:dyDescent="0.25">
      <c r="H36" s="2">
        <f t="shared" ca="1" si="1"/>
        <v>46852</v>
      </c>
      <c r="I36" s="1">
        <f ca="1">_xll.QCurves_GetDF($C$21,valDate,H36)</f>
        <v>0.49403721533112033</v>
      </c>
      <c r="J36" s="1">
        <f ca="1">_xll.QCurves_GetForwardRate($C$21,H36,H37,"Linear","Act365F")</f>
        <v>0.12213645723330883</v>
      </c>
    </row>
    <row r="37" spans="8:10" x14ac:dyDescent="0.25">
      <c r="H37" s="2">
        <f t="shared" ca="1" si="1"/>
        <v>46943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K43"/>
  <sheetViews>
    <sheetView workbookViewId="0">
      <selection activeCell="L22" sqref="L22"/>
    </sheetView>
  </sheetViews>
  <sheetFormatPr defaultRowHeight="15" x14ac:dyDescent="0.25"/>
  <cols>
    <col min="3" max="3" width="15.5703125" customWidth="1"/>
    <col min="8" max="8" width="10.7109375" bestFit="1" customWidth="1"/>
    <col min="9" max="9" width="11.42578125" customWidth="1"/>
    <col min="10" max="10" width="7.42578125" bestFit="1" customWidth="1"/>
  </cols>
  <sheetData>
    <row r="1" spans="2:11" x14ac:dyDescent="0.25">
      <c r="B1" t="s">
        <v>24</v>
      </c>
      <c r="C1" s="7">
        <v>43930</v>
      </c>
    </row>
    <row r="2" spans="2:11" x14ac:dyDescent="0.25">
      <c r="B2" t="s">
        <v>25</v>
      </c>
      <c r="C2" t="str">
        <f ca="1">_xll.QIns_CreateRateIndex("ZAR.JIBAR.3M","ZAR","3M","Act365F","Act365F","3M","JHB","0b","MF")</f>
        <v>ZAR.JIBAR.3M¬12</v>
      </c>
      <c r="I2" s="3"/>
    </row>
    <row r="3" spans="2:11" x14ac:dyDescent="0.25">
      <c r="B3" t="s">
        <v>31</v>
      </c>
      <c r="C3" t="str">
        <f ca="1">_xll.QIns_CreateRateIndex("ZAR.OIS.1B","ZAR","3M","Act365F","Act365F","3M","JHB","0b","MF")</f>
        <v>ZAR.OIS.1B¬5</v>
      </c>
      <c r="I3" t="s">
        <v>36</v>
      </c>
      <c r="J3" t="s">
        <v>30</v>
      </c>
      <c r="K3" t="s">
        <v>37</v>
      </c>
    </row>
    <row r="4" spans="2:11" x14ac:dyDescent="0.25">
      <c r="H4" s="2">
        <f ca="1">valDate</f>
        <v>43930</v>
      </c>
      <c r="I4" s="1">
        <f ca="1">_xll.QCurves_GetDF($C$32,valDate,H4)</f>
        <v>1</v>
      </c>
      <c r="J4" s="1">
        <f ca="1">_xll.QCurves_GetForwardRate($C$32,H4,H5,"Linear","Act365F")</f>
        <v>5.6000000000000202E-2</v>
      </c>
      <c r="K4" s="1">
        <f ca="1">_xll.QCurves_GetDF($C$33,valDate,H4)</f>
        <v>1</v>
      </c>
    </row>
    <row r="5" spans="2:11" x14ac:dyDescent="0.25">
      <c r="H5" s="2">
        <f ca="1">EDATE(H4,3)</f>
        <v>44021</v>
      </c>
      <c r="I5" s="1">
        <f ca="1">_xll.QCurves_GetDF($C$32,valDate,H5)</f>
        <v>0.98623059962820459</v>
      </c>
      <c r="J5" s="1">
        <f ca="1">_xll.QCurves_GetForwardRate($C$32,H5,H6,"Linear","Act365F")</f>
        <v>4.8250000000000098E-2</v>
      </c>
      <c r="K5" s="1">
        <f ca="1">_xll.QCurves_GetDF($C$33,valDate,H5)</f>
        <v>0.9872015405753356</v>
      </c>
    </row>
    <row r="6" spans="2:11" x14ac:dyDescent="0.25">
      <c r="B6" t="s">
        <v>0</v>
      </c>
      <c r="C6" t="s">
        <v>1</v>
      </c>
      <c r="D6" s="6">
        <v>5.6</v>
      </c>
      <c r="E6" s="1">
        <f ca="1">D6/100</f>
        <v>5.5999999999999994E-2</v>
      </c>
      <c r="F6" t="str">
        <f ca="1">_xll.QIns_CreateFRA("OISFra_"&amp;B6,valDate,"0x3",index,"ZAR",E6,1,"ZAR.JIBAR.3M","ZAR.OIS.1B",,,"ZAR.JIBAR.3M")</f>
        <v>OISFra_3m¬1</v>
      </c>
      <c r="H6" s="2">
        <f t="shared" ref="H6:H37" ca="1" si="0">EDATE(H5,3)</f>
        <v>44113</v>
      </c>
      <c r="I6" s="1">
        <f ca="1">_xll.QCurves_GetDF($C$32,valDate,H6)</f>
        <v>0.9743805306540313</v>
      </c>
      <c r="J6" s="1">
        <f ca="1">_xll.QCurves_GetForwardRate($C$32,H6,H7,"Linear","Act365F")</f>
        <v>4.7874497519312831E-2</v>
      </c>
      <c r="K6" s="1">
        <f ca="1">_xll.QCurves_GetDF($C$33,valDate,H6)</f>
        <v>0.97631231473076319</v>
      </c>
    </row>
    <row r="7" spans="2:11" x14ac:dyDescent="0.25">
      <c r="B7" t="s">
        <v>2</v>
      </c>
      <c r="C7" t="s">
        <v>3</v>
      </c>
      <c r="D7" s="6">
        <v>4.8250000000000002</v>
      </c>
      <c r="E7" s="1">
        <f t="shared" ref="E7:E17" ca="1" si="1">D7/100</f>
        <v>4.8250000000000001E-2</v>
      </c>
      <c r="F7" t="str">
        <f ca="1">_xll.QIns_CreateFRA("OISFra_"&amp;B7,valDate,B7,index,"ZAR",E7,1,"ZAR.JIBAR.3M","ZAR.OIS.1B",,,"ZAR.JIBAR.3M")</f>
        <v>OISFra_3x6¬1</v>
      </c>
      <c r="H7" s="2">
        <f t="shared" ca="1" si="0"/>
        <v>44205</v>
      </c>
      <c r="I7" s="1">
        <f ca="1">_xll.QCurves_GetDF($C$32,valDate,H7)</f>
        <v>0.96276287428967033</v>
      </c>
      <c r="J7" s="1">
        <f ca="1">_xll.QCurves_GetForwardRate($C$32,H7,H8,"Linear","Act365F")</f>
        <v>4.8952714816993363E-2</v>
      </c>
      <c r="K7" s="1">
        <f ca="1">_xll.QCurves_GetDF($C$33,valDate,H7)</f>
        <v>0.9656327019227805</v>
      </c>
    </row>
    <row r="8" spans="2:11" x14ac:dyDescent="0.25">
      <c r="B8" t="s">
        <v>4</v>
      </c>
      <c r="C8" t="s">
        <v>5</v>
      </c>
      <c r="D8" s="6">
        <v>4.7850000000000001</v>
      </c>
      <c r="E8" s="1">
        <f t="shared" ca="1" si="1"/>
        <v>4.7850000000000004E-2</v>
      </c>
      <c r="F8" t="str">
        <f ca="1">_xll.QIns_CreateFRA("OISFra_"&amp;B8,valDate,B8,index,"ZAR",E8,1,"ZAR.JIBAR.3M","ZAR.OIS.1B",,,"ZAR.JIBAR.3M")</f>
        <v>OISFra_6x9¬1</v>
      </c>
      <c r="H8" s="2">
        <f t="shared" ca="1" si="0"/>
        <v>44295</v>
      </c>
      <c r="I8" s="1">
        <f ca="1">_xll.QCurves_GetDF($C$32,valDate,H8)</f>
        <v>0.95128041322078005</v>
      </c>
      <c r="J8" s="1">
        <f ca="1">_xll.QCurves_GetForwardRate($C$32,H8,H9,"Linear","Act365F")</f>
        <v>5.3699999999999568E-2</v>
      </c>
      <c r="K8" s="1">
        <f ca="1">_xll.QCurves_GetDF($C$33,valDate,H8)</f>
        <v>0.95508414419060306</v>
      </c>
    </row>
    <row r="9" spans="2:11" x14ac:dyDescent="0.25">
      <c r="B9" t="s">
        <v>6</v>
      </c>
      <c r="C9" t="s">
        <v>7</v>
      </c>
      <c r="D9" s="6">
        <v>4.9000000000000004</v>
      </c>
      <c r="E9" s="1">
        <f t="shared" ca="1" si="1"/>
        <v>4.9000000000000002E-2</v>
      </c>
      <c r="F9" t="str">
        <f ca="1">_xll.QIns_CreateFRA("OISFra_"&amp;B9,valDate,B9,index,"ZAR",E9,1,"ZAR.JIBAR.3M","ZAR.OIS.1B",,,"ZAR.JIBAR.3M")</f>
        <v>OISFra_9x12¬1</v>
      </c>
      <c r="H9" s="2">
        <f t="shared" ca="1" si="0"/>
        <v>44386</v>
      </c>
      <c r="I9" s="1">
        <f ca="1">_xll.QCurves_GetDF($C$32,valDate,H9)</f>
        <v>0.93871272155929031</v>
      </c>
      <c r="J9" s="1">
        <f ca="1">_xll.QCurves_GetForwardRate($C$32,H9,H10,"Linear","Act365F")</f>
        <v>5.6172312479854318E-2</v>
      </c>
      <c r="K9" s="1">
        <f ca="1">_xll.QCurves_GetDF($C$33,valDate,H9)</f>
        <v>0.94327489164363509</v>
      </c>
    </row>
    <row r="10" spans="2:11" x14ac:dyDescent="0.25">
      <c r="B10" t="s">
        <v>8</v>
      </c>
      <c r="C10" t="s">
        <v>9</v>
      </c>
      <c r="D10" s="6">
        <v>5.37</v>
      </c>
      <c r="E10" s="1">
        <f t="shared" ca="1" si="1"/>
        <v>5.3699999999999998E-2</v>
      </c>
      <c r="F10" t="str">
        <f ca="1">_xll.QIns_CreateFRA("OISFra_"&amp;B10,valDate,B10,index,"ZAR",E10,1,"ZAR.JIBAR.3M","ZAR.OIS.1B",,,"ZAR.JIBAR.3M")</f>
        <v>OISFra_12x15¬1</v>
      </c>
      <c r="H10" s="2">
        <f t="shared" ca="1" si="0"/>
        <v>44478</v>
      </c>
      <c r="I10" s="1">
        <f ca="1">_xll.QCurves_GetDF($C$32,valDate,H10)</f>
        <v>0.92560750704156458</v>
      </c>
      <c r="J10" s="1">
        <f ca="1">_xll.QCurves_GetForwardRate($C$32,H10,H11,"Linear","Act365F")</f>
        <v>6.0714308999312856E-2</v>
      </c>
      <c r="K10" s="1">
        <f ca="1">_xll.QCurves_GetDF($C$33,valDate,H10)</f>
        <v>0.9311124050637537</v>
      </c>
    </row>
    <row r="11" spans="2:11" x14ac:dyDescent="0.25">
      <c r="B11" t="s">
        <v>10</v>
      </c>
      <c r="C11" t="s">
        <v>11</v>
      </c>
      <c r="D11" s="6">
        <v>5.62</v>
      </c>
      <c r="E11" s="1">
        <f t="shared" ca="1" si="1"/>
        <v>5.62E-2</v>
      </c>
      <c r="F11" t="str">
        <f ca="1">_xll.QIns_CreateFRA("OISFra_"&amp;B11,valDate,B11,index,"ZAR",E11,1,"ZAR.JIBAR.3M","ZAR.OIS.1B",,,"ZAR.JIBAR.3M")</f>
        <v>OISFra_15x18¬1</v>
      </c>
      <c r="H11" s="2">
        <f t="shared" ca="1" si="0"/>
        <v>44570</v>
      </c>
      <c r="I11" s="1">
        <f ca="1">_xll.QCurves_GetDF($C$32,valDate,H11)</f>
        <v>0.91165612999514489</v>
      </c>
      <c r="J11" s="1">
        <f ca="1">_xll.QCurves_GetForwardRate($C$32,H11,H12,"Linear","Act365F")</f>
        <v>6.3305511654691615E-2</v>
      </c>
      <c r="K11" s="1">
        <f ca="1">_xll.QCurves_GetDF($C$33,valDate,H11)</f>
        <v>0.91799187684709571</v>
      </c>
    </row>
    <row r="12" spans="2:11" x14ac:dyDescent="0.25">
      <c r="B12" t="s">
        <v>12</v>
      </c>
      <c r="C12" t="s">
        <v>18</v>
      </c>
      <c r="D12" s="6">
        <v>5.4275000000000002</v>
      </c>
      <c r="E12" s="1">
        <f t="shared" ca="1" si="1"/>
        <v>5.4275000000000004E-2</v>
      </c>
      <c r="F12" t="str">
        <f ca="1">_xll.QIns_CreateIRS("OISSwap_"&amp;B12,valDate,B12,index,E12,1,"ZAR.JIBAR.3M","ZAR.OIS.1B","Pay","ZAR.JIBAR.3M")</f>
        <v>OISSwap_2y¬1</v>
      </c>
      <c r="H12" s="2">
        <f t="shared" ca="1" si="0"/>
        <v>44660</v>
      </c>
      <c r="I12" s="1">
        <f ca="1">_xll.QCurves_GetDF($C$32,valDate,H12)</f>
        <v>0.89764428137467944</v>
      </c>
      <c r="J12" s="1">
        <f ca="1">_xll.QCurves_GetForwardRate($C$32,H12,H13,"Linear","Act365F")</f>
        <v>6.6022872672555147E-2</v>
      </c>
      <c r="K12" s="1">
        <f ca="1">_xll.QCurves_GetDF($C$33,valDate,H12)</f>
        <v>0.90476115186497996</v>
      </c>
    </row>
    <row r="13" spans="2:11" x14ac:dyDescent="0.25">
      <c r="B13" t="s">
        <v>13</v>
      </c>
      <c r="C13" t="s">
        <v>19</v>
      </c>
      <c r="D13" s="6">
        <v>5.9175000000000004</v>
      </c>
      <c r="E13" s="1">
        <f t="shared" ca="1" si="1"/>
        <v>5.9175000000000005E-2</v>
      </c>
      <c r="F13" t="str">
        <f ca="1">_xll.QIns_CreateIRS("OISSwap_"&amp;B13,valDate,B13,index,E13,1,"ZAR.JIBAR.3M","ZAR.OIS.1B","Pay","ZAR.JIBAR.3M")</f>
        <v>OISSwap_3y¬1</v>
      </c>
      <c r="H13" s="2">
        <f t="shared" ca="1" si="0"/>
        <v>44751</v>
      </c>
      <c r="I13" s="1">
        <f ca="1">_xll.QCurves_GetDF($C$32,valDate,H13)</f>
        <v>0.88310788663618245</v>
      </c>
      <c r="J13" s="1">
        <f ca="1">_xll.QCurves_GetForwardRate($C$32,H13,H14,"Linear","Act365F")</f>
        <v>6.8638838016895798E-2</v>
      </c>
      <c r="K13" s="1">
        <f ca="1">_xll.QCurves_GetDF($C$33,valDate,H13)</f>
        <v>0.89061526662429957</v>
      </c>
    </row>
    <row r="14" spans="2:11" x14ac:dyDescent="0.25">
      <c r="B14" t="s">
        <v>14</v>
      </c>
      <c r="C14" t="s">
        <v>20</v>
      </c>
      <c r="D14" s="6">
        <v>6.4550000000000001</v>
      </c>
      <c r="E14" s="1">
        <f t="shared" ca="1" si="1"/>
        <v>6.4549999999999996E-2</v>
      </c>
      <c r="F14" t="str">
        <f ca="1">_xll.QIns_CreateIRS("OISSwap_"&amp;B14,valDate,B14,index,E14,1,"ZAR.JIBAR.3M","ZAR.OIS.1B","Pay","ZAR.JIBAR.3M")</f>
        <v>OISSwap_4y¬1</v>
      </c>
      <c r="H14" s="2">
        <f t="shared" ca="1" si="0"/>
        <v>44843</v>
      </c>
      <c r="I14" s="1">
        <f ca="1">_xll.QCurves_GetDF($C$32,valDate,H14)</f>
        <v>0.86808929236306109</v>
      </c>
      <c r="J14" s="1">
        <f ca="1">_xll.QCurves_GetForwardRate($C$32,H14,H15,"Linear","Act365F")</f>
        <v>7.126129505508913E-2</v>
      </c>
      <c r="K14" s="1">
        <f ca="1">_xll.QCurves_GetDF($C$33,valDate,H14)</f>
        <v>0.87588056205160736</v>
      </c>
    </row>
    <row r="15" spans="2:11" x14ac:dyDescent="0.25">
      <c r="B15" t="s">
        <v>15</v>
      </c>
      <c r="C15" t="s">
        <v>21</v>
      </c>
      <c r="D15" s="6">
        <v>7.0625</v>
      </c>
      <c r="E15" s="1">
        <f t="shared" ca="1" si="1"/>
        <v>7.0624999999999993E-2</v>
      </c>
      <c r="F15" t="str">
        <f ca="1">_xll.QIns_CreateIRS("OISSwap_"&amp;B15,valDate,B15,index,E15,1,"ZAR.JIBAR.3M","ZAR.OIS.1B","Pay","ZAR.JIBAR.3M")</f>
        <v>OISSwap_5y¬1</v>
      </c>
      <c r="H15" s="2">
        <f t="shared" ca="1" si="0"/>
        <v>44935</v>
      </c>
      <c r="I15" s="1">
        <f ca="1">_xll.QCurves_GetDF($C$32,valDate,H15)</f>
        <v>0.85277201372255773</v>
      </c>
      <c r="J15" s="1">
        <f ca="1">_xll.QCurves_GetForwardRate($C$32,H15,H16,"Linear","Act365F")</f>
        <v>7.3842072502186704E-2</v>
      </c>
      <c r="K15" s="1">
        <f ca="1">_xll.QCurves_GetDF($C$33,valDate,H15)</f>
        <v>0.86074727431237563</v>
      </c>
    </row>
    <row r="16" spans="2:11" x14ac:dyDescent="0.25">
      <c r="B16" t="s">
        <v>16</v>
      </c>
      <c r="C16" t="s">
        <v>22</v>
      </c>
      <c r="D16" s="6">
        <v>8.0924999999999994</v>
      </c>
      <c r="E16" s="1">
        <f t="shared" ca="1" si="1"/>
        <v>8.0924999999999997E-2</v>
      </c>
      <c r="F16" t="str">
        <f ca="1">_xll.QIns_CreateIRS("OISSwap_"&amp;B16,valDate,B16,index,E16,1,"ZAR.JIBAR.3M","ZAR.OIS.1B","Pay","ZAR.JIBAR.3M")</f>
        <v>OISSwap_7y¬1</v>
      </c>
      <c r="H16" s="2">
        <f t="shared" ca="1" si="0"/>
        <v>45025</v>
      </c>
      <c r="I16" s="1">
        <f ca="1">_xll.QCurves_GetDF($C$32,valDate,H16)</f>
        <v>0.83752270655066519</v>
      </c>
      <c r="J16" s="1">
        <f ca="1">_xll.QCurves_GetForwardRate($C$32,H16,H17,"Linear","Act365F")</f>
        <v>7.857175418754106E-2</v>
      </c>
      <c r="K16" s="1">
        <f ca="1">_xll.QCurves_GetDF($C$33,valDate,H16)</f>
        <v>0.84558539907893437</v>
      </c>
    </row>
    <row r="17" spans="2:11" x14ac:dyDescent="0.25">
      <c r="B17" t="s">
        <v>17</v>
      </c>
      <c r="C17" t="s">
        <v>23</v>
      </c>
      <c r="D17" s="6">
        <v>8.9600000000000009</v>
      </c>
      <c r="E17" s="1">
        <f t="shared" ca="1" si="1"/>
        <v>8.9600000000000013E-2</v>
      </c>
      <c r="F17" t="str">
        <f ca="1">_xll.QIns_CreateIRS("OISSwap_"&amp;B17,valDate,B17,index,E17,1,"ZAR.JIBAR.3M","ZAR.OIS.1B","Pay","ZAR.JIBAR.3M")</f>
        <v>OISSwap_10y¬1</v>
      </c>
      <c r="H17" s="2">
        <f t="shared" ca="1" si="0"/>
        <v>45116</v>
      </c>
      <c r="I17" s="1">
        <f ca="1">_xll.QCurves_GetDF($C$32,valDate,H17)</f>
        <v>0.82143158283245765</v>
      </c>
      <c r="J17" s="1">
        <f ca="1">_xll.QCurves_GetForwardRate($C$32,H17,H18,"Linear","Act365F")</f>
        <v>8.1577207989190395E-2</v>
      </c>
      <c r="K17" s="1">
        <f ca="1">_xll.QCurves_GetDF($C$33,valDate,H17)</f>
        <v>0.82992395098678051</v>
      </c>
    </row>
    <row r="18" spans="2:11" x14ac:dyDescent="0.25">
      <c r="B18" t="s">
        <v>0</v>
      </c>
      <c r="E18" s="3">
        <v>4.0000000000000001E-3</v>
      </c>
      <c r="F18" t="str">
        <f ca="1">_xll.QIns_CreateIRBasisSwap("OIS_"&amp;B18,valDate,B18,oisIndex,index,E18,TRUE,1,"ZAR.OIS.1B","ZAR.JIBAR.3M","ZAR.OIS.1B","ZAR.OIS.1B")</f>
        <v>OIS_3m¬3</v>
      </c>
      <c r="H18" s="2">
        <f t="shared" ca="1" si="0"/>
        <v>45208</v>
      </c>
      <c r="I18" s="1">
        <f ca="1">_xll.QCurves_GetDF($C$32,valDate,H18)</f>
        <v>0.80488166527260585</v>
      </c>
      <c r="J18" s="1">
        <f ca="1">_xll.QCurves_GetForwardRate($C$32,H18,H19,"Linear","Act365F")</f>
        <v>8.4548149616066187E-2</v>
      </c>
      <c r="K18" s="1">
        <f ca="1">_xll.QCurves_GetDF($C$33,valDate,H18)</f>
        <v>0.81378124182284473</v>
      </c>
    </row>
    <row r="19" spans="2:11" x14ac:dyDescent="0.25">
      <c r="B19" t="s">
        <v>32</v>
      </c>
      <c r="E19" s="3">
        <v>4.0000000000000001E-3</v>
      </c>
      <c r="F19" t="str">
        <f ca="1">_xll.QIns_CreateIRBasisSwap("OIS_"&amp;B19,valDate,B19,oisIndex,index,E19,TRUE,1,"ZAR.OIS.1B","ZAR.JIBAR.3M","ZAR.OIS.1B","ZAR.OIS.1B")</f>
        <v>OIS_6m¬3</v>
      </c>
      <c r="H19" s="2">
        <f t="shared" ca="1" si="0"/>
        <v>45300</v>
      </c>
      <c r="I19" s="1">
        <f ca="1">_xll.QCurves_GetDF($C$32,valDate,H19)</f>
        <v>0.78808692876880038</v>
      </c>
      <c r="J19" s="1">
        <f ca="1">_xll.QCurves_GetForwardRate($C$32,H19,H20,"Linear","Act365F")</f>
        <v>8.7494694879952345E-2</v>
      </c>
      <c r="K19" s="1">
        <f ca="1">_xll.QCurves_GetDF($C$33,valDate,H19)</f>
        <v>0.79735746824190035</v>
      </c>
    </row>
    <row r="20" spans="2:11" x14ac:dyDescent="0.25">
      <c r="B20" t="s">
        <v>33</v>
      </c>
      <c r="E20" s="3">
        <v>4.0000000000000001E-3</v>
      </c>
      <c r="F20" t="str">
        <f ca="1">_xll.QIns_CreateIRBasisSwap("OIS_"&amp;B20,valDate,B20,oisIndex,index,E20,TRUE,1,"ZAR.OIS.1B","ZAR.JIBAR.3M","ZAR.OIS.1B","ZAR.OIS.1B")</f>
        <v>OIS_9m¬3</v>
      </c>
      <c r="H20" s="2">
        <f t="shared" ca="1" si="0"/>
        <v>45391</v>
      </c>
      <c r="I20" s="1">
        <f ca="1">_xll.QCurves_GetDF($C$32,valDate,H20)</f>
        <v>0.77126279810975573</v>
      </c>
      <c r="J20" s="1">
        <f ca="1">_xll.QCurves_GetForwardRate($C$32,H20,H21,"Linear","Act365F")</f>
        <v>9.4941632972784462E-2</v>
      </c>
      <c r="K20" s="1">
        <f ca="1">_xll.QCurves_GetDF($C$33,valDate,H20)</f>
        <v>0.78086504341135521</v>
      </c>
    </row>
    <row r="21" spans="2:11" x14ac:dyDescent="0.25">
      <c r="B21" t="s">
        <v>34</v>
      </c>
      <c r="E21" s="3">
        <v>4.0000000000000001E-3</v>
      </c>
      <c r="F21" t="str">
        <f ca="1">_xll.QIns_CreateIRBasisSwap("OIS_"&amp;B21,valDate,B21,oisIndex,index,E21,TRUE,1,"ZAR.OIS.1B","ZAR.JIBAR.3M","ZAR.OIS.1B","ZAR.OIS.1B")</f>
        <v>OIS_1y¬3</v>
      </c>
      <c r="H21" s="2">
        <f t="shared" ca="1" si="0"/>
        <v>45482</v>
      </c>
      <c r="I21" s="1">
        <f ca="1">_xll.QCurves_GetDF($C$32,valDate,H21)</f>
        <v>0.75342885110644131</v>
      </c>
      <c r="J21" s="1">
        <f ca="1">_xll.QCurves_GetForwardRate($C$32,H21,H22,"Linear","Act365F")</f>
        <v>9.8450448476763722E-2</v>
      </c>
      <c r="K21" s="1">
        <f ca="1">_xll.QCurves_GetDF($C$33,valDate,H21)</f>
        <v>0.76415580420091456</v>
      </c>
    </row>
    <row r="22" spans="2:11" x14ac:dyDescent="0.25">
      <c r="B22" t="s">
        <v>35</v>
      </c>
      <c r="E22" s="3">
        <v>4.0000000000000001E-3</v>
      </c>
      <c r="F22" t="str">
        <f ca="1">_xll.QIns_CreateIRBasisSwap("OIS_"&amp;B22,valDate,B22,oisIndex,index,E22,TRUE,1,"ZAR.OIS.1B","ZAR.JIBAR.3M","ZAR.OIS.1B","ZAR.OIS.1B")</f>
        <v>OIS_18m¬3</v>
      </c>
      <c r="H22" s="2">
        <f t="shared" ca="1" si="0"/>
        <v>45574</v>
      </c>
      <c r="I22" s="1">
        <f ca="1">_xll.QCurves_GetDF($C$32,valDate,H22)</f>
        <v>0.73518529594711146</v>
      </c>
      <c r="J22" s="1">
        <f ca="1">_xll.QCurves_GetForwardRate($C$32,H22,H23,"Linear","Act365F")</f>
        <v>0.10196915259017414</v>
      </c>
      <c r="K22" s="1">
        <f ca="1">_xll.QCurves_GetDF($C$33,valDate,H22)</f>
        <v>0.74707188897943855</v>
      </c>
    </row>
    <row r="23" spans="2:11" x14ac:dyDescent="0.25">
      <c r="B23" t="s">
        <v>12</v>
      </c>
      <c r="E23" s="3">
        <v>4.0000000000000001E-3</v>
      </c>
      <c r="F23" t="str">
        <f ca="1">_xll.QIns_CreateIRBasisSwap("OIS_"&amp;B23,valDate,B23,oisIndex,index,E23,TRUE,1,"ZAR.OIS.1B","ZAR.JIBAR.3M","ZAR.OIS.1B","ZAR.OIS.1B")</f>
        <v>OIS_2y¬3</v>
      </c>
      <c r="H23" s="2">
        <f t="shared" ca="1" si="0"/>
        <v>45666</v>
      </c>
      <c r="I23" s="1">
        <f ca="1">_xll.QCurves_GetDF($C$32,valDate,H23)</f>
        <v>0.71676318209954837</v>
      </c>
      <c r="J23" s="1">
        <f ca="1">_xll.QCurves_GetForwardRate($C$32,H23,H24,"Linear","Act365F")</f>
        <v>0.10542241134319731</v>
      </c>
      <c r="K23" s="1">
        <f ca="1">_xll.QCurves_GetDF($C$33,valDate,H23)</f>
        <v>0.72982525635703765</v>
      </c>
    </row>
    <row r="24" spans="2:11" x14ac:dyDescent="0.25">
      <c r="B24" t="s">
        <v>15</v>
      </c>
      <c r="E24" s="3">
        <v>4.0000000000000001E-3</v>
      </c>
      <c r="F24" t="str">
        <f ca="1">_xll.QIns_CreateIRBasisSwap("OIS_"&amp;B24,valDate,B24,oisIndex,index,E24,TRUE,1,"ZAR.OIS.1B","ZAR.JIBAR.3M","ZAR.OIS.1B","ZAR.OIS.1B")</f>
        <v>OIS_5y¬3</v>
      </c>
      <c r="H24" s="2">
        <f t="shared" ca="1" si="0"/>
        <v>45756</v>
      </c>
      <c r="I24" s="1">
        <f ca="1">_xll.QCurves_GetDF($C$32,valDate,H24)</f>
        <v>0.69860329189583359</v>
      </c>
      <c r="J24" s="1">
        <f ca="1">_xll.QCurves_GetForwardRate($C$32,H24,H25,"Linear","Act365F")</f>
        <v>0.10491977430031936</v>
      </c>
      <c r="K24" s="1">
        <f ca="1">_xll.QCurves_GetDF($C$33,valDate,H24)</f>
        <v>0.7128241353515089</v>
      </c>
    </row>
    <row r="25" spans="2:11" x14ac:dyDescent="0.25">
      <c r="B25" t="s">
        <v>17</v>
      </c>
      <c r="E25" s="3">
        <v>4.0000000000000001E-3</v>
      </c>
      <c r="F25" t="str">
        <f ca="1">_xll.QIns_CreateIRBasisSwap("OIS_"&amp;B25,valDate,B25,oisIndex,index,E25,TRUE,1,"ZAR.OIS.1B","ZAR.JIBAR.3M","ZAR.OIS.1B","ZAR.OIS.1B")</f>
        <v>OIS_10y¬3</v>
      </c>
      <c r="H25" s="2">
        <f t="shared" ca="1" si="0"/>
        <v>45847</v>
      </c>
      <c r="I25" s="1">
        <f ca="1">_xll.QCurves_GetDF($C$32,valDate,H25)</f>
        <v>0.68079500130077886</v>
      </c>
      <c r="J25" s="1">
        <f ca="1">_xll.QCurves_GetForwardRate($C$32,H25,H26,"Linear","Act365F")</f>
        <v>0.1080593266864182</v>
      </c>
      <c r="K25" s="1">
        <f ca="1">_xll.QCurves_GetDF($C$33,valDate,H25)</f>
        <v>0.69644975390208053</v>
      </c>
    </row>
    <row r="26" spans="2:11" x14ac:dyDescent="0.25">
      <c r="H26" s="2">
        <f t="shared" ca="1" si="0"/>
        <v>45939</v>
      </c>
      <c r="I26" s="1">
        <f ca="1">_xll.QCurves_GetDF($C$32,valDate,H26)</f>
        <v>0.66274393011570798</v>
      </c>
      <c r="J26" s="1">
        <f ca="1">_xll.QCurves_GetForwardRate($C$32,H26,H27,"Linear","Act365F")</f>
        <v>0.11120341922427235</v>
      </c>
      <c r="K26" s="1">
        <f ca="1">_xll.QCurves_GetDF($C$33,valDate,H26)</f>
        <v>0.67985976179011709</v>
      </c>
    </row>
    <row r="27" spans="2:11" x14ac:dyDescent="0.25">
      <c r="H27" s="2">
        <f t="shared" ca="1" si="0"/>
        <v>46031</v>
      </c>
      <c r="I27" s="1">
        <f ca="1">_xll.QCurves_GetDF($C$32,valDate,H27)</f>
        <v>0.64467413007574426</v>
      </c>
      <c r="J27" s="1">
        <f ca="1">_xll.QCurves_GetForwardRate($C$32,H27,H28,"Linear","Act365F")</f>
        <v>0.11428026635733614</v>
      </c>
      <c r="K27" s="1">
        <f ca="1">_xll.QCurves_GetDF($C$33,valDate,H27)</f>
        <v>0.66325493574990402</v>
      </c>
    </row>
    <row r="28" spans="2:11" x14ac:dyDescent="0.25">
      <c r="H28" s="2">
        <f t="shared" ca="1" si="0"/>
        <v>46121</v>
      </c>
      <c r="I28" s="1">
        <f ca="1">_xll.QCurves_GetDF($C$32,valDate,H28)</f>
        <v>0.62700592095547669</v>
      </c>
      <c r="J28" s="1">
        <f ca="1">_xll.QCurves_GetForwardRate($C$32,H28,H29,"Linear","Act365F")</f>
        <v>0.11739458242899767</v>
      </c>
      <c r="K28" s="1">
        <f ca="1">_xll.QCurves_GetDF($C$33,valDate,H28)</f>
        <v>0.64701654978952006</v>
      </c>
    </row>
    <row r="29" spans="2:11" x14ac:dyDescent="0.25">
      <c r="B29" t="s">
        <v>26</v>
      </c>
      <c r="C29" t="str">
        <f ca="1">_xll.QIns_CreateFundingInstrumentCollection("FundingInstrumentsOis",F6:F25)</f>
        <v>FundingInstrumentsOis¬3</v>
      </c>
      <c r="H29" s="2">
        <f t="shared" ca="1" si="0"/>
        <v>46212</v>
      </c>
      <c r="I29" s="1">
        <f ca="1">_xll.QCurves_GetDF($C$32,valDate,H29)</f>
        <v>0.60917640085263758</v>
      </c>
      <c r="J29" s="1">
        <f ca="1">_xll.QCurves_GetForwardRate($C$32,H29,H30,"Linear","Act365F")</f>
        <v>0.12054745722348974</v>
      </c>
      <c r="K29" s="1">
        <f ca="1">_xll.QCurves_GetDF($C$33,valDate,H29)</f>
        <v>0.63062259340956817</v>
      </c>
    </row>
    <row r="30" spans="2:11" x14ac:dyDescent="0.25">
      <c r="H30" s="2">
        <f t="shared" ca="1" si="0"/>
        <v>46304</v>
      </c>
      <c r="I30" s="1">
        <f ca="1">_xll.QCurves_GetDF($C$32,valDate,H30)</f>
        <v>0.59121266156826624</v>
      </c>
      <c r="J30" s="1">
        <f ca="1">_xll.QCurves_GetForwardRate($C$32,H30,H31,"Linear","Act365F")</f>
        <v>0.12370118399362764</v>
      </c>
      <c r="K30" s="1">
        <f ca="1">_xll.QCurves_GetDF($C$33,valDate,H30)</f>
        <v>0.61409313718099956</v>
      </c>
    </row>
    <row r="31" spans="2:11" x14ac:dyDescent="0.25">
      <c r="B31" t="s">
        <v>27</v>
      </c>
      <c r="C31" t="str">
        <f ca="1">_xll.QCurves_CreateFundingModel("ModelOis",valDate,C29)</f>
        <v>ModelOis¬1</v>
      </c>
      <c r="H31" s="2">
        <f t="shared" ca="1" si="0"/>
        <v>46396</v>
      </c>
      <c r="I31" s="1">
        <f ca="1">_xll.QCurves_GetDF($C$32,valDate,H31)</f>
        <v>0.57333633478356749</v>
      </c>
      <c r="J31" s="1">
        <f ca="1">_xll.QCurves_GetForwardRate($C$32,H31,H32,"Linear","Act365F")</f>
        <v>0.12677943077668374</v>
      </c>
      <c r="K31" s="1">
        <f ca="1">_xll.QCurves_GetDF($C$33,valDate,H31)</f>
        <v>0.59762748966727686</v>
      </c>
    </row>
    <row r="32" spans="2:11" x14ac:dyDescent="0.25">
      <c r="B32" t="s">
        <v>28</v>
      </c>
      <c r="C32" t="str">
        <f ca="1">_xll.QCurves_ExtractCurveFromModel(C31,"ZAR.JIBAR.3M","curve.ois.ZAR.JIBAR.3M")</f>
        <v>curve.ois.ZAR.JIBAR.3M¬1</v>
      </c>
      <c r="H32" s="2">
        <f t="shared" ca="1" si="0"/>
        <v>46486</v>
      </c>
      <c r="I32" s="1">
        <f ca="1">_xll.QCurves_GetDF($C$32,valDate,H32)</f>
        <v>0.55595674792479344</v>
      </c>
      <c r="J32" s="1">
        <f ca="1">_xll.QCurves_GetForwardRate($C$32,H32,H33,"Linear","Act365F")</f>
        <v>0.11324381779953492</v>
      </c>
      <c r="K32" s="1">
        <f ca="1">_xll.QCurves_GetDF($C$33,valDate,H32)</f>
        <v>0.58159917600275446</v>
      </c>
    </row>
    <row r="33" spans="2:11" x14ac:dyDescent="0.25">
      <c r="B33" t="s">
        <v>28</v>
      </c>
      <c r="C33" t="str">
        <f ca="1">_xll.QCurves_ExtractCurveFromModel(C31,"ZAR.OIS.1B","curve.ois.ZAR.OIS.1B")</f>
        <v>curve.ois.ZAR.OIS.1B¬1</v>
      </c>
      <c r="H33" s="2">
        <f t="shared" ca="1" si="0"/>
        <v>46577</v>
      </c>
      <c r="I33" s="1">
        <f ca="1">_xll.QCurves_GetDF($C$32,valDate,H33)</f>
        <v>0.54069120223907352</v>
      </c>
      <c r="J33" s="1">
        <f ca="1">_xll.QCurves_GetForwardRate($C$32,H33,H34,"Linear","Act365F")</f>
        <v>0.11524144192979881</v>
      </c>
      <c r="K33" s="1">
        <f ca="1">_xll.QCurves_GetDF($C$33,valDate,H33)</f>
        <v>0.56548965287335351</v>
      </c>
    </row>
    <row r="34" spans="2:11" x14ac:dyDescent="0.25">
      <c r="H34" s="2">
        <f t="shared" ca="1" si="0"/>
        <v>46669</v>
      </c>
      <c r="I34" s="1">
        <f ca="1">_xll.QCurves_GetDF($C$32,valDate,H34)</f>
        <v>0.5254289835539373</v>
      </c>
      <c r="J34" s="1">
        <f ca="1">_xll.QCurves_GetForwardRate($C$32,H34,H35,"Linear","Act365F")</f>
        <v>0.11723344966439958</v>
      </c>
      <c r="K34" s="1">
        <f ca="1">_xll.QCurves_GetDF($C$33,valDate,H34)</f>
        <v>0.54931891008299771</v>
      </c>
    </row>
    <row r="35" spans="2:11" x14ac:dyDescent="0.25">
      <c r="H35" s="2">
        <f t="shared" ca="1" si="0"/>
        <v>46761</v>
      </c>
      <c r="I35" s="1">
        <f ca="1">_xll.QCurves_GetDF($C$32,valDate,H35)</f>
        <v>0.51034856466474043</v>
      </c>
      <c r="J35" s="1">
        <f ca="1">_xll.QCurves_GetForwardRate($C$32,H35,H36,"Linear","Act365F")</f>
        <v>0.11919632052293011</v>
      </c>
      <c r="K35" s="1">
        <f ca="1">_xll.QCurves_GetDF($C$33,valDate,H35)</f>
        <v>0.53328091430168234</v>
      </c>
    </row>
    <row r="36" spans="2:11" x14ac:dyDescent="0.25">
      <c r="H36" s="2">
        <f t="shared" ca="1" si="0"/>
        <v>46852</v>
      </c>
      <c r="I36" s="1">
        <f ca="1">_xll.QCurves_GetDF($C$32,valDate,H36)</f>
        <v>0.49562000741863571</v>
      </c>
      <c r="J36" s="1">
        <f ca="1">_xll.QCurves_GetForwardRate($C$32,H36,H37,"Linear","Act365F")</f>
        <v>0.12116794901357843</v>
      </c>
      <c r="K36" s="1">
        <f ca="1">_xll.QCurves_GetDF($C$33,valDate,H36)</f>
        <v>0.51756317891717318</v>
      </c>
    </row>
    <row r="37" spans="2:11" x14ac:dyDescent="0.25">
      <c r="H37" s="2">
        <f t="shared" ca="1" si="0"/>
        <v>46943</v>
      </c>
    </row>
    <row r="43" spans="2:11" x14ac:dyDescent="0.25">
      <c r="B43" t="str">
        <f ca="1">C31</f>
        <v>ModelOis¬1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Y38"/>
  <sheetViews>
    <sheetView workbookViewId="0">
      <selection activeCell="C32" sqref="C32"/>
    </sheetView>
  </sheetViews>
  <sheetFormatPr defaultRowHeight="15" x14ac:dyDescent="0.25"/>
  <cols>
    <col min="3" max="3" width="17.7109375" customWidth="1"/>
    <col min="7" max="7" width="13.140625" customWidth="1"/>
    <col min="10" max="10" width="15.7109375" customWidth="1"/>
    <col min="15" max="15" width="9.85546875" bestFit="1" customWidth="1"/>
    <col min="18" max="18" width="9.85546875" bestFit="1" customWidth="1"/>
    <col min="21" max="21" width="10.7109375" bestFit="1" customWidth="1"/>
    <col min="22" max="22" width="11.42578125" customWidth="1"/>
    <col min="23" max="23" width="7.42578125" bestFit="1" customWidth="1"/>
  </cols>
  <sheetData>
    <row r="1" spans="2:25" x14ac:dyDescent="0.25">
      <c r="B1" t="s">
        <v>24</v>
      </c>
      <c r="C1" s="7">
        <v>43930</v>
      </c>
    </row>
    <row r="2" spans="2:25" x14ac:dyDescent="0.25">
      <c r="B2" t="s">
        <v>25</v>
      </c>
      <c r="C2" t="str">
        <f ca="1">_xll.QIns_CreateRateIndex("ZAR.JIBAR.3M","ZAR","3M","Act365F","Act365F","3M","JHB","0b","MF")</f>
        <v>ZAR.JIBAR.3M¬19</v>
      </c>
      <c r="I2" t="s">
        <v>25</v>
      </c>
      <c r="J2" t="str">
        <f ca="1">_xll.QIns_CreateRateIndex("USD.LIBOR.3M","USD","3M","Act360","Act360","6M","NYC","2b","MF")</f>
        <v>USD.LIBOR.3M¬8</v>
      </c>
      <c r="V2" s="3"/>
    </row>
    <row r="3" spans="2:25" x14ac:dyDescent="0.25">
      <c r="B3" t="s">
        <v>31</v>
      </c>
      <c r="C3" t="str">
        <f ca="1">_xll.QIns_CreateRateIndex("ZAR.OIS.1B","ZAR","3M","Act365F","Act365F","3M","JHB","0b","MF")</f>
        <v>ZAR.OIS.1B¬12</v>
      </c>
      <c r="I3" t="s">
        <v>31</v>
      </c>
      <c r="J3" t="str">
        <f ca="1">_xll.QIns_CreateRateIndex("USD.OIS.1B","USD","3M","Act360","Act360","3M","NYC","0b","MF")</f>
        <v>USD.OIS.1B¬8</v>
      </c>
      <c r="V3" t="s">
        <v>36</v>
      </c>
      <c r="W3" t="s">
        <v>30</v>
      </c>
      <c r="X3" t="s">
        <v>37</v>
      </c>
      <c r="Y3" t="s">
        <v>52</v>
      </c>
    </row>
    <row r="4" spans="2:25" x14ac:dyDescent="0.25">
      <c r="U4" s="2">
        <f ca="1">valDate</f>
        <v>43930</v>
      </c>
      <c r="V4" s="1">
        <f ca="1">_xll.QCurves_GetDF($D$33,valDate,U4)</f>
        <v>1</v>
      </c>
      <c r="W4" s="1">
        <f ca="1">_xll.QCurves_GetForwardRate($D$33,U4,U5,"Linear","Act365F")</f>
        <v>5.6000000000000202E-2</v>
      </c>
      <c r="X4" s="1">
        <f ca="1">_xll.QCurves_GetDF($D$34,valDate,U4)</f>
        <v>1</v>
      </c>
      <c r="Y4" s="1">
        <f ca="1">_xll.QCurves_GetDF($D$35,valDate,U4)</f>
        <v>1</v>
      </c>
    </row>
    <row r="5" spans="2:25" x14ac:dyDescent="0.25">
      <c r="P5" t="s">
        <v>63</v>
      </c>
      <c r="Q5" s="6">
        <v>18.044499999999999</v>
      </c>
      <c r="R5" s="2">
        <f ca="1">_xll.QDates_AddPeriod(valDate,"2b","F","JHB+NYC")</f>
        <v>43936</v>
      </c>
      <c r="U5" s="2">
        <f ca="1">EDATE(U4,3)</f>
        <v>44021</v>
      </c>
      <c r="V5" s="1">
        <f ca="1">_xll.QCurves_GetDF($D$33,valDate,U5)</f>
        <v>0.98623059962820459</v>
      </c>
      <c r="W5" s="1">
        <f ca="1">_xll.QCurves_GetForwardRate($D$33,U5,U6,"Linear","Act365F")</f>
        <v>4.8250000000000098E-2</v>
      </c>
      <c r="X5" s="1">
        <f ca="1">_xll.QCurves_GetDF($D$34,valDate,U5)</f>
        <v>0.9872015405753356</v>
      </c>
      <c r="Y5" s="1">
        <f ca="1">_xll.QCurves_GetDF($D$35,valDate,U5)</f>
        <v>0.99669607488388912</v>
      </c>
    </row>
    <row r="6" spans="2:25" x14ac:dyDescent="0.25">
      <c r="B6" t="s">
        <v>0</v>
      </c>
      <c r="C6" t="s">
        <v>1</v>
      </c>
      <c r="D6" s="6">
        <v>5.6</v>
      </c>
      <c r="E6" s="1">
        <f ca="1">D6/100</f>
        <v>5.5999999999999994E-2</v>
      </c>
      <c r="F6" t="str">
        <f ca="1">_xll.QIns_CreateFRA("ZAROISFra_"&amp;B6,valDate,"0x3",index,"ZAR",E6,1,"ZAR.JIBAR.3M","ZAR.OIS.1B",,,"ZAR.JIBAR.3M")</f>
        <v>ZAROISFra_3m¬6</v>
      </c>
      <c r="I6" t="s">
        <v>0</v>
      </c>
      <c r="J6" t="s">
        <v>38</v>
      </c>
      <c r="K6" s="6">
        <v>1.31138</v>
      </c>
      <c r="L6" s="1">
        <f ca="1">K6/100</f>
        <v>1.31138E-2</v>
      </c>
      <c r="M6" t="str">
        <f ca="1">_xll.QIns_CreateFRA("USDOISFra_"&amp;I6,valDate,"0x3",J2,"USD",L6,1,"USD.LIBOR.3M","USD.OIS.1B",,,"USD.LIBOR.3M")</f>
        <v>USDOISFra_3m¬6</v>
      </c>
      <c r="O6" s="2">
        <f ca="1">_xll.QDates_AddPeriod($R$5,P6,"F","JHB+NYC")</f>
        <v>43943</v>
      </c>
      <c r="P6" t="s">
        <v>57</v>
      </c>
      <c r="Q6" s="6">
        <v>152</v>
      </c>
      <c r="R6" s="5">
        <f ca="1">$Q$5+Q6/10000</f>
        <v>18.059699999999999</v>
      </c>
      <c r="S6" s="5" t="str">
        <f ca="1">_xll.QIns_CreateFxForward("ZARFwd_"&amp;P6,O6,"ZAR","USD",1000000,R6,"ZAR.DISC.[USD.OIS.1B]","ZAR.DISC.[USD.OIS.1B]")</f>
        <v>ZARFwd_1w¬6</v>
      </c>
      <c r="U6" s="2">
        <f t="shared" ref="U6:U37" ca="1" si="0">EDATE(U5,3)</f>
        <v>44113</v>
      </c>
      <c r="V6" s="1">
        <f ca="1">_xll.QCurves_GetDF($D$33,valDate,U6)</f>
        <v>0.9743805306540313</v>
      </c>
      <c r="W6" s="1">
        <f ca="1">_xll.QCurves_GetForwardRate($D$33,U6,U7,"Linear","Act365F")</f>
        <v>4.7874497519312831E-2</v>
      </c>
      <c r="X6" s="1">
        <f ca="1">_xll.QCurves_GetDF($D$34,valDate,U6)</f>
        <v>0.97631231473076319</v>
      </c>
      <c r="Y6" s="1">
        <f ca="1">_xll.QCurves_GetDF($D$35,valDate,U6)</f>
        <v>0.99397688519022931</v>
      </c>
    </row>
    <row r="7" spans="2:25" x14ac:dyDescent="0.25">
      <c r="B7" t="s">
        <v>2</v>
      </c>
      <c r="C7" t="s">
        <v>3</v>
      </c>
      <c r="D7" s="6">
        <v>4.8250000000000002</v>
      </c>
      <c r="E7" s="1">
        <f t="shared" ref="E7:E17" ca="1" si="1">D7/100</f>
        <v>4.8250000000000001E-2</v>
      </c>
      <c r="F7" t="str">
        <f ca="1">_xll.QIns_CreateFRA("ZAROISFra_"&amp;B7,valDate,B7,index,"ZAR",E7,1,"ZAR.JIBAR.3M","ZAR.OIS.1B",,,"ZAR.JIBAR.3M")</f>
        <v>ZAROISFra_3x6¬6</v>
      </c>
      <c r="I7" t="s">
        <v>39</v>
      </c>
      <c r="J7" t="str">
        <f ca="1">I7&amp;" Comdty"</f>
        <v>EDU8 Comdty</v>
      </c>
      <c r="K7" s="6">
        <v>98.655000000000001</v>
      </c>
      <c r="L7" s="4">
        <f ca="1">K7</f>
        <v>98.655000000000001</v>
      </c>
      <c r="M7" t="str">
        <f ca="1">_xll.QIns_CreateSTIRFromCode(I7,valDate,I7,$J$2,L7,1,0,"USD.LIBOR.3M","USD.LIBOR.3M")</f>
        <v>EDU8¬6</v>
      </c>
      <c r="O7" s="2">
        <f ca="1">_xll.QDates_AddPeriod($R$5,P7,"MF","JHB+NYC")</f>
        <v>43966</v>
      </c>
      <c r="P7" t="s">
        <v>58</v>
      </c>
      <c r="Q7" s="6">
        <v>670</v>
      </c>
      <c r="R7" s="5">
        <f t="shared" ref="R7:R18" ca="1" si="2">$Q$5+Q7/10000</f>
        <v>18.111499999999999</v>
      </c>
      <c r="S7" s="5" t="str">
        <f ca="1">_xll.QIns_CreateFxForward("ZARFwd_"&amp;P7,O7,"ZAR","USD",1000000,R7,"ZAR.DISC.[USD.OIS.1B]","ZAR.DISC.[USD.OIS.1B]")</f>
        <v>ZARFwd_1m¬6</v>
      </c>
      <c r="U7" s="2">
        <f t="shared" ca="1" si="0"/>
        <v>44205</v>
      </c>
      <c r="V7" s="1">
        <f ca="1">_xll.QCurves_GetDF($D$33,valDate,U7)</f>
        <v>0.96276287428967033</v>
      </c>
      <c r="W7" s="1">
        <f ca="1">_xll.QCurves_GetForwardRate($D$33,U7,U8,"Linear","Act365F")</f>
        <v>4.8952714816993363E-2</v>
      </c>
      <c r="X7" s="1">
        <f ca="1">_xll.QCurves_GetDF($D$34,valDate,U7)</f>
        <v>0.9656327019227805</v>
      </c>
      <c r="Y7" s="1">
        <f ca="1">_xll.QCurves_GetDF($D$35,valDate,U7)</f>
        <v>0.99187709636447929</v>
      </c>
    </row>
    <row r="8" spans="2:25" x14ac:dyDescent="0.25">
      <c r="B8" t="s">
        <v>4</v>
      </c>
      <c r="C8" t="s">
        <v>5</v>
      </c>
      <c r="D8" s="6">
        <v>4.7850000000000001</v>
      </c>
      <c r="E8" s="1">
        <f t="shared" ca="1" si="1"/>
        <v>4.7850000000000004E-2</v>
      </c>
      <c r="F8" t="str">
        <f ca="1">_xll.QIns_CreateFRA("ZAROISFra_"&amp;B8,valDate,B8,index,"ZAR",E8,1,"ZAR.JIBAR.3M","ZAR.OIS.1B",,,"ZAR.JIBAR.3M")</f>
        <v>ZAROISFra_6x9¬6</v>
      </c>
      <c r="I8" t="s">
        <v>40</v>
      </c>
      <c r="J8" t="str">
        <f t="shared" ref="J8:J11" ca="1" si="3">I8&amp;" Comdty"</f>
        <v>EDZ8 Comdty</v>
      </c>
      <c r="K8" s="6">
        <v>98.614999999999995</v>
      </c>
      <c r="L8" s="4">
        <f t="shared" ref="L8:L11" ca="1" si="4">K8</f>
        <v>98.614999999999995</v>
      </c>
      <c r="M8" t="str">
        <f ca="1">_xll.QIns_CreateSTIRFromCode(I8,valDate,I8,$J$2,L8,1,0,"USD.LIBOR.3M","USD.LIBOR.3M")</f>
        <v>EDZ8¬6</v>
      </c>
      <c r="O8" s="2">
        <f ca="1">_xll.QDates_AddPeriod($R$5,P8,"MF","JHB+NYC")</f>
        <v>43997</v>
      </c>
      <c r="P8" t="s">
        <v>59</v>
      </c>
      <c r="Q8" s="6">
        <v>1305</v>
      </c>
      <c r="R8" s="5">
        <f t="shared" ca="1" si="2"/>
        <v>18.175000000000001</v>
      </c>
      <c r="S8" s="5" t="str">
        <f ca="1">_xll.QIns_CreateFxForward("ZARFwd_"&amp;P8,O8,"ZAR","USD",1000000,R8,"ZAR.DISC.[USD.OIS.1B]","ZAR.DISC.[USD.OIS.1B]")</f>
        <v>ZARFwd_2m¬6</v>
      </c>
      <c r="U8" s="2">
        <f t="shared" ca="1" si="0"/>
        <v>44295</v>
      </c>
      <c r="V8" s="1">
        <f ca="1">_xll.QCurves_GetDF($D$33,valDate,U8)</f>
        <v>0.95128041322078005</v>
      </c>
      <c r="W8" s="1">
        <f ca="1">_xll.QCurves_GetForwardRate($D$33,U8,U9,"Linear","Act365F")</f>
        <v>5.3699999999999568E-2</v>
      </c>
      <c r="X8" s="1">
        <f ca="1">_xll.QCurves_GetDF($D$34,valDate,U8)</f>
        <v>0.95508414419060306</v>
      </c>
      <c r="Y8" s="1">
        <f ca="1">_xll.QCurves_GetDF($D$35,valDate,U8)</f>
        <v>0.99041855357294528</v>
      </c>
    </row>
    <row r="9" spans="2:25" x14ac:dyDescent="0.25">
      <c r="B9" t="s">
        <v>6</v>
      </c>
      <c r="C9" t="s">
        <v>7</v>
      </c>
      <c r="D9" s="6">
        <v>4.9000000000000004</v>
      </c>
      <c r="E9" s="1">
        <f t="shared" ca="1" si="1"/>
        <v>4.9000000000000002E-2</v>
      </c>
      <c r="F9" t="str">
        <f ca="1">_xll.QIns_CreateFRA("ZAROISFra_"&amp;B9,valDate,B9,index,"ZAR",E9,1,"ZAR.JIBAR.3M","ZAR.OIS.1B",,,"ZAR.JIBAR.3M")</f>
        <v>ZAROISFra_9x12¬6</v>
      </c>
      <c r="I9" t="s">
        <v>42</v>
      </c>
      <c r="J9" t="str">
        <f t="shared" ca="1" si="3"/>
        <v>EDH9 Comdty</v>
      </c>
      <c r="K9" s="6">
        <v>98.614999999999995</v>
      </c>
      <c r="L9" s="4">
        <f t="shared" ca="1" si="4"/>
        <v>98.614999999999995</v>
      </c>
      <c r="M9" t="str">
        <f ca="1">_xll.QIns_CreateSTIRFromCode(I9,valDate,I9,$J$2,L9,1,0,"USD.LIBOR.3M","USD.LIBOR.3M")</f>
        <v>EDH9¬6</v>
      </c>
      <c r="O9" s="2">
        <f ca="1">_xll.QDates_AddPeriod($R$5,P9,"MF","JHB+NYC")</f>
        <v>44027</v>
      </c>
      <c r="P9" t="s">
        <v>0</v>
      </c>
      <c r="Q9" s="6">
        <v>1951</v>
      </c>
      <c r="R9" s="5">
        <f t="shared" ca="1" si="2"/>
        <v>18.239599999999999</v>
      </c>
      <c r="S9" s="5" t="str">
        <f ca="1">_xll.QIns_CreateFxForward("ZARFwd_"&amp;P9,O9,"ZAR","USD",1000000,R9,"ZAR.DISC.[USD.OIS.1B]","ZAR.DISC.[USD.OIS.1B]")</f>
        <v>ZARFwd_3m¬6</v>
      </c>
      <c r="U9" s="2">
        <f t="shared" ca="1" si="0"/>
        <v>44386</v>
      </c>
      <c r="V9" s="1">
        <f ca="1">_xll.QCurves_GetDF($D$33,valDate,U9)</f>
        <v>0.93871272155929031</v>
      </c>
      <c r="W9" s="1">
        <f ca="1">_xll.QCurves_GetForwardRate($D$33,U9,U10,"Linear","Act365F")</f>
        <v>5.6172312479854318E-2</v>
      </c>
      <c r="X9" s="1">
        <f ca="1">_xll.QCurves_GetDF($D$34,valDate,U9)</f>
        <v>0.94327489164363509</v>
      </c>
      <c r="Y9" s="1">
        <f ca="1">_xll.QCurves_GetDF($D$35,valDate,U9)</f>
        <v>0.98954004818296748</v>
      </c>
    </row>
    <row r="10" spans="2:25" x14ac:dyDescent="0.25">
      <c r="B10" t="s">
        <v>8</v>
      </c>
      <c r="C10" t="s">
        <v>9</v>
      </c>
      <c r="D10" s="6">
        <v>5.37</v>
      </c>
      <c r="E10" s="1">
        <f t="shared" ca="1" si="1"/>
        <v>5.3699999999999998E-2</v>
      </c>
      <c r="F10" t="str">
        <f ca="1">_xll.QIns_CreateFRA("ZAROISFra_"&amp;B10,valDate,B10,index,"ZAR",E10,1,"ZAR.JIBAR.3M","ZAR.OIS.1B",,,"ZAR.JIBAR.3M")</f>
        <v>ZAROISFra_12x15¬6</v>
      </c>
      <c r="I10" t="s">
        <v>41</v>
      </c>
      <c r="J10" t="str">
        <f t="shared" ca="1" si="3"/>
        <v>EDM9 Comdty</v>
      </c>
      <c r="K10" s="6">
        <v>98.605000000000004</v>
      </c>
      <c r="L10" s="4">
        <f t="shared" ca="1" si="4"/>
        <v>98.605000000000004</v>
      </c>
      <c r="M10" t="str">
        <f ca="1">_xll.QIns_CreateSTIRFromCode(I10,valDate,I10,$J$2,L10,1,0,"USD.LIBOR.3M","USD.LIBOR.3M")</f>
        <v>EDM9¬6</v>
      </c>
      <c r="O10" s="2">
        <f ca="1">_xll.QDates_AddPeriod($R$5,P10,"MF","JHB+NYC")</f>
        <v>44119</v>
      </c>
      <c r="P10" t="s">
        <v>32</v>
      </c>
      <c r="Q10" s="6">
        <v>3837</v>
      </c>
      <c r="R10" s="5">
        <f t="shared" ca="1" si="2"/>
        <v>18.4282</v>
      </c>
      <c r="S10" s="5" t="str">
        <f ca="1">_xll.QIns_CreateFxForward("ZARFwd_"&amp;P10,O10,"ZAR","USD",1000000,R10,"ZAR.DISC.[USD.OIS.1B]","ZAR.DISC.[USD.OIS.1B]")</f>
        <v>ZARFwd_6m¬6</v>
      </c>
      <c r="U10" s="2">
        <f t="shared" ca="1" si="0"/>
        <v>44478</v>
      </c>
      <c r="V10" s="1">
        <f ca="1">_xll.QCurves_GetDF($D$33,valDate,U10)</f>
        <v>0.92560750704156458</v>
      </c>
      <c r="W10" s="1">
        <f ca="1">_xll.QCurves_GetForwardRate($D$33,U10,U11,"Linear","Act365F")</f>
        <v>6.0714308999312856E-2</v>
      </c>
      <c r="X10" s="1">
        <f ca="1">_xll.QCurves_GetDF($D$34,valDate,U10)</f>
        <v>0.9311124050637537</v>
      </c>
      <c r="Y10" s="1">
        <f ca="1">_xll.QCurves_GetDF($D$35,valDate,U10)</f>
        <v>0.98925973228493413</v>
      </c>
    </row>
    <row r="11" spans="2:25" x14ac:dyDescent="0.25">
      <c r="B11" t="s">
        <v>10</v>
      </c>
      <c r="C11" t="s">
        <v>11</v>
      </c>
      <c r="D11" s="6">
        <v>5.62</v>
      </c>
      <c r="E11" s="1">
        <f t="shared" ca="1" si="1"/>
        <v>5.62E-2</v>
      </c>
      <c r="F11" t="str">
        <f ca="1">_xll.QIns_CreateFRA("ZAROISFra_"&amp;B11,valDate,B11,index,"ZAR",E11,1,"ZAR.JIBAR.3M","ZAR.OIS.1B",,,"ZAR.JIBAR.3M")</f>
        <v>ZAROISFra_15x18¬6</v>
      </c>
      <c r="I11" t="s">
        <v>43</v>
      </c>
      <c r="J11" t="str">
        <f t="shared" ca="1" si="3"/>
        <v>EDU9 Comdty</v>
      </c>
      <c r="K11" s="6">
        <v>98.594999999999999</v>
      </c>
      <c r="L11" s="4">
        <f t="shared" ca="1" si="4"/>
        <v>98.594999999999999</v>
      </c>
      <c r="M11" t="str">
        <f ca="1">_xll.QIns_CreateSTIRFromCode(I11,valDate,I11,$J$2,L11,1,0,"USD.LIBOR.3M","USD.LIBOR.3M")</f>
        <v>EDU9¬6</v>
      </c>
      <c r="O11" s="2">
        <f ca="1">_xll.QDates_AddPeriod($R$5,P11,"MF","JHB+NYC")</f>
        <v>44211</v>
      </c>
      <c r="P11" t="s">
        <v>33</v>
      </c>
      <c r="Q11" s="6">
        <v>5764</v>
      </c>
      <c r="R11" s="5">
        <f t="shared" ca="1" si="2"/>
        <v>18.620899999999999</v>
      </c>
      <c r="S11" s="5" t="str">
        <f ca="1">_xll.QIns_CreateFxForward("ZARFwd_"&amp;P11,O11,"ZAR","USD",1000000,R11,"ZAR.DISC.[USD.OIS.1B]","ZAR.DISC.[USD.OIS.1B]")</f>
        <v>ZARFwd_9m¬6</v>
      </c>
      <c r="U11" s="2">
        <f t="shared" ca="1" si="0"/>
        <v>44570</v>
      </c>
      <c r="V11" s="1">
        <f ca="1">_xll.QCurves_GetDF($D$33,valDate,U11)</f>
        <v>0.91165612999514489</v>
      </c>
      <c r="W11" s="1">
        <f ca="1">_xll.QCurves_GetForwardRate($D$33,U11,U12,"Linear","Act365F")</f>
        <v>6.3305511654691615E-2</v>
      </c>
      <c r="X11" s="1">
        <f ca="1">_xll.QCurves_GetDF($D$34,valDate,U11)</f>
        <v>0.91799187684709571</v>
      </c>
      <c r="Y11" s="1">
        <f ca="1">_xll.QCurves_GetDF($D$35,valDate,U11)</f>
        <v>0.9895900670759552</v>
      </c>
    </row>
    <row r="12" spans="2:25" x14ac:dyDescent="0.25">
      <c r="B12" t="s">
        <v>12</v>
      </c>
      <c r="C12" t="s">
        <v>18</v>
      </c>
      <c r="D12" s="6">
        <v>5.4275000000000002</v>
      </c>
      <c r="E12" s="1">
        <f t="shared" ca="1" si="1"/>
        <v>5.4275000000000004E-2</v>
      </c>
      <c r="F12" t="str">
        <f ca="1">_xll.QIns_CreateIRS("ZAROISSwap_"&amp;B12,valDate,B12,index,E12,1,"ZAR.JIBAR.3M","ZAR.OIS.1B","Pay","ZAR.JIBAR.3M")</f>
        <v>ZAROISSwap_2y¬6</v>
      </c>
      <c r="I12" t="s">
        <v>12</v>
      </c>
      <c r="J12" t="s">
        <v>44</v>
      </c>
      <c r="K12" s="6">
        <v>0.4677</v>
      </c>
      <c r="L12" s="1">
        <f t="shared" ref="L12:L17" ca="1" si="5">K12/100</f>
        <v>4.6769999999999997E-3</v>
      </c>
      <c r="M12" t="str">
        <f ca="1">_xll.QIns_CreateIRS("USDOISSwap_"&amp;I12,valDate,I12,$J$2,L12,1,"USD.LIBOR.3M","USD.OIS.1B","Pay","USD.LIBOR.3M")</f>
        <v>USDOISSwap_2y¬6</v>
      </c>
      <c r="O12" s="2">
        <f ca="1">_xll.QDates_AddPeriod($R$5,P12,"MF","JHB+NYC")</f>
        <v>44301</v>
      </c>
      <c r="P12" t="s">
        <v>61</v>
      </c>
      <c r="Q12" s="6">
        <v>7733</v>
      </c>
      <c r="R12" s="5">
        <f t="shared" ca="1" si="2"/>
        <v>18.817799999999998</v>
      </c>
      <c r="S12" s="5" t="str">
        <f ca="1">_xll.QIns_CreateFxForward("ZARFwd_"&amp;P12,O12,"ZAR","USD",1000000,R12,"ZAR.DISC.[USD.OIS.1B]","ZAR.DISC.[USD.OIS.1B]")</f>
        <v>ZARFwd_12m¬6</v>
      </c>
      <c r="U12" s="2">
        <f t="shared" ca="1" si="0"/>
        <v>44660</v>
      </c>
      <c r="V12" s="1">
        <f ca="1">_xll.QCurves_GetDF($D$33,valDate,U12)</f>
        <v>0.89764428137467944</v>
      </c>
      <c r="W12" s="1">
        <f ca="1">_xll.QCurves_GetForwardRate($D$33,U12,U13,"Linear","Act365F")</f>
        <v>6.6022872672555147E-2</v>
      </c>
      <c r="X12" s="1">
        <f ca="1">_xll.QCurves_GetDF($D$34,valDate,U12)</f>
        <v>0.90476115186497996</v>
      </c>
      <c r="Y12" s="1">
        <f ca="1">_xll.QCurves_GetDF($D$35,valDate,U12)</f>
        <v>0.99050468498643585</v>
      </c>
    </row>
    <row r="13" spans="2:25" x14ac:dyDescent="0.25">
      <c r="B13" t="s">
        <v>13</v>
      </c>
      <c r="C13" t="s">
        <v>19</v>
      </c>
      <c r="D13" s="6">
        <v>5.9175000000000004</v>
      </c>
      <c r="E13" s="1">
        <f t="shared" ca="1" si="1"/>
        <v>5.9175000000000005E-2</v>
      </c>
      <c r="F13" t="str">
        <f ca="1">_xll.QIns_CreateIRS("ZAROISSwap_"&amp;B13,valDate,B13,index,E13,1,"ZAR.JIBAR.3M","ZAR.OIS.1B","Pay","ZAR.JIBAR.3M")</f>
        <v>ZAROISSwap_3y¬6</v>
      </c>
      <c r="I13" t="s">
        <v>13</v>
      </c>
      <c r="J13" t="s">
        <v>45</v>
      </c>
      <c r="K13" s="6">
        <v>0.47160000000000002</v>
      </c>
      <c r="L13" s="1">
        <f t="shared" ca="1" si="5"/>
        <v>4.7160000000000006E-3</v>
      </c>
      <c r="M13" t="str">
        <f ca="1">_xll.QIns_CreateIRS("USDOISSwap_"&amp;I13,valDate,I13,$J$2,L13,1,"USD.LIBOR.3M","USD.OIS.1B","Pay","USD.LIBOR.3M")</f>
        <v>USDOISSwap_3y¬6</v>
      </c>
      <c r="O13" s="2">
        <f ca="1">_xll.QDates_AddPeriod($R$5,P13,"MF","JHB+NYC")</f>
        <v>44392</v>
      </c>
      <c r="P13" t="s">
        <v>60</v>
      </c>
      <c r="Q13" s="6">
        <v>9880</v>
      </c>
      <c r="R13" s="5">
        <f t="shared" ca="1" si="2"/>
        <v>19.032499999999999</v>
      </c>
      <c r="S13" s="5" t="str">
        <f ca="1">_xll.QIns_CreateFxForward("ZARFwd_"&amp;P13,O13,"ZAR","USD",1000000,R13,"ZAR.DISC.[USD.OIS.1B]","ZAR.DISC.[USD.OIS.1B]")</f>
        <v>ZARFwd_15m¬6</v>
      </c>
      <c r="U13" s="2">
        <f t="shared" ca="1" si="0"/>
        <v>44751</v>
      </c>
      <c r="V13" s="1">
        <f ca="1">_xll.QCurves_GetDF($D$33,valDate,U13)</f>
        <v>0.88310788663618245</v>
      </c>
      <c r="W13" s="1">
        <f ca="1">_xll.QCurves_GetForwardRate($D$33,U13,U14,"Linear","Act365F")</f>
        <v>6.8638838016895798E-2</v>
      </c>
      <c r="X13" s="1">
        <f ca="1">_xll.QCurves_GetDF($D$34,valDate,U13)</f>
        <v>0.89061526662429957</v>
      </c>
      <c r="Y13" s="1">
        <f ca="1">_xll.QCurves_GetDF($D$35,valDate,U13)</f>
        <v>0.98936595621968537</v>
      </c>
    </row>
    <row r="14" spans="2:25" x14ac:dyDescent="0.25">
      <c r="B14" t="s">
        <v>14</v>
      </c>
      <c r="C14" t="s">
        <v>20</v>
      </c>
      <c r="D14" s="6">
        <v>6.4550000000000001</v>
      </c>
      <c r="E14" s="1">
        <f t="shared" ca="1" si="1"/>
        <v>6.4549999999999996E-2</v>
      </c>
      <c r="F14" t="str">
        <f ca="1">_xll.QIns_CreateIRS("ZAROISSwap_"&amp;B14,valDate,B14,index,E14,1,"ZAR.JIBAR.3M","ZAR.OIS.1B","Pay","ZAR.JIBAR.3M")</f>
        <v>ZAROISSwap_4y¬6</v>
      </c>
      <c r="I14" t="s">
        <v>14</v>
      </c>
      <c r="J14" t="s">
        <v>48</v>
      </c>
      <c r="K14" s="6">
        <v>0.51839999999999997</v>
      </c>
      <c r="L14" s="1">
        <f t="shared" ca="1" si="5"/>
        <v>5.1839999999999994E-3</v>
      </c>
      <c r="M14" t="str">
        <f ca="1">_xll.QIns_CreateIRS("USDOISSwap_"&amp;I14,valDate,I14,$J$2,L14,1,"USD.LIBOR.3M","USD.OIS.1B","Pay","USD.LIBOR.3M")</f>
        <v>USDOISSwap_4y¬6</v>
      </c>
      <c r="O14" s="2">
        <f ca="1">_xll.QDates_AddPeriod($R$5,P14,"MF","JHB+NYC")</f>
        <v>44484</v>
      </c>
      <c r="P14" t="s">
        <v>35</v>
      </c>
      <c r="Q14" s="6">
        <v>12389</v>
      </c>
      <c r="R14" s="5">
        <f t="shared" ca="1" si="2"/>
        <v>19.2834</v>
      </c>
      <c r="S14" s="5" t="str">
        <f ca="1">_xll.QIns_CreateFxForward("ZARFwd_"&amp;P14,O14,"ZAR","USD",1000000,R14,"ZAR.DISC.[USD.OIS.1B]","ZAR.DISC.[USD.OIS.1B]")</f>
        <v>ZARFwd_18m¬6</v>
      </c>
      <c r="U14" s="2">
        <f t="shared" ca="1" si="0"/>
        <v>44843</v>
      </c>
      <c r="V14" s="1">
        <f ca="1">_xll.QCurves_GetDF($D$33,valDate,U14)</f>
        <v>0.86808929236306109</v>
      </c>
      <c r="W14" s="1">
        <f ca="1">_xll.QCurves_GetForwardRate($D$33,U14,U15,"Linear","Act365F")</f>
        <v>7.126129505508913E-2</v>
      </c>
      <c r="X14" s="1">
        <f ca="1">_xll.QCurves_GetDF($D$34,valDate,U14)</f>
        <v>0.87588056205160736</v>
      </c>
      <c r="Y14" s="1">
        <f ca="1">_xll.QCurves_GetDF($D$35,valDate,U14)</f>
        <v>0.98815770009348602</v>
      </c>
    </row>
    <row r="15" spans="2:25" x14ac:dyDescent="0.25">
      <c r="B15" t="s">
        <v>15</v>
      </c>
      <c r="C15" t="s">
        <v>21</v>
      </c>
      <c r="D15" s="6">
        <v>7.0625</v>
      </c>
      <c r="E15" s="1">
        <f t="shared" ca="1" si="1"/>
        <v>7.0624999999999993E-2</v>
      </c>
      <c r="F15" t="str">
        <f ca="1">_xll.QIns_CreateIRS("ZAROISSwap_"&amp;B15,valDate,B15,index,E15,1,"ZAR.JIBAR.3M","ZAR.OIS.1B","Pay","ZAR.JIBAR.3M")</f>
        <v>ZAROISSwap_5y¬6</v>
      </c>
      <c r="I15" t="s">
        <v>15</v>
      </c>
      <c r="J15" t="s">
        <v>46</v>
      </c>
      <c r="K15" s="6">
        <v>0.57820000000000005</v>
      </c>
      <c r="L15" s="1">
        <f t="shared" ca="1" si="5"/>
        <v>5.7820000000000007E-3</v>
      </c>
      <c r="M15" t="str">
        <f ca="1">_xll.QIns_CreateIRS("USDOISSwap_"&amp;I15,valDate,I15,$J$2,L15,1,"USD.LIBOR.3M","USD.OIS.1B","Pay","USD.LIBOR.3M")</f>
        <v>USDOISSwap_5y¬6</v>
      </c>
      <c r="O15" s="2">
        <f ca="1">_xll.QDates_AddPeriod($R$5,P15,"MF","JHB+NYC")</f>
        <v>44670</v>
      </c>
      <c r="P15" t="s">
        <v>12</v>
      </c>
      <c r="Q15" s="6">
        <v>18364</v>
      </c>
      <c r="R15" s="5">
        <f t="shared" ca="1" si="2"/>
        <v>19.8809</v>
      </c>
      <c r="S15" s="5" t="str">
        <f ca="1">_xll.QIns_CreateFxForward("ZARFwd_"&amp;P15,O15,"ZAR","USD",1000000,R15,"ZAR.DISC.[USD.OIS.1B]","ZAR.DISC.[USD.OIS.1B]")</f>
        <v>ZARFwd_2y¬6</v>
      </c>
      <c r="U15" s="2">
        <f t="shared" ca="1" si="0"/>
        <v>44935</v>
      </c>
      <c r="V15" s="1">
        <f ca="1">_xll.QCurves_GetDF($D$33,valDate,U15)</f>
        <v>0.85277201372255773</v>
      </c>
      <c r="W15" s="1">
        <f ca="1">_xll.QCurves_GetForwardRate($D$33,U15,U16,"Linear","Act365F")</f>
        <v>7.3842072502186704E-2</v>
      </c>
      <c r="X15" s="1">
        <f ca="1">_xll.QCurves_GetDF($D$34,valDate,U15)</f>
        <v>0.86074727431237563</v>
      </c>
      <c r="Y15" s="1">
        <f ca="1">_xll.QCurves_GetDF($D$35,valDate,U15)</f>
        <v>0.98694615116806661</v>
      </c>
    </row>
    <row r="16" spans="2:25" x14ac:dyDescent="0.25">
      <c r="B16" t="s">
        <v>16</v>
      </c>
      <c r="C16" t="s">
        <v>22</v>
      </c>
      <c r="D16" s="6">
        <v>8.0924999999999994</v>
      </c>
      <c r="E16" s="1">
        <f t="shared" ca="1" si="1"/>
        <v>8.0924999999999997E-2</v>
      </c>
      <c r="F16" t="str">
        <f ca="1">_xll.QIns_CreateIRS("ZAROISSwap_"&amp;B16,valDate,B16,index,E16,1,"ZAR.JIBAR.3M","ZAR.OIS.1B","Pay","ZAR.JIBAR.3M")</f>
        <v>ZAROISSwap_7y¬6</v>
      </c>
      <c r="I16" t="s">
        <v>16</v>
      </c>
      <c r="J16" t="s">
        <v>49</v>
      </c>
      <c r="K16" s="6">
        <v>0.69269999999999998</v>
      </c>
      <c r="L16" s="1">
        <f t="shared" ca="1" si="5"/>
        <v>6.927E-3</v>
      </c>
      <c r="M16" t="str">
        <f ca="1">_xll.QIns_CreateIRS("USDOISSwap_"&amp;I16,valDate,I16,$J$2,L16,1,"USD.LIBOR.3M","USD.OIS.1B","Pay","USD.LIBOR.3M")</f>
        <v>USDOISSwap_7y¬6</v>
      </c>
      <c r="O16" s="2">
        <f ca="1">_xll.QDates_AddPeriod($R$5,P16,"MF","JHB+NYC")</f>
        <v>45033</v>
      </c>
      <c r="P16" t="s">
        <v>13</v>
      </c>
      <c r="Q16" s="6">
        <v>30940</v>
      </c>
      <c r="R16" s="5">
        <f t="shared" ca="1" si="2"/>
        <v>21.138500000000001</v>
      </c>
      <c r="S16" s="5" t="str">
        <f ca="1">_xll.QIns_CreateFxForward("ZARFwd_"&amp;P16,O16,"ZAR","USD",1000000,R16,"ZAR.DISC.[USD.OIS.1B]","ZAR.DISC.[USD.OIS.1B]")</f>
        <v>ZARFwd_3y¬6</v>
      </c>
      <c r="U16" s="2">
        <f t="shared" ca="1" si="0"/>
        <v>45025</v>
      </c>
      <c r="V16" s="1">
        <f ca="1">_xll.QCurves_GetDF($D$33,valDate,U16)</f>
        <v>0.83752270655066519</v>
      </c>
      <c r="W16" s="1">
        <f ca="1">_xll.QCurves_GetForwardRate($D$33,U16,U17,"Linear","Act365F")</f>
        <v>7.857175418754106E-2</v>
      </c>
      <c r="X16" s="1">
        <f ca="1">_xll.QCurves_GetDF($D$34,valDate,U16)</f>
        <v>0.84558539907893437</v>
      </c>
      <c r="Y16" s="1">
        <f ca="1">_xll.QCurves_GetDF($D$35,valDate,U16)</f>
        <v>0.98575776917644486</v>
      </c>
    </row>
    <row r="17" spans="2:25" x14ac:dyDescent="0.25">
      <c r="B17" t="s">
        <v>17</v>
      </c>
      <c r="C17" t="s">
        <v>23</v>
      </c>
      <c r="D17" s="6">
        <v>8.9600000000000009</v>
      </c>
      <c r="E17" s="1">
        <f t="shared" ca="1" si="1"/>
        <v>8.9600000000000013E-2</v>
      </c>
      <c r="F17" t="str">
        <f ca="1">_xll.QIns_CreateIRS("ZAROISSwap_"&amp;B17,valDate,B17,index,E17,1,"ZAR.JIBAR.3M","ZAR.OIS.1B","Pay","ZAR.JIBAR.3M")</f>
        <v>ZAROISSwap_10y¬6</v>
      </c>
      <c r="I17" t="s">
        <v>17</v>
      </c>
      <c r="J17" t="s">
        <v>47</v>
      </c>
      <c r="K17" s="6">
        <v>0.8155</v>
      </c>
      <c r="L17" s="1">
        <f t="shared" ca="1" si="5"/>
        <v>8.1550000000000008E-3</v>
      </c>
      <c r="M17" t="str">
        <f ca="1">_xll.QIns_CreateIRS("USDOISSwap_"&amp;I17,valDate,I17,$J$2,L17,1,"USD.LIBOR.3M","USD.OIS.1B","Pay","USD.LIBOR.3M")</f>
        <v>USDOISSwap_10y¬6</v>
      </c>
      <c r="O17" s="2">
        <f ca="1">_xll.QDates_AddPeriod($R$5,P17,"MF","JHB+NYC")</f>
        <v>45397</v>
      </c>
      <c r="P17" t="s">
        <v>14</v>
      </c>
      <c r="Q17" s="6">
        <v>46326</v>
      </c>
      <c r="R17" s="5">
        <f t="shared" ca="1" si="2"/>
        <v>22.677099999999999</v>
      </c>
      <c r="S17" s="5" t="str">
        <f ca="1">_xll.QIns_CreateFxForward("ZARFwd_"&amp;P17,O17,"ZAR","USD",1000000,R17,"ZAR.DISC.[USD.OIS.1B]","ZAR.DISC.[USD.OIS.1B]")</f>
        <v>ZARFwd_4y¬6</v>
      </c>
      <c r="U17" s="2">
        <f t="shared" ca="1" si="0"/>
        <v>45116</v>
      </c>
      <c r="V17" s="1">
        <f ca="1">_xll.QCurves_GetDF($D$33,valDate,U17)</f>
        <v>0.82143158283245765</v>
      </c>
      <c r="W17" s="1">
        <f ca="1">_xll.QCurves_GetForwardRate($D$33,U17,U18,"Linear","Act365F")</f>
        <v>8.1577207989190395E-2</v>
      </c>
      <c r="X17" s="1">
        <f ca="1">_xll.QCurves_GetDF($D$34,valDate,U17)</f>
        <v>0.82992395098678051</v>
      </c>
      <c r="Y17" s="1">
        <f ca="1">_xll.QCurves_GetDF($D$35,valDate,U17)</f>
        <v>0.98420963731310829</v>
      </c>
    </row>
    <row r="18" spans="2:25" x14ac:dyDescent="0.25">
      <c r="B18" t="s">
        <v>0</v>
      </c>
      <c r="E18" s="3">
        <v>4.0000000000000001E-3</v>
      </c>
      <c r="F18" t="str">
        <f ca="1">_xll.QIns_CreateIRBasisSwap("ZAROISBasis_"&amp;B18,valDate,B18,oisIndex,index,E18,TRUE,1,"ZAR.OIS.1B","ZAR.JIBAR.3M","ZAR.OIS.1B","ZAR.OIS.1B")</f>
        <v>ZAROISBasis_3m¬8</v>
      </c>
      <c r="I18" t="s">
        <v>0</v>
      </c>
      <c r="L18" s="3">
        <v>4.0000000000000001E-3</v>
      </c>
      <c r="M18" t="str">
        <f ca="1">_xll.QIns_CreateIRBasisSwap("USDOISBasis_"&amp;I18,valDate,I18,$J$3,$J$2,L18,TRUE,1,"USD.OIS.1B","USD.LIBOR.3M","USD.OIS.1B","USD.OIS.1B")</f>
        <v>USDOISBasis_3m¬8</v>
      </c>
      <c r="O18" s="2">
        <f ca="1">_xll.QDates_AddPeriod($R$5,P18,"MF","JHB+NYC")</f>
        <v>45762</v>
      </c>
      <c r="P18" t="s">
        <v>15</v>
      </c>
      <c r="Q18" s="6">
        <v>66676</v>
      </c>
      <c r="R18" s="5">
        <f t="shared" ca="1" si="2"/>
        <v>24.7121</v>
      </c>
      <c r="S18" s="5" t="str">
        <f ca="1">_xll.QIns_CreateFxForward("ZARFwd_"&amp;P18,O18,"ZAR","USD",1000000,R18,"ZAR.DISC.[USD.OIS.1B]","ZAR.DISC.[USD.OIS.1B]")</f>
        <v>ZARFwd_5y¬6</v>
      </c>
      <c r="U18" s="2">
        <f t="shared" ca="1" si="0"/>
        <v>45208</v>
      </c>
      <c r="V18" s="1">
        <f ca="1">_xll.QCurves_GetDF($D$33,valDate,U18)</f>
        <v>0.80488166527260585</v>
      </c>
      <c r="W18" s="1">
        <f ca="1">_xll.QCurves_GetForwardRate($D$33,U18,U19,"Linear","Act365F")</f>
        <v>8.4548149616066187E-2</v>
      </c>
      <c r="X18" s="1">
        <f ca="1">_xll.QCurves_GetDF($D$34,valDate,U18)</f>
        <v>0.81378124182284473</v>
      </c>
      <c r="Y18" s="1">
        <f ca="1">_xll.QCurves_GetDF($D$35,valDate,U18)</f>
        <v>0.98258462547215442</v>
      </c>
    </row>
    <row r="19" spans="2:25" x14ac:dyDescent="0.25">
      <c r="B19" t="s">
        <v>32</v>
      </c>
      <c r="E19" s="3">
        <v>4.0000000000000001E-3</v>
      </c>
      <c r="F19" t="str">
        <f ca="1">_xll.QIns_CreateIRBasisSwap("ZAROISBasis_"&amp;B19,valDate,B19,oisIndex,index,E19,TRUE,1,"ZAR.OIS.1B","ZAR.JIBAR.3M","ZAR.OIS.1B","ZAR.OIS.1B")</f>
        <v>ZAROISBasis_6m¬8</v>
      </c>
      <c r="I19" t="s">
        <v>32</v>
      </c>
      <c r="L19" s="3">
        <v>4.0000000000000001E-3</v>
      </c>
      <c r="M19" t="str">
        <f ca="1">_xll.QIns_CreateIRBasisSwap("USDOISBasis_"&amp;I19,valDate,I19,$J$3,$J$2,L19,TRUE,1,"USD.OIS.1B","USD.LIBOR.3M","USD.OIS.1B","USD.OIS.1B")</f>
        <v>USDOISBasis_6m¬8</v>
      </c>
      <c r="R19" s="5"/>
      <c r="S19" s="5"/>
      <c r="U19" s="2">
        <f t="shared" ca="1" si="0"/>
        <v>45300</v>
      </c>
      <c r="V19" s="1">
        <f ca="1">_xll.QCurves_GetDF($D$33,valDate,U19)</f>
        <v>0.78808692876880038</v>
      </c>
      <c r="W19" s="1">
        <f ca="1">_xll.QCurves_GetForwardRate($D$33,U19,U20,"Linear","Act365F")</f>
        <v>8.7494694879952345E-2</v>
      </c>
      <c r="X19" s="1">
        <f ca="1">_xll.QCurves_GetDF($D$34,valDate,U19)</f>
        <v>0.79735746824190035</v>
      </c>
      <c r="Y19" s="1">
        <f ca="1">_xll.QCurves_GetDF($D$35,valDate,U19)</f>
        <v>0.98090329240969876</v>
      </c>
    </row>
    <row r="20" spans="2:25" x14ac:dyDescent="0.25">
      <c r="B20" t="s">
        <v>33</v>
      </c>
      <c r="E20" s="3">
        <v>4.0000000000000001E-3</v>
      </c>
      <c r="F20" t="str">
        <f ca="1">_xll.QIns_CreateIRBasisSwap("ZAROISBasis_"&amp;B20,valDate,B20,oisIndex,index,E20,TRUE,1,"ZAR.OIS.1B","ZAR.JIBAR.3M","ZAR.OIS.1B","ZAR.OIS.1B")</f>
        <v>ZAROISBasis_9m¬8</v>
      </c>
      <c r="I20" t="s">
        <v>33</v>
      </c>
      <c r="L20" s="3">
        <v>4.0000000000000001E-3</v>
      </c>
      <c r="M20" t="str">
        <f ca="1">_xll.QIns_CreateIRBasisSwap("USDOISBasis_"&amp;I20,valDate,I20,$J$3,$J$2,L20,TRUE,1,"USD.OIS.1B","USD.LIBOR.3M","USD.OIS.1B","USD.OIS.1B")</f>
        <v>USDOISBasis_9m¬8</v>
      </c>
      <c r="U20" s="2">
        <f t="shared" ca="1" si="0"/>
        <v>45391</v>
      </c>
      <c r="V20" s="1">
        <f ca="1">_xll.QCurves_GetDF($D$33,valDate,U20)</f>
        <v>0.77126279810975573</v>
      </c>
      <c r="W20" s="1">
        <f ca="1">_xll.QCurves_GetForwardRate($D$33,U20,U21,"Linear","Act365F")</f>
        <v>9.4941632972784462E-2</v>
      </c>
      <c r="X20" s="1">
        <f ca="1">_xll.QCurves_GetDF($D$34,valDate,U20)</f>
        <v>0.78086504341135521</v>
      </c>
      <c r="Y20" s="1">
        <f ca="1">_xll.QCurves_GetDF($D$35,valDate,U20)</f>
        <v>0.97918512096307153</v>
      </c>
    </row>
    <row r="21" spans="2:25" x14ac:dyDescent="0.25">
      <c r="B21" t="s">
        <v>34</v>
      </c>
      <c r="E21" s="3">
        <v>4.0000000000000001E-3</v>
      </c>
      <c r="F21" t="str">
        <f ca="1">_xll.QIns_CreateIRBasisSwap("ZAROISBasis_"&amp;B21,valDate,B21,oisIndex,index,E21,TRUE,1,"ZAR.OIS.1B","ZAR.JIBAR.3M","ZAR.OIS.1B","ZAR.OIS.1B")</f>
        <v>ZAROISBasis_1y¬8</v>
      </c>
      <c r="I21" t="s">
        <v>34</v>
      </c>
      <c r="L21" s="3">
        <v>4.0000000000000001E-3</v>
      </c>
      <c r="M21" t="str">
        <f ca="1">_xll.QIns_CreateIRBasisSwap("USDOISBasis_"&amp;I21,valDate,I21,$J$3,$J$2,L21,TRUE,1,"USD.OIS.1B","USD.LIBOR.3M","USD.OIS.1B","USD.OIS.1B")</f>
        <v>USDOISBasis_1y¬8</v>
      </c>
      <c r="U21" s="2">
        <f t="shared" ca="1" si="0"/>
        <v>45482</v>
      </c>
      <c r="V21" s="1">
        <f ca="1">_xll.QCurves_GetDF($D$33,valDate,U21)</f>
        <v>0.75342885110644131</v>
      </c>
      <c r="W21" s="1">
        <f ca="1">_xll.QCurves_GetForwardRate($D$33,U21,U22,"Linear","Act365F")</f>
        <v>9.8450448476763722E-2</v>
      </c>
      <c r="X21" s="1">
        <f ca="1">_xll.QCurves_GetDF($D$34,valDate,U21)</f>
        <v>0.76415580420091456</v>
      </c>
      <c r="Y21" s="1">
        <f ca="1">_xll.QCurves_GetDF($D$35,valDate,U21)</f>
        <v>0.97727287478823477</v>
      </c>
    </row>
    <row r="22" spans="2:25" x14ac:dyDescent="0.25">
      <c r="B22" t="s">
        <v>35</v>
      </c>
      <c r="E22" s="3">
        <v>4.0000000000000001E-3</v>
      </c>
      <c r="F22" t="str">
        <f ca="1">_xll.QIns_CreateIRBasisSwap("ZAROISBasis_"&amp;B22,valDate,B22,oisIndex,index,E22,TRUE,1,"ZAR.OIS.1B","ZAR.JIBAR.3M","ZAR.OIS.1B","ZAR.OIS.1B")</f>
        <v>ZAROISBasis_18m¬8</v>
      </c>
      <c r="I22" t="s">
        <v>35</v>
      </c>
      <c r="L22" s="3">
        <v>4.0000000000000001E-3</v>
      </c>
      <c r="M22" t="str">
        <f ca="1">_xll.QIns_CreateIRBasisSwap("USDOISBasis_"&amp;I22,valDate,I22,$J$3,$J$2,L22,TRUE,1,"USD.OIS.1B","USD.LIBOR.3M","USD.OIS.1B","USD.OIS.1B")</f>
        <v>USDOISBasis_18m¬8</v>
      </c>
      <c r="U22" s="2">
        <f t="shared" ca="1" si="0"/>
        <v>45574</v>
      </c>
      <c r="V22" s="1">
        <f ca="1">_xll.QCurves_GetDF($D$33,valDate,U22)</f>
        <v>0.73518529594711146</v>
      </c>
      <c r="W22" s="1">
        <f ca="1">_xll.QCurves_GetForwardRate($D$33,U22,U23,"Linear","Act365F")</f>
        <v>0.10196915259017414</v>
      </c>
      <c r="X22" s="1">
        <f ca="1">_xll.QCurves_GetDF($D$34,valDate,U22)</f>
        <v>0.74707188897943855</v>
      </c>
      <c r="Y22" s="1">
        <f ca="1">_xll.QCurves_GetDF($D$35,valDate,U22)</f>
        <v>0.97526846197147277</v>
      </c>
    </row>
    <row r="23" spans="2:25" x14ac:dyDescent="0.25">
      <c r="B23" t="s">
        <v>12</v>
      </c>
      <c r="E23" s="3">
        <v>4.0000000000000001E-3</v>
      </c>
      <c r="F23" t="str">
        <f ca="1">_xll.QIns_CreateIRBasisSwap("ZAROISBasis_"&amp;B23,valDate,B23,oisIndex,index,E23,TRUE,1,"ZAR.OIS.1B","ZAR.JIBAR.3M","ZAR.OIS.1B","ZAR.OIS.1B")</f>
        <v>ZAROISBasis_2y¬8</v>
      </c>
      <c r="I23" t="s">
        <v>12</v>
      </c>
      <c r="L23" s="3">
        <v>4.0000000000000001E-3</v>
      </c>
      <c r="M23" t="str">
        <f ca="1">_xll.QIns_CreateIRBasisSwap("USDOISBasis_"&amp;I23,valDate,I23,$J$3,$J$2,L23,TRUE,1,"USD.OIS.1B","USD.LIBOR.3M","USD.OIS.1B","USD.OIS.1B")</f>
        <v>USDOISBasis_2y¬8</v>
      </c>
      <c r="U23" s="2">
        <f t="shared" ca="1" si="0"/>
        <v>45666</v>
      </c>
      <c r="V23" s="1">
        <f ca="1">_xll.QCurves_GetDF($D$33,valDate,U23)</f>
        <v>0.71676318209954837</v>
      </c>
      <c r="W23" s="1">
        <f ca="1">_xll.QCurves_GetForwardRate($D$33,U23,U24,"Linear","Act365F")</f>
        <v>0.10542241134319731</v>
      </c>
      <c r="X23" s="1">
        <f ca="1">_xll.QCurves_GetDF($D$34,valDate,U23)</f>
        <v>0.72982525635703765</v>
      </c>
      <c r="Y23" s="1">
        <f ca="1">_xll.QCurves_GetDF($D$35,valDate,U23)</f>
        <v>0.97319296193923055</v>
      </c>
    </row>
    <row r="24" spans="2:25" x14ac:dyDescent="0.25">
      <c r="B24" t="s">
        <v>15</v>
      </c>
      <c r="E24" s="3">
        <v>4.0000000000000001E-3</v>
      </c>
      <c r="F24" t="str">
        <f ca="1">_xll.QIns_CreateIRBasisSwap("ZAROISBasis_"&amp;B24,valDate,B24,oisIndex,index,E24,TRUE,1,"ZAR.OIS.1B","ZAR.JIBAR.3M","ZAR.OIS.1B","ZAR.OIS.1B")</f>
        <v>ZAROISBasis_5y¬8</v>
      </c>
      <c r="I24" t="s">
        <v>15</v>
      </c>
      <c r="L24" s="3">
        <v>4.0000000000000001E-3</v>
      </c>
      <c r="M24" t="str">
        <f ca="1">_xll.QIns_CreateIRBasisSwap("USDOISBasis_"&amp;I24,valDate,I24,$J$3,$J$2,L24,TRUE,1,"USD.OIS.1B","USD.LIBOR.3M","USD.OIS.1B","USD.OIS.1B")</f>
        <v>USDOISBasis_5y¬8</v>
      </c>
      <c r="U24" s="2">
        <f t="shared" ca="1" si="0"/>
        <v>45756</v>
      </c>
      <c r="V24" s="1">
        <f ca="1">_xll.QCurves_GetDF($D$33,valDate,U24)</f>
        <v>0.69860329189583359</v>
      </c>
      <c r="W24" s="1">
        <f ca="1">_xll.QCurves_GetForwardRate($D$33,U24,U25,"Linear","Act365F")</f>
        <v>0.10491977430031936</v>
      </c>
      <c r="X24" s="1">
        <f ca="1">_xll.QCurves_GetDF($D$34,valDate,U24)</f>
        <v>0.7128241353515089</v>
      </c>
      <c r="Y24" s="1">
        <f ca="1">_xll.QCurves_GetDF($D$35,valDate,U24)</f>
        <v>0.97109424852837223</v>
      </c>
    </row>
    <row r="25" spans="2:25" x14ac:dyDescent="0.25">
      <c r="B25" t="s">
        <v>17</v>
      </c>
      <c r="E25" s="3">
        <v>4.0000000000000001E-3</v>
      </c>
      <c r="F25" t="str">
        <f ca="1">_xll.QIns_CreateIRBasisSwap("ZAROISBasis_"&amp;B25,valDate,B25,oisIndex,index,E25,TRUE,1,"ZAR.OIS.1B","ZAR.JIBAR.3M","ZAR.OIS.1B","ZAR.OIS.1B")</f>
        <v>ZAROISBasis_10y¬8</v>
      </c>
      <c r="I25" t="s">
        <v>17</v>
      </c>
      <c r="L25" s="3">
        <v>4.0000000000000001E-3</v>
      </c>
      <c r="M25" t="str">
        <f ca="1">_xll.QIns_CreateIRBasisSwap("USDOISBasis_"&amp;I25,valDate,I25,$J$3,$J$2,L25,TRUE,1,"USD.OIS.1B","USD.LIBOR.3M","USD.OIS.1B","USD.OIS.1B")</f>
        <v>USDOISBasis_10y¬8</v>
      </c>
      <c r="U25" s="2">
        <f t="shared" ca="1" si="0"/>
        <v>45847</v>
      </c>
      <c r="V25" s="1">
        <f ca="1">_xll.QCurves_GetDF($D$33,valDate,U25)</f>
        <v>0.68079500130077886</v>
      </c>
      <c r="W25" s="1">
        <f ca="1">_xll.QCurves_GetForwardRate($D$33,U25,U26,"Linear","Act365F")</f>
        <v>0.1080593266864182</v>
      </c>
      <c r="X25" s="1">
        <f ca="1">_xll.QCurves_GetDF($D$34,valDate,U25)</f>
        <v>0.69644975390208053</v>
      </c>
      <c r="Y25" s="1">
        <f ca="1">_xll.QCurves_GetDF($D$35,valDate,U25)</f>
        <v>0.9689422053326282</v>
      </c>
    </row>
    <row r="26" spans="2:25" x14ac:dyDescent="0.25">
      <c r="U26" s="2">
        <f t="shared" ca="1" si="0"/>
        <v>45939</v>
      </c>
      <c r="V26" s="1">
        <f ca="1">_xll.QCurves_GetDF($D$33,valDate,U26)</f>
        <v>0.66274393011570798</v>
      </c>
      <c r="W26" s="1">
        <f ca="1">_xll.QCurves_GetForwardRate($D$33,U26,U27,"Linear","Act365F")</f>
        <v>0.11120341922427235</v>
      </c>
      <c r="X26" s="1">
        <f ca="1">_xll.QCurves_GetDF($D$34,valDate,U26)</f>
        <v>0.67985976179011709</v>
      </c>
      <c r="Y26" s="1">
        <f ca="1">_xll.QCurves_GetDF($D$35,valDate,U26)</f>
        <v>0.96670075236166508</v>
      </c>
    </row>
    <row r="27" spans="2:25" x14ac:dyDescent="0.25">
      <c r="B27" t="s">
        <v>51</v>
      </c>
      <c r="C27" t="str">
        <f ca="1">_xll.QIns_CreateFundingInstrumentCollection("FundingInstruments_ZAR",F6:F25)</f>
        <v>FundingInstruments_ZAR¬8</v>
      </c>
      <c r="G27" t="s">
        <v>53</v>
      </c>
      <c r="H27">
        <v>0</v>
      </c>
      <c r="J27" t="str">
        <f ca="1">_xll.QIns_CreateFxPair("USDZAR","ZAR","USD","NYC+JHB","2b")</f>
        <v>USDZAR¬8</v>
      </c>
      <c r="L27" t="s">
        <v>63</v>
      </c>
      <c r="M27">
        <f ca="1">1/Q5</f>
        <v>5.5418548588212477E-2</v>
      </c>
      <c r="U27" s="2">
        <f t="shared" ca="1" si="0"/>
        <v>46031</v>
      </c>
      <c r="V27" s="1">
        <f ca="1">_xll.QCurves_GetDF($D$33,valDate,U27)</f>
        <v>0.64467413007574426</v>
      </c>
      <c r="W27" s="1">
        <f ca="1">_xll.QCurves_GetForwardRate($D$33,U27,U28,"Linear","Act365F")</f>
        <v>0.11428026635733614</v>
      </c>
      <c r="X27" s="1">
        <f ca="1">_xll.QCurves_GetDF($D$34,valDate,U27)</f>
        <v>0.66325493574990402</v>
      </c>
      <c r="Y27" s="1">
        <f ca="1">_xll.QCurves_GetDF($D$35,valDate,U27)</f>
        <v>0.96439365916425557</v>
      </c>
    </row>
    <row r="28" spans="2:25" x14ac:dyDescent="0.25">
      <c r="B28" t="s">
        <v>50</v>
      </c>
      <c r="C28" t="str">
        <f ca="1">_xll.QIns_CreateFundingInstrumentCollection("FundingInstruments_USD",M6:M25)</f>
        <v>FundingInstruments_USD¬8</v>
      </c>
      <c r="G28" t="s">
        <v>54</v>
      </c>
      <c r="H28">
        <v>0</v>
      </c>
      <c r="J28" t="str">
        <f ca="1">_xll.QIns_CreateFxMatrix("fxMatrix","USD",valDate,L27:M27,J27,L29:M30)</f>
        <v>fxMatrix¬8</v>
      </c>
      <c r="U28" s="2">
        <f t="shared" ca="1" si="0"/>
        <v>46121</v>
      </c>
      <c r="V28" s="1">
        <f ca="1">_xll.QCurves_GetDF($D$33,valDate,U28)</f>
        <v>0.62700592095547669</v>
      </c>
      <c r="W28" s="1">
        <f ca="1">_xll.QCurves_GetForwardRate($D$33,U28,U29,"Linear","Act365F")</f>
        <v>0.11739458242899767</v>
      </c>
      <c r="X28" s="1">
        <f ca="1">_xll.QCurves_GetDF($D$34,valDate,U28)</f>
        <v>0.64701654978952006</v>
      </c>
      <c r="Y28" s="1">
        <f ca="1">_xll.QCurves_GetDF($D$35,valDate,U28)</f>
        <v>0.96207368039716601</v>
      </c>
    </row>
    <row r="29" spans="2:25" x14ac:dyDescent="0.25">
      <c r="B29" t="s">
        <v>62</v>
      </c>
      <c r="C29" t="str">
        <f ca="1">_xll.QIns_CreateFundingInstrumentCollection("FundingInstruments_XCY",S6:S18)</f>
        <v>FundingInstruments_XCY¬8</v>
      </c>
      <c r="G29" t="s">
        <v>55</v>
      </c>
      <c r="H29">
        <v>1</v>
      </c>
      <c r="L29" t="s">
        <v>63</v>
      </c>
      <c r="M29" t="s">
        <v>65</v>
      </c>
      <c r="U29" s="2">
        <f t="shared" ca="1" si="0"/>
        <v>46212</v>
      </c>
      <c r="V29" s="1">
        <f ca="1">_xll.QCurves_GetDF($D$33,valDate,U29)</f>
        <v>0.60917640085263758</v>
      </c>
      <c r="W29" s="1">
        <f ca="1">_xll.QCurves_GetForwardRate($D$33,U29,U30,"Linear","Act365F")</f>
        <v>0.12054745722348974</v>
      </c>
      <c r="X29" s="1">
        <f ca="1">_xll.QCurves_GetDF($D$34,valDate,U29)</f>
        <v>0.63062259340956817</v>
      </c>
      <c r="Y29" s="1">
        <f ca="1">_xll.QCurves_GetDF($D$35,valDate,U29)</f>
        <v>0.95966502305936319</v>
      </c>
    </row>
    <row r="30" spans="2:25" x14ac:dyDescent="0.25">
      <c r="B30" t="s">
        <v>26</v>
      </c>
      <c r="C30" t="str">
        <f ca="1">_xll.QIns_CreateFundingInstrumentCollection("FundingInstrumentsComplex",C27:C29)</f>
        <v>FundingInstrumentsComplex¬8</v>
      </c>
      <c r="G30" t="s">
        <v>56</v>
      </c>
      <c r="H30">
        <v>1</v>
      </c>
      <c r="L30" t="s">
        <v>64</v>
      </c>
      <c r="M30" t="s">
        <v>54</v>
      </c>
      <c r="U30" s="2">
        <f t="shared" ca="1" si="0"/>
        <v>46304</v>
      </c>
      <c r="V30" s="1">
        <f ca="1">_xll.QCurves_GetDF($D$33,valDate,U30)</f>
        <v>0.59121266156826624</v>
      </c>
      <c r="W30" s="1">
        <f ca="1">_xll.QCurves_GetForwardRate($D$33,U30,U31,"Linear","Act365F")</f>
        <v>0.12370118399362764</v>
      </c>
      <c r="X30" s="1">
        <f ca="1">_xll.QCurves_GetDF($D$34,valDate,U30)</f>
        <v>0.61409313718099956</v>
      </c>
      <c r="Y30" s="1">
        <f ca="1">_xll.QCurves_GetDF($D$35,valDate,U30)</f>
        <v>0.95716611447307476</v>
      </c>
    </row>
    <row r="31" spans="2:25" x14ac:dyDescent="0.25">
      <c r="G31" t="s">
        <v>65</v>
      </c>
      <c r="H31">
        <v>2</v>
      </c>
      <c r="U31" s="2">
        <f t="shared" ca="1" si="0"/>
        <v>46396</v>
      </c>
      <c r="V31" s="1">
        <f ca="1">_xll.QCurves_GetDF($D$33,valDate,U31)</f>
        <v>0.57333633478356749</v>
      </c>
      <c r="W31" s="1">
        <f ca="1">_xll.QCurves_GetForwardRate($D$33,U31,U32,"Linear","Act365F")</f>
        <v>0.12677943077668374</v>
      </c>
      <c r="X31" s="1">
        <f ca="1">_xll.QCurves_GetDF($D$34,valDate,U31)</f>
        <v>0.59762748966727686</v>
      </c>
      <c r="Y31" s="1">
        <f ca="1">_xll.QCurves_GetDF($D$35,valDate,U31)</f>
        <v>0.95460360649813214</v>
      </c>
    </row>
    <row r="32" spans="2:25" x14ac:dyDescent="0.25">
      <c r="B32" t="s">
        <v>27</v>
      </c>
      <c r="C32" t="str">
        <f ca="1">_xll.QCurves_CreateFundingModel("ModelComplex",valDate,C30,G27:H31,J28)</f>
        <v>ModelComplex¬6</v>
      </c>
      <c r="U32" s="2">
        <f t="shared" ca="1" si="0"/>
        <v>46486</v>
      </c>
      <c r="V32" s="1">
        <f ca="1">_xll.QCurves_GetDF($D$33,valDate,U32)</f>
        <v>0.55595674792479344</v>
      </c>
      <c r="W32" s="1">
        <f ca="1">_xll.QCurves_GetForwardRate($D$33,U32,U33,"Linear","Act365F")</f>
        <v>0.11324381779953492</v>
      </c>
      <c r="X32" s="1">
        <f ca="1">_xll.QCurves_GetDF($D$34,valDate,U32)</f>
        <v>0.58159917600275446</v>
      </c>
      <c r="Y32" s="1">
        <f ca="1">_xll.QCurves_GetDF($D$35,valDate,U32)</f>
        <v>0.95203578923972831</v>
      </c>
    </row>
    <row r="33" spans="2:25" x14ac:dyDescent="0.25">
      <c r="B33" t="s">
        <v>28</v>
      </c>
      <c r="C33" t="str">
        <f t="array" aca="1" ref="C33:C38" ca="1">_xll.QCurves_ListCurvesInModel(C32)</f>
        <v>ZAR.JIBAR.3M</v>
      </c>
      <c r="D33" t="str">
        <f ca="1">_xll.QCurves_ExtractCurveFromModel($C$32,C33,"curve.complex."&amp;C33)</f>
        <v>curve.complex.ZAR.JIBAR.3M¬6</v>
      </c>
      <c r="U33" s="2">
        <f t="shared" ca="1" si="0"/>
        <v>46577</v>
      </c>
      <c r="V33" s="1">
        <f ca="1">_xll.QCurves_GetDF($D$33,valDate,U33)</f>
        <v>0.54069120223907352</v>
      </c>
      <c r="W33" s="1">
        <f ca="1">_xll.QCurves_GetForwardRate($D$33,U33,U34,"Linear","Act365F")</f>
        <v>0.11524144192979881</v>
      </c>
      <c r="X33" s="1">
        <f ca="1">_xll.QCurves_GetDF($D$34,valDate,U33)</f>
        <v>0.56548965287335351</v>
      </c>
      <c r="Y33" s="1">
        <f ca="1">_xll.QCurves_GetDF($D$35,valDate,U33)</f>
        <v>0.94925613949209153</v>
      </c>
    </row>
    <row r="34" spans="2:25" x14ac:dyDescent="0.25">
      <c r="B34" t="s">
        <v>28</v>
      </c>
      <c r="C34" t="str">
        <f ca="1"/>
        <v>ZAR.OIS.1B</v>
      </c>
      <c r="D34" t="str">
        <f ca="1">_xll.QCurves_ExtractCurveFromModel($C$32,C34,"curve.complex."&amp;C34)</f>
        <v>curve.complex.ZAR.OIS.1B¬6</v>
      </c>
      <c r="U34" s="2">
        <f t="shared" ca="1" si="0"/>
        <v>46669</v>
      </c>
      <c r="V34" s="1">
        <f ca="1">_xll.QCurves_GetDF($D$33,valDate,U34)</f>
        <v>0.5254289835539373</v>
      </c>
      <c r="W34" s="1">
        <f ca="1">_xll.QCurves_GetForwardRate($D$33,U34,U35,"Linear","Act365F")</f>
        <v>0.11723344966439958</v>
      </c>
      <c r="X34" s="1">
        <f ca="1">_xll.QCurves_GetDF($D$34,valDate,U34)</f>
        <v>0.54931891008299771</v>
      </c>
      <c r="Y34" s="1">
        <f ca="1">_xll.QCurves_GetDF($D$35,valDate,U34)</f>
        <v>0.94637653450372528</v>
      </c>
    </row>
    <row r="35" spans="2:25" x14ac:dyDescent="0.25">
      <c r="B35" t="s">
        <v>28</v>
      </c>
      <c r="C35" t="str">
        <f ca="1"/>
        <v>USD.LIBOR.3M</v>
      </c>
      <c r="D35" t="str">
        <f ca="1">_xll.QCurves_ExtractCurveFromModel($C$32,C35,"curve.complex."&amp;C35)</f>
        <v>curve.complex.USD.LIBOR.3M¬6</v>
      </c>
      <c r="U35" s="2">
        <f t="shared" ca="1" si="0"/>
        <v>46761</v>
      </c>
      <c r="V35" s="1">
        <f ca="1">_xll.QCurves_GetDF($D$33,valDate,U35)</f>
        <v>0.51034856466474043</v>
      </c>
      <c r="W35" s="1">
        <f ca="1">_xll.QCurves_GetForwardRate($D$33,U35,U36,"Linear","Act365F")</f>
        <v>0.11919632052293011</v>
      </c>
      <c r="X35" s="1">
        <f ca="1">_xll.QCurves_GetDF($D$34,valDate,U35)</f>
        <v>0.53328091430168234</v>
      </c>
      <c r="Y35" s="1">
        <f ca="1">_xll.QCurves_GetDF($D$35,valDate,U35)</f>
        <v>0.94342782428126781</v>
      </c>
    </row>
    <row r="36" spans="2:25" x14ac:dyDescent="0.25">
      <c r="B36" t="s">
        <v>28</v>
      </c>
      <c r="C36" t="str">
        <f ca="1"/>
        <v>USD.OIS.1B</v>
      </c>
      <c r="D36" t="str">
        <f ca="1">_xll.QCurves_ExtractCurveFromModel($C$32,C36,"curve.complex."&amp;C36)</f>
        <v>curve.complex.USD.OIS.1B¬6</v>
      </c>
      <c r="U36" s="2">
        <f t="shared" ca="1" si="0"/>
        <v>46852</v>
      </c>
      <c r="V36" s="1">
        <f ca="1">_xll.QCurves_GetDF($D$33,valDate,U36)</f>
        <v>0.49562000741863571</v>
      </c>
      <c r="W36" s="1">
        <f ca="1">_xll.QCurves_GetForwardRate($D$33,U36,U37,"Linear","Act365F")</f>
        <v>0.12116794901357843</v>
      </c>
      <c r="X36" s="1">
        <f ca="1">_xll.QCurves_GetDF($D$34,valDate,U36)</f>
        <v>0.51756317891717318</v>
      </c>
      <c r="Y36" s="1">
        <f ca="1">_xll.QCurves_GetDF($D$35,valDate,U36)</f>
        <v>0.94044386983374129</v>
      </c>
    </row>
    <row r="37" spans="2:25" x14ac:dyDescent="0.25">
      <c r="B37" t="s">
        <v>28</v>
      </c>
      <c r="C37" t="str">
        <f ca="1"/>
        <v>ZAR.DISC.[USD.OIS.1B]</v>
      </c>
      <c r="D37" t="str">
        <f ca="1">_xll.QCurves_ExtractCurveFromModel($C$32,C37,"curve.complex."&amp;C37)</f>
        <v>curve.complex.ZAR.DISC.[USD.OIS.1B]¬6</v>
      </c>
      <c r="U37" s="2">
        <f t="shared" ca="1" si="0"/>
        <v>46943</v>
      </c>
      <c r="Y37" s="1"/>
    </row>
    <row r="38" spans="2:25" x14ac:dyDescent="0.25">
      <c r="C38" t="e">
        <f ca="1"/>
        <v>#N/A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6C107-E78D-42F6-9C95-7C92D15AD2A8}">
  <dimension ref="A1:B6"/>
  <sheetViews>
    <sheetView tabSelected="1" workbookViewId="0">
      <selection activeCell="G35" sqref="G35"/>
    </sheetView>
  </sheetViews>
  <sheetFormatPr defaultRowHeight="15" x14ac:dyDescent="0.25"/>
  <cols>
    <col min="1" max="1" width="15.42578125" bestFit="1" customWidth="1"/>
  </cols>
  <sheetData>
    <row r="1" spans="1:2" x14ac:dyDescent="0.25">
      <c r="A1" t="s">
        <v>66</v>
      </c>
      <c r="B1" t="str" cm="1">
        <f t="array" aca="1" ref="B1" ca="1">_xll.QIns_CreateInflationIndex(B3,B4,"Linear",B5,B6,"1y","USD","-3m","P")</f>
        <v>US.CPI¬0</v>
      </c>
    </row>
    <row r="3" spans="1:2" x14ac:dyDescent="0.25">
      <c r="A3" t="s">
        <v>68</v>
      </c>
      <c r="B3" t="s">
        <v>67</v>
      </c>
    </row>
    <row r="4" spans="1:2" x14ac:dyDescent="0.25">
      <c r="A4" t="s">
        <v>71</v>
      </c>
      <c r="B4" t="s">
        <v>64</v>
      </c>
    </row>
    <row r="5" spans="1:2" x14ac:dyDescent="0.25">
      <c r="A5" t="s">
        <v>69</v>
      </c>
      <c r="B5" t="s">
        <v>72</v>
      </c>
    </row>
    <row r="6" spans="1:2" x14ac:dyDescent="0.25">
      <c r="A6" t="s">
        <v>70</v>
      </c>
      <c r="B6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HeadingPairs>
  <TitlesOfParts>
    <vt:vector size="12" baseType="lpstr">
      <vt:lpstr>SelfDiscounting</vt:lpstr>
      <vt:lpstr>OisDiscounting</vt:lpstr>
      <vt:lpstr>ComplexBuild</vt:lpstr>
      <vt:lpstr>CPI</vt:lpstr>
      <vt:lpstr>ComplexBuild!index</vt:lpstr>
      <vt:lpstr>OisDiscounting!index</vt:lpstr>
      <vt:lpstr>index</vt:lpstr>
      <vt:lpstr>ComplexBuild!oisIndex</vt:lpstr>
      <vt:lpstr>oisIndex</vt:lpstr>
      <vt:lpstr>ComplexBuild!valDate</vt:lpstr>
      <vt:lpstr>OisDiscounting!valDate</vt:lpstr>
      <vt:lpstr>valDate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Brennan</dc:creator>
  <cp:lastModifiedBy>Gavin Brennan</cp:lastModifiedBy>
  <dcterms:created xsi:type="dcterms:W3CDTF">2018-08-21T09:22:15Z</dcterms:created>
  <dcterms:modified xsi:type="dcterms:W3CDTF">2023-05-24T12:15:33Z</dcterms:modified>
</cp:coreProperties>
</file>