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Qwack\examples\"/>
    </mc:Choice>
  </mc:AlternateContent>
  <xr:revisionPtr revIDLastSave="0" documentId="13_ncr:1_{ACCC0119-43EF-4E4F-8365-62A480F3A509}" xr6:coauthVersionLast="47" xr6:coauthVersionMax="47" xr10:uidLastSave="{00000000-0000-0000-0000-000000000000}"/>
  <bookViews>
    <workbookView xWindow="-120" yWindow="-120" windowWidth="29040" windowHeight="17520" activeTab="3" xr2:uid="{00000000-000D-0000-FFFF-FFFF00000000}"/>
  </bookViews>
  <sheets>
    <sheet name="SelfDiscounting" sheetId="1" r:id="rId1"/>
    <sheet name="OisDiscounting" sheetId="2" r:id="rId2"/>
    <sheet name="ComplexBuild" sheetId="3" r:id="rId3"/>
    <sheet name="CPI" sheetId="4" r:id="rId4"/>
  </sheets>
  <definedNames>
    <definedName name="index" localSheetId="2">ComplexBuild!$C$2</definedName>
    <definedName name="index" localSheetId="1">OisDiscounting!$C$2</definedName>
    <definedName name="index">SelfDiscounting!$C$2</definedName>
    <definedName name="oisIndex" localSheetId="2">ComplexBuild!$C$3</definedName>
    <definedName name="oisIndex">OisDiscounting!$C$3</definedName>
    <definedName name="valDate" localSheetId="2">ComplexBuild!$C$1</definedName>
    <definedName name="valDate" localSheetId="1">OisDiscounting!$C$1</definedName>
    <definedName name="valDate">SelfDiscounting!$C$1</definedName>
  </definedName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5" i="3" l="1"/>
  <c r="A12" i="4"/>
  <c r="F3" i="4"/>
  <c r="F2" i="4"/>
  <c r="E1" i="4"/>
  <c r="E2" i="4" s="1"/>
  <c r="F4" i="4" l="1"/>
  <c r="B12" i="4" s="1"/>
  <c r="F24" i="4"/>
  <c r="A33" i="4"/>
  <c r="B5" i="4"/>
  <c r="J3" i="4"/>
  <c r="J4" i="4" s="1"/>
  <c r="J5" i="4" s="1"/>
  <c r="J6" i="4" s="1"/>
  <c r="J7" i="4" s="1"/>
  <c r="J8" i="4" s="1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J50" i="4" s="1"/>
  <c r="B20" i="4"/>
  <c r="J8" i="3"/>
  <c r="J9" i="3"/>
  <c r="J10" i="3"/>
  <c r="J11" i="3"/>
  <c r="J7" i="3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U33" i="3" s="1"/>
  <c r="U34" i="3" s="1"/>
  <c r="U35" i="3" s="1"/>
  <c r="U36" i="3" s="1"/>
  <c r="U37" i="3" s="1"/>
  <c r="D12" i="4" a="1"/>
  <c r="D18" i="4" a="1"/>
  <c r="D14" i="4" a="1"/>
  <c r="B2" i="4" a="1"/>
  <c r="D16" i="4" a="1"/>
  <c r="F10" i="4" a="1"/>
  <c r="D15" i="4" a="1"/>
  <c r="D13" i="4" a="1"/>
  <c r="D17" i="4" a="1"/>
  <c r="J27" i="3"/>
  <c r="C3" i="3"/>
  <c r="J3" i="3"/>
  <c r="C2" i="3"/>
  <c r="J2" i="3"/>
  <c r="B2" i="4" l="1"/>
  <c r="D12" i="4"/>
  <c r="D13" i="4"/>
  <c r="D14" i="4"/>
  <c r="D18" i="4"/>
  <c r="D16" i="4"/>
  <c r="D15" i="4"/>
  <c r="D17" i="4"/>
  <c r="F10" i="4"/>
  <c r="M27" i="3"/>
  <c r="R10" i="3"/>
  <c r="R18" i="3"/>
  <c r="R11" i="3"/>
  <c r="R6" i="3"/>
  <c r="R12" i="3"/>
  <c r="R13" i="3"/>
  <c r="R14" i="3"/>
  <c r="R7" i="3"/>
  <c r="R15" i="3"/>
  <c r="R8" i="3"/>
  <c r="R16" i="3"/>
  <c r="R9" i="3"/>
  <c r="R17" i="3"/>
  <c r="L7" i="3"/>
  <c r="L10" i="3"/>
  <c r="L8" i="3"/>
  <c r="L11" i="3"/>
  <c r="L9" i="3"/>
  <c r="L6" i="3"/>
  <c r="L14" i="3"/>
  <c r="L12" i="3"/>
  <c r="L15" i="3"/>
  <c r="L13" i="3"/>
  <c r="L16" i="3"/>
  <c r="L17" i="3"/>
  <c r="E8" i="3"/>
  <c r="E15" i="3"/>
  <c r="E13" i="3"/>
  <c r="E12" i="3"/>
  <c r="E11" i="3"/>
  <c r="E16" i="3"/>
  <c r="E7" i="3"/>
  <c r="E14" i="3"/>
  <c r="E6" i="3"/>
  <c r="E10" i="3"/>
  <c r="E9" i="3"/>
  <c r="E17" i="3"/>
  <c r="C2" i="2"/>
  <c r="C3" i="2"/>
  <c r="M13" i="3"/>
  <c r="M17" i="3"/>
  <c r="M12" i="3"/>
  <c r="M16" i="3"/>
  <c r="M15" i="3"/>
  <c r="M14" i="3"/>
  <c r="C16" i="4" a="1"/>
  <c r="C18" i="4" a="1"/>
  <c r="B41" i="4" a="1"/>
  <c r="C13" i="4" a="1"/>
  <c r="C15" i="4" a="1"/>
  <c r="C17" i="4" a="1"/>
  <c r="C12" i="4" a="1"/>
  <c r="C14" i="4" a="1"/>
  <c r="F13" i="3"/>
  <c r="M6" i="3"/>
  <c r="M25" i="3"/>
  <c r="M20" i="3"/>
  <c r="F17" i="3"/>
  <c r="R5" i="3"/>
  <c r="O8" i="3" s="1"/>
  <c r="M18" i="3"/>
  <c r="F23" i="3"/>
  <c r="M7" i="3"/>
  <c r="M23" i="3"/>
  <c r="F14" i="3"/>
  <c r="F10" i="3"/>
  <c r="O6" i="3"/>
  <c r="F9" i="3"/>
  <c r="F8" i="3"/>
  <c r="M10" i="3"/>
  <c r="O15" i="3"/>
  <c r="O11" i="3"/>
  <c r="O7" i="3"/>
  <c r="F11" i="3"/>
  <c r="M11" i="3"/>
  <c r="M24" i="3"/>
  <c r="F22" i="3"/>
  <c r="M21" i="3"/>
  <c r="O9" i="3"/>
  <c r="O10" i="3"/>
  <c r="J28" i="3"/>
  <c r="F21" i="3"/>
  <c r="F7" i="3"/>
  <c r="O17" i="3"/>
  <c r="O12" i="3"/>
  <c r="M9" i="3"/>
  <c r="F16" i="3"/>
  <c r="F6" i="3"/>
  <c r="M22" i="3"/>
  <c r="M19" i="3"/>
  <c r="F18" i="3"/>
  <c r="O18" i="3"/>
  <c r="F19" i="3"/>
  <c r="F25" i="3"/>
  <c r="F15" i="3"/>
  <c r="F24" i="3"/>
  <c r="M8" i="3"/>
  <c r="F20" i="3"/>
  <c r="F12" i="3"/>
  <c r="B41" i="4" l="1"/>
  <c r="C16" i="4"/>
  <c r="C12" i="4"/>
  <c r="C14" i="4"/>
  <c r="C15" i="4"/>
  <c r="C18" i="4"/>
  <c r="C17" i="4"/>
  <c r="C13" i="4"/>
  <c r="H4" i="2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E8" i="2"/>
  <c r="E12" i="2"/>
  <c r="E16" i="2"/>
  <c r="E7" i="2"/>
  <c r="E11" i="2"/>
  <c r="E15" i="2"/>
  <c r="E6" i="2"/>
  <c r="E10" i="2"/>
  <c r="E14" i="2"/>
  <c r="E9" i="2"/>
  <c r="E13" i="2"/>
  <c r="E17" i="2"/>
  <c r="F19" i="2"/>
  <c r="F21" i="2"/>
  <c r="F16" i="2"/>
  <c r="F10" i="2"/>
  <c r="F17" i="2"/>
  <c r="F20" i="2"/>
  <c r="F18" i="2"/>
  <c r="F12" i="2"/>
  <c r="F9" i="2"/>
  <c r="F15" i="2"/>
  <c r="F8" i="2"/>
  <c r="F25" i="2"/>
  <c r="F24" i="2"/>
  <c r="F11" i="2"/>
  <c r="F14" i="2"/>
  <c r="F13" i="2"/>
  <c r="F6" i="2"/>
  <c r="F22" i="2"/>
  <c r="F23" i="2"/>
  <c r="F7" i="2"/>
  <c r="C2" i="1"/>
  <c r="B21" i="4" a="1"/>
  <c r="B34" i="4" a="1"/>
  <c r="S15" i="3"/>
  <c r="S8" i="3"/>
  <c r="S10" i="3"/>
  <c r="O16" i="3"/>
  <c r="S6" i="3"/>
  <c r="O14" i="3"/>
  <c r="O13" i="3"/>
  <c r="S18" i="3"/>
  <c r="S11" i="3"/>
  <c r="S9" i="3"/>
  <c r="S7" i="3"/>
  <c r="S12" i="3"/>
  <c r="S17" i="3"/>
  <c r="B21" i="4" l="1"/>
  <c r="B34" i="4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C29" i="2"/>
  <c r="C31" i="2"/>
  <c r="B22" i="4"/>
  <c r="S13" i="3"/>
  <c r="S16" i="3"/>
  <c r="S14" i="3"/>
  <c r="E6" i="1" l="1"/>
  <c r="E5" i="1"/>
  <c r="E4" i="1"/>
  <c r="E11" i="1"/>
  <c r="E15" i="1"/>
  <c r="E7" i="1"/>
  <c r="E14" i="1"/>
  <c r="E10" i="1"/>
  <c r="E9" i="1"/>
  <c r="E13" i="1"/>
  <c r="E8" i="1"/>
  <c r="E12" i="1"/>
  <c r="F6" i="1"/>
  <c r="F15" i="1"/>
  <c r="F14" i="1"/>
  <c r="F10" i="1"/>
  <c r="F12" i="1"/>
  <c r="F5" i="1"/>
  <c r="F9" i="1"/>
  <c r="F11" i="1"/>
  <c r="F8" i="1"/>
  <c r="F13" i="1"/>
  <c r="F4" i="1"/>
  <c r="F7" i="1"/>
  <c r="C33" i="2"/>
  <c r="K16" i="2"/>
  <c r="K7" i="2"/>
  <c r="C32" i="2"/>
  <c r="J10" i="2"/>
  <c r="I29" i="2"/>
  <c r="I35" i="2"/>
  <c r="K13" i="2"/>
  <c r="I8" i="2"/>
  <c r="K24" i="2"/>
  <c r="J14" i="2"/>
  <c r="J28" i="2"/>
  <c r="I23" i="2"/>
  <c r="I6" i="2"/>
  <c r="I34" i="2"/>
  <c r="K5" i="2"/>
  <c r="J12" i="2"/>
  <c r="K17" i="2"/>
  <c r="I4" i="2"/>
  <c r="J36" i="2"/>
  <c r="K28" i="2"/>
  <c r="J5" i="2"/>
  <c r="J16" i="2"/>
  <c r="J4" i="2"/>
  <c r="K4" i="2"/>
  <c r="J19" i="2"/>
  <c r="K21" i="2"/>
  <c r="K12" i="2"/>
  <c r="I25" i="2"/>
  <c r="J30" i="2"/>
  <c r="I30" i="2"/>
  <c r="J15" i="2"/>
  <c r="I22" i="2"/>
  <c r="I10" i="2"/>
  <c r="I27" i="2"/>
  <c r="K22" i="2"/>
  <c r="K32" i="2"/>
  <c r="I19" i="2"/>
  <c r="I24" i="2"/>
  <c r="K31" i="2"/>
  <c r="J22" i="2"/>
  <c r="J33" i="2"/>
  <c r="K20" i="2"/>
  <c r="I28" i="2"/>
  <c r="J27" i="2"/>
  <c r="C18" i="1"/>
  <c r="C20" i="1"/>
  <c r="C21" i="1"/>
  <c r="J16" i="1"/>
  <c r="I7" i="1"/>
  <c r="I24" i="1"/>
  <c r="J23" i="1"/>
  <c r="I20" i="1"/>
  <c r="I16" i="1"/>
  <c r="J26" i="1"/>
  <c r="I32" i="1"/>
  <c r="J5" i="1"/>
  <c r="I35" i="1"/>
  <c r="I11" i="1"/>
  <c r="J36" i="1"/>
  <c r="I26" i="1"/>
  <c r="I34" i="1"/>
  <c r="I13" i="1"/>
  <c r="J13" i="1"/>
  <c r="J35" i="1"/>
  <c r="I18" i="1"/>
  <c r="J21" i="1"/>
  <c r="I22" i="1"/>
  <c r="I21" i="1"/>
  <c r="J27" i="1"/>
  <c r="J6" i="1"/>
  <c r="J31" i="1"/>
  <c r="J14" i="1"/>
  <c r="J22" i="1"/>
  <c r="J4" i="1"/>
  <c r="J20" i="1"/>
  <c r="J7" i="1"/>
  <c r="I14" i="1"/>
  <c r="J15" i="1"/>
  <c r="J17" i="1"/>
  <c r="J11" i="1"/>
  <c r="J32" i="1"/>
  <c r="J19" i="1"/>
  <c r="I17" i="1"/>
  <c r="J8" i="1"/>
  <c r="I15" i="1"/>
  <c r="J29" i="1"/>
  <c r="I25" i="1"/>
  <c r="I29" i="1"/>
  <c r="I6" i="1"/>
  <c r="J9" i="1"/>
  <c r="J34" i="1"/>
  <c r="I31" i="1"/>
  <c r="I8" i="1"/>
  <c r="J18" i="1"/>
  <c r="J12" i="1"/>
  <c r="I28" i="1"/>
  <c r="I19" i="1"/>
  <c r="I5" i="1"/>
  <c r="I12" i="1"/>
  <c r="J28" i="1"/>
  <c r="J30" i="1"/>
  <c r="I30" i="1"/>
  <c r="I36" i="1"/>
  <c r="J24" i="1"/>
  <c r="J10" i="1"/>
  <c r="J25" i="1"/>
  <c r="I27" i="1"/>
  <c r="J33" i="1"/>
  <c r="I4" i="1"/>
  <c r="I33" i="1"/>
  <c r="I23" i="1"/>
  <c r="I9" i="1"/>
  <c r="I10" i="1"/>
  <c r="K29" i="2"/>
  <c r="K26" i="2"/>
  <c r="K30" i="2"/>
  <c r="K34" i="2"/>
  <c r="K19" i="2"/>
  <c r="K9" i="2"/>
  <c r="K14" i="2"/>
  <c r="K33" i="2"/>
  <c r="K27" i="2"/>
  <c r="K25" i="2"/>
  <c r="K36" i="2"/>
  <c r="K11" i="2"/>
  <c r="K15" i="2"/>
  <c r="K35" i="2"/>
  <c r="K8" i="2"/>
  <c r="K23" i="2"/>
  <c r="K18" i="2"/>
  <c r="K6" i="2"/>
  <c r="K10" i="2"/>
  <c r="I26" i="2"/>
  <c r="J21" i="2"/>
  <c r="I14" i="2"/>
  <c r="J18" i="2"/>
  <c r="I11" i="2"/>
  <c r="I5" i="2"/>
  <c r="J31" i="2"/>
  <c r="I18" i="2"/>
  <c r="J9" i="2"/>
  <c r="J11" i="2"/>
  <c r="I12" i="2"/>
  <c r="J23" i="2"/>
  <c r="I36" i="2"/>
  <c r="I13" i="2"/>
  <c r="J26" i="2"/>
  <c r="I32" i="2"/>
  <c r="J24" i="2"/>
  <c r="I15" i="2"/>
  <c r="I33" i="2"/>
  <c r="J13" i="2"/>
  <c r="I7" i="2"/>
  <c r="I16" i="2"/>
  <c r="J7" i="2"/>
  <c r="I17" i="2"/>
  <c r="J17" i="2"/>
  <c r="I20" i="2"/>
  <c r="J25" i="2"/>
  <c r="I31" i="2"/>
  <c r="J32" i="2"/>
  <c r="J20" i="2"/>
  <c r="I21" i="2"/>
  <c r="J34" i="2"/>
  <c r="J35" i="2"/>
  <c r="J29" i="2"/>
  <c r="I9" i="2"/>
  <c r="J8" i="2"/>
  <c r="J6" i="2"/>
  <c r="B25" i="4" a="1"/>
  <c r="C27" i="3"/>
  <c r="C29" i="3"/>
  <c r="B25" i="4" l="1"/>
  <c r="B43" i="2"/>
  <c r="A28" i="4" a="1"/>
  <c r="B33" i="4" a="1"/>
  <c r="B33" i="4" l="1"/>
  <c r="A28" i="4"/>
  <c r="A29" i="4"/>
  <c r="A30" i="4"/>
  <c r="X24" i="4" a="1"/>
  <c r="B30" i="4"/>
  <c r="M6" i="4" a="1"/>
  <c r="M33" i="4" a="1"/>
  <c r="M41" i="4" a="1"/>
  <c r="R24" i="4" a="1"/>
  <c r="M7" i="4" a="1"/>
  <c r="M24" i="4" a="1"/>
  <c r="B29" i="4"/>
  <c r="M50" i="4" a="1"/>
  <c r="M22" i="4" a="1"/>
  <c r="M25" i="4" a="1"/>
  <c r="M4" i="4" a="1"/>
  <c r="M31" i="4" a="1"/>
  <c r="M10" i="4" a="1"/>
  <c r="B28" i="4"/>
  <c r="L13" i="4"/>
  <c r="L39" i="4"/>
  <c r="M3" i="4" a="1"/>
  <c r="L42" i="4"/>
  <c r="L5" i="4"/>
  <c r="M19" i="4" a="1"/>
  <c r="L12" i="4"/>
  <c r="M45" i="4" a="1"/>
  <c r="K34" i="4"/>
  <c r="K27" i="4"/>
  <c r="K32" i="4"/>
  <c r="L8" i="4"/>
  <c r="K17" i="4"/>
  <c r="L19" i="4"/>
  <c r="M37" i="4" a="1"/>
  <c r="L27" i="4"/>
  <c r="M26" i="4" a="1"/>
  <c r="K13" i="4"/>
  <c r="L18" i="4"/>
  <c r="L49" i="4"/>
  <c r="M16" i="4" a="1"/>
  <c r="M29" i="4" a="1"/>
  <c r="M17" i="4" a="1"/>
  <c r="K21" i="4"/>
  <c r="M46" i="4" a="1"/>
  <c r="K39" i="4"/>
  <c r="K14" i="4"/>
  <c r="M40" i="4" a="1"/>
  <c r="M14" i="4" a="1"/>
  <c r="M12" i="4" a="1"/>
  <c r="M23" i="4" a="1"/>
  <c r="M9" i="4" a="1"/>
  <c r="M49" i="4" a="1"/>
  <c r="M5" i="4" a="1"/>
  <c r="M36" i="4" a="1"/>
  <c r="M21" i="4" a="1"/>
  <c r="M18" i="4" a="1"/>
  <c r="M30" i="4" a="1"/>
  <c r="M35" i="4" a="1"/>
  <c r="M44" i="4" a="1"/>
  <c r="M11" i="4" a="1"/>
  <c r="M42" i="4" a="1"/>
  <c r="M13" i="4" a="1"/>
  <c r="M34" i="4" a="1"/>
  <c r="M8" i="4" a="1"/>
  <c r="M39" i="4" a="1"/>
  <c r="M48" i="4" a="1"/>
  <c r="M15" i="4" a="1"/>
  <c r="M20" i="4" a="1"/>
  <c r="M47" i="4" a="1"/>
  <c r="M28" i="4" a="1"/>
  <c r="M38" i="4" a="1"/>
  <c r="M43" i="4" a="1"/>
  <c r="M32" i="4" a="1"/>
  <c r="M27" i="4" a="1"/>
  <c r="K23" i="4"/>
  <c r="L22" i="4"/>
  <c r="K12" i="4"/>
  <c r="K42" i="4"/>
  <c r="L30" i="4"/>
  <c r="L48" i="4"/>
  <c r="K35" i="4"/>
  <c r="L34" i="4"/>
  <c r="K26" i="4"/>
  <c r="K43" i="4"/>
  <c r="L17" i="4"/>
  <c r="K30" i="4"/>
  <c r="K45" i="4"/>
  <c r="L16" i="4"/>
  <c r="L10" i="4"/>
  <c r="K25" i="4"/>
  <c r="L38" i="4"/>
  <c r="L33" i="4"/>
  <c r="K7" i="4"/>
  <c r="L3" i="4"/>
  <c r="K24" i="4"/>
  <c r="K44" i="4"/>
  <c r="K36" i="4"/>
  <c r="K18" i="4"/>
  <c r="K49" i="4"/>
  <c r="K46" i="4"/>
  <c r="L14" i="4"/>
  <c r="K40" i="4"/>
  <c r="K4" i="4"/>
  <c r="L28" i="4"/>
  <c r="K31" i="4"/>
  <c r="L35" i="4"/>
  <c r="K28" i="4"/>
  <c r="L25" i="4"/>
  <c r="L26" i="4"/>
  <c r="L36" i="4"/>
  <c r="L32" i="4"/>
  <c r="K22" i="4"/>
  <c r="L37" i="4"/>
  <c r="L45" i="4"/>
  <c r="K6" i="4"/>
  <c r="K37" i="4"/>
  <c r="K10" i="4"/>
  <c r="K29" i="4"/>
  <c r="K48" i="4"/>
  <c r="L6" i="4"/>
  <c r="K3" i="4"/>
  <c r="K15" i="4"/>
  <c r="L40" i="4"/>
  <c r="L29" i="4"/>
  <c r="L24" i="4"/>
  <c r="L31" i="4"/>
  <c r="K19" i="4"/>
  <c r="K20" i="4"/>
  <c r="K5" i="4"/>
  <c r="L11" i="4"/>
  <c r="L7" i="4"/>
  <c r="K41" i="4"/>
  <c r="K33" i="4"/>
  <c r="L41" i="4"/>
  <c r="L44" i="4"/>
  <c r="L43" i="4"/>
  <c r="K8" i="4"/>
  <c r="K9" i="4"/>
  <c r="L23" i="4"/>
  <c r="L15" i="4"/>
  <c r="K38" i="4"/>
  <c r="K50" i="4"/>
  <c r="K47" i="4"/>
  <c r="K16" i="4"/>
  <c r="L9" i="4"/>
  <c r="K11" i="4"/>
  <c r="L21" i="4"/>
  <c r="L46" i="4"/>
  <c r="L47" i="4"/>
  <c r="L4" i="4"/>
  <c r="L20" i="4"/>
  <c r="X24" i="4" l="1"/>
  <c r="W26" i="4" a="1"/>
  <c r="M34" i="4"/>
  <c r="M35" i="4"/>
  <c r="M31" i="4"/>
  <c r="O31" i="4" s="1"/>
  <c r="M23" i="4"/>
  <c r="M16" i="4"/>
  <c r="O16" i="4" s="1"/>
  <c r="M46" i="4"/>
  <c r="M45" i="4"/>
  <c r="M44" i="4"/>
  <c r="M11" i="4"/>
  <c r="O11" i="4" s="1"/>
  <c r="M42" i="4"/>
  <c r="M25" i="4"/>
  <c r="O25" i="4" s="1"/>
  <c r="M24" i="4"/>
  <c r="O24" i="4" s="1"/>
  <c r="M7" i="4"/>
  <c r="M6" i="4"/>
  <c r="O6" i="4" s="1"/>
  <c r="M21" i="4"/>
  <c r="O21" i="4" s="1"/>
  <c r="M36" i="4"/>
  <c r="O35" i="4"/>
  <c r="M50" i="4"/>
  <c r="O34" i="4"/>
  <c r="M18" i="4"/>
  <c r="O18" i="4" s="1"/>
  <c r="M32" i="4"/>
  <c r="O32" i="4" s="1"/>
  <c r="M47" i="4"/>
  <c r="O47" i="4" s="1"/>
  <c r="M30" i="4"/>
  <c r="O30" i="4" s="1"/>
  <c r="M13" i="4"/>
  <c r="O13" i="4" s="1"/>
  <c r="M28" i="4"/>
  <c r="O28" i="4" s="1"/>
  <c r="M27" i="4"/>
  <c r="O27" i="4" s="1"/>
  <c r="M10" i="4"/>
  <c r="O10" i="4" s="1"/>
  <c r="M41" i="4"/>
  <c r="O41" i="4" s="1"/>
  <c r="M40" i="4"/>
  <c r="O40" i="4" s="1"/>
  <c r="M38" i="4"/>
  <c r="O38" i="4" s="1"/>
  <c r="M3" i="4"/>
  <c r="O3" i="4" s="1"/>
  <c r="M17" i="4"/>
  <c r="O17" i="4" s="1"/>
  <c r="M14" i="4"/>
  <c r="O14" i="4" s="1"/>
  <c r="M29" i="4"/>
  <c r="O29" i="4" s="1"/>
  <c r="M12" i="4"/>
  <c r="O12" i="4" s="1"/>
  <c r="M43" i="4"/>
  <c r="M26" i="4"/>
  <c r="O26" i="4" s="1"/>
  <c r="M9" i="4"/>
  <c r="O9" i="4" s="1"/>
  <c r="M8" i="4"/>
  <c r="O8" i="4" s="1"/>
  <c r="M39" i="4"/>
  <c r="M37" i="4"/>
  <c r="M4" i="4"/>
  <c r="O4" i="4" s="1"/>
  <c r="M49" i="4"/>
  <c r="M33" i="4"/>
  <c r="O33" i="4" s="1"/>
  <c r="M19" i="4"/>
  <c r="O19" i="4" s="1"/>
  <c r="M22" i="4"/>
  <c r="O22" i="4" s="1"/>
  <c r="M48" i="4"/>
  <c r="M5" i="4"/>
  <c r="O5" i="4" s="1"/>
  <c r="M15" i="4"/>
  <c r="O15" i="4" s="1"/>
  <c r="M20" i="4"/>
  <c r="O20" i="4" s="1"/>
  <c r="O42" i="4"/>
  <c r="O49" i="4"/>
  <c r="O37" i="4"/>
  <c r="O46" i="4"/>
  <c r="O50" i="4"/>
  <c r="O36" i="4"/>
  <c r="O43" i="4"/>
  <c r="O45" i="4"/>
  <c r="O39" i="4"/>
  <c r="O48" i="4"/>
  <c r="O44" i="4"/>
  <c r="O23" i="4"/>
  <c r="R24" i="4"/>
  <c r="Q26" i="4" a="1"/>
  <c r="AA29" i="4" l="1"/>
  <c r="W33" i="4"/>
  <c r="AB36" i="4"/>
  <c r="X40" i="4"/>
  <c r="AC43" i="4"/>
  <c r="Y47" i="4"/>
  <c r="AD50" i="4"/>
  <c r="Z54" i="4"/>
  <c r="AE57" i="4"/>
  <c r="AA33" i="4"/>
  <c r="X44" i="4"/>
  <c r="AD54" i="4"/>
  <c r="AA26" i="4"/>
  <c r="X37" i="4"/>
  <c r="Z51" i="4"/>
  <c r="X30" i="4"/>
  <c r="AD40" i="4"/>
  <c r="AA51" i="4"/>
  <c r="Y30" i="4"/>
  <c r="AE40" i="4"/>
  <c r="AB51" i="4"/>
  <c r="AD26" i="4"/>
  <c r="AA37" i="4"/>
  <c r="X48" i="4"/>
  <c r="AA30" i="4"/>
  <c r="AB37" i="4"/>
  <c r="AC44" i="4"/>
  <c r="Z55" i="4"/>
  <c r="W27" i="4"/>
  <c r="AC37" i="4"/>
  <c r="AD44" i="4"/>
  <c r="AA55" i="4"/>
  <c r="AC30" i="4"/>
  <c r="Z41" i="4"/>
  <c r="W52" i="4"/>
  <c r="Y27" i="4"/>
  <c r="W45" i="4"/>
  <c r="AC55" i="4"/>
  <c r="AA34" i="4"/>
  <c r="W38" i="4"/>
  <c r="AC48" i="4"/>
  <c r="AA27" i="4"/>
  <c r="X38" i="4"/>
  <c r="AD48" i="4"/>
  <c r="AC34" i="4"/>
  <c r="AD41" i="4"/>
  <c r="W56" i="4"/>
  <c r="AC27" i="4"/>
  <c r="AE41" i="4"/>
  <c r="X56" i="4"/>
  <c r="AA38" i="4"/>
  <c r="X49" i="4"/>
  <c r="AE27" i="4"/>
  <c r="Y49" i="4"/>
  <c r="AB31" i="4"/>
  <c r="AD45" i="4"/>
  <c r="X28" i="4"/>
  <c r="Z42" i="4"/>
  <c r="AD31" i="4"/>
  <c r="AA42" i="4"/>
  <c r="AC56" i="4"/>
  <c r="W39" i="4"/>
  <c r="AB42" i="4"/>
  <c r="AD56" i="4"/>
  <c r="W32" i="4"/>
  <c r="AC42" i="4"/>
  <c r="AE56" i="4"/>
  <c r="Y39" i="4"/>
  <c r="AD42" i="4"/>
  <c r="AA53" i="4"/>
  <c r="Y32" i="4"/>
  <c r="AE42" i="4"/>
  <c r="X57" i="4"/>
  <c r="Z32" i="4"/>
  <c r="X50" i="4"/>
  <c r="AA32" i="4"/>
  <c r="X43" i="4"/>
  <c r="Z57" i="4"/>
  <c r="AC39" i="4"/>
  <c r="Y43" i="4"/>
  <c r="AA57" i="4"/>
  <c r="Y36" i="4"/>
  <c r="Z43" i="4"/>
  <c r="AB57" i="4"/>
  <c r="W26" i="4"/>
  <c r="AB29" i="4"/>
  <c r="X33" i="4"/>
  <c r="AC36" i="4"/>
  <c r="Y40" i="4"/>
  <c r="AD43" i="4"/>
  <c r="Z47" i="4"/>
  <c r="AE50" i="4"/>
  <c r="AA54" i="4"/>
  <c r="W37" i="4"/>
  <c r="Y51" i="4"/>
  <c r="W30" i="4"/>
  <c r="Y44" i="4"/>
  <c r="AE54" i="4"/>
  <c r="AC33" i="4"/>
  <c r="Z44" i="4"/>
  <c r="W55" i="4"/>
  <c r="AD33" i="4"/>
  <c r="AA44" i="4"/>
  <c r="X55" i="4"/>
  <c r="AE33" i="4"/>
  <c r="AB44" i="4"/>
  <c r="Y55" i="4"/>
  <c r="W34" i="4"/>
  <c r="Y48" i="4"/>
  <c r="X34" i="4"/>
  <c r="AE51" i="4"/>
  <c r="Y34" i="4"/>
  <c r="AE44" i="4"/>
  <c r="AB55" i="4"/>
  <c r="Z34" i="4"/>
  <c r="AA41" i="4"/>
  <c r="AB48" i="4"/>
  <c r="Z27" i="4"/>
  <c r="X45" i="4"/>
  <c r="AD55" i="4"/>
  <c r="AB34" i="4"/>
  <c r="Y45" i="4"/>
  <c r="AE55" i="4"/>
  <c r="X31" i="4"/>
  <c r="AE48" i="4"/>
  <c r="Z38" i="4"/>
  <c r="AB52" i="4"/>
  <c r="Z31" i="4"/>
  <c r="AC52" i="4"/>
  <c r="AB38" i="4"/>
  <c r="AD52" i="4"/>
  <c r="AC38" i="4"/>
  <c r="Z49" i="4"/>
  <c r="AC31" i="4"/>
  <c r="AA49" i="4"/>
  <c r="AE38" i="4"/>
  <c r="AB49" i="4"/>
  <c r="Z28" i="4"/>
  <c r="AC49" i="4"/>
  <c r="X39" i="4"/>
  <c r="AD49" i="4"/>
  <c r="AC35" i="4"/>
  <c r="AE49" i="4"/>
  <c r="AC28" i="4"/>
  <c r="W50" i="4"/>
  <c r="AA39" i="4"/>
  <c r="AC53" i="4"/>
  <c r="AB39" i="4"/>
  <c r="Y50" i="4"/>
  <c r="W29" i="4"/>
  <c r="AE53" i="4"/>
  <c r="AD39" i="4"/>
  <c r="AA50" i="4"/>
  <c r="Z36" i="4"/>
  <c r="AB50" i="4"/>
  <c r="X26" i="4"/>
  <c r="AC29" i="4"/>
  <c r="Y33" i="4"/>
  <c r="AD36" i="4"/>
  <c r="Z40" i="4"/>
  <c r="AE43" i="4"/>
  <c r="AA47" i="4"/>
  <c r="W51" i="4"/>
  <c r="AB54" i="4"/>
  <c r="AE29" i="4"/>
  <c r="AC47" i="4"/>
  <c r="AB33" i="4"/>
  <c r="AC40" i="4"/>
  <c r="AD47" i="4"/>
  <c r="AB26" i="4"/>
  <c r="Y37" i="4"/>
  <c r="AE47" i="4"/>
  <c r="AC26" i="4"/>
  <c r="Z37" i="4"/>
  <c r="W48" i="4"/>
  <c r="Z30" i="4"/>
  <c r="W41" i="4"/>
  <c r="AC51" i="4"/>
  <c r="AE26" i="4"/>
  <c r="X41" i="4"/>
  <c r="AD51" i="4"/>
  <c r="AB30" i="4"/>
  <c r="Y41" i="4"/>
  <c r="Z48" i="4"/>
  <c r="X27" i="4"/>
  <c r="AD37" i="4"/>
  <c r="AA48" i="4"/>
  <c r="AD30" i="4"/>
  <c r="AE37" i="4"/>
  <c r="X52" i="4"/>
  <c r="AE30" i="4"/>
  <c r="AB41" i="4"/>
  <c r="Y52" i="4"/>
  <c r="W31" i="4"/>
  <c r="AC41" i="4"/>
  <c r="Z52" i="4"/>
  <c r="AB27" i="4"/>
  <c r="Z45" i="4"/>
  <c r="Y31" i="4"/>
  <c r="AA45" i="4"/>
  <c r="AE34" i="4"/>
  <c r="AB45" i="4"/>
  <c r="AA31" i="4"/>
  <c r="X42" i="4"/>
  <c r="Z56" i="4"/>
  <c r="X35" i="4"/>
  <c r="AE52" i="4"/>
  <c r="Y35" i="4"/>
  <c r="AE45" i="4"/>
  <c r="AB56" i="4"/>
  <c r="Z35" i="4"/>
  <c r="X53" i="4"/>
  <c r="AE31" i="4"/>
  <c r="Y53" i="4"/>
  <c r="AB35" i="4"/>
  <c r="Z53" i="4"/>
  <c r="AB28" i="4"/>
  <c r="AA46" i="4"/>
  <c r="AD28" i="4"/>
  <c r="AB46" i="4"/>
  <c r="W36" i="4"/>
  <c r="AD53" i="4"/>
  <c r="AB32" i="4"/>
  <c r="AD46" i="4"/>
  <c r="X29" i="4"/>
  <c r="AE46" i="4"/>
  <c r="AE39" i="4"/>
  <c r="AA43" i="4"/>
  <c r="Y26" i="4"/>
  <c r="AD29" i="4"/>
  <c r="Z33" i="4"/>
  <c r="AE36" i="4"/>
  <c r="AA40" i="4"/>
  <c r="W44" i="4"/>
  <c r="AB47" i="4"/>
  <c r="X51" i="4"/>
  <c r="AC54" i="4"/>
  <c r="Z26" i="4"/>
  <c r="AB40" i="4"/>
  <c r="Y38" i="4"/>
  <c r="AA52" i="4"/>
  <c r="AD34" i="4"/>
  <c r="W49" i="4"/>
  <c r="AD27" i="4"/>
  <c r="W42" i="4"/>
  <c r="Y56" i="4"/>
  <c r="W35" i="4"/>
  <c r="AC45" i="4"/>
  <c r="W28" i="4"/>
  <c r="Y42" i="4"/>
  <c r="AA56" i="4"/>
  <c r="AD38" i="4"/>
  <c r="W53" i="4"/>
  <c r="Y28" i="4"/>
  <c r="W46" i="4"/>
  <c r="AA35" i="4"/>
  <c r="X46" i="4"/>
  <c r="AA28" i="4"/>
  <c r="Y46" i="4"/>
  <c r="X32" i="4"/>
  <c r="Z46" i="4"/>
  <c r="W57" i="4"/>
  <c r="AD35" i="4"/>
  <c r="Z39" i="4"/>
  <c r="AB53" i="4"/>
  <c r="AE35" i="4"/>
  <c r="W43" i="4"/>
  <c r="Y57" i="4"/>
  <c r="AE28" i="4"/>
  <c r="AC46" i="4"/>
  <c r="X36" i="4"/>
  <c r="Z50" i="4"/>
  <c r="AC32" i="4"/>
  <c r="W54" i="4"/>
  <c r="AD32" i="4"/>
  <c r="W47" i="4"/>
  <c r="Y29" i="4"/>
  <c r="Z29" i="4"/>
  <c r="AE32" i="4"/>
  <c r="AA36" i="4"/>
  <c r="W40" i="4"/>
  <c r="AB43" i="4"/>
  <c r="X47" i="4"/>
  <c r="AC50" i="4"/>
  <c r="X54" i="4"/>
  <c r="Y54" i="4"/>
  <c r="AC57" i="4"/>
  <c r="AD57" i="4"/>
  <c r="O7" i="4"/>
  <c r="G7" i="4"/>
  <c r="R32" i="4"/>
  <c r="T38" i="4"/>
  <c r="T35" i="4"/>
  <c r="U35" i="4"/>
  <c r="Q36" i="4"/>
  <c r="R36" i="4"/>
  <c r="S36" i="4"/>
  <c r="T36" i="4"/>
  <c r="S30" i="4"/>
  <c r="U36" i="4"/>
  <c r="T30" i="4"/>
  <c r="U30" i="4"/>
  <c r="S37" i="4"/>
  <c r="T37" i="4"/>
  <c r="U37" i="4"/>
  <c r="T31" i="4"/>
  <c r="R38" i="4"/>
  <c r="Q26" i="4"/>
  <c r="S32" i="4"/>
  <c r="U38" i="4"/>
  <c r="S26" i="4"/>
  <c r="U32" i="4"/>
  <c r="R39" i="4"/>
  <c r="Q33" i="4"/>
  <c r="S39" i="4"/>
  <c r="U26" i="4"/>
  <c r="T39" i="4"/>
  <c r="Q27" i="4"/>
  <c r="U39" i="4"/>
  <c r="R27" i="4"/>
  <c r="Q40" i="4"/>
  <c r="S27" i="4"/>
  <c r="R40" i="4"/>
  <c r="S40" i="4"/>
  <c r="U27" i="4"/>
  <c r="T40" i="4"/>
  <c r="S34" i="4"/>
  <c r="U40" i="4"/>
  <c r="R28" i="4"/>
  <c r="R29" i="4"/>
  <c r="S29" i="4"/>
  <c r="T29" i="4"/>
  <c r="U29" i="4"/>
  <c r="Q30" i="4"/>
  <c r="R30" i="4"/>
  <c r="R26" i="4"/>
  <c r="T32" i="4"/>
  <c r="Q39" i="4"/>
  <c r="T26" i="4"/>
  <c r="R33" i="4"/>
  <c r="S33" i="4"/>
  <c r="T33" i="4"/>
  <c r="U33" i="4"/>
  <c r="Q34" i="4"/>
  <c r="R34" i="4"/>
  <c r="Q28" i="4"/>
  <c r="T34" i="4"/>
  <c r="S28" i="4"/>
  <c r="U34" i="4"/>
  <c r="Q29" i="4"/>
  <c r="S35" i="4"/>
  <c r="Q37" i="4"/>
  <c r="R37" i="4"/>
  <c r="Q31" i="4"/>
  <c r="R31" i="4"/>
  <c r="S31" i="4"/>
  <c r="Q38" i="4"/>
  <c r="U31" i="4"/>
  <c r="S38" i="4"/>
  <c r="T27" i="4"/>
  <c r="Q35" i="4"/>
  <c r="T28" i="4"/>
  <c r="U28" i="4"/>
  <c r="R35" i="4"/>
  <c r="Q32" i="4"/>
  <c r="C28" i="3" l="1"/>
  <c r="C30" i="3"/>
  <c r="C32" i="3"/>
  <c r="C33" i="3" a="1"/>
  <c r="C34" i="3"/>
  <c r="C36" i="3"/>
  <c r="C37" i="3"/>
  <c r="C38" i="3"/>
  <c r="C35" i="3"/>
  <c r="C33" i="3"/>
  <c r="D34" i="3"/>
  <c r="X5" i="3"/>
  <c r="X33" i="3"/>
  <c r="X34" i="3"/>
  <c r="X20" i="3"/>
  <c r="X4" i="3"/>
  <c r="X24" i="3"/>
  <c r="X28" i="3"/>
  <c r="D33" i="3"/>
  <c r="X9" i="3"/>
  <c r="W17" i="3"/>
  <c r="V14" i="3"/>
  <c r="V22" i="3"/>
  <c r="W6" i="3"/>
  <c r="V17" i="3"/>
  <c r="V24" i="3"/>
  <c r="V32" i="3"/>
  <c r="V31" i="3"/>
  <c r="W30" i="3"/>
  <c r="V35" i="3"/>
  <c r="X16" i="3"/>
  <c r="V28" i="3"/>
  <c r="W7" i="3"/>
  <c r="W18" i="3"/>
  <c r="W33" i="3"/>
  <c r="X17" i="3"/>
  <c r="X26" i="3"/>
  <c r="X14" i="3"/>
  <c r="W15" i="3"/>
  <c r="W21" i="3"/>
  <c r="D37" i="3"/>
  <c r="D35" i="3"/>
  <c r="X11" i="3"/>
  <c r="Y7" i="3"/>
  <c r="Y33" i="3"/>
  <c r="Y36" i="3"/>
  <c r="D36" i="3"/>
  <c r="X21" i="3"/>
  <c r="V8" i="3"/>
  <c r="W4" i="3"/>
  <c r="V34" i="3"/>
  <c r="X13" i="3"/>
  <c r="X19" i="3"/>
  <c r="W22" i="3"/>
  <c r="V4" i="3"/>
  <c r="V13" i="3"/>
  <c r="V25" i="3"/>
  <c r="X7" i="3"/>
  <c r="X12" i="3"/>
  <c r="V10" i="3"/>
  <c r="Y23" i="3"/>
  <c r="W27" i="3"/>
  <c r="W12" i="3"/>
  <c r="X23" i="3"/>
  <c r="W10" i="3"/>
  <c r="X15" i="3"/>
  <c r="X29" i="3"/>
  <c r="W16" i="3"/>
  <c r="W5" i="3"/>
  <c r="X18" i="3"/>
  <c r="W23" i="3"/>
  <c r="W32" i="3"/>
  <c r="W20" i="3"/>
  <c r="X35" i="3"/>
  <c r="X36" i="3"/>
  <c r="W9" i="3"/>
  <c r="V19" i="3"/>
  <c r="Y31" i="3"/>
  <c r="V36" i="3"/>
  <c r="Y34" i="3"/>
  <c r="X31" i="3"/>
  <c r="V5" i="3"/>
  <c r="Y15" i="3"/>
  <c r="X27" i="3"/>
  <c r="X22" i="3"/>
  <c r="W11" i="3"/>
  <c r="V29" i="3"/>
  <c r="W35" i="3"/>
  <c r="W31" i="3"/>
  <c r="W34" i="3"/>
  <c r="W19" i="3"/>
  <c r="Y26" i="3"/>
  <c r="Y14" i="3"/>
  <c r="Y5" i="3"/>
  <c r="Y13" i="3"/>
  <c r="W36" i="3"/>
  <c r="Y27" i="3"/>
  <c r="W26" i="3"/>
  <c r="V26" i="3"/>
  <c r="X10" i="3"/>
  <c r="Y22" i="3"/>
  <c r="Y17" i="3"/>
  <c r="Y11" i="3"/>
  <c r="Y9" i="3"/>
  <c r="X6" i="3"/>
  <c r="X25" i="3"/>
  <c r="X30" i="3"/>
  <c r="X32" i="3"/>
  <c r="X8" i="3"/>
  <c r="V9" i="3"/>
  <c r="W14" i="3"/>
  <c r="W24" i="3"/>
  <c r="V6" i="3"/>
  <c r="W25" i="3"/>
  <c r="V12" i="3"/>
  <c r="V21" i="3"/>
  <c r="V15" i="3"/>
  <c r="W13" i="3"/>
  <c r="V7" i="3"/>
  <c r="V27" i="3"/>
  <c r="W8" i="3"/>
  <c r="W29" i="3"/>
  <c r="V30" i="3"/>
  <c r="V11" i="3"/>
  <c r="V23" i="3"/>
  <c r="V33" i="3"/>
  <c r="V18" i="3"/>
  <c r="V16" i="3"/>
  <c r="W28" i="3"/>
  <c r="V20" i="3"/>
  <c r="Y8" i="3"/>
  <c r="Y20" i="3"/>
  <c r="Y21" i="3"/>
  <c r="Y16" i="3"/>
  <c r="Y25" i="3"/>
  <c r="Y35" i="3"/>
  <c r="Y18" i="3"/>
  <c r="Y30" i="3"/>
  <c r="Y32" i="3"/>
  <c r="Y19" i="3"/>
  <c r="Y4" i="3"/>
  <c r="Y12" i="3"/>
  <c r="Y28" i="3"/>
  <c r="Y29" i="3"/>
  <c r="Y10" i="3"/>
  <c r="Y6" i="3"/>
  <c r="Y2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<sst xmlns="http://schemas.openxmlformats.org/spreadsheetml/2006/main" count="233" uniqueCount="101">
  <si>
    <t>3m</t>
  </si>
  <si>
    <t>JIBA3M Index</t>
  </si>
  <si>
    <t>3x6</t>
  </si>
  <si>
    <t>SAFR0CF Curncy</t>
  </si>
  <si>
    <t>6x9</t>
  </si>
  <si>
    <t>SAFR0FI Curncy</t>
  </si>
  <si>
    <t>9x12</t>
  </si>
  <si>
    <t>SAFR0I1 Curncy</t>
  </si>
  <si>
    <t>12x15</t>
  </si>
  <si>
    <t>SAFR011C Curncy</t>
  </si>
  <si>
    <t>15x18</t>
  </si>
  <si>
    <t>SAFR1C1F Curncy</t>
  </si>
  <si>
    <t>2y</t>
  </si>
  <si>
    <t>3y</t>
  </si>
  <si>
    <t>4y</t>
  </si>
  <si>
    <t>5y</t>
  </si>
  <si>
    <t>7y</t>
  </si>
  <si>
    <t>10y</t>
  </si>
  <si>
    <t>SASW2 Curncy</t>
  </si>
  <si>
    <t>SASW3 Curncy</t>
  </si>
  <si>
    <t>SASW4 Curncy</t>
  </si>
  <si>
    <t>SASW5 Curncy</t>
  </si>
  <si>
    <t>SASW7 Curncy</t>
  </si>
  <si>
    <t>SASW10 Curncy</t>
  </si>
  <si>
    <t>Val Date</t>
  </si>
  <si>
    <t>Index</t>
  </si>
  <si>
    <t>FIC</t>
  </si>
  <si>
    <t>Model</t>
  </si>
  <si>
    <t>Curve</t>
  </si>
  <si>
    <t>DF</t>
  </si>
  <si>
    <t>3mFwd</t>
  </si>
  <si>
    <t>IndexOis</t>
  </si>
  <si>
    <t>6m</t>
  </si>
  <si>
    <t>9m</t>
  </si>
  <si>
    <t>1y</t>
  </si>
  <si>
    <t>18m</t>
  </si>
  <si>
    <t>DF_3m</t>
  </si>
  <si>
    <t>DF_Ois</t>
  </si>
  <si>
    <t>US0003M Index</t>
  </si>
  <si>
    <t>EDU8</t>
  </si>
  <si>
    <t>EDZ8</t>
  </si>
  <si>
    <t>EDM9</t>
  </si>
  <si>
    <t>EDH9</t>
  </si>
  <si>
    <t>EDU9</t>
  </si>
  <si>
    <t>USSW2 Curncy</t>
  </si>
  <si>
    <t>USSW3 Curncy</t>
  </si>
  <si>
    <t>USSW5 Curncy</t>
  </si>
  <si>
    <t>USSW10 Curncy</t>
  </si>
  <si>
    <t>USSW4 Curncy</t>
  </si>
  <si>
    <t>USSW7 Curncy</t>
  </si>
  <si>
    <t>FIC_USD</t>
  </si>
  <si>
    <t>FIC_ZAR</t>
  </si>
  <si>
    <t>DF_USD</t>
  </si>
  <si>
    <t>USD.LIBOR.3M</t>
  </si>
  <si>
    <t>USD.OIS.1B</t>
  </si>
  <si>
    <t>ZAR.JIBAR.3M</t>
  </si>
  <si>
    <t>ZAR.OIS.1B</t>
  </si>
  <si>
    <t>1w</t>
  </si>
  <si>
    <t>1m</t>
  </si>
  <si>
    <t>2m</t>
  </si>
  <si>
    <t>15m</t>
  </si>
  <si>
    <t>12m</t>
  </si>
  <si>
    <t>FIC_XCY</t>
  </si>
  <si>
    <t>ZAR</t>
  </si>
  <si>
    <t>USD</t>
  </si>
  <si>
    <t>ZAR.DISC.[USD.OIS.1B]</t>
  </si>
  <si>
    <t>Infation Index</t>
  </si>
  <si>
    <t>Name</t>
  </si>
  <si>
    <t>Day Count</t>
  </si>
  <si>
    <t>Fixed Day Count</t>
  </si>
  <si>
    <t>Ccy</t>
  </si>
  <si>
    <t>Act360</t>
  </si>
  <si>
    <t>Act365</t>
  </si>
  <si>
    <t>Inflation Swaps</t>
  </si>
  <si>
    <t>Object</t>
  </si>
  <si>
    <t>Tenor</t>
  </si>
  <si>
    <t>Rate</t>
  </si>
  <si>
    <t>USD.CPI</t>
  </si>
  <si>
    <t>Funding Instrument Collection</t>
  </si>
  <si>
    <t>CPI</t>
  </si>
  <si>
    <t>ModelCPI</t>
  </si>
  <si>
    <t>FicCPI</t>
  </si>
  <si>
    <t>Solve Stages</t>
  </si>
  <si>
    <t>CPI Fixings</t>
  </si>
  <si>
    <t>Month</t>
  </si>
  <si>
    <t>Curves</t>
  </si>
  <si>
    <t>USD Libor</t>
  </si>
  <si>
    <t>Lag</t>
  </si>
  <si>
    <t>Date</t>
  </si>
  <si>
    <t>AssetFxModel</t>
  </si>
  <si>
    <t>Porfolio</t>
  </si>
  <si>
    <t>Cashflows</t>
  </si>
  <si>
    <t>Trade</t>
  </si>
  <si>
    <t>Start</t>
  </si>
  <si>
    <t>End</t>
  </si>
  <si>
    <t>Fixed Rate</t>
  </si>
  <si>
    <t>TradeObj</t>
  </si>
  <si>
    <t>BenchmarkRisk</t>
  </si>
  <si>
    <t>Fx Matrix</t>
  </si>
  <si>
    <t>ValDate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</si>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</sst>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"/>
    <numFmt numFmtId="165" formatCode="_-* #,##0.000_-;\-* #,##0.000_-;_-* &quot;-&quot;??_-;_-@_-"/>
    <numFmt numFmtId="166" formatCode="_-* #,##0.000000_-;\-* #,##0.000000_-;_-* &quot;-&quot;??_-;_-@_-"/>
    <numFmt numFmtId="167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9">
    <xf numFmtId="0" fontId="0" fillId="0" borderId="0" xfId="0"/>
    <xf numFmtId="10" fontId="0" fillId="0" borderId="0" xfId="1" applyNumberFormat="1" applyFont="1"/>
    <xf numFmtId="15" fontId="0" fillId="0" borderId="0" xfId="0" applyNumberFormat="1"/>
    <xf numFmtId="10" fontId="0" fillId="0" borderId="0" xfId="0" applyNumberFormat="1"/>
    <xf numFmtId="43" fontId="0" fillId="0" borderId="0" xfId="2" applyFont="1"/>
    <xf numFmtId="164" fontId="0" fillId="0" borderId="0" xfId="0" applyNumberFormat="1"/>
    <xf numFmtId="0" fontId="0" fillId="2" borderId="0" xfId="0" applyFill="1"/>
    <xf numFmtId="15" fontId="0" fillId="2" borderId="0" xfId="0" applyNumberFormat="1" applyFill="1"/>
    <xf numFmtId="0" fontId="2" fillId="0" borderId="0" xfId="0" applyFont="1"/>
    <xf numFmtId="0" fontId="0" fillId="3" borderId="0" xfId="0" applyFill="1"/>
    <xf numFmtId="10" fontId="0" fillId="3" borderId="0" xfId="1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right"/>
    </xf>
    <xf numFmtId="17" fontId="0" fillId="0" borderId="0" xfId="0" applyNumberFormat="1"/>
    <xf numFmtId="43" fontId="0" fillId="0" borderId="0" xfId="2" applyFont="1" applyFill="1"/>
    <xf numFmtId="15" fontId="0" fillId="0" borderId="0" xfId="0" applyNumberFormat="1" applyAlignment="1">
      <alignment horizontal="center"/>
    </xf>
    <xf numFmtId="43" fontId="0" fillId="0" borderId="0" xfId="2" applyFont="1" applyAlignment="1">
      <alignment horizontal="center"/>
    </xf>
    <xf numFmtId="0" fontId="0" fillId="0" borderId="1" xfId="0" applyBorder="1"/>
    <xf numFmtId="15" fontId="0" fillId="0" borderId="2" xfId="0" applyNumberFormat="1" applyBorder="1"/>
    <xf numFmtId="10" fontId="0" fillId="0" borderId="2" xfId="1" applyNumberFormat="1" applyFont="1" applyBorder="1"/>
    <xf numFmtId="0" fontId="0" fillId="0" borderId="3" xfId="0" applyBorder="1"/>
    <xf numFmtId="165" fontId="0" fillId="0" borderId="0" xfId="2" applyNumberFormat="1" applyFont="1"/>
    <xf numFmtId="166" fontId="0" fillId="0" borderId="0" xfId="2" applyNumberFormat="1" applyFont="1"/>
    <xf numFmtId="167" fontId="0" fillId="0" borderId="0" xfId="2" applyNumberFormat="1" applyFont="1"/>
    <xf numFmtId="0" fontId="2" fillId="0" borderId="0" xfId="0" applyFont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CPI!$M$2</c:f>
              <c:strCache>
                <c:ptCount val="1"/>
                <c:pt idx="0">
                  <c:v>CPI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CPI!$J$3:$J$35</c:f>
              <c:numCache>
                <c:formatCode>d\-mmm\-yy</c:formatCode>
                <c:ptCount val="33"/>
                <c:pt idx="0">
                  <c:v>43930</c:v>
                </c:pt>
                <c:pt idx="1">
                  <c:v>44021</c:v>
                </c:pt>
                <c:pt idx="2">
                  <c:v>44113</c:v>
                </c:pt>
                <c:pt idx="3">
                  <c:v>44205</c:v>
                </c:pt>
                <c:pt idx="4">
                  <c:v>44295</c:v>
                </c:pt>
                <c:pt idx="5">
                  <c:v>44386</c:v>
                </c:pt>
                <c:pt idx="6">
                  <c:v>44478</c:v>
                </c:pt>
                <c:pt idx="7">
                  <c:v>44570</c:v>
                </c:pt>
                <c:pt idx="8">
                  <c:v>44660</c:v>
                </c:pt>
                <c:pt idx="9">
                  <c:v>44751</c:v>
                </c:pt>
                <c:pt idx="10">
                  <c:v>44843</c:v>
                </c:pt>
                <c:pt idx="11">
                  <c:v>44935</c:v>
                </c:pt>
                <c:pt idx="12">
                  <c:v>45025</c:v>
                </c:pt>
                <c:pt idx="13">
                  <c:v>45116</c:v>
                </c:pt>
                <c:pt idx="14">
                  <c:v>45208</c:v>
                </c:pt>
                <c:pt idx="15">
                  <c:v>45300</c:v>
                </c:pt>
                <c:pt idx="16">
                  <c:v>45391</c:v>
                </c:pt>
                <c:pt idx="17">
                  <c:v>45482</c:v>
                </c:pt>
                <c:pt idx="18">
                  <c:v>45574</c:v>
                </c:pt>
                <c:pt idx="19">
                  <c:v>45666</c:v>
                </c:pt>
                <c:pt idx="20">
                  <c:v>45756</c:v>
                </c:pt>
                <c:pt idx="21">
                  <c:v>45847</c:v>
                </c:pt>
                <c:pt idx="22">
                  <c:v>45939</c:v>
                </c:pt>
                <c:pt idx="23">
                  <c:v>46031</c:v>
                </c:pt>
                <c:pt idx="24">
                  <c:v>46121</c:v>
                </c:pt>
                <c:pt idx="25">
                  <c:v>46212</c:v>
                </c:pt>
                <c:pt idx="26">
                  <c:v>46304</c:v>
                </c:pt>
                <c:pt idx="27">
                  <c:v>46396</c:v>
                </c:pt>
                <c:pt idx="28">
                  <c:v>46486</c:v>
                </c:pt>
                <c:pt idx="29">
                  <c:v>46577</c:v>
                </c:pt>
                <c:pt idx="30">
                  <c:v>46669</c:v>
                </c:pt>
                <c:pt idx="31">
                  <c:v>46761</c:v>
                </c:pt>
                <c:pt idx="32">
                  <c:v>46852</c:v>
                </c:pt>
              </c:numCache>
            </c:numRef>
          </c:xVal>
          <c:yVal>
            <c:numRef>
              <c:f>CPI!$M$3:$M$35</c:f>
              <c:numCache>
                <c:formatCode>General</c:formatCode>
                <c:ptCount val="33"/>
                <c:pt idx="0">
                  <c:v>100.6</c:v>
                </c:pt>
                <c:pt idx="1">
                  <c:v>101.84216235277678</c:v>
                </c:pt>
                <c:pt idx="2">
                  <c:v>103.08432470555357</c:v>
                </c:pt>
                <c:pt idx="3">
                  <c:v>104.60300530860661</c:v>
                </c:pt>
                <c:pt idx="4">
                  <c:v>106.12168591165967</c:v>
                </c:pt>
                <c:pt idx="5">
                  <c:v>107.81948182466112</c:v>
                </c:pt>
                <c:pt idx="6">
                  <c:v>109.5410168436696</c:v>
                </c:pt>
                <c:pt idx="7">
                  <c:v>111.28146982991991</c:v>
                </c:pt>
                <c:pt idx="8">
                  <c:v>113.02192281617023</c:v>
                </c:pt>
                <c:pt idx="9">
                  <c:v>115.19136548128431</c:v>
                </c:pt>
                <c:pt idx="10">
                  <c:v>117.39564062318617</c:v>
                </c:pt>
                <c:pt idx="11">
                  <c:v>119.6241385688452</c:v>
                </c:pt>
                <c:pt idx="12">
                  <c:v>121.85263651450421</c:v>
                </c:pt>
                <c:pt idx="13">
                  <c:v>124.21778335068639</c:v>
                </c:pt>
                <c:pt idx="14">
                  <c:v>126.61131241754792</c:v>
                </c:pt>
                <c:pt idx="15">
                  <c:v>129.03114400162772</c:v>
                </c:pt>
                <c:pt idx="16">
                  <c:v>131.45097558570751</c:v>
                </c:pt>
                <c:pt idx="17">
                  <c:v>133.84450465256904</c:v>
                </c:pt>
                <c:pt idx="18">
                  <c:v>136.23803371943058</c:v>
                </c:pt>
                <c:pt idx="19">
                  <c:v>138.65786530351036</c:v>
                </c:pt>
                <c:pt idx="20">
                  <c:v>141.07769688759015</c:v>
                </c:pt>
                <c:pt idx="21">
                  <c:v>144.3421547556126</c:v>
                </c:pt>
                <c:pt idx="22">
                  <c:v>147.64288437772419</c:v>
                </c:pt>
                <c:pt idx="23">
                  <c:v>150.97988575392492</c:v>
                </c:pt>
                <c:pt idx="24">
                  <c:v>154.31688713012565</c:v>
                </c:pt>
                <c:pt idx="25">
                  <c:v>157.58134499814813</c:v>
                </c:pt>
                <c:pt idx="26">
                  <c:v>160.88207462025971</c:v>
                </c:pt>
                <c:pt idx="27">
                  <c:v>164.21907599646045</c:v>
                </c:pt>
                <c:pt idx="28">
                  <c:v>167.55607737266118</c:v>
                </c:pt>
                <c:pt idx="29">
                  <c:v>170.82053524068363</c:v>
                </c:pt>
                <c:pt idx="30">
                  <c:v>174.12126486279521</c:v>
                </c:pt>
                <c:pt idx="31">
                  <c:v>177.45826623899595</c:v>
                </c:pt>
                <c:pt idx="32">
                  <c:v>180.79526761519668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A1-43AC-B153-E5E809566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8319"/>
        <c:axId val="296822159"/>
      </c:scatterChart>
      <c:valAx>
        <c:axId val="296818319"/>
        <c:scaling>
          <c:orientation val="minMax"/>
          <c:max val="47100"/>
          <c:min val="43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822159"/>
        <c:crosses val="autoZero"/>
        <c:crossBetween val="midCat"/>
      </c:valAx>
      <c:valAx>
        <c:axId val="296822159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818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685800</xdr:colOff>
      <xdr:row>5</xdr:row>
      <xdr:rowOff>157162</xdr:rowOff>
    </xdr:from>
    <xdr:to>
      <xdr:col>24</xdr:col>
      <xdr:colOff>0</xdr:colOff>
      <xdr:row>20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786967-DE07-7DB8-FDF2-B622829DC1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7"/>
  <sheetViews>
    <sheetView workbookViewId="0">
      <selection activeCell="I21" sqref="I21"/>
    </sheetView>
  </sheetViews>
  <sheetFormatPr defaultRowHeight="15" x14ac:dyDescent="0.25"/>
  <cols>
    <col min="3" max="3" width="15.5703125" customWidth="1"/>
    <col min="8" max="8" width="10.7109375" bestFit="1" customWidth="1"/>
    <col min="10" max="10" width="7" customWidth="1"/>
  </cols>
  <sheetData>
    <row r="1" spans="2:10" x14ac:dyDescent="0.25">
      <c r="B1" t="s">
        <v>24</v>
      </c>
      <c r="C1" s="7">
        <v>43930</v>
      </c>
    </row>
    <row r="2" spans="2:10" x14ac:dyDescent="0.25">
      <c r="B2" t="s">
        <v>25</v>
      </c>
      <c r="C2" t="str">
        <f ca="1">_xll.QIns_CreateRateIndex("ZAR.JIBAR.3M","ZAR","3M","Act365F","Act365F","3M","JHB","0b","MF")</f>
        <v>ZAR.JIBAR.3M¬10</v>
      </c>
    </row>
    <row r="3" spans="2:10" x14ac:dyDescent="0.25">
      <c r="I3" t="s">
        <v>29</v>
      </c>
      <c r="J3" t="s">
        <v>30</v>
      </c>
    </row>
    <row r="4" spans="2:10" x14ac:dyDescent="0.25">
      <c r="B4" t="s">
        <v>0</v>
      </c>
      <c r="C4" t="s">
        <v>1</v>
      </c>
      <c r="D4" s="6">
        <v>5.6</v>
      </c>
      <c r="E4" s="1">
        <f ca="1">D4/100</f>
        <v>5.5999999999999994E-2</v>
      </c>
      <c r="F4" t="str">
        <f ca="1">_xll.QIns_CreateFRA(B4,valDate,"0x3",index,"ZAR",E4,1,"ZAR.JIBAR.3M","ZAR.JIBAR.3M",,,"ZAR.JIBAR.3M")</f>
        <v>3m¬4</v>
      </c>
      <c r="H4" s="2">
        <f ca="1">valDate</f>
        <v>43930</v>
      </c>
      <c r="I4" s="1">
        <f ca="1">_xll.QCurves_GetDF($C$21,valDate,H4)</f>
        <v>1</v>
      </c>
      <c r="J4" s="1">
        <f ca="1">_xll.QCurves_GetForwardRate($C$21,H4,H5,"Linear","Act365F")</f>
        <v>5.6000000000000202E-2</v>
      </c>
    </row>
    <row r="5" spans="2:10" x14ac:dyDescent="0.25">
      <c r="B5" t="s">
        <v>2</v>
      </c>
      <c r="C5" t="s">
        <v>3</v>
      </c>
      <c r="D5" s="6">
        <v>4.8250000000000002</v>
      </c>
      <c r="E5" s="1">
        <f t="shared" ref="E5:E15" ca="1" si="0">D5/100</f>
        <v>4.8250000000000001E-2</v>
      </c>
      <c r="F5" t="str">
        <f ca="1">_xll.QIns_CreateFRA(B5,valDate,B5,index,"ZAR",E5,1,"ZAR.JIBAR.3M","ZAR.JIBAR.3M",,,"ZAR.JIBAR.3M")</f>
        <v>3x6¬4</v>
      </c>
      <c r="H5" s="2">
        <f ca="1">EDATE(H4,3)</f>
        <v>44021</v>
      </c>
      <c r="I5" s="1">
        <f ca="1">_xll.QCurves_GetDF($C$21,valDate,H5)</f>
        <v>0.98623059962820459</v>
      </c>
      <c r="J5" s="1">
        <f ca="1">_xll.QCurves_GetForwardRate($C$21,H5,H6,"Linear","Act365F")</f>
        <v>4.8250000000000098E-2</v>
      </c>
    </row>
    <row r="6" spans="2:10" x14ac:dyDescent="0.25">
      <c r="B6" t="s">
        <v>4</v>
      </c>
      <c r="C6" t="s">
        <v>5</v>
      </c>
      <c r="D6" s="6">
        <v>4.7850000000000001</v>
      </c>
      <c r="E6" s="1">
        <f t="shared" ca="1" si="0"/>
        <v>4.7850000000000004E-2</v>
      </c>
      <c r="F6" t="str">
        <f ca="1">_xll.QIns_CreateFRA(B6,valDate,B6,index,"ZAR",E6,1,"ZAR.JIBAR.3M","ZAR.JIBAR.3M",,,"ZAR.JIBAR.3M")</f>
        <v>6x9¬4</v>
      </c>
      <c r="H6" s="2">
        <f t="shared" ref="H6:H37" ca="1" si="1">EDATE(H5,3)</f>
        <v>44113</v>
      </c>
      <c r="I6" s="1">
        <f ca="1">_xll.QCurves_GetDF($C$21,valDate,H6)</f>
        <v>0.9743805306540313</v>
      </c>
      <c r="J6" s="1">
        <f ca="1">_xll.QCurves_GetForwardRate($C$21,H6,H7,"Linear","Act365F")</f>
        <v>4.787449751931195E-2</v>
      </c>
    </row>
    <row r="7" spans="2:10" x14ac:dyDescent="0.25">
      <c r="B7" t="s">
        <v>6</v>
      </c>
      <c r="C7" t="s">
        <v>7</v>
      </c>
      <c r="D7" s="6">
        <v>4.9000000000000004</v>
      </c>
      <c r="E7" s="1">
        <f t="shared" ca="1" si="0"/>
        <v>4.9000000000000002E-2</v>
      </c>
      <c r="F7" t="str">
        <f ca="1">_xll.QIns_CreateFRA(B7,valDate,B7,index,"ZAR",E7,1,"ZAR.JIBAR.3M","ZAR.JIBAR.3M",,,"ZAR.JIBAR.3M")</f>
        <v>9x12¬4</v>
      </c>
      <c r="H7" s="2">
        <f t="shared" ca="1" si="1"/>
        <v>44205</v>
      </c>
      <c r="I7" s="1">
        <f ca="1">_xll.QCurves_GetDF($C$21,valDate,H7)</f>
        <v>0.96276287428967056</v>
      </c>
      <c r="J7" s="1">
        <f ca="1">_xll.QCurves_GetForwardRate($C$21,H7,H8,"Linear","Act365F")</f>
        <v>4.8952714816994258E-2</v>
      </c>
    </row>
    <row r="8" spans="2:10" x14ac:dyDescent="0.25">
      <c r="B8" t="s">
        <v>8</v>
      </c>
      <c r="C8" t="s">
        <v>9</v>
      </c>
      <c r="D8" s="6">
        <v>5.37</v>
      </c>
      <c r="E8" s="1">
        <f t="shared" ca="1" si="0"/>
        <v>5.3699999999999998E-2</v>
      </c>
      <c r="F8" t="str">
        <f ca="1">_xll.QIns_CreateFRA(B8,valDate,B8,index,"ZAR",E8,1,"ZAR.JIBAR.3M","ZAR.JIBAR.3M",,,"ZAR.JIBAR.3M")</f>
        <v>12x15¬4</v>
      </c>
      <c r="H8" s="2">
        <f t="shared" ca="1" si="1"/>
        <v>44295</v>
      </c>
      <c r="I8" s="1">
        <f ca="1">_xll.QCurves_GetDF($C$21,valDate,H8)</f>
        <v>0.95128041322078016</v>
      </c>
      <c r="J8" s="1">
        <f ca="1">_xll.QCurves_GetForwardRate($C$21,H8,H9,"Linear","Act365F")</f>
        <v>5.3700000000000456E-2</v>
      </c>
    </row>
    <row r="9" spans="2:10" x14ac:dyDescent="0.25">
      <c r="B9" t="s">
        <v>10</v>
      </c>
      <c r="C9" t="s">
        <v>11</v>
      </c>
      <c r="D9" s="6">
        <v>5.62</v>
      </c>
      <c r="E9" s="1">
        <f t="shared" ca="1" si="0"/>
        <v>5.62E-2</v>
      </c>
      <c r="F9" t="str">
        <f ca="1">_xll.QIns_CreateFRA(B9,valDate,B9,index,"ZAR",E9,1,"ZAR.JIBAR.3M","ZAR.JIBAR.3M",,,"ZAR.JIBAR.3M")</f>
        <v>15x18¬4</v>
      </c>
      <c r="H9" s="2">
        <f t="shared" ca="1" si="1"/>
        <v>44386</v>
      </c>
      <c r="I9" s="1">
        <f ca="1">_xll.QCurves_GetDF($C$21,valDate,H9)</f>
        <v>0.93871272155929031</v>
      </c>
      <c r="J9" s="1">
        <f ca="1">_xll.QCurves_GetForwardRate($C$21,H9,H10,"Linear","Act365F")</f>
        <v>5.6172312479854318E-2</v>
      </c>
    </row>
    <row r="10" spans="2:10" x14ac:dyDescent="0.25">
      <c r="B10" t="s">
        <v>12</v>
      </c>
      <c r="C10" t="s">
        <v>18</v>
      </c>
      <c r="D10" s="6">
        <v>5.4275000000000002</v>
      </c>
      <c r="E10" s="1">
        <f t="shared" ca="1" si="0"/>
        <v>5.4275000000000004E-2</v>
      </c>
      <c r="F10" t="str">
        <f ca="1">_xll.QIns_CreateIRS(B10,valDate,B10,index,E10,1,"ZAR.JIBAR.3M","ZAR.JIBAR.3M","Pay","ZAR.JIBAR.3M")</f>
        <v>2y¬4</v>
      </c>
      <c r="H10" s="2">
        <f t="shared" ca="1" si="1"/>
        <v>44478</v>
      </c>
      <c r="I10" s="1">
        <f ca="1">_xll.QCurves_GetDF($C$21,valDate,H10)</f>
        <v>0.92560750704156458</v>
      </c>
      <c r="J10" s="1">
        <f ca="1">_xll.QCurves_GetForwardRate($C$21,H10,H11,"Linear","Act365F")</f>
        <v>6.0745627121553118E-2</v>
      </c>
    </row>
    <row r="11" spans="2:10" x14ac:dyDescent="0.25">
      <c r="B11" t="s">
        <v>13</v>
      </c>
      <c r="C11" t="s">
        <v>19</v>
      </c>
      <c r="D11" s="6">
        <v>5.9175000000000004</v>
      </c>
      <c r="E11" s="1">
        <f t="shared" ca="1" si="0"/>
        <v>5.9175000000000005E-2</v>
      </c>
      <c r="F11" t="str">
        <f ca="1">_xll.QIns_CreateIRS(B11,valDate,B11,index,E11,1,"ZAR.JIBAR.3M","ZAR.JIBAR.3M","Pay","ZAR.JIBAR.3M")</f>
        <v>3y¬4</v>
      </c>
      <c r="H11" s="2">
        <f t="shared" ca="1" si="1"/>
        <v>44570</v>
      </c>
      <c r="I11" s="1">
        <f ca="1">_xll.QCurves_GetDF($C$21,valDate,H11)</f>
        <v>0.911649042014124</v>
      </c>
      <c r="J11" s="1">
        <f ca="1">_xll.QCurves_GetForwardRate($C$21,H11,H12,"Linear","Act365F")</f>
        <v>6.3346542112462656E-2</v>
      </c>
    </row>
    <row r="12" spans="2:10" x14ac:dyDescent="0.25">
      <c r="B12" t="s">
        <v>14</v>
      </c>
      <c r="C12" t="s">
        <v>20</v>
      </c>
      <c r="D12" s="6">
        <v>6.4550000000000001</v>
      </c>
      <c r="E12" s="1">
        <f t="shared" ca="1" si="0"/>
        <v>6.4549999999999996E-2</v>
      </c>
      <c r="F12" t="str">
        <f ca="1">_xll.QIns_CreateIRS(B12,valDate,B12,index,E12,1,"ZAR.JIBAR.3M","ZAR.JIBAR.3M","Pay","ZAR.JIBAR.3M")</f>
        <v>4y¬4</v>
      </c>
      <c r="H12" s="2">
        <f t="shared" ca="1" si="1"/>
        <v>44660</v>
      </c>
      <c r="I12" s="1">
        <f ca="1">_xll.QCurves_GetDF($C$21,valDate,H12)</f>
        <v>0.89762836051639427</v>
      </c>
      <c r="J12" s="1">
        <f ca="1">_xll.QCurves_GetForwardRate($C$21,H12,H13,"Linear","Act365F")</f>
        <v>6.6064480834296058E-2</v>
      </c>
    </row>
    <row r="13" spans="2:10" x14ac:dyDescent="0.25">
      <c r="B13" t="s">
        <v>15</v>
      </c>
      <c r="C13" t="s">
        <v>21</v>
      </c>
      <c r="D13" s="6">
        <v>7.0625</v>
      </c>
      <c r="E13" s="1">
        <f t="shared" ca="1" si="0"/>
        <v>7.0624999999999993E-2</v>
      </c>
      <c r="F13" t="str">
        <f ca="1">_xll.QIns_CreateIRS(B13,valDate,B13,index,E13,1,"ZAR.JIBAR.3M","ZAR.JIBAR.3M","Pay","ZAR.JIBAR.3M")</f>
        <v>5y¬4</v>
      </c>
      <c r="H13" s="2">
        <f t="shared" ca="1" si="1"/>
        <v>44751</v>
      </c>
      <c r="I13" s="1">
        <f ca="1">_xll.QCurves_GetDF($C$21,valDate,H13)</f>
        <v>0.88308321124656319</v>
      </c>
      <c r="J13" s="1">
        <f ca="1">_xll.QCurves_GetForwardRate($C$21,H13,H14,"Linear","Act365F")</f>
        <v>6.868753865951642E-2</v>
      </c>
    </row>
    <row r="14" spans="2:10" x14ac:dyDescent="0.25">
      <c r="B14" t="s">
        <v>16</v>
      </c>
      <c r="C14" t="s">
        <v>22</v>
      </c>
      <c r="D14" s="6">
        <v>8.0924999999999994</v>
      </c>
      <c r="E14" s="1">
        <f t="shared" ca="1" si="0"/>
        <v>8.0924999999999997E-2</v>
      </c>
      <c r="F14" t="str">
        <f ca="1">_xll.QIns_CreateIRS(B14,valDate,B14,index,E14,1,"ZAR.JIBAR.3M","ZAR.JIBAR.3M","Pay","ZAR.JIBAR.3M")</f>
        <v>7y¬4</v>
      </c>
      <c r="H14" s="2">
        <f t="shared" ca="1" si="1"/>
        <v>44843</v>
      </c>
      <c r="I14" s="1">
        <f ca="1">_xll.QCurves_GetDF($C$21,valDate,H14)</f>
        <v>0.86805456226039224</v>
      </c>
      <c r="J14" s="1">
        <f ca="1">_xll.QCurves_GetForwardRate($C$21,H14,H15,"Linear","Act365F")</f>
        <v>7.1317300060843886E-2</v>
      </c>
    </row>
    <row r="15" spans="2:10" x14ac:dyDescent="0.25">
      <c r="B15" t="s">
        <v>17</v>
      </c>
      <c r="C15" t="s">
        <v>23</v>
      </c>
      <c r="D15" s="6">
        <v>8.9600000000000009</v>
      </c>
      <c r="E15" s="1">
        <f t="shared" ca="1" si="0"/>
        <v>8.9600000000000013E-2</v>
      </c>
      <c r="F15" t="str">
        <f ca="1">_xll.QIns_CreateIRS(B15,valDate,B15,index,E15,1,"ZAR.JIBAR.3M","ZAR.JIBAR.3M","Pay","ZAR.JIBAR.3M")</f>
        <v>10y¬4</v>
      </c>
      <c r="H15" s="2">
        <f t="shared" ca="1" si="1"/>
        <v>44935</v>
      </c>
      <c r="I15" s="1">
        <f ca="1">_xll.QCurves_GetDF($C$21,valDate,H15)</f>
        <v>0.85272607146055324</v>
      </c>
      <c r="J15" s="1">
        <f ca="1">_xll.QCurves_GetForwardRate($C$21,H15,H16,"Linear","Act365F")</f>
        <v>7.3905286443411974E-2</v>
      </c>
    </row>
    <row r="16" spans="2:10" x14ac:dyDescent="0.25">
      <c r="H16" s="2">
        <f t="shared" ca="1" si="1"/>
        <v>45025</v>
      </c>
      <c r="I16" s="1">
        <f ca="1">_xll.QCurves_GetDF($C$21,valDate,H16)</f>
        <v>0.83746476569198924</v>
      </c>
      <c r="J16" s="1">
        <f ca="1">_xll.QCurves_GetForwardRate($C$21,H16,H17,"Linear","Act365F")</f>
        <v>7.8661980007314503E-2</v>
      </c>
    </row>
    <row r="17" spans="2:10" x14ac:dyDescent="0.25">
      <c r="H17" s="2">
        <f t="shared" ca="1" si="1"/>
        <v>45116</v>
      </c>
      <c r="I17" s="1">
        <f ca="1">_xll.QCurves_GetDF($C$21,valDate,H17)</f>
        <v>0.82135663401994041</v>
      </c>
      <c r="J17" s="1">
        <f ca="1">_xll.QCurves_GetForwardRate($C$21,H17,H18,"Linear","Act365F")</f>
        <v>8.1678302583325479E-2</v>
      </c>
    </row>
    <row r="18" spans="2:10" x14ac:dyDescent="0.25">
      <c r="B18" t="s">
        <v>26</v>
      </c>
      <c r="C18" t="str">
        <f ca="1">_xll.QIns_CreateFundingInstrumentCollection("FundingInstruments",F4:F15)</f>
        <v>FundingInstruments¬6</v>
      </c>
      <c r="H18" s="2">
        <f t="shared" ca="1" si="1"/>
        <v>45208</v>
      </c>
      <c r="I18" s="1">
        <f ca="1">_xll.QCurves_GetDF($C$21,valDate,H18)</f>
        <v>0.8047881325628492</v>
      </c>
      <c r="J18" s="1">
        <f ca="1">_xll.QCurves_GetForwardRate($C$21,H18,H19,"Linear","Act365F")</f>
        <v>8.4659755047945914E-2</v>
      </c>
    </row>
    <row r="19" spans="2:10" x14ac:dyDescent="0.25">
      <c r="H19" s="2">
        <f t="shared" ca="1" si="1"/>
        <v>45300</v>
      </c>
      <c r="I19" s="1">
        <f ca="1">_xll.QCurves_GetDF($C$21,valDate,H19)</f>
        <v>0.78797364400642311</v>
      </c>
      <c r="J19" s="1">
        <f ca="1">_xll.QCurves_GetForwardRate($C$21,H19,H20,"Linear","Act365F")</f>
        <v>8.7616740332739224E-2</v>
      </c>
    </row>
    <row r="20" spans="2:10" x14ac:dyDescent="0.25">
      <c r="B20" t="s">
        <v>27</v>
      </c>
      <c r="C20" t="str">
        <f ca="1">_xll.QCurves_CreateFundingModel("Model",valDate,C18)</f>
        <v>Model¬4</v>
      </c>
      <c r="H20" s="2">
        <f t="shared" ca="1" si="1"/>
        <v>45391</v>
      </c>
      <c r="I20" s="1">
        <f ca="1">_xll.QCurves_GetDF($C$21,valDate,H20)</f>
        <v>0.77112896892790683</v>
      </c>
      <c r="J20" s="1">
        <f ca="1">_xll.QCurves_GetForwardRate($C$21,H20,H21,"Linear","Act365F")</f>
        <v>9.5214525382017495E-2</v>
      </c>
    </row>
    <row r="21" spans="2:10" x14ac:dyDescent="0.25">
      <c r="B21" t="s">
        <v>28</v>
      </c>
      <c r="C21" t="str">
        <f ca="1">_xll.QCurves_ExtractCurveFromModel(C20,"ZAR.JIBAR.3M","curve.ZAR.JIBAR.3M")</f>
        <v>curve.ZAR.JIBAR.3M¬4</v>
      </c>
      <c r="H21" s="2">
        <f t="shared" ca="1" si="1"/>
        <v>45482</v>
      </c>
      <c r="I21" s="1">
        <f ca="1">_xll.QCurves_GetDF($C$21,valDate,H21)</f>
        <v>0.75324805334872325</v>
      </c>
      <c r="J21" s="1">
        <f ca="1">_xll.QCurves_GetForwardRate($C$21,H21,H22,"Linear","Act365F")</f>
        <v>9.8750621474272507E-2</v>
      </c>
    </row>
    <row r="22" spans="2:10" x14ac:dyDescent="0.25">
      <c r="H22" s="2">
        <f t="shared" ca="1" si="1"/>
        <v>45574</v>
      </c>
      <c r="I22" s="1">
        <f ca="1">_xll.QCurves_GetDF($C$21,valDate,H22)</f>
        <v>0.73495461579798316</v>
      </c>
      <c r="J22" s="1">
        <f ca="1">_xll.QCurves_GetForwardRate($C$21,H22,H23,"Linear","Act365F")</f>
        <v>0.10229673180415129</v>
      </c>
    </row>
    <row r="23" spans="2:10" x14ac:dyDescent="0.25">
      <c r="H23" s="2">
        <f t="shared" ca="1" si="1"/>
        <v>45666</v>
      </c>
      <c r="I23" s="1">
        <f ca="1">_xll.QCurves_GetDF($C$21,valDate,H23)</f>
        <v>0.71648060635238509</v>
      </c>
      <c r="J23" s="1">
        <f ca="1">_xll.QCurves_GetForwardRate($C$21,H23,H24,"Linear","Act365F")</f>
        <v>0.1057769429280481</v>
      </c>
    </row>
    <row r="24" spans="2:10" x14ac:dyDescent="0.25">
      <c r="H24" s="2">
        <f t="shared" ca="1" si="1"/>
        <v>45756</v>
      </c>
      <c r="I24" s="1">
        <f ca="1">_xll.QCurves_GetDF($C$21,valDate,H24)</f>
        <v>0.69826838028421911</v>
      </c>
      <c r="J24" s="1">
        <f ca="1">_xll.QCurves_GetForwardRate($C$21,H24,H25,"Linear","Act365F")</f>
        <v>0.10565970450408878</v>
      </c>
    </row>
    <row r="25" spans="2:10" x14ac:dyDescent="0.25">
      <c r="H25" s="2">
        <f t="shared" ca="1" si="1"/>
        <v>45847</v>
      </c>
      <c r="I25" s="1">
        <f ca="1">_xll.QCurves_GetDF($C$21,valDate,H25)</f>
        <v>0.68034631896096098</v>
      </c>
      <c r="J25" s="1">
        <f ca="1">_xll.QCurves_GetForwardRate($C$21,H25,H26,"Linear","Act365F")</f>
        <v>0.10886135067736374</v>
      </c>
    </row>
    <row r="26" spans="2:10" x14ac:dyDescent="0.25">
      <c r="H26" s="2">
        <f t="shared" ca="1" si="1"/>
        <v>45939</v>
      </c>
      <c r="I26" s="1">
        <f ca="1">_xll.QCurves_GetDF($C$21,valDate,H26)</f>
        <v>0.66217683206245936</v>
      </c>
      <c r="J26" s="1">
        <f ca="1">_xll.QCurves_GetForwardRate($C$21,H26,H27,"Linear","Act365F")</f>
        <v>0.11206776067482987</v>
      </c>
    </row>
    <row r="27" spans="2:10" x14ac:dyDescent="0.25">
      <c r="H27" s="2">
        <f t="shared" ca="1" si="1"/>
        <v>46031</v>
      </c>
      <c r="I27" s="1">
        <f ca="1">_xll.QCurves_GetDF($C$21,valDate,H27)</f>
        <v>0.64398601961473578</v>
      </c>
      <c r="J27" s="1">
        <f ca="1">_xll.QCurves_GetForwardRate($C$21,H27,H28,"Linear","Act365F")</f>
        <v>0.11520576895429746</v>
      </c>
    </row>
    <row r="28" spans="2:10" x14ac:dyDescent="0.25">
      <c r="H28" s="2">
        <f t="shared" ca="1" si="1"/>
        <v>46121</v>
      </c>
      <c r="I28" s="1">
        <f ca="1">_xll.QCurves_GetDF($C$21,valDate,H28)</f>
        <v>0.62619768343027393</v>
      </c>
      <c r="J28" s="1">
        <f ca="1">_xll.QCurves_GetForwardRate($C$21,H28,H29,"Linear","Act365F")</f>
        <v>0.11838183447768585</v>
      </c>
    </row>
    <row r="29" spans="2:10" x14ac:dyDescent="0.25">
      <c r="H29" s="2">
        <f t="shared" ca="1" si="1"/>
        <v>46212</v>
      </c>
      <c r="I29" s="1">
        <f ca="1">_xll.QCurves_GetDF($C$21,valDate,H29)</f>
        <v>0.60824569188378086</v>
      </c>
      <c r="J29" s="1">
        <f ca="1">_xll.QCurves_GetForwardRate($C$21,H29,H30,"Linear","Act365F")</f>
        <v>0.1215972880750683</v>
      </c>
    </row>
    <row r="30" spans="2:10" x14ac:dyDescent="0.25">
      <c r="H30" s="2">
        <f t="shared" ca="1" si="1"/>
        <v>46304</v>
      </c>
      <c r="I30" s="1">
        <f ca="1">_xll.QCurves_GetDF($C$21,valDate,H30)</f>
        <v>0.59015783838537172</v>
      </c>
      <c r="J30" s="1">
        <f ca="1">_xll.QCurves_GetForwardRate($C$21,H30,H31,"Linear","Act365F")</f>
        <v>0.12481371625355868</v>
      </c>
    </row>
    <row r="31" spans="2:10" x14ac:dyDescent="0.25">
      <c r="H31" s="2">
        <f t="shared" ca="1" si="1"/>
        <v>46396</v>
      </c>
      <c r="I31" s="1">
        <f ca="1">_xll.QCurves_GetDF($C$21,valDate,H31)</f>
        <v>0.57215781330983917</v>
      </c>
      <c r="J31" s="1">
        <f ca="1">_xll.QCurves_GetForwardRate($C$21,H31,H32,"Linear","Act365F")</f>
        <v>0.12795327149028263</v>
      </c>
    </row>
    <row r="32" spans="2:10" x14ac:dyDescent="0.25">
      <c r="H32" s="2">
        <f t="shared" ca="1" si="1"/>
        <v>46486</v>
      </c>
      <c r="I32" s="1">
        <f ca="1">_xll.QCurves_GetDF($C$21,valDate,H32)</f>
        <v>0.55465827714334881</v>
      </c>
      <c r="J32" s="1">
        <f ca="1">_xll.QCurves_GetForwardRate($C$21,H32,H33,"Linear","Act365F")</f>
        <v>0.1140754343407147</v>
      </c>
    </row>
    <row r="33" spans="8:10" x14ac:dyDescent="0.25">
      <c r="H33" s="2">
        <f t="shared" ca="1" si="1"/>
        <v>46577</v>
      </c>
      <c r="I33" s="1">
        <f ca="1">_xll.QCurves_GetDF($C$21,valDate,H33)</f>
        <v>0.53931963584104481</v>
      </c>
      <c r="J33" s="1">
        <f ca="1">_xll.QCurves_GetForwardRate($C$21,H33,H34,"Linear","Act365F")</f>
        <v>0.11610750253143677</v>
      </c>
    </row>
    <row r="34" spans="8:10" x14ac:dyDescent="0.25">
      <c r="H34" s="2">
        <f t="shared" ca="1" si="1"/>
        <v>46669</v>
      </c>
      <c r="I34" s="1">
        <f ca="1">_xll.QCurves_GetDF($C$21,valDate,H34)</f>
        <v>0.52398497824835089</v>
      </c>
      <c r="J34" s="1">
        <f ca="1">_xll.QCurves_GetForwardRate($C$21,H34,H35,"Linear","Act365F")</f>
        <v>0.11813391928799184</v>
      </c>
    </row>
    <row r="35" spans="8:10" x14ac:dyDescent="0.25">
      <c r="H35" s="2">
        <f t="shared" ca="1" si="1"/>
        <v>46761</v>
      </c>
      <c r="I35" s="1">
        <f ca="1">_xll.QCurves_GetDF($C$21,valDate,H35)</f>
        <v>0.50883382980594227</v>
      </c>
      <c r="J35" s="1">
        <f ca="1">_xll.QCurves_GetForwardRate($C$21,H35,H36,"Linear","Act365F")</f>
        <v>0.12013074362945345</v>
      </c>
    </row>
    <row r="36" spans="8:10" x14ac:dyDescent="0.25">
      <c r="H36" s="2">
        <f t="shared" ca="1" si="1"/>
        <v>46852</v>
      </c>
      <c r="I36" s="1">
        <f ca="1">_xll.QCurves_GetDF($C$21,valDate,H36)</f>
        <v>0.49403721533112033</v>
      </c>
      <c r="J36" s="1">
        <f ca="1">_xll.QCurves_GetForwardRate($C$21,H36,H37,"Linear","Act365F")</f>
        <v>0.12213645723330883</v>
      </c>
    </row>
    <row r="37" spans="8:10" x14ac:dyDescent="0.25">
      <c r="H37" s="2">
        <f t="shared" ca="1" si="1"/>
        <v>46943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43"/>
  <sheetViews>
    <sheetView workbookViewId="0">
      <selection activeCell="G41" sqref="G41"/>
    </sheetView>
  </sheetViews>
  <sheetFormatPr defaultRowHeight="15" x14ac:dyDescent="0.25"/>
  <cols>
    <col min="3" max="3" width="15.5703125" customWidth="1"/>
    <col min="8" max="8" width="10.7109375" bestFit="1" customWidth="1"/>
    <col min="9" max="9" width="11.42578125" customWidth="1"/>
    <col min="10" max="10" width="7.42578125" bestFit="1" customWidth="1"/>
  </cols>
  <sheetData>
    <row r="1" spans="2:11" x14ac:dyDescent="0.25">
      <c r="B1" t="s">
        <v>24</v>
      </c>
      <c r="C1" s="7">
        <v>43930</v>
      </c>
    </row>
    <row r="2" spans="2:11" x14ac:dyDescent="0.25">
      <c r="B2" t="s">
        <v>25</v>
      </c>
      <c r="C2" t="str">
        <f ca="1">_xll.QIns_CreateRateIndex("ZAR.JIBAR.3M","ZAR","3M","Act365F","Act365F","3M","JHB","0b","MF")</f>
        <v>ZAR.JIBAR.3M¬12</v>
      </c>
      <c r="I2" s="3"/>
    </row>
    <row r="3" spans="2:11" x14ac:dyDescent="0.25">
      <c r="B3" t="s">
        <v>31</v>
      </c>
      <c r="C3" t="str">
        <f ca="1">_xll.QIns_CreateRateIndex("ZAR.OIS.1B","ZAR","3M","Act365F","Act365F","3M","JHB","0b","MF")</f>
        <v>ZAR.OIS.1B¬5</v>
      </c>
      <c r="I3" t="s">
        <v>36</v>
      </c>
      <c r="J3" t="s">
        <v>30</v>
      </c>
      <c r="K3" t="s">
        <v>37</v>
      </c>
    </row>
    <row r="4" spans="2:11" x14ac:dyDescent="0.25">
      <c r="H4" s="2">
        <f ca="1">valDate</f>
        <v>43930</v>
      </c>
      <c r="I4" s="1">
        <f ca="1">_xll.QCurves_GetDF($C$32,valDate,H4)</f>
        <v>1</v>
      </c>
      <c r="J4" s="1">
        <f ca="1">_xll.QCurves_GetForwardRate($C$32,H4,H5,"Linear","Act365F")</f>
        <v>5.6000000000000202E-2</v>
      </c>
      <c r="K4" s="1">
        <f ca="1">_xll.QCurves_GetDF($C$33,valDate,H4)</f>
        <v>1</v>
      </c>
    </row>
    <row r="5" spans="2:11" x14ac:dyDescent="0.25">
      <c r="H5" s="2">
        <f ca="1">EDATE(H4,3)</f>
        <v>44021</v>
      </c>
      <c r="I5" s="1">
        <f ca="1">_xll.QCurves_GetDF($C$32,valDate,H5)</f>
        <v>0.98623059962820459</v>
      </c>
      <c r="J5" s="1">
        <f ca="1">_xll.QCurves_GetForwardRate($C$32,H5,H6,"Linear","Act365F")</f>
        <v>4.8250000000000098E-2</v>
      </c>
      <c r="K5" s="1">
        <f ca="1">_xll.QCurves_GetDF($C$33,valDate,H5)</f>
        <v>0.9872015405753356</v>
      </c>
    </row>
    <row r="6" spans="2:11" x14ac:dyDescent="0.25">
      <c r="B6" t="s">
        <v>0</v>
      </c>
      <c r="C6" t="s">
        <v>1</v>
      </c>
      <c r="D6" s="6">
        <v>5.6</v>
      </c>
      <c r="E6" s="1">
        <f ca="1">D6/100</f>
        <v>5.5999999999999994E-2</v>
      </c>
      <c r="F6" t="str">
        <f ca="1">_xll.QIns_CreateFRA("OISFra_"&amp;B6,valDate,"0x3",index,"ZAR",E6,1,"ZAR.JIBAR.3M","ZAR.OIS.1B",,,"ZAR.JIBAR.3M")</f>
        <v>OISFra_3m¬1</v>
      </c>
      <c r="H6" s="2">
        <f t="shared" ref="H6:H37" ca="1" si="0">EDATE(H5,3)</f>
        <v>44113</v>
      </c>
      <c r="I6" s="1">
        <f ca="1">_xll.QCurves_GetDF($C$32,valDate,H6)</f>
        <v>0.9743805306540313</v>
      </c>
      <c r="J6" s="1">
        <f ca="1">_xll.QCurves_GetForwardRate($C$32,H6,H7,"Linear","Act365F")</f>
        <v>4.7874497519312831E-2</v>
      </c>
      <c r="K6" s="1">
        <f ca="1">_xll.QCurves_GetDF($C$33,valDate,H6)</f>
        <v>0.97631231473076319</v>
      </c>
    </row>
    <row r="7" spans="2:11" x14ac:dyDescent="0.25">
      <c r="B7" t="s">
        <v>2</v>
      </c>
      <c r="C7" t="s">
        <v>3</v>
      </c>
      <c r="D7" s="6">
        <v>4.8250000000000002</v>
      </c>
      <c r="E7" s="1">
        <f t="shared" ref="E7:E17" ca="1" si="1">D7/100</f>
        <v>4.8250000000000001E-2</v>
      </c>
      <c r="F7" t="str">
        <f ca="1">_xll.QIns_CreateFRA("OISFra_"&amp;B7,valDate,B7,index,"ZAR",E7,1,"ZAR.JIBAR.3M","ZAR.OIS.1B",,,"ZAR.JIBAR.3M")</f>
        <v>OISFra_3x6¬1</v>
      </c>
      <c r="H7" s="2">
        <f t="shared" ca="1" si="0"/>
        <v>44205</v>
      </c>
      <c r="I7" s="1">
        <f ca="1">_xll.QCurves_GetDF($C$32,valDate,H7)</f>
        <v>0.96276287428967033</v>
      </c>
      <c r="J7" s="1">
        <f ca="1">_xll.QCurves_GetForwardRate($C$32,H7,H8,"Linear","Act365F")</f>
        <v>4.8952714816993363E-2</v>
      </c>
      <c r="K7" s="1">
        <f ca="1">_xll.QCurves_GetDF($C$33,valDate,H7)</f>
        <v>0.9656327019227805</v>
      </c>
    </row>
    <row r="8" spans="2:11" x14ac:dyDescent="0.25">
      <c r="B8" t="s">
        <v>4</v>
      </c>
      <c r="C8" t="s">
        <v>5</v>
      </c>
      <c r="D8" s="6">
        <v>4.7850000000000001</v>
      </c>
      <c r="E8" s="1">
        <f t="shared" ca="1" si="1"/>
        <v>4.7850000000000004E-2</v>
      </c>
      <c r="F8" t="str">
        <f ca="1">_xll.QIns_CreateFRA("OISFra_"&amp;B8,valDate,B8,index,"ZAR",E8,1,"ZAR.JIBAR.3M","ZAR.OIS.1B",,,"ZAR.JIBAR.3M")</f>
        <v>OISFra_6x9¬1</v>
      </c>
      <c r="H8" s="2">
        <f t="shared" ca="1" si="0"/>
        <v>44295</v>
      </c>
      <c r="I8" s="1">
        <f ca="1">_xll.QCurves_GetDF($C$32,valDate,H8)</f>
        <v>0.95128041322078005</v>
      </c>
      <c r="J8" s="1">
        <f ca="1">_xll.QCurves_GetForwardRate($C$32,H8,H9,"Linear","Act365F")</f>
        <v>5.3699999999999568E-2</v>
      </c>
      <c r="K8" s="1">
        <f ca="1">_xll.QCurves_GetDF($C$33,valDate,H8)</f>
        <v>0.95508414419060306</v>
      </c>
    </row>
    <row r="9" spans="2:11" x14ac:dyDescent="0.25">
      <c r="B9" t="s">
        <v>6</v>
      </c>
      <c r="C9" t="s">
        <v>7</v>
      </c>
      <c r="D9" s="6">
        <v>4.9000000000000004</v>
      </c>
      <c r="E9" s="1">
        <f t="shared" ca="1" si="1"/>
        <v>4.9000000000000002E-2</v>
      </c>
      <c r="F9" t="str">
        <f ca="1">_xll.QIns_CreateFRA("OISFra_"&amp;B9,valDate,B9,index,"ZAR",E9,1,"ZAR.JIBAR.3M","ZAR.OIS.1B",,,"ZAR.JIBAR.3M")</f>
        <v>OISFra_9x12¬1</v>
      </c>
      <c r="H9" s="2">
        <f t="shared" ca="1" si="0"/>
        <v>44386</v>
      </c>
      <c r="I9" s="1">
        <f ca="1">_xll.QCurves_GetDF($C$32,valDate,H9)</f>
        <v>0.93871272155929031</v>
      </c>
      <c r="J9" s="1">
        <f ca="1">_xll.QCurves_GetForwardRate($C$32,H9,H10,"Linear","Act365F")</f>
        <v>5.6172312479854318E-2</v>
      </c>
      <c r="K9" s="1">
        <f ca="1">_xll.QCurves_GetDF($C$33,valDate,H9)</f>
        <v>0.94327489164363509</v>
      </c>
    </row>
    <row r="10" spans="2:11" x14ac:dyDescent="0.25">
      <c r="B10" t="s">
        <v>8</v>
      </c>
      <c r="C10" t="s">
        <v>9</v>
      </c>
      <c r="D10" s="6">
        <v>5.37</v>
      </c>
      <c r="E10" s="1">
        <f t="shared" ca="1" si="1"/>
        <v>5.3699999999999998E-2</v>
      </c>
      <c r="F10" t="str">
        <f ca="1">_xll.QIns_CreateFRA("OISFra_"&amp;B10,valDate,B10,index,"ZAR",E10,1,"ZAR.JIBAR.3M","ZAR.OIS.1B",,,"ZAR.JIBAR.3M")</f>
        <v>OISFra_12x15¬1</v>
      </c>
      <c r="H10" s="2">
        <f t="shared" ca="1" si="0"/>
        <v>44478</v>
      </c>
      <c r="I10" s="1">
        <f ca="1">_xll.QCurves_GetDF($C$32,valDate,H10)</f>
        <v>0.92560750704156458</v>
      </c>
      <c r="J10" s="1">
        <f ca="1">_xll.QCurves_GetForwardRate($C$32,H10,H11,"Linear","Act365F")</f>
        <v>6.0714308999312856E-2</v>
      </c>
      <c r="K10" s="1">
        <f ca="1">_xll.QCurves_GetDF($C$33,valDate,H10)</f>
        <v>0.9311124050637537</v>
      </c>
    </row>
    <row r="11" spans="2:11" x14ac:dyDescent="0.25">
      <c r="B11" t="s">
        <v>10</v>
      </c>
      <c r="C11" t="s">
        <v>11</v>
      </c>
      <c r="D11" s="6">
        <v>5.62</v>
      </c>
      <c r="E11" s="1">
        <f t="shared" ca="1" si="1"/>
        <v>5.62E-2</v>
      </c>
      <c r="F11" t="str">
        <f ca="1">_xll.QIns_CreateFRA("OISFra_"&amp;B11,valDate,B11,index,"ZAR",E11,1,"ZAR.JIBAR.3M","ZAR.OIS.1B",,,"ZAR.JIBAR.3M")</f>
        <v>OISFra_15x18¬1</v>
      </c>
      <c r="H11" s="2">
        <f t="shared" ca="1" si="0"/>
        <v>44570</v>
      </c>
      <c r="I11" s="1">
        <f ca="1">_xll.QCurves_GetDF($C$32,valDate,H11)</f>
        <v>0.91165612999514489</v>
      </c>
      <c r="J11" s="1">
        <f ca="1">_xll.QCurves_GetForwardRate($C$32,H11,H12,"Linear","Act365F")</f>
        <v>6.3305511654691615E-2</v>
      </c>
      <c r="K11" s="1">
        <f ca="1">_xll.QCurves_GetDF($C$33,valDate,H11)</f>
        <v>0.91799187684709571</v>
      </c>
    </row>
    <row r="12" spans="2:11" x14ac:dyDescent="0.25">
      <c r="B12" t="s">
        <v>12</v>
      </c>
      <c r="C12" t="s">
        <v>18</v>
      </c>
      <c r="D12" s="6">
        <v>5.4275000000000002</v>
      </c>
      <c r="E12" s="1">
        <f t="shared" ca="1" si="1"/>
        <v>5.4275000000000004E-2</v>
      </c>
      <c r="F12" t="str">
        <f ca="1">_xll.QIns_CreateIRS("OISSwap_"&amp;B12,valDate,B12,index,E12,1,"ZAR.JIBAR.3M","ZAR.OIS.1B","Pay","ZAR.JIBAR.3M")</f>
        <v>OISSwap_2y¬1</v>
      </c>
      <c r="H12" s="2">
        <f t="shared" ca="1" si="0"/>
        <v>44660</v>
      </c>
      <c r="I12" s="1">
        <f ca="1">_xll.QCurves_GetDF($C$32,valDate,H12)</f>
        <v>0.89764428137467944</v>
      </c>
      <c r="J12" s="1">
        <f ca="1">_xll.QCurves_GetForwardRate($C$32,H12,H13,"Linear","Act365F")</f>
        <v>6.6022872672555147E-2</v>
      </c>
      <c r="K12" s="1">
        <f ca="1">_xll.QCurves_GetDF($C$33,valDate,H12)</f>
        <v>0.90476115186497996</v>
      </c>
    </row>
    <row r="13" spans="2:11" x14ac:dyDescent="0.25">
      <c r="B13" t="s">
        <v>13</v>
      </c>
      <c r="C13" t="s">
        <v>19</v>
      </c>
      <c r="D13" s="6">
        <v>5.9175000000000004</v>
      </c>
      <c r="E13" s="1">
        <f t="shared" ca="1" si="1"/>
        <v>5.9175000000000005E-2</v>
      </c>
      <c r="F13" t="str">
        <f ca="1">_xll.QIns_CreateIRS("OISSwap_"&amp;B13,valDate,B13,index,E13,1,"ZAR.JIBAR.3M","ZAR.OIS.1B","Pay","ZAR.JIBAR.3M")</f>
        <v>OISSwap_3y¬1</v>
      </c>
      <c r="H13" s="2">
        <f t="shared" ca="1" si="0"/>
        <v>44751</v>
      </c>
      <c r="I13" s="1">
        <f ca="1">_xll.QCurves_GetDF($C$32,valDate,H13)</f>
        <v>0.88310788663618245</v>
      </c>
      <c r="J13" s="1">
        <f ca="1">_xll.QCurves_GetForwardRate($C$32,H13,H14,"Linear","Act365F")</f>
        <v>6.8638838016895798E-2</v>
      </c>
      <c r="K13" s="1">
        <f ca="1">_xll.QCurves_GetDF($C$33,valDate,H13)</f>
        <v>0.89061526662429957</v>
      </c>
    </row>
    <row r="14" spans="2:11" x14ac:dyDescent="0.25">
      <c r="B14" t="s">
        <v>14</v>
      </c>
      <c r="C14" t="s">
        <v>20</v>
      </c>
      <c r="D14" s="6">
        <v>6.4550000000000001</v>
      </c>
      <c r="E14" s="1">
        <f t="shared" ca="1" si="1"/>
        <v>6.4549999999999996E-2</v>
      </c>
      <c r="F14" t="str">
        <f ca="1">_xll.QIns_CreateIRS("OISSwap_"&amp;B14,valDate,B14,index,E14,1,"ZAR.JIBAR.3M","ZAR.OIS.1B","Pay","ZAR.JIBAR.3M")</f>
        <v>OISSwap_4y¬1</v>
      </c>
      <c r="H14" s="2">
        <f t="shared" ca="1" si="0"/>
        <v>44843</v>
      </c>
      <c r="I14" s="1">
        <f ca="1">_xll.QCurves_GetDF($C$32,valDate,H14)</f>
        <v>0.86808929236306109</v>
      </c>
      <c r="J14" s="1">
        <f ca="1">_xll.QCurves_GetForwardRate($C$32,H14,H15,"Linear","Act365F")</f>
        <v>7.126129505508913E-2</v>
      </c>
      <c r="K14" s="1">
        <f ca="1">_xll.QCurves_GetDF($C$33,valDate,H14)</f>
        <v>0.87588056205160736</v>
      </c>
    </row>
    <row r="15" spans="2:11" x14ac:dyDescent="0.25">
      <c r="B15" t="s">
        <v>15</v>
      </c>
      <c r="C15" t="s">
        <v>21</v>
      </c>
      <c r="D15" s="6">
        <v>7.0625</v>
      </c>
      <c r="E15" s="1">
        <f t="shared" ca="1" si="1"/>
        <v>7.0624999999999993E-2</v>
      </c>
      <c r="F15" t="str">
        <f ca="1">_xll.QIns_CreateIRS("OISSwap_"&amp;B15,valDate,B15,index,E15,1,"ZAR.JIBAR.3M","ZAR.OIS.1B","Pay","ZAR.JIBAR.3M")</f>
        <v>OISSwap_5y¬1</v>
      </c>
      <c r="H15" s="2">
        <f t="shared" ca="1" si="0"/>
        <v>44935</v>
      </c>
      <c r="I15" s="1">
        <f ca="1">_xll.QCurves_GetDF($C$32,valDate,H15)</f>
        <v>0.85277201372255773</v>
      </c>
      <c r="J15" s="1">
        <f ca="1">_xll.QCurves_GetForwardRate($C$32,H15,H16,"Linear","Act365F")</f>
        <v>7.3842072502186704E-2</v>
      </c>
      <c r="K15" s="1">
        <f ca="1">_xll.QCurves_GetDF($C$33,valDate,H15)</f>
        <v>0.86074727431237563</v>
      </c>
    </row>
    <row r="16" spans="2:11" x14ac:dyDescent="0.25">
      <c r="B16" t="s">
        <v>16</v>
      </c>
      <c r="C16" t="s">
        <v>22</v>
      </c>
      <c r="D16" s="6">
        <v>8.0924999999999994</v>
      </c>
      <c r="E16" s="1">
        <f t="shared" ca="1" si="1"/>
        <v>8.0924999999999997E-2</v>
      </c>
      <c r="F16" t="str">
        <f ca="1">_xll.QIns_CreateIRS("OISSwap_"&amp;B16,valDate,B16,index,E16,1,"ZAR.JIBAR.3M","ZAR.OIS.1B","Pay","ZAR.JIBAR.3M")</f>
        <v>OISSwap_7y¬1</v>
      </c>
      <c r="H16" s="2">
        <f t="shared" ca="1" si="0"/>
        <v>45025</v>
      </c>
      <c r="I16" s="1">
        <f ca="1">_xll.QCurves_GetDF($C$32,valDate,H16)</f>
        <v>0.83752270655066519</v>
      </c>
      <c r="J16" s="1">
        <f ca="1">_xll.QCurves_GetForwardRate($C$32,H16,H17,"Linear","Act365F")</f>
        <v>7.857175418754106E-2</v>
      </c>
      <c r="K16" s="1">
        <f ca="1">_xll.QCurves_GetDF($C$33,valDate,H16)</f>
        <v>0.84558539907893437</v>
      </c>
    </row>
    <row r="17" spans="2:11" x14ac:dyDescent="0.25">
      <c r="B17" t="s">
        <v>17</v>
      </c>
      <c r="C17" t="s">
        <v>23</v>
      </c>
      <c r="D17" s="6">
        <v>8.9600000000000009</v>
      </c>
      <c r="E17" s="1">
        <f t="shared" ca="1" si="1"/>
        <v>8.9600000000000013E-2</v>
      </c>
      <c r="F17" t="str">
        <f ca="1">_xll.QIns_CreateIRS("OISSwap_"&amp;B17,valDate,B17,index,E17,1,"ZAR.JIBAR.3M","ZAR.OIS.1B","Pay","ZAR.JIBAR.3M")</f>
        <v>OISSwap_10y¬1</v>
      </c>
      <c r="H17" s="2">
        <f t="shared" ca="1" si="0"/>
        <v>45116</v>
      </c>
      <c r="I17" s="1">
        <f ca="1">_xll.QCurves_GetDF($C$32,valDate,H17)</f>
        <v>0.82143158283245765</v>
      </c>
      <c r="J17" s="1">
        <f ca="1">_xll.QCurves_GetForwardRate($C$32,H17,H18,"Linear","Act365F")</f>
        <v>8.1577207989190395E-2</v>
      </c>
      <c r="K17" s="1">
        <f ca="1">_xll.QCurves_GetDF($C$33,valDate,H17)</f>
        <v>0.82992395098678051</v>
      </c>
    </row>
    <row r="18" spans="2:11" x14ac:dyDescent="0.25">
      <c r="B18" t="s">
        <v>0</v>
      </c>
      <c r="E18" s="3">
        <v>4.0000000000000001E-3</v>
      </c>
      <c r="F18" t="str">
        <f ca="1">_xll.QIns_CreateIRBasisSwap("OIS_"&amp;B18,valDate,B18,oisIndex,index,E18,TRUE,1,"ZAR.OIS.1B","ZAR.JIBAR.3M","ZAR.OIS.1B","ZAR.OIS.1B")</f>
        <v>OIS_3m¬3</v>
      </c>
      <c r="H18" s="2">
        <f t="shared" ca="1" si="0"/>
        <v>45208</v>
      </c>
      <c r="I18" s="1">
        <f ca="1">_xll.QCurves_GetDF($C$32,valDate,H18)</f>
        <v>0.80488166527260585</v>
      </c>
      <c r="J18" s="1">
        <f ca="1">_xll.QCurves_GetForwardRate($C$32,H18,H19,"Linear","Act365F")</f>
        <v>8.4548149616066187E-2</v>
      </c>
      <c r="K18" s="1">
        <f ca="1">_xll.QCurves_GetDF($C$33,valDate,H18)</f>
        <v>0.81378124182284473</v>
      </c>
    </row>
    <row r="19" spans="2:11" x14ac:dyDescent="0.25">
      <c r="B19" t="s">
        <v>32</v>
      </c>
      <c r="E19" s="3">
        <v>4.0000000000000001E-3</v>
      </c>
      <c r="F19" t="str">
        <f ca="1">_xll.QIns_CreateIRBasisSwap("OIS_"&amp;B19,valDate,B19,oisIndex,index,E19,TRUE,1,"ZAR.OIS.1B","ZAR.JIBAR.3M","ZAR.OIS.1B","ZAR.OIS.1B")</f>
        <v>OIS_6m¬3</v>
      </c>
      <c r="H19" s="2">
        <f t="shared" ca="1" si="0"/>
        <v>45300</v>
      </c>
      <c r="I19" s="1">
        <f ca="1">_xll.QCurves_GetDF($C$32,valDate,H19)</f>
        <v>0.78808692876880038</v>
      </c>
      <c r="J19" s="1">
        <f ca="1">_xll.QCurves_GetForwardRate($C$32,H19,H20,"Linear","Act365F")</f>
        <v>8.7494694879952345E-2</v>
      </c>
      <c r="K19" s="1">
        <f ca="1">_xll.QCurves_GetDF($C$33,valDate,H19)</f>
        <v>0.79735746824190035</v>
      </c>
    </row>
    <row r="20" spans="2:11" x14ac:dyDescent="0.25">
      <c r="B20" t="s">
        <v>33</v>
      </c>
      <c r="E20" s="3">
        <v>4.0000000000000001E-3</v>
      </c>
      <c r="F20" t="str">
        <f ca="1">_xll.QIns_CreateIRBasisSwap("OIS_"&amp;B20,valDate,B20,oisIndex,index,E20,TRUE,1,"ZAR.OIS.1B","ZAR.JIBAR.3M","ZAR.OIS.1B","ZAR.OIS.1B")</f>
        <v>OIS_9m¬3</v>
      </c>
      <c r="H20" s="2">
        <f t="shared" ca="1" si="0"/>
        <v>45391</v>
      </c>
      <c r="I20" s="1">
        <f ca="1">_xll.QCurves_GetDF($C$32,valDate,H20)</f>
        <v>0.77126279810975573</v>
      </c>
      <c r="J20" s="1">
        <f ca="1">_xll.QCurves_GetForwardRate($C$32,H20,H21,"Linear","Act365F")</f>
        <v>9.4941632972784462E-2</v>
      </c>
      <c r="K20" s="1">
        <f ca="1">_xll.QCurves_GetDF($C$33,valDate,H20)</f>
        <v>0.78086504341135521</v>
      </c>
    </row>
    <row r="21" spans="2:11" x14ac:dyDescent="0.25">
      <c r="B21" t="s">
        <v>34</v>
      </c>
      <c r="E21" s="3">
        <v>4.0000000000000001E-3</v>
      </c>
      <c r="F21" t="str">
        <f ca="1">_xll.QIns_CreateIRBasisSwap("OIS_"&amp;B21,valDate,B21,oisIndex,index,E21,TRUE,1,"ZAR.OIS.1B","ZAR.JIBAR.3M","ZAR.OIS.1B","ZAR.OIS.1B")</f>
        <v>OIS_1y¬3</v>
      </c>
      <c r="H21" s="2">
        <f t="shared" ca="1" si="0"/>
        <v>45482</v>
      </c>
      <c r="I21" s="1">
        <f ca="1">_xll.QCurves_GetDF($C$32,valDate,H21)</f>
        <v>0.75342885110644131</v>
      </c>
      <c r="J21" s="1">
        <f ca="1">_xll.QCurves_GetForwardRate($C$32,H21,H22,"Linear","Act365F")</f>
        <v>9.8450448476763722E-2</v>
      </c>
      <c r="K21" s="1">
        <f ca="1">_xll.QCurves_GetDF($C$33,valDate,H21)</f>
        <v>0.76415580420091456</v>
      </c>
    </row>
    <row r="22" spans="2:11" x14ac:dyDescent="0.25">
      <c r="B22" t="s">
        <v>35</v>
      </c>
      <c r="E22" s="3">
        <v>4.0000000000000001E-3</v>
      </c>
      <c r="F22" t="str">
        <f ca="1">_xll.QIns_CreateIRBasisSwap("OIS_"&amp;B22,valDate,B22,oisIndex,index,E22,TRUE,1,"ZAR.OIS.1B","ZAR.JIBAR.3M","ZAR.OIS.1B","ZAR.OIS.1B")</f>
        <v>OIS_18m¬3</v>
      </c>
      <c r="H22" s="2">
        <f t="shared" ca="1" si="0"/>
        <v>45574</v>
      </c>
      <c r="I22" s="1">
        <f ca="1">_xll.QCurves_GetDF($C$32,valDate,H22)</f>
        <v>0.73518529594711146</v>
      </c>
      <c r="J22" s="1">
        <f ca="1">_xll.QCurves_GetForwardRate($C$32,H22,H23,"Linear","Act365F")</f>
        <v>0.10196915259017414</v>
      </c>
      <c r="K22" s="1">
        <f ca="1">_xll.QCurves_GetDF($C$33,valDate,H22)</f>
        <v>0.74707188897943855</v>
      </c>
    </row>
    <row r="23" spans="2:11" x14ac:dyDescent="0.25">
      <c r="B23" t="s">
        <v>12</v>
      </c>
      <c r="E23" s="3">
        <v>4.0000000000000001E-3</v>
      </c>
      <c r="F23" t="str">
        <f ca="1">_xll.QIns_CreateIRBasisSwap("OIS_"&amp;B23,valDate,B23,oisIndex,index,E23,TRUE,1,"ZAR.OIS.1B","ZAR.JIBAR.3M","ZAR.OIS.1B","ZAR.OIS.1B")</f>
        <v>OIS_2y¬3</v>
      </c>
      <c r="H23" s="2">
        <f t="shared" ca="1" si="0"/>
        <v>45666</v>
      </c>
      <c r="I23" s="1">
        <f ca="1">_xll.QCurves_GetDF($C$32,valDate,H23)</f>
        <v>0.71676318209954837</v>
      </c>
      <c r="J23" s="1">
        <f ca="1">_xll.QCurves_GetForwardRate($C$32,H23,H24,"Linear","Act365F")</f>
        <v>0.10542241134319731</v>
      </c>
      <c r="K23" s="1">
        <f ca="1">_xll.QCurves_GetDF($C$33,valDate,H23)</f>
        <v>0.72982525635703765</v>
      </c>
    </row>
    <row r="24" spans="2:11" x14ac:dyDescent="0.25">
      <c r="B24" t="s">
        <v>15</v>
      </c>
      <c r="E24" s="3">
        <v>4.0000000000000001E-3</v>
      </c>
      <c r="F24" t="str">
        <f ca="1">_xll.QIns_CreateIRBasisSwap("OIS_"&amp;B24,valDate,B24,oisIndex,index,E24,TRUE,1,"ZAR.OIS.1B","ZAR.JIBAR.3M","ZAR.OIS.1B","ZAR.OIS.1B")</f>
        <v>OIS_5y¬3</v>
      </c>
      <c r="H24" s="2">
        <f t="shared" ca="1" si="0"/>
        <v>45756</v>
      </c>
      <c r="I24" s="1">
        <f ca="1">_xll.QCurves_GetDF($C$32,valDate,H24)</f>
        <v>0.69860329189583359</v>
      </c>
      <c r="J24" s="1">
        <f ca="1">_xll.QCurves_GetForwardRate($C$32,H24,H25,"Linear","Act365F")</f>
        <v>0.10491977430031936</v>
      </c>
      <c r="K24" s="1">
        <f ca="1">_xll.QCurves_GetDF($C$33,valDate,H24)</f>
        <v>0.7128241353515089</v>
      </c>
    </row>
    <row r="25" spans="2:11" x14ac:dyDescent="0.25">
      <c r="B25" t="s">
        <v>17</v>
      </c>
      <c r="E25" s="3">
        <v>4.0000000000000001E-3</v>
      </c>
      <c r="F25" t="str">
        <f ca="1">_xll.QIns_CreateIRBasisSwap("OIS_"&amp;B25,valDate,B25,oisIndex,index,E25,TRUE,1,"ZAR.OIS.1B","ZAR.JIBAR.3M","ZAR.OIS.1B","ZAR.OIS.1B")</f>
        <v>OIS_10y¬3</v>
      </c>
      <c r="H25" s="2">
        <f t="shared" ca="1" si="0"/>
        <v>45847</v>
      </c>
      <c r="I25" s="1">
        <f ca="1">_xll.QCurves_GetDF($C$32,valDate,H25)</f>
        <v>0.68079500130077886</v>
      </c>
      <c r="J25" s="1">
        <f ca="1">_xll.QCurves_GetForwardRate($C$32,H25,H26,"Linear","Act365F")</f>
        <v>0.1080593266864182</v>
      </c>
      <c r="K25" s="1">
        <f ca="1">_xll.QCurves_GetDF($C$33,valDate,H25)</f>
        <v>0.69644975390208053</v>
      </c>
    </row>
    <row r="26" spans="2:11" x14ac:dyDescent="0.25">
      <c r="H26" s="2">
        <f t="shared" ca="1" si="0"/>
        <v>45939</v>
      </c>
      <c r="I26" s="1">
        <f ca="1">_xll.QCurves_GetDF($C$32,valDate,H26)</f>
        <v>0.66274393011570798</v>
      </c>
      <c r="J26" s="1">
        <f ca="1">_xll.QCurves_GetForwardRate($C$32,H26,H27,"Linear","Act365F")</f>
        <v>0.11120341922427235</v>
      </c>
      <c r="K26" s="1">
        <f ca="1">_xll.QCurves_GetDF($C$33,valDate,H26)</f>
        <v>0.67985976179011709</v>
      </c>
    </row>
    <row r="27" spans="2:11" x14ac:dyDescent="0.25">
      <c r="H27" s="2">
        <f t="shared" ca="1" si="0"/>
        <v>46031</v>
      </c>
      <c r="I27" s="1">
        <f ca="1">_xll.QCurves_GetDF($C$32,valDate,H27)</f>
        <v>0.64467413007574426</v>
      </c>
      <c r="J27" s="1">
        <f ca="1">_xll.QCurves_GetForwardRate($C$32,H27,H28,"Linear","Act365F")</f>
        <v>0.11428026635733614</v>
      </c>
      <c r="K27" s="1">
        <f ca="1">_xll.QCurves_GetDF($C$33,valDate,H27)</f>
        <v>0.66325493574990402</v>
      </c>
    </row>
    <row r="28" spans="2:11" x14ac:dyDescent="0.25">
      <c r="H28" s="2">
        <f t="shared" ca="1" si="0"/>
        <v>46121</v>
      </c>
      <c r="I28" s="1">
        <f ca="1">_xll.QCurves_GetDF($C$32,valDate,H28)</f>
        <v>0.62700592095547669</v>
      </c>
      <c r="J28" s="1">
        <f ca="1">_xll.QCurves_GetForwardRate($C$32,H28,H29,"Linear","Act365F")</f>
        <v>0.11739458242899767</v>
      </c>
      <c r="K28" s="1">
        <f ca="1">_xll.QCurves_GetDF($C$33,valDate,H28)</f>
        <v>0.64701654978952006</v>
      </c>
    </row>
    <row r="29" spans="2:11" x14ac:dyDescent="0.25">
      <c r="B29" t="s">
        <v>26</v>
      </c>
      <c r="C29" t="str">
        <f ca="1">_xll.QIns_CreateFundingInstrumentCollection("FundingInstrumentsOis",F6:F25)</f>
        <v>FundingInstrumentsOis¬3</v>
      </c>
      <c r="H29" s="2">
        <f t="shared" ca="1" si="0"/>
        <v>46212</v>
      </c>
      <c r="I29" s="1">
        <f ca="1">_xll.QCurves_GetDF($C$32,valDate,H29)</f>
        <v>0.60917640085263758</v>
      </c>
      <c r="J29" s="1">
        <f ca="1">_xll.QCurves_GetForwardRate($C$32,H29,H30,"Linear","Act365F")</f>
        <v>0.12054745722348974</v>
      </c>
      <c r="K29" s="1">
        <f ca="1">_xll.QCurves_GetDF($C$33,valDate,H29)</f>
        <v>0.63062259340956817</v>
      </c>
    </row>
    <row r="30" spans="2:11" x14ac:dyDescent="0.25">
      <c r="H30" s="2">
        <f t="shared" ca="1" si="0"/>
        <v>46304</v>
      </c>
      <c r="I30" s="1">
        <f ca="1">_xll.QCurves_GetDF($C$32,valDate,H30)</f>
        <v>0.59121266156826624</v>
      </c>
      <c r="J30" s="1">
        <f ca="1">_xll.QCurves_GetForwardRate($C$32,H30,H31,"Linear","Act365F")</f>
        <v>0.12370118399362764</v>
      </c>
      <c r="K30" s="1">
        <f ca="1">_xll.QCurves_GetDF($C$33,valDate,H30)</f>
        <v>0.61409313718099956</v>
      </c>
    </row>
    <row r="31" spans="2:11" x14ac:dyDescent="0.25">
      <c r="B31" t="s">
        <v>27</v>
      </c>
      <c r="C31" t="str">
        <f ca="1">_xll.QCurves_CreateFundingModel("ModelOis",valDate,C29)</f>
        <v>ModelOis¬1</v>
      </c>
      <c r="H31" s="2">
        <f t="shared" ca="1" si="0"/>
        <v>46396</v>
      </c>
      <c r="I31" s="1">
        <f ca="1">_xll.QCurves_GetDF($C$32,valDate,H31)</f>
        <v>0.57333633478356749</v>
      </c>
      <c r="J31" s="1">
        <f ca="1">_xll.QCurves_GetForwardRate($C$32,H31,H32,"Linear","Act365F")</f>
        <v>0.12677943077668374</v>
      </c>
      <c r="K31" s="1">
        <f ca="1">_xll.QCurves_GetDF($C$33,valDate,H31)</f>
        <v>0.59762748966727686</v>
      </c>
    </row>
    <row r="32" spans="2:11" x14ac:dyDescent="0.25">
      <c r="B32" t="s">
        <v>28</v>
      </c>
      <c r="C32" t="str">
        <f ca="1">_xll.QCurves_ExtractCurveFromModel(C31,"ZAR.JIBAR.3M","curve.ois.ZAR.JIBAR.3M")</f>
        <v>curve.ois.ZAR.JIBAR.3M¬1</v>
      </c>
      <c r="H32" s="2">
        <f t="shared" ca="1" si="0"/>
        <v>46486</v>
      </c>
      <c r="I32" s="1">
        <f ca="1">_xll.QCurves_GetDF($C$32,valDate,H32)</f>
        <v>0.55595674792479344</v>
      </c>
      <c r="J32" s="1">
        <f ca="1">_xll.QCurves_GetForwardRate($C$32,H32,H33,"Linear","Act365F")</f>
        <v>0.11324381779953492</v>
      </c>
      <c r="K32" s="1">
        <f ca="1">_xll.QCurves_GetDF($C$33,valDate,H32)</f>
        <v>0.58159917600275446</v>
      </c>
    </row>
    <row r="33" spans="2:11" x14ac:dyDescent="0.25">
      <c r="B33" t="s">
        <v>28</v>
      </c>
      <c r="C33" t="str">
        <f ca="1">_xll.QCurves_ExtractCurveFromModel(C31,"ZAR.OIS.1B","curve.ois.ZAR.OIS.1B")</f>
        <v>curve.ois.ZAR.OIS.1B¬1</v>
      </c>
      <c r="H33" s="2">
        <f t="shared" ca="1" si="0"/>
        <v>46577</v>
      </c>
      <c r="I33" s="1">
        <f ca="1">_xll.QCurves_GetDF($C$32,valDate,H33)</f>
        <v>0.54069120223907352</v>
      </c>
      <c r="J33" s="1">
        <f ca="1">_xll.QCurves_GetForwardRate($C$32,H33,H34,"Linear","Act365F")</f>
        <v>0.11524144192979881</v>
      </c>
      <c r="K33" s="1">
        <f ca="1">_xll.QCurves_GetDF($C$33,valDate,H33)</f>
        <v>0.56548965287335351</v>
      </c>
    </row>
    <row r="34" spans="2:11" x14ac:dyDescent="0.25">
      <c r="H34" s="2">
        <f t="shared" ca="1" si="0"/>
        <v>46669</v>
      </c>
      <c r="I34" s="1">
        <f ca="1">_xll.QCurves_GetDF($C$32,valDate,H34)</f>
        <v>0.5254289835539373</v>
      </c>
      <c r="J34" s="1">
        <f ca="1">_xll.QCurves_GetForwardRate($C$32,H34,H35,"Linear","Act365F")</f>
        <v>0.11723344966439958</v>
      </c>
      <c r="K34" s="1">
        <f ca="1">_xll.QCurves_GetDF($C$33,valDate,H34)</f>
        <v>0.54931891008299771</v>
      </c>
    </row>
    <row r="35" spans="2:11" x14ac:dyDescent="0.25">
      <c r="H35" s="2">
        <f t="shared" ca="1" si="0"/>
        <v>46761</v>
      </c>
      <c r="I35" s="1">
        <f ca="1">_xll.QCurves_GetDF($C$32,valDate,H35)</f>
        <v>0.51034856466474043</v>
      </c>
      <c r="J35" s="1">
        <f ca="1">_xll.QCurves_GetForwardRate($C$32,H35,H36,"Linear","Act365F")</f>
        <v>0.11919632052293011</v>
      </c>
      <c r="K35" s="1">
        <f ca="1">_xll.QCurves_GetDF($C$33,valDate,H35)</f>
        <v>0.53328091430168234</v>
      </c>
    </row>
    <row r="36" spans="2:11" x14ac:dyDescent="0.25">
      <c r="H36" s="2">
        <f t="shared" ca="1" si="0"/>
        <v>46852</v>
      </c>
      <c r="I36" s="1">
        <f ca="1">_xll.QCurves_GetDF($C$32,valDate,H36)</f>
        <v>0.49562000741863571</v>
      </c>
      <c r="J36" s="1">
        <f ca="1">_xll.QCurves_GetForwardRate($C$32,H36,H37,"Linear","Act365F")</f>
        <v>0.12116794901357843</v>
      </c>
      <c r="K36" s="1">
        <f ca="1">_xll.QCurves_GetDF($C$33,valDate,H36)</f>
        <v>0.51756317891717318</v>
      </c>
    </row>
    <row r="37" spans="2:11" x14ac:dyDescent="0.25">
      <c r="H37" s="2">
        <f t="shared" ca="1" si="0"/>
        <v>46943</v>
      </c>
    </row>
    <row r="43" spans="2:11" x14ac:dyDescent="0.25">
      <c r="B43" t="str">
        <f ca="1">C31</f>
        <v>ModelOis¬1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Y38"/>
  <sheetViews>
    <sheetView workbookViewId="0">
      <selection activeCell="M36" sqref="M36"/>
    </sheetView>
  </sheetViews>
  <sheetFormatPr defaultRowHeight="15" x14ac:dyDescent="0.25"/>
  <cols>
    <col min="3" max="3" width="17.7109375" customWidth="1"/>
    <col min="7" max="7" width="13.140625" customWidth="1"/>
    <col min="10" max="10" width="15.7109375" customWidth="1"/>
    <col min="15" max="15" width="9.85546875" bestFit="1" customWidth="1"/>
    <col min="18" max="18" width="9.85546875" bestFit="1" customWidth="1"/>
    <col min="21" max="21" width="10.7109375" bestFit="1" customWidth="1"/>
    <col min="22" max="22" width="11.42578125" customWidth="1"/>
    <col min="23" max="23" width="7.42578125" bestFit="1" customWidth="1"/>
  </cols>
  <sheetData>
    <row r="1" spans="2:25" x14ac:dyDescent="0.25">
      <c r="B1" t="s">
        <v>24</v>
      </c>
      <c r="C1" s="7">
        <v>43930</v>
      </c>
    </row>
    <row r="2" spans="2:25" x14ac:dyDescent="0.25">
      <c r="B2" t="s">
        <v>25</v>
      </c>
      <c r="C2" t="str">
        <f ca="1">_xll.QIns_CreateRateIndex("ZAR.JIBAR.3M","ZAR","3M","Act365F","Act365F","3M","JHB","0b","MF")</f>
        <v>ZAR.JIBAR.3M¬3</v>
      </c>
      <c r="I2" t="s">
        <v>25</v>
      </c>
      <c r="J2" t="str">
        <f ca="1">_xll.QIns_CreateRateIndex("USD.LIBOR.3M","USD","3M","Act360","Act360","6M","NYC","2b","MF")</f>
        <v>USD.LIBOR.3M¬3</v>
      </c>
      <c r="V2" s="3"/>
    </row>
    <row r="3" spans="2:25" x14ac:dyDescent="0.25">
      <c r="B3" t="s">
        <v>31</v>
      </c>
      <c r="C3" t="str">
        <f ca="1">_xll.QIns_CreateRateIndex("ZAR.OIS.1B","ZAR","3M","Act365F","Act365F","3M","JHB","0b","MF")</f>
        <v>ZAR.OIS.1B¬3</v>
      </c>
      <c r="I3" t="s">
        <v>31</v>
      </c>
      <c r="J3" t="str">
        <f ca="1">_xll.QIns_CreateRateIndex("USD.OIS.1B","USD","3M","Act360","Act360","3M","NYC","0b","MF")</f>
        <v>USD.OIS.1B¬3</v>
      </c>
      <c r="V3" t="s">
        <v>36</v>
      </c>
      <c r="W3" t="s">
        <v>30</v>
      </c>
      <c r="X3" t="s">
        <v>37</v>
      </c>
      <c r="Y3" t="s">
        <v>52</v>
      </c>
    </row>
    <row r="4" spans="2:25" x14ac:dyDescent="0.25">
      <c r="U4" s="2">
        <f ca="1">valDate</f>
        <v>43930</v>
      </c>
      <c r="V4" s="1">
        <f ca="1">_xll.QCurves_GetDF($D$33,valDate,U4)</f>
        <v>1</v>
      </c>
      <c r="W4" s="1">
        <f ca="1">_xll.QCurves_GetForwardRate($D$33,U4,U5,"Linear","Act365F")</f>
        <v>5.6000000000000202E-2</v>
      </c>
      <c r="X4" s="1">
        <f ca="1">_xll.QCurves_GetDF($D$34,valDate,U4)</f>
        <v>1</v>
      </c>
      <c r="Y4" s="1">
        <f ca="1">_xll.QCurves_GetDF($D$35,valDate,U4)</f>
        <v>1</v>
      </c>
    </row>
    <row r="5" spans="2:25" x14ac:dyDescent="0.25">
      <c r="P5" t="s">
        <v>63</v>
      </c>
      <c r="Q5" s="6">
        <v>18.044499999999999</v>
      </c>
      <c r="R5" s="2">
        <f ca="1">_xll.QDates_AddPeriod(valDate,"2b","F","JHB+NYC")</f>
        <v>43936</v>
      </c>
      <c r="U5" s="2">
        <f ca="1">EDATE(U4,3)</f>
        <v>44021</v>
      </c>
      <c r="V5" s="1">
        <f ca="1">_xll.QCurves_GetDF($D$33,valDate,U5)</f>
        <v>0.98623059962820459</v>
      </c>
      <c r="W5" s="1">
        <f ca="1">_xll.QCurves_GetForwardRate($D$33,U5,U6,"Linear","Act365F")</f>
        <v>4.8250000000000098E-2</v>
      </c>
      <c r="X5" s="1">
        <f ca="1">_xll.QCurves_GetDF($D$34,valDate,U5)</f>
        <v>0.9872015405753356</v>
      </c>
      <c r="Y5" s="1">
        <f ca="1">_xll.QCurves_GetDF($D$35,valDate,U5)</f>
        <v>0.99669607488388912</v>
      </c>
    </row>
    <row r="6" spans="2:25" x14ac:dyDescent="0.25">
      <c r="B6" t="s">
        <v>0</v>
      </c>
      <c r="C6" t="s">
        <v>1</v>
      </c>
      <c r="D6" s="6">
        <v>5.6</v>
      </c>
      <c r="E6" s="1">
        <f ca="1">D6/100</f>
        <v>5.5999999999999994E-2</v>
      </c>
      <c r="F6" t="str">
        <f ca="1">_xll.QIns_CreateFRA("ZAROISFra_"&amp;B6,valDate,"0x3",index,"ZAR",E6,1,"ZAR.JIBAR.3M","ZAR.OIS.1B",,,"ZAR.JIBAR.3M")</f>
        <v>ZAROISFra_3m¬3</v>
      </c>
      <c r="I6" t="s">
        <v>0</v>
      </c>
      <c r="J6" t="s">
        <v>38</v>
      </c>
      <c r="K6" s="6">
        <v>1.31138</v>
      </c>
      <c r="L6" s="1">
        <f ca="1">K6/100</f>
        <v>1.31138E-2</v>
      </c>
      <c r="M6" t="str">
        <f ca="1">_xll.QIns_CreateFRA("USDOISFra_"&amp;I6,valDate,"0x3",J2,"USD",L6,1,"USD.LIBOR.3M","USD.OIS.1B",,,"USD.LIBOR.3M")</f>
        <v>USDOISFra_3m¬3</v>
      </c>
      <c r="O6" s="2">
        <f ca="1">_xll.QDates_AddPeriod($R$5,P6,"F","JHB+NYC")</f>
        <v>43943</v>
      </c>
      <c r="P6" t="s">
        <v>57</v>
      </c>
      <c r="Q6" s="6">
        <v>152</v>
      </c>
      <c r="R6" s="5">
        <f ca="1">$Q$5+Q6/10000</f>
        <v>18.059699999999999</v>
      </c>
      <c r="S6" s="5" t="str">
        <f ca="1">_xll.QIns_CreateFxForward("ZARFwd_"&amp;P6,O6,"ZAR","USD",1000000,R6,"ZAR.DISC.[USD.OIS.1B]","ZAR.DISC.[USD.OIS.1B]")</f>
        <v>ZARFwd_1w¬3</v>
      </c>
      <c r="U6" s="2">
        <f t="shared" ref="U6:U37" ca="1" si="0">EDATE(U5,3)</f>
        <v>44113</v>
      </c>
      <c r="V6" s="1">
        <f ca="1">_xll.QCurves_GetDF($D$33,valDate,U6)</f>
        <v>0.9743805306540313</v>
      </c>
      <c r="W6" s="1">
        <f ca="1">_xll.QCurves_GetForwardRate($D$33,U6,U7,"Linear","Act365F")</f>
        <v>4.7874497519312831E-2</v>
      </c>
      <c r="X6" s="1">
        <f ca="1">_xll.QCurves_GetDF($D$34,valDate,U6)</f>
        <v>0.97631231473076319</v>
      </c>
      <c r="Y6" s="1">
        <f ca="1">_xll.QCurves_GetDF($D$35,valDate,U6)</f>
        <v>0.9939782771219795</v>
      </c>
    </row>
    <row r="7" spans="2:25" x14ac:dyDescent="0.25">
      <c r="B7" t="s">
        <v>2</v>
      </c>
      <c r="C7" t="s">
        <v>3</v>
      </c>
      <c r="D7" s="6">
        <v>4.8250000000000002</v>
      </c>
      <c r="E7" s="1">
        <f t="shared" ref="E7:E17" ca="1" si="1">D7/100</f>
        <v>4.8250000000000001E-2</v>
      </c>
      <c r="F7" t="str">
        <f ca="1">_xll.QIns_CreateFRA("ZAROISFra_"&amp;B7,valDate,B7,index,"ZAR",E7,1,"ZAR.JIBAR.3M","ZAR.OIS.1B",,,"ZAR.JIBAR.3M")</f>
        <v>ZAROISFra_3x6¬3</v>
      </c>
      <c r="I7" t="s">
        <v>39</v>
      </c>
      <c r="J7" t="str">
        <f ca="1">I7&amp;" Comdty"</f>
        <v>EDU8 Comdty</v>
      </c>
      <c r="K7" s="6">
        <v>98.655000000000001</v>
      </c>
      <c r="L7" s="4">
        <f ca="1">K7</f>
        <v>98.655000000000001</v>
      </c>
      <c r="M7" t="str">
        <f ca="1">_xll.QIns_CreateSTIRFromCode(I7,valDate,I7,$J$2,L7,1,0,"USD.LIBOR.3M","USD.LIBOR.3M")</f>
        <v>EDU8¬3</v>
      </c>
      <c r="O7" s="2">
        <f ca="1">_xll.QDates_AddPeriod($R$5,P7,"MF","JHB+NYC")</f>
        <v>43966</v>
      </c>
      <c r="P7" t="s">
        <v>58</v>
      </c>
      <c r="Q7" s="6">
        <v>670</v>
      </c>
      <c r="R7" s="5">
        <f t="shared" ref="R7:R18" ca="1" si="2">$Q$5+Q7/10000</f>
        <v>18.111499999999999</v>
      </c>
      <c r="S7" s="5" t="str">
        <f ca="1">_xll.QIns_CreateFxForward("ZARFwd_"&amp;P7,O7,"ZAR","USD",1000000,R7,"ZAR.DISC.[USD.OIS.1B]","ZAR.DISC.[USD.OIS.1B]")</f>
        <v>ZARFwd_1m¬3</v>
      </c>
      <c r="U7" s="2">
        <f t="shared" ca="1" si="0"/>
        <v>44205</v>
      </c>
      <c r="V7" s="1">
        <f ca="1">_xll.QCurves_GetDF($D$33,valDate,U7)</f>
        <v>0.96276287428967033</v>
      </c>
      <c r="W7" s="1">
        <f ca="1">_xll.QCurves_GetForwardRate($D$33,U7,U8,"Linear","Act365F")</f>
        <v>4.8952714816993363E-2</v>
      </c>
      <c r="X7" s="1">
        <f ca="1">_xll.QCurves_GetDF($D$34,valDate,U7)</f>
        <v>0.96563334955776847</v>
      </c>
      <c r="Y7" s="1">
        <f ca="1">_xll.QCurves_GetDF($D$35,valDate,U7)</f>
        <v>0.99188127093428713</v>
      </c>
    </row>
    <row r="8" spans="2:25" x14ac:dyDescent="0.25">
      <c r="B8" t="s">
        <v>4</v>
      </c>
      <c r="C8" t="s">
        <v>5</v>
      </c>
      <c r="D8" s="6">
        <v>4.7850000000000001</v>
      </c>
      <c r="E8" s="1">
        <f t="shared" ca="1" si="1"/>
        <v>4.7850000000000004E-2</v>
      </c>
      <c r="F8" t="str">
        <f ca="1">_xll.QIns_CreateFRA("ZAROISFra_"&amp;B8,valDate,B8,index,"ZAR",E8,1,"ZAR.JIBAR.3M","ZAR.OIS.1B",,,"ZAR.JIBAR.3M")</f>
        <v>ZAROISFra_6x9¬3</v>
      </c>
      <c r="I8" t="s">
        <v>40</v>
      </c>
      <c r="J8" t="str">
        <f ca="1">I8&amp;" Comdty"</f>
        <v>EDZ8 Comdty</v>
      </c>
      <c r="K8" s="6">
        <v>98.614999999999995</v>
      </c>
      <c r="L8" s="4">
        <f ca="1">K8</f>
        <v>98.614999999999995</v>
      </c>
      <c r="M8" t="str">
        <f ca="1">_xll.QIns_CreateSTIRFromCode(I8,valDate,I8,$J$2,L8,1,0,"USD.LIBOR.3M","USD.LIBOR.3M")</f>
        <v>EDZ8¬3</v>
      </c>
      <c r="O8" s="2">
        <f ca="1">_xll.QDates_AddPeriod($R$5,P8,"MF","JHB+NYC")</f>
        <v>43997</v>
      </c>
      <c r="P8" t="s">
        <v>59</v>
      </c>
      <c r="Q8" s="6">
        <v>1305</v>
      </c>
      <c r="R8" s="5">
        <f t="shared" ca="1" si="2"/>
        <v>18.175000000000001</v>
      </c>
      <c r="S8" s="5" t="str">
        <f ca="1">_xll.QIns_CreateFxForward("ZARFwd_"&amp;P8,O8,"ZAR","USD",1000000,R8,"ZAR.DISC.[USD.OIS.1B]","ZAR.DISC.[USD.OIS.1B]")</f>
        <v>ZARFwd_2m¬3</v>
      </c>
      <c r="U8" s="2">
        <f t="shared" ca="1" si="0"/>
        <v>44295</v>
      </c>
      <c r="V8" s="1">
        <f ca="1">_xll.QCurves_GetDF($D$33,valDate,U8)</f>
        <v>0.95128041322078005</v>
      </c>
      <c r="W8" s="1">
        <f ca="1">_xll.QCurves_GetForwardRate($D$33,U8,U9,"Linear","Act365F")</f>
        <v>5.3700000000000456E-2</v>
      </c>
      <c r="X8" s="1">
        <f ca="1">_xll.QCurves_GetDF($D$34,valDate,U8)</f>
        <v>0.95502333238934101</v>
      </c>
      <c r="Y8" s="1">
        <f ca="1">_xll.QCurves_GetDF($D$35,valDate,U8)</f>
        <v>0.99042679241991194</v>
      </c>
    </row>
    <row r="9" spans="2:25" x14ac:dyDescent="0.25">
      <c r="B9" t="s">
        <v>6</v>
      </c>
      <c r="C9" t="s">
        <v>7</v>
      </c>
      <c r="D9" s="6">
        <v>4.9000000000000004</v>
      </c>
      <c r="E9" s="1">
        <f t="shared" ca="1" si="1"/>
        <v>4.9000000000000002E-2</v>
      </c>
      <c r="F9" t="str">
        <f ca="1">_xll.QIns_CreateFRA("ZAROISFra_"&amp;B9,valDate,B9,index,"ZAR",E9,1,"ZAR.JIBAR.3M","ZAR.OIS.1B",,,"ZAR.JIBAR.3M")</f>
        <v>ZAROISFra_9x12¬3</v>
      </c>
      <c r="I9" t="s">
        <v>42</v>
      </c>
      <c r="J9" t="str">
        <f ca="1">I9&amp;" Comdty"</f>
        <v>EDH9 Comdty</v>
      </c>
      <c r="K9" s="6">
        <v>98.614999999999995</v>
      </c>
      <c r="L9" s="4">
        <f ca="1">K9</f>
        <v>98.614999999999995</v>
      </c>
      <c r="M9" t="str">
        <f ca="1">_xll.QIns_CreateSTIRFromCode(I9,valDate,I9,$J$2,L9,1,0,"USD.LIBOR.3M","USD.LIBOR.3M")</f>
        <v>EDH9¬3</v>
      </c>
      <c r="O9" s="2">
        <f ca="1">_xll.QDates_AddPeriod($R$5,P9,"MF","JHB+NYC")</f>
        <v>44027</v>
      </c>
      <c r="P9" t="s">
        <v>0</v>
      </c>
      <c r="Q9" s="6">
        <v>1951</v>
      </c>
      <c r="R9" s="5">
        <f t="shared" ca="1" si="2"/>
        <v>18.239599999999999</v>
      </c>
      <c r="S9" s="5" t="str">
        <f ca="1">_xll.QIns_CreateFxForward("ZARFwd_"&amp;P9,O9,"ZAR","USD",1000000,R9,"ZAR.DISC.[USD.OIS.1B]","ZAR.DISC.[USD.OIS.1B]")</f>
        <v>ZARFwd_3m¬3</v>
      </c>
      <c r="U9" s="2">
        <f t="shared" ca="1" si="0"/>
        <v>44386</v>
      </c>
      <c r="V9" s="1">
        <f ca="1">_xll.QCurves_GetDF($D$33,valDate,U9)</f>
        <v>0.9387127215592902</v>
      </c>
      <c r="W9" s="1">
        <f ca="1">_xll.QCurves_GetForwardRate($D$33,U9,U10,"Linear","Act365F")</f>
        <v>5.6172312479854318E-2</v>
      </c>
      <c r="X9" s="1">
        <f ca="1">_xll.QCurves_GetDF($D$34,valDate,U9)</f>
        <v>0.94322723052657331</v>
      </c>
      <c r="Y9" s="1">
        <f ca="1">_xll.QCurves_GetDF($D$35,valDate,U9)</f>
        <v>0.98955374742453073</v>
      </c>
    </row>
    <row r="10" spans="2:25" x14ac:dyDescent="0.25">
      <c r="B10" t="s">
        <v>8</v>
      </c>
      <c r="C10" t="s">
        <v>9</v>
      </c>
      <c r="D10" s="6">
        <v>5.37</v>
      </c>
      <c r="E10" s="1">
        <f t="shared" ca="1" si="1"/>
        <v>5.3699999999999998E-2</v>
      </c>
      <c r="F10" t="str">
        <f ca="1">_xll.QIns_CreateFRA("ZAROISFra_"&amp;B10,valDate,B10,index,"ZAR",E10,1,"ZAR.JIBAR.3M","ZAR.OIS.1B",,,"ZAR.JIBAR.3M")</f>
        <v>ZAROISFra_12x15¬3</v>
      </c>
      <c r="I10" t="s">
        <v>41</v>
      </c>
      <c r="J10" t="str">
        <f ca="1">I10&amp;" Comdty"</f>
        <v>EDM9 Comdty</v>
      </c>
      <c r="K10" s="6">
        <v>98.605000000000004</v>
      </c>
      <c r="L10" s="4">
        <f ca="1">K10</f>
        <v>98.605000000000004</v>
      </c>
      <c r="M10" t="str">
        <f ca="1">_xll.QIns_CreateSTIRFromCode(I10,valDate,I10,$J$2,L10,1,0,"USD.LIBOR.3M","USD.LIBOR.3M")</f>
        <v>EDM9¬3</v>
      </c>
      <c r="O10" s="2">
        <f ca="1">_xll.QDates_AddPeriod($R$5,P10,"MF","JHB+NYC")</f>
        <v>44119</v>
      </c>
      <c r="P10" t="s">
        <v>32</v>
      </c>
      <c r="Q10" s="6">
        <v>3837</v>
      </c>
      <c r="R10" s="5">
        <f t="shared" ca="1" si="2"/>
        <v>18.4282</v>
      </c>
      <c r="S10" s="5" t="str">
        <f ca="1">_xll.QIns_CreateFxForward("ZARFwd_"&amp;P10,O10,"ZAR","USD",1000000,R10,"ZAR.DISC.[USD.OIS.1B]","ZAR.DISC.[USD.OIS.1B]")</f>
        <v>ZARFwd_6m¬3</v>
      </c>
      <c r="U10" s="2">
        <f t="shared" ca="1" si="0"/>
        <v>44478</v>
      </c>
      <c r="V10" s="1">
        <f ca="1">_xll.QCurves_GetDF($D$33,valDate,U10)</f>
        <v>0.92560750704156447</v>
      </c>
      <c r="W10" s="1">
        <f ca="1">_xll.QCurves_GetForwardRate($D$33,U10,U11,"Linear","Act365F")</f>
        <v>6.0390129186780286E-2</v>
      </c>
      <c r="X10" s="1">
        <f ca="1">_xll.QCurves_GetDF($D$34,valDate,U10)</f>
        <v>0.9310886947492667</v>
      </c>
      <c r="Y10" s="1">
        <f ca="1">_xll.QCurves_GetDF($D$35,valDate,U10)</f>
        <v>0.98928033925064329</v>
      </c>
    </row>
    <row r="11" spans="2:25" x14ac:dyDescent="0.25">
      <c r="B11" t="s">
        <v>10</v>
      </c>
      <c r="C11" t="s">
        <v>11</v>
      </c>
      <c r="D11" s="6">
        <v>5.62</v>
      </c>
      <c r="E11" s="1">
        <f t="shared" ca="1" si="1"/>
        <v>5.62E-2</v>
      </c>
      <c r="F11" t="str">
        <f ca="1">_xll.QIns_CreateFRA("ZAROISFra_"&amp;B11,valDate,B11,index,"ZAR",E11,1,"ZAR.JIBAR.3M","ZAR.OIS.1B",,,"ZAR.JIBAR.3M")</f>
        <v>ZAROISFra_15x18¬3</v>
      </c>
      <c r="I11" t="s">
        <v>43</v>
      </c>
      <c r="J11" t="str">
        <f ca="1">I11&amp;" Comdty"</f>
        <v>EDU9 Comdty</v>
      </c>
      <c r="K11" s="6">
        <v>98.594999999999999</v>
      </c>
      <c r="L11" s="4">
        <f ca="1">K11</f>
        <v>98.594999999999999</v>
      </c>
      <c r="M11" t="str">
        <f ca="1">_xll.QIns_CreateSTIRFromCode(I11,valDate,I11,$J$2,L11,1,0,"USD.LIBOR.3M","USD.LIBOR.3M")</f>
        <v>EDU9¬3</v>
      </c>
      <c r="O11" s="2">
        <f ca="1">_xll.QDates_AddPeriod($R$5,P11,"MF","JHB+NYC")</f>
        <v>44211</v>
      </c>
      <c r="P11" t="s">
        <v>33</v>
      </c>
      <c r="Q11" s="6">
        <v>5764</v>
      </c>
      <c r="R11" s="5">
        <f t="shared" ca="1" si="2"/>
        <v>18.620899999999999</v>
      </c>
      <c r="S11" s="5" t="str">
        <f ca="1">_xll.QIns_CreateFxForward("ZARFwd_"&amp;P11,O11,"ZAR","USD",1000000,R11,"ZAR.DISC.[USD.OIS.1B]","ZAR.DISC.[USD.OIS.1B]")</f>
        <v>ZARFwd_9m¬3</v>
      </c>
      <c r="U11" s="2">
        <f t="shared" ca="1" si="0"/>
        <v>44570</v>
      </c>
      <c r="V11" s="1">
        <f ca="1">_xll.QCurves_GetDF($D$33,valDate,U11)</f>
        <v>0.91172950550426635</v>
      </c>
      <c r="W11" s="1">
        <f ca="1">_xll.QCurves_GetForwardRate($D$33,U11,U12,"Linear","Act365F")</f>
        <v>6.2880802889422938E-2</v>
      </c>
      <c r="X11" s="1">
        <f ca="1">_xll.QCurves_GetDF($D$34,valDate,U11)</f>
        <v>0.91804261250887176</v>
      </c>
      <c r="Y11" s="1">
        <f ca="1">_xll.QCurves_GetDF($D$35,valDate,U11)</f>
        <v>0.98961898828383377</v>
      </c>
    </row>
    <row r="12" spans="2:25" x14ac:dyDescent="0.25">
      <c r="B12" t="s">
        <v>12</v>
      </c>
      <c r="C12" t="s">
        <v>18</v>
      </c>
      <c r="D12" s="6">
        <v>5.4275000000000002</v>
      </c>
      <c r="E12" s="1">
        <f t="shared" ca="1" si="1"/>
        <v>5.4275000000000004E-2</v>
      </c>
      <c r="F12" t="str">
        <f ca="1">_xll.QIns_CreateIRS("ZAROISSwap_"&amp;B12,valDate,B12,index,E12,1,"ZAR.JIBAR.3M","ZAR.OIS.1B","Pay","ZAR.JIBAR.3M")</f>
        <v>ZAROISSwap_2y¬3</v>
      </c>
      <c r="I12" t="s">
        <v>12</v>
      </c>
      <c r="J12" t="s">
        <v>44</v>
      </c>
      <c r="K12" s="6">
        <v>0.4677</v>
      </c>
      <c r="L12" s="1">
        <f t="shared" ref="L12:L17" ca="1" si="3">K12/100</f>
        <v>4.6769999999999997E-3</v>
      </c>
      <c r="M12" t="str">
        <f ca="1">_xll.QIns_CreateIRS("USDSwap_"&amp;I12,valDate,I12,$J$2,L12,1000000,"USD.LIBOR.3M","USD.OIS.1B","Pay","USD.LIBOR.3M")</f>
        <v>USDSwap_2y¬3</v>
      </c>
      <c r="O12" s="2">
        <f ca="1">_xll.QDates_AddPeriod($R$5,P12,"MF","JHB+NYC")</f>
        <v>44301</v>
      </c>
      <c r="P12" t="s">
        <v>61</v>
      </c>
      <c r="Q12" s="6">
        <v>7733</v>
      </c>
      <c r="R12" s="5">
        <f t="shared" ca="1" si="2"/>
        <v>18.817799999999998</v>
      </c>
      <c r="S12" s="5" t="str">
        <f ca="1">_xll.QIns_CreateFxForward("ZARFwd_"&amp;P12,O12,"ZAR","USD",1000000,R12,"ZAR.DISC.[USD.OIS.1B]","ZAR.DISC.[USD.OIS.1B]")</f>
        <v>ZARFwd_12m¬3</v>
      </c>
      <c r="U12" s="2">
        <f t="shared" ca="1" si="0"/>
        <v>44660</v>
      </c>
      <c r="V12" s="1">
        <f ca="1">_xll.QCurves_GetDF($D$33,valDate,U12)</f>
        <v>0.89780910505749789</v>
      </c>
      <c r="W12" s="1">
        <f ca="1">_xll.QCurves_GetForwardRate($D$33,U12,U13,"Linear","Act365F")</f>
        <v>6.5944876986154352E-2</v>
      </c>
      <c r="X12" s="1">
        <f ca="1">_xll.QCurves_GetDF($D$34,valDate,U12)</f>
        <v>0.90490500036226329</v>
      </c>
      <c r="Y12" s="1">
        <f ca="1">_xll.QCurves_GetDF($D$35,valDate,U12)</f>
        <v>0.9905431168206783</v>
      </c>
    </row>
    <row r="13" spans="2:25" x14ac:dyDescent="0.25">
      <c r="B13" t="s">
        <v>13</v>
      </c>
      <c r="C13" t="s">
        <v>19</v>
      </c>
      <c r="D13" s="6">
        <v>5.9175000000000004</v>
      </c>
      <c r="E13" s="1">
        <f t="shared" ca="1" si="1"/>
        <v>5.9175000000000005E-2</v>
      </c>
      <c r="F13" t="str">
        <f ca="1">_xll.QIns_CreateIRS("ZAROISSwap_"&amp;B13,valDate,B13,index,E13,1,"ZAR.JIBAR.3M","ZAR.OIS.1B","Pay","ZAR.JIBAR.3M")</f>
        <v>ZAROISSwap_3y¬3</v>
      </c>
      <c r="I13" t="s">
        <v>13</v>
      </c>
      <c r="J13" t="s">
        <v>45</v>
      </c>
      <c r="K13" s="6">
        <v>0.47160000000000002</v>
      </c>
      <c r="L13" s="1">
        <f t="shared" ca="1" si="3"/>
        <v>4.7160000000000006E-3</v>
      </c>
      <c r="M13" t="str">
        <f ca="1">_xll.QIns_CreateIRS("USDSwap_"&amp;I13,valDate,I13,$J$2,L13,1000000,"USD.LIBOR.3M","USD.OIS.1B","Pay","USD.LIBOR.3M")</f>
        <v>USDSwap_3y¬1</v>
      </c>
      <c r="O13" s="2">
        <f ca="1">_xll.QDates_AddPeriod($R$5,P13,"MF","JHB+NYC")</f>
        <v>44392</v>
      </c>
      <c r="P13" t="s">
        <v>60</v>
      </c>
      <c r="Q13" s="6">
        <v>9880</v>
      </c>
      <c r="R13" s="5">
        <f t="shared" ca="1" si="2"/>
        <v>19.032499999999999</v>
      </c>
      <c r="S13" s="5" t="str">
        <f ca="1">_xll.QIns_CreateFxForward("ZARFwd_"&amp;P13,O13,"ZAR","USD",1000000,R13,"ZAR.DISC.[USD.OIS.1B]","ZAR.DISC.[USD.OIS.1B]")</f>
        <v>ZARFwd_15m¬3</v>
      </c>
      <c r="U13" s="2">
        <f t="shared" ca="1" si="0"/>
        <v>44751</v>
      </c>
      <c r="V13" s="1">
        <f ca="1">_xll.QCurves_GetDF($D$33,valDate,U13)</f>
        <v>0.88328693898443689</v>
      </c>
      <c r="W13" s="1">
        <f ca="1">_xll.QCurves_GetForwardRate($D$33,U13,U14,"Linear","Act365F")</f>
        <v>6.8575221920884222E-2</v>
      </c>
      <c r="X13" s="1">
        <f ca="1">_xll.QCurves_GetDF($D$34,valDate,U13)</f>
        <v>0.89077018584097667</v>
      </c>
      <c r="Y13" s="1">
        <f ca="1">_xll.QCurves_GetDF($D$35,valDate,U13)</f>
        <v>0.98940202322815007</v>
      </c>
    </row>
    <row r="14" spans="2:25" x14ac:dyDescent="0.25">
      <c r="B14" t="s">
        <v>14</v>
      </c>
      <c r="C14" t="s">
        <v>20</v>
      </c>
      <c r="D14" s="6">
        <v>6.4550000000000001</v>
      </c>
      <c r="E14" s="1">
        <f t="shared" ca="1" si="1"/>
        <v>6.4549999999999996E-2</v>
      </c>
      <c r="F14" t="str">
        <f ca="1">_xll.QIns_CreateIRS("ZAROISSwap_"&amp;B14,valDate,B14,index,E14,1,"ZAR.JIBAR.3M","ZAR.OIS.1B","Pay","ZAR.JIBAR.3M")</f>
        <v>ZAROISSwap_4y¬3</v>
      </c>
      <c r="I14" t="s">
        <v>14</v>
      </c>
      <c r="J14" t="s">
        <v>48</v>
      </c>
      <c r="K14" s="6">
        <v>0.51839999999999997</v>
      </c>
      <c r="L14" s="1">
        <f t="shared" ca="1" si="3"/>
        <v>5.1839999999999994E-3</v>
      </c>
      <c r="M14" t="str">
        <f ca="1">_xll.QIns_CreateIRS("USDSwap_"&amp;I14,valDate,I14,$J$2,L14,1000000,"USD.LIBOR.3M","USD.OIS.1B","Pay","USD.LIBOR.3M")</f>
        <v>USDSwap_4y¬1</v>
      </c>
      <c r="O14" s="2">
        <f ca="1">_xll.QDates_AddPeriod($R$5,P14,"MF","JHB+NYC")</f>
        <v>44484</v>
      </c>
      <c r="P14" t="s">
        <v>35</v>
      </c>
      <c r="Q14" s="6">
        <v>12389</v>
      </c>
      <c r="R14" s="5">
        <f t="shared" ca="1" si="2"/>
        <v>19.2834</v>
      </c>
      <c r="S14" s="5" t="str">
        <f ca="1">_xll.QIns_CreateFxForward("ZARFwd_"&amp;P14,O14,"ZAR","USD",1000000,R14,"ZAR.DISC.[USD.OIS.1B]","ZAR.DISC.[USD.OIS.1B]")</f>
        <v>ZARFwd_18m¬3</v>
      </c>
      <c r="U14" s="2">
        <f t="shared" ca="1" si="0"/>
        <v>44843</v>
      </c>
      <c r="V14" s="1">
        <f ca="1">_xll.QCurves_GetDF($D$33,valDate,U14)</f>
        <v>0.8682789855075097</v>
      </c>
      <c r="W14" s="1">
        <f ca="1">_xll.QCurves_GetForwardRate($D$33,U14,U15,"Linear","Act365F")</f>
        <v>7.1203298914752119E-2</v>
      </c>
      <c r="X14" s="1">
        <f ca="1">_xll.QCurves_GetDF($D$34,valDate,U14)</f>
        <v>0.87604267910963551</v>
      </c>
      <c r="Y14" s="1">
        <f ca="1">_xll.QCurves_GetDF($D$35,valDate,U14)</f>
        <v>0.98818944595200109</v>
      </c>
    </row>
    <row r="15" spans="2:25" x14ac:dyDescent="0.25">
      <c r="B15" t="s">
        <v>15</v>
      </c>
      <c r="C15" t="s">
        <v>21</v>
      </c>
      <c r="D15" s="6">
        <v>7.0625</v>
      </c>
      <c r="E15" s="1">
        <f t="shared" ca="1" si="1"/>
        <v>7.0624999999999993E-2</v>
      </c>
      <c r="F15" t="str">
        <f ca="1">_xll.QIns_CreateIRS("ZAROISSwap_"&amp;B15,valDate,B15,index,E15,1,"ZAR.JIBAR.3M","ZAR.OIS.1B","Pay","ZAR.JIBAR.3M")</f>
        <v>ZAROISSwap_5y¬3</v>
      </c>
      <c r="I15" t="s">
        <v>15</v>
      </c>
      <c r="J15" t="s">
        <v>46</v>
      </c>
      <c r="K15" s="6">
        <v>0.57820000000000005</v>
      </c>
      <c r="L15" s="1">
        <f t="shared" ca="1" si="3"/>
        <v>5.7820000000000007E-3</v>
      </c>
      <c r="M15" t="str">
        <f ca="1">_xll.QIns_CreateIRS("USDSwap_"&amp;I15,valDate,I15,$J$2,L15,1000000,"USD.LIBOR.3M","USD.OIS.1B","Pay","USD.LIBOR.3M")</f>
        <v>USDSwap_5y¬1</v>
      </c>
      <c r="O15" s="2">
        <f ca="1">_xll.QDates_AddPeriod($R$5,P15,"MF","JHB+NYC")</f>
        <v>44670</v>
      </c>
      <c r="P15" t="s">
        <v>12</v>
      </c>
      <c r="Q15" s="6">
        <v>18364</v>
      </c>
      <c r="R15" s="5">
        <f t="shared" ca="1" si="2"/>
        <v>19.8809</v>
      </c>
      <c r="S15" s="5" t="str">
        <f ca="1">_xll.QIns_CreateFxForward("ZARFwd_"&amp;P15,O15,"ZAR","USD",1000000,R15,"ZAR.DISC.[USD.OIS.1B]","ZAR.DISC.[USD.OIS.1B]")</f>
        <v>ZARFwd_2y¬3</v>
      </c>
      <c r="U15" s="2">
        <f t="shared" ca="1" si="0"/>
        <v>44935</v>
      </c>
      <c r="V15" s="1">
        <f ca="1">_xll.QCurves_GetDF($D$33,valDate,U15)</f>
        <v>0.85297060865370422</v>
      </c>
      <c r="W15" s="1">
        <f ca="1">_xll.QCurves_GetForwardRate($D$33,U15,U16,"Linear","Act365F")</f>
        <v>7.3789663461394345E-2</v>
      </c>
      <c r="X15" s="1">
        <f ca="1">_xll.QCurves_GetDF($D$34,valDate,U15)</f>
        <v>0.86091473422367226</v>
      </c>
      <c r="Y15" s="1">
        <f ca="1">_xll.QCurves_GetDF($D$35,valDate,U15)</f>
        <v>0.98697191281199692</v>
      </c>
    </row>
    <row r="16" spans="2:25" x14ac:dyDescent="0.25">
      <c r="B16" t="s">
        <v>16</v>
      </c>
      <c r="C16" t="s">
        <v>22</v>
      </c>
      <c r="D16" s="6">
        <v>8.0924999999999994</v>
      </c>
      <c r="E16" s="1">
        <f t="shared" ca="1" si="1"/>
        <v>8.0924999999999997E-2</v>
      </c>
      <c r="F16" t="str">
        <f ca="1">_xll.QIns_CreateIRS("ZAROISSwap_"&amp;B16,valDate,B16,index,E16,1,"ZAR.JIBAR.3M","ZAR.OIS.1B","Pay","ZAR.JIBAR.3M")</f>
        <v>ZAROISSwap_7y¬3</v>
      </c>
      <c r="I16" t="s">
        <v>16</v>
      </c>
      <c r="J16" t="s">
        <v>49</v>
      </c>
      <c r="K16" s="6">
        <v>0.69269999999999998</v>
      </c>
      <c r="L16" s="1">
        <f t="shared" ca="1" si="3"/>
        <v>6.927E-3</v>
      </c>
      <c r="M16" t="str">
        <f ca="1">_xll.QIns_CreateIRS("USDSwap_"&amp;I16,valDate,I16,$J$2,L16,1000000,"USD.LIBOR.3M","USD.OIS.1B","Pay","USD.LIBOR.3M")</f>
        <v>USDSwap_7y¬1</v>
      </c>
      <c r="O16" s="2">
        <f ca="1">_xll.QDates_AddPeriod($R$5,P16,"MF","JHB+NYC")</f>
        <v>45033</v>
      </c>
      <c r="P16" t="s">
        <v>13</v>
      </c>
      <c r="Q16" s="6">
        <v>30940</v>
      </c>
      <c r="R16" s="5">
        <f t="shared" ca="1" si="2"/>
        <v>21.138500000000001</v>
      </c>
      <c r="S16" s="5" t="str">
        <f ca="1">_xll.QIns_CreateFxForward("ZARFwd_"&amp;P16,O16,"ZAR","USD",1000000,R16,"ZAR.DISC.[USD.OIS.1B]","ZAR.DISC.[USD.OIS.1B]")</f>
        <v>ZARFwd_3y¬3</v>
      </c>
      <c r="U16" s="2">
        <f t="shared" ca="1" si="0"/>
        <v>45025</v>
      </c>
      <c r="V16" s="1">
        <f ca="1">_xll.QCurves_GetDF($D$33,valDate,U16)</f>
        <v>0.8377283823885916</v>
      </c>
      <c r="W16" s="1">
        <f ca="1">_xll.QCurves_GetForwardRate($D$33,U16,U17,"Linear","Act365F")</f>
        <v>7.865262674858732E-2</v>
      </c>
      <c r="X16" s="1">
        <f ca="1">_xll.QCurves_GetDF($D$34,valDate,U16)</f>
        <v>0.84575635889675416</v>
      </c>
      <c r="Y16" s="1">
        <f ca="1">_xll.QCurves_GetDF($D$35,valDate,U16)</f>
        <v>0.98577607347647955</v>
      </c>
    </row>
    <row r="17" spans="2:25" x14ac:dyDescent="0.25">
      <c r="B17" t="s">
        <v>17</v>
      </c>
      <c r="C17" t="s">
        <v>23</v>
      </c>
      <c r="D17" s="6">
        <v>8.9600000000000009</v>
      </c>
      <c r="E17" s="1">
        <f t="shared" ca="1" si="1"/>
        <v>8.9600000000000013E-2</v>
      </c>
      <c r="F17" t="str">
        <f ca="1">_xll.QIns_CreateIRS("ZAROISSwap_"&amp;B17,valDate,B17,index,E17,1,"ZAR.JIBAR.3M","ZAR.OIS.1B","Pay","ZAR.JIBAR.3M")</f>
        <v>ZAROISSwap_10y¬3</v>
      </c>
      <c r="I17" t="s">
        <v>17</v>
      </c>
      <c r="J17" t="s">
        <v>47</v>
      </c>
      <c r="K17" s="6">
        <v>0.8155</v>
      </c>
      <c r="L17" s="1">
        <f t="shared" ca="1" si="3"/>
        <v>8.1550000000000008E-3</v>
      </c>
      <c r="M17" t="str">
        <f ca="1">_xll.QIns_CreateIRS("USDSwap_"&amp;I17,valDate,I17,$J$2,L17,1000000,"USD.LIBOR.3M","USD.OIS.1B","Pay","USD.LIBOR.3M")</f>
        <v>USDSwap_10y¬1</v>
      </c>
      <c r="O17" s="2">
        <f ca="1">_xll.QDates_AddPeriod($R$5,P17,"MF","JHB+NYC")</f>
        <v>45397</v>
      </c>
      <c r="P17" t="s">
        <v>14</v>
      </c>
      <c r="Q17" s="6">
        <v>46326</v>
      </c>
      <c r="R17" s="5">
        <f t="shared" ca="1" si="2"/>
        <v>22.677099999999999</v>
      </c>
      <c r="S17" s="5" t="str">
        <f ca="1">_xll.QIns_CreateFxForward("ZARFwd_"&amp;P17,O17,"ZAR","USD",1000000,R17,"ZAR.DISC.[USD.OIS.1B]","ZAR.DISC.[USD.OIS.1B]")</f>
        <v>ZARFwd_4y¬3</v>
      </c>
      <c r="U17" s="2">
        <f t="shared" ca="1" si="0"/>
        <v>45116</v>
      </c>
      <c r="V17" s="1">
        <f ca="1">_xll.QCurves_GetDF($D$33,valDate,U17)</f>
        <v>0.82161705929154938</v>
      </c>
      <c r="W17" s="1">
        <f ca="1">_xll.QCurves_GetForwardRate($D$33,U17,U18,"Linear","Act365F")</f>
        <v>8.1686634800363755E-2</v>
      </c>
      <c r="X17" s="1">
        <f ca="1">_xll.QCurves_GetDF($D$34,valDate,U17)</f>
        <v>0.8300967860738232</v>
      </c>
      <c r="Y17" s="1">
        <f ca="1">_xll.QCurves_GetDF($D$35,valDate,U17)</f>
        <v>0.98422717366878043</v>
      </c>
    </row>
    <row r="18" spans="2:25" x14ac:dyDescent="0.25">
      <c r="B18" t="s">
        <v>0</v>
      </c>
      <c r="E18" s="3">
        <v>4.0000000000000001E-3</v>
      </c>
      <c r="F18" t="str">
        <f ca="1">_xll.QIns_CreateIRBasisSwap("ZAROISBasis_"&amp;B18,valDate,B18,oisIndex,index,E18,TRUE,1,"ZAR.OIS.1B","ZAR.JIBAR.3M","ZAR.OIS.1B","ZAR.OIS.1B")</f>
        <v>ZAROISBasis_3m¬3</v>
      </c>
      <c r="I18" t="s">
        <v>0</v>
      </c>
      <c r="L18" s="3">
        <v>4.0000000000000001E-3</v>
      </c>
      <c r="M18" t="str">
        <f ca="1">_xll.QIns_CreateIRBasisSwap("USDOISBasis_"&amp;I18,valDate,I18,$J$3,$J$2,L18,TRUE,1,"USD.OIS.1B","USD.LIBOR.3M","USD.OIS.1B","USD.OIS.1B")</f>
        <v>USDOISBasis_3m¬3</v>
      </c>
      <c r="O18" s="2">
        <f ca="1">_xll.QDates_AddPeriod($R$5,P18,"MF","JHB+NYC")</f>
        <v>45762</v>
      </c>
      <c r="P18" t="s">
        <v>15</v>
      </c>
      <c r="Q18" s="6">
        <v>66676</v>
      </c>
      <c r="R18" s="5">
        <f t="shared" ca="1" si="2"/>
        <v>24.7121</v>
      </c>
      <c r="S18" s="5" t="str">
        <f ca="1">_xll.QIns_CreateFxForward("ZARFwd_"&amp;P18,O18,"ZAR","USD",1000000,R18,"ZAR.DISC.[USD.OIS.1B]","ZAR.DISC.[USD.OIS.1B]")</f>
        <v>ZARFwd_5y¬3</v>
      </c>
      <c r="U18" s="2">
        <f t="shared" ca="1" si="0"/>
        <v>45208</v>
      </c>
      <c r="V18" s="1">
        <f ca="1">_xll.QCurves_GetDF($D$33,valDate,U18)</f>
        <v>0.80504164788264565</v>
      </c>
      <c r="W18" s="1">
        <f ca="1">_xll.QCurves_GetForwardRate($D$33,U18,U19,"Linear","Act365F")</f>
        <v>8.4683640526620002E-2</v>
      </c>
      <c r="X18" s="1">
        <f ca="1">_xll.QCurves_GetDF($D$34,valDate,U18)</f>
        <v>0.81395435108703718</v>
      </c>
      <c r="Y18" s="1">
        <f ca="1">_xll.QCurves_GetDF($D$35,valDate,U18)</f>
        <v>0.98260113641887803</v>
      </c>
    </row>
    <row r="19" spans="2:25" x14ac:dyDescent="0.25">
      <c r="B19" t="s">
        <v>32</v>
      </c>
      <c r="E19" s="3">
        <v>4.0000000000000001E-3</v>
      </c>
      <c r="F19" t="str">
        <f ca="1">_xll.QIns_CreateIRBasisSwap("ZAROISBasis_"&amp;B19,valDate,B19,oisIndex,index,E19,TRUE,1,"ZAR.OIS.1B","ZAR.JIBAR.3M","ZAR.OIS.1B","ZAR.OIS.1B")</f>
        <v>ZAROISBasis_6m¬3</v>
      </c>
      <c r="I19" t="s">
        <v>32</v>
      </c>
      <c r="L19" s="3">
        <v>4.0000000000000001E-3</v>
      </c>
      <c r="M19" t="str">
        <f ca="1">_xll.QIns_CreateIRBasisSwap("USDOISBasis_"&amp;I19,valDate,I19,$J$3,$J$2,L19,TRUE,1,"USD.OIS.1B","USD.LIBOR.3M","USD.OIS.1B","USD.OIS.1B")</f>
        <v>USDOISBasis_6m¬3</v>
      </c>
      <c r="R19" s="5"/>
      <c r="S19" s="5"/>
      <c r="U19" s="2">
        <f t="shared" ca="1" si="0"/>
        <v>45300</v>
      </c>
      <c r="V19" s="1">
        <f ca="1">_xll.QCurves_GetDF($D$33,valDate,U19)</f>
        <v>0.78821721633937258</v>
      </c>
      <c r="W19" s="1">
        <f ca="1">_xll.QCurves_GetForwardRate($D$33,U19,U20,"Linear","Act365F")</f>
        <v>8.7656107965939062E-2</v>
      </c>
      <c r="X19" s="1">
        <f ca="1">_xll.QCurves_GetDF($D$34,valDate,U19)</f>
        <v>0.79752930457893967</v>
      </c>
      <c r="Y19" s="1">
        <f ca="1">_xll.QCurves_GetDF($D$35,valDate,U19)</f>
        <v>0.98091844194025224</v>
      </c>
    </row>
    <row r="20" spans="2:25" x14ac:dyDescent="0.25">
      <c r="B20" t="s">
        <v>33</v>
      </c>
      <c r="E20" s="3">
        <v>4.0000000000000001E-3</v>
      </c>
      <c r="F20" t="str">
        <f ca="1">_xll.QIns_CreateIRBasisSwap("ZAROISBasis_"&amp;B20,valDate,B20,oisIndex,index,E20,TRUE,1,"ZAR.OIS.1B","ZAR.JIBAR.3M","ZAR.OIS.1B","ZAR.OIS.1B")</f>
        <v>ZAROISBasis_9m¬3</v>
      </c>
      <c r="I20" t="s">
        <v>33</v>
      </c>
      <c r="L20" s="3">
        <v>4.0000000000000001E-3</v>
      </c>
      <c r="M20" t="str">
        <f ca="1">_xll.QIns_CreateIRBasisSwap("USDOISBasis_"&amp;I20,valDate,I20,$J$3,$J$2,L20,TRUE,1,"USD.OIS.1B","USD.LIBOR.3M","USD.OIS.1B","USD.OIS.1B")</f>
        <v>USDOISBasis_9m¬3</v>
      </c>
      <c r="U20" s="2">
        <f t="shared" ca="1" si="0"/>
        <v>45391</v>
      </c>
      <c r="V20" s="1">
        <f ca="1">_xll.QCurves_GetDF($D$33,valDate,U20)</f>
        <v>0.77135992535398656</v>
      </c>
      <c r="W20" s="1">
        <f ca="1">_xll.QCurves_GetForwardRate($D$33,U20,U21,"Linear","Act365F")</f>
        <v>9.4832662664627754E-2</v>
      </c>
      <c r="X20" s="1">
        <f ca="1">_xll.QCurves_GetDF($D$34,valDate,U20)</f>
        <v>0.7810341839908691</v>
      </c>
      <c r="Y20" s="1">
        <f ca="1">_xll.QCurves_GetDF($D$35,valDate,U20)</f>
        <v>0.97919859526263953</v>
      </c>
    </row>
    <row r="21" spans="2:25" x14ac:dyDescent="0.25">
      <c r="B21" t="s">
        <v>34</v>
      </c>
      <c r="E21" s="3">
        <v>4.0000000000000001E-3</v>
      </c>
      <c r="F21" t="str">
        <f ca="1">_xll.QIns_CreateIRBasisSwap("ZAROISBasis_"&amp;B21,valDate,B21,oisIndex,index,E21,TRUE,1,"ZAR.OIS.1B","ZAR.JIBAR.3M","ZAR.OIS.1B","ZAR.OIS.1B")</f>
        <v>ZAROISBasis_1y¬3</v>
      </c>
      <c r="I21" t="s">
        <v>34</v>
      </c>
      <c r="L21" s="3">
        <v>4.0000000000000001E-3</v>
      </c>
      <c r="M21" t="str">
        <f ca="1">_xll.QIns_CreateIRBasisSwap("USDOISBasis_"&amp;I21,valDate,I21,$J$3,$J$2,L21,TRUE,1,"USD.OIS.1B","USD.LIBOR.3M","USD.OIS.1B","USD.OIS.1B")</f>
        <v>USDOISBasis_1y¬3</v>
      </c>
      <c r="U21" s="2">
        <f t="shared" ca="1" si="0"/>
        <v>45482</v>
      </c>
      <c r="V21" s="1">
        <f ca="1">_xll.QCurves_GetDF($D$33,valDate,U21)</f>
        <v>0.75354373132308183</v>
      </c>
      <c r="W21" s="1">
        <f ca="1">_xll.QCurves_GetForwardRate($D$33,U21,U22,"Linear","Act365F")</f>
        <v>9.8332294651314087E-2</v>
      </c>
      <c r="X21" s="1">
        <f ca="1">_xll.QCurves_GetDF($D$34,valDate,U21)</f>
        <v>0.76432090740954051</v>
      </c>
      <c r="Y21" s="1">
        <f ca="1">_xll.QCurves_GetDF($D$35,valDate,U21)</f>
        <v>0.97728822179602359</v>
      </c>
    </row>
    <row r="22" spans="2:25" x14ac:dyDescent="0.25">
      <c r="B22" t="s">
        <v>35</v>
      </c>
      <c r="E22" s="3">
        <v>4.0000000000000001E-3</v>
      </c>
      <c r="F22" t="str">
        <f ca="1">_xll.QIns_CreateIRBasisSwap("ZAROISBasis_"&amp;B22,valDate,B22,oisIndex,index,E22,TRUE,1,"ZAR.OIS.1B","ZAR.JIBAR.3M","ZAR.OIS.1B","ZAR.OIS.1B")</f>
        <v>ZAROISBasis_18m¬3</v>
      </c>
      <c r="I22" t="s">
        <v>35</v>
      </c>
      <c r="L22" s="3">
        <v>4.0000000000000001E-3</v>
      </c>
      <c r="M22" t="str">
        <f ca="1">_xll.QIns_CreateIRBasisSwap("USDOISBasis_"&amp;I22,valDate,I22,$J$3,$J$2,L22,TRUE,1,"USD.OIS.1B","USD.LIBOR.3M","USD.OIS.1B","USD.OIS.1B")</f>
        <v>USDOISBasis_18m¬3</v>
      </c>
      <c r="U22" s="2">
        <f t="shared" ca="1" si="0"/>
        <v>45574</v>
      </c>
      <c r="V22" s="1">
        <f ca="1">_xll.QCurves_GetDF($D$33,valDate,U22)</f>
        <v>0.73531876289695641</v>
      </c>
      <c r="W22" s="1">
        <f ca="1">_xll.QCurves_GetForwardRate($D$33,U22,U23,"Linear","Act365F")</f>
        <v>0.10184177743101935</v>
      </c>
      <c r="X22" s="1">
        <f ca="1">_xll.QCurves_GetDF($D$34,valDate,U22)</f>
        <v>0.7472316374930501</v>
      </c>
      <c r="Y22" s="1">
        <f ca="1">_xll.QCurves_GetDF($D$35,valDate,U22)</f>
        <v>0.97528581972614004</v>
      </c>
    </row>
    <row r="23" spans="2:25" x14ac:dyDescent="0.25">
      <c r="B23" t="s">
        <v>12</v>
      </c>
      <c r="E23" s="3">
        <v>4.0000000000000001E-3</v>
      </c>
      <c r="F23" t="str">
        <f ca="1">_xll.QIns_CreateIRBasisSwap("ZAROISBasis_"&amp;B23,valDate,B23,oisIndex,index,E23,TRUE,1,"ZAR.OIS.1B","ZAR.JIBAR.3M","ZAR.OIS.1B","ZAR.OIS.1B")</f>
        <v>ZAROISBasis_2y¬3</v>
      </c>
      <c r="I23" t="s">
        <v>12</v>
      </c>
      <c r="L23" s="3">
        <v>4.0000000000000001E-3</v>
      </c>
      <c r="M23" t="str">
        <f ca="1">_xll.QIns_CreateIRBasisSwap("USDOISBasis_"&amp;I23,valDate,I23,$J$3,$J$2,L23,TRUE,1,"USD.OIS.1B","USD.LIBOR.3M","USD.OIS.1B","USD.OIS.1B")</f>
        <v>USDOISBasis_2y¬3</v>
      </c>
      <c r="U23" s="2">
        <f t="shared" ca="1" si="0"/>
        <v>45666</v>
      </c>
      <c r="V23" s="1">
        <f ca="1">_xll.QCurves_GetDF($D$33,valDate,U23)</f>
        <v>0.71691574486215071</v>
      </c>
      <c r="W23" s="1">
        <f ca="1">_xll.QCurves_GetForwardRate($D$33,U23,U24,"Linear","Act365F")</f>
        <v>0.10528597726554249</v>
      </c>
      <c r="X23" s="1">
        <f ca="1">_xll.QCurves_GetDF($D$34,valDate,U23)</f>
        <v>0.72997846365860708</v>
      </c>
      <c r="Y23" s="1">
        <f ca="1">_xll.QCurves_GetDF($D$35,valDate,U23)</f>
        <v>0.97321244732404855</v>
      </c>
    </row>
    <row r="24" spans="2:25" x14ac:dyDescent="0.25">
      <c r="B24" t="s">
        <v>15</v>
      </c>
      <c r="E24" s="3">
        <v>4.0000000000000001E-3</v>
      </c>
      <c r="F24" t="str">
        <f ca="1">_xll.QIns_CreateIRBasisSwap("ZAROISBasis_"&amp;B24,valDate,B24,oisIndex,index,E24,TRUE,1,"ZAR.OIS.1B","ZAR.JIBAR.3M","ZAR.OIS.1B","ZAR.OIS.1B")</f>
        <v>ZAROISBasis_5y¬3</v>
      </c>
      <c r="I24" t="s">
        <v>15</v>
      </c>
      <c r="L24" s="3">
        <v>4.0000000000000001E-3</v>
      </c>
      <c r="M24" t="str">
        <f ca="1">_xll.QIns_CreateIRBasisSwap("USDOISBasis_"&amp;I24,valDate,I24,$J$3,$J$2,L24,TRUE,1,"USD.OIS.1B","USD.LIBOR.3M","USD.OIS.1B","USD.OIS.1B")</f>
        <v>USDOISBasis_5y¬3</v>
      </c>
      <c r="U24" s="2">
        <f t="shared" ca="1" si="0"/>
        <v>45756</v>
      </c>
      <c r="V24" s="1">
        <f ca="1">_xll.QCurves_GetDF($D$33,valDate,U24)</f>
        <v>0.69877490142472021</v>
      </c>
      <c r="W24" s="1">
        <f ca="1">_xll.QCurves_GetForwardRate($D$33,U24,U25,"Linear","Act365F")</f>
        <v>0.10510287105152567</v>
      </c>
      <c r="X24" s="1">
        <f ca="1">_xll.QCurves_GetDF($D$34,valDate,U24)</f>
        <v>0.71296988674522044</v>
      </c>
      <c r="Y24" s="1">
        <f ca="1">_xll.QCurves_GetDF($D$35,valDate,U24)</f>
        <v>0.97111592716689865</v>
      </c>
    </row>
    <row r="25" spans="2:25" x14ac:dyDescent="0.25">
      <c r="B25" t="s">
        <v>17</v>
      </c>
      <c r="E25" s="3">
        <v>4.0000000000000001E-3</v>
      </c>
      <c r="F25" t="str">
        <f ca="1">_xll.QIns_CreateIRBasisSwap("ZAROISBasis_"&amp;B25,valDate,B25,oisIndex,index,E25,TRUE,1,"ZAR.OIS.1B","ZAR.JIBAR.3M","ZAR.OIS.1B","ZAR.OIS.1B")</f>
        <v>ZAROISBasis_10y¬3</v>
      </c>
      <c r="I25" t="s">
        <v>17</v>
      </c>
      <c r="L25" s="3">
        <v>4.0000000000000001E-3</v>
      </c>
      <c r="M25" t="str">
        <f ca="1">_xll.QIns_CreateIRBasisSwap("USDOISBasis_"&amp;I25,valDate,I25,$J$3,$J$2,L25,TRUE,1,"USD.OIS.1B","USD.LIBOR.3M","USD.OIS.1B","USD.OIS.1B")</f>
        <v>USDOISBasis_10y¬3</v>
      </c>
      <c r="U25" s="2">
        <f t="shared" ca="1" si="0"/>
        <v>45847</v>
      </c>
      <c r="V25" s="1">
        <f ca="1">_xll.QCurves_GetDF($D$33,valDate,U25)</f>
        <v>0.68093194493511044</v>
      </c>
      <c r="W25" s="1">
        <f ca="1">_xll.QCurves_GetForwardRate($D$33,U25,U26,"Linear","Act365F")</f>
        <v>0.10826492821737227</v>
      </c>
      <c r="X25" s="1">
        <f ca="1">_xll.QCurves_GetDF($D$34,valDate,U25)</f>
        <v>0.69658949782740331</v>
      </c>
      <c r="Y25" s="1">
        <f ca="1">_xll.QCurves_GetDF($D$35,valDate,U25)</f>
        <v>0.96895696385680063</v>
      </c>
    </row>
    <row r="26" spans="2:25" x14ac:dyDescent="0.25">
      <c r="U26" s="2">
        <f t="shared" ca="1" si="0"/>
        <v>45939</v>
      </c>
      <c r="V26" s="1">
        <f ca="1">_xll.QCurves_GetDF($D$33,valDate,U26)</f>
        <v>0.66284380306723867</v>
      </c>
      <c r="W26" s="1">
        <f ca="1">_xll.QCurves_GetForwardRate($D$33,U26,U27,"Linear","Act365F")</f>
        <v>0.11143163097328238</v>
      </c>
      <c r="X26" s="1">
        <f ca="1">_xll.QCurves_GetDF($D$34,valDate,U26)</f>
        <v>0.67999263313482983</v>
      </c>
      <c r="Y26" s="1">
        <f ca="1">_xll.QCurves_GetDF($D$35,valDate,U26)</f>
        <v>0.96670777979465861</v>
      </c>
    </row>
    <row r="27" spans="2:25" x14ac:dyDescent="0.25">
      <c r="B27" t="s">
        <v>51</v>
      </c>
      <c r="C27" t="str">
        <f ca="1">_xll.QIns_CreateFundingInstrumentCollection("FundingInstruments_ZAR",F6:F25)</f>
        <v>FundingInstruments_ZAR¬3</v>
      </c>
      <c r="G27" t="s">
        <v>53</v>
      </c>
      <c r="H27">
        <v>0</v>
      </c>
      <c r="J27" t="str">
        <f ca="1">_xll.QIns_CreateFxPair("USDZAR","ZAR","USD","NYC+JHB","2b")</f>
        <v>USDZAR¬3</v>
      </c>
      <c r="L27" t="s">
        <v>63</v>
      </c>
      <c r="M27">
        <f ca="1">1/Q5</f>
        <v>5.5418548588212477E-2</v>
      </c>
      <c r="U27" s="2">
        <f t="shared" ca="1" si="0"/>
        <v>46031</v>
      </c>
      <c r="V27" s="1">
        <f ca="1">_xll.QCurves_GetDF($D$33,valDate,U27)</f>
        <v>0.64473520477122048</v>
      </c>
      <c r="W27" s="1">
        <f ca="1">_xll.QCurves_GetForwardRate($D$33,U27,U28,"Linear","Act365F")</f>
        <v>0.11453072200221853</v>
      </c>
      <c r="X27" s="1">
        <f ca="1">_xll.QCurves_GetDF($D$34,valDate,U27)</f>
        <v>0.66338020301094713</v>
      </c>
      <c r="Y27" s="1">
        <f ca="1">_xll.QCurves_GetDF($D$35,valDate,U27)</f>
        <v>0.96439222348453846</v>
      </c>
    </row>
    <row r="28" spans="2:25" x14ac:dyDescent="0.25">
      <c r="B28" t="s">
        <v>50</v>
      </c>
      <c r="C28" t="str">
        <f ca="1">_xll.QIns_CreateFundingInstrumentCollection("FundingInstruments_USD",M6:M25)</f>
        <v>FundingInstruments_USD¬4</v>
      </c>
      <c r="G28" t="s">
        <v>54</v>
      </c>
      <c r="H28">
        <v>0</v>
      </c>
      <c r="J28" t="str">
        <f ca="1">_xll.QIns_CreateFxMatrix("fxMatrix","USD",valDate,L27:M27,J27,L29:M30)</f>
        <v>fxMatrix¬3</v>
      </c>
      <c r="U28" s="2">
        <f t="shared" ca="1" si="0"/>
        <v>46121</v>
      </c>
      <c r="V28" s="1">
        <f ca="1">_xll.QCurves_GetDF($D$33,valDate,U28)</f>
        <v>0.62702766022949408</v>
      </c>
      <c r="W28" s="1">
        <f ca="1">_xll.QCurves_GetForwardRate($D$33,U28,U29,"Linear","Act365F")</f>
        <v>0.11766741594568447</v>
      </c>
      <c r="X28" s="1">
        <f ca="1">_xll.QCurves_GetDF($D$34,valDate,U28)</f>
        <v>0.6471337393882084</v>
      </c>
      <c r="Y28" s="1">
        <f ca="1">_xll.QCurves_GetDF($D$35,valDate,U28)</f>
        <v>0.96206326422356037</v>
      </c>
    </row>
    <row r="29" spans="2:25" x14ac:dyDescent="0.25">
      <c r="B29" t="s">
        <v>62</v>
      </c>
      <c r="C29" t="str">
        <f ca="1">_xll.QIns_CreateFundingInstrumentCollection("FundingInstruments_XCY",S6:S18)</f>
        <v>FundingInstruments_XCY¬3</v>
      </c>
      <c r="G29" t="s">
        <v>55</v>
      </c>
      <c r="H29">
        <v>1</v>
      </c>
      <c r="L29" t="s">
        <v>63</v>
      </c>
      <c r="M29" t="s">
        <v>65</v>
      </c>
      <c r="U29" s="2">
        <f t="shared" ca="1" si="0"/>
        <v>46212</v>
      </c>
      <c r="V29" s="1">
        <f ca="1">_xll.QCurves_GetDF($D$33,valDate,U29)</f>
        <v>0.60915726442122597</v>
      </c>
      <c r="W29" s="1">
        <f ca="1">_xll.QCurves_GetForwardRate($D$33,U29,U30,"Linear","Act365F")</f>
        <v>0.12084296785545989</v>
      </c>
      <c r="X29" s="1">
        <f ca="1">_xll.QCurves_GetDF($D$34,valDate,U29)</f>
        <v>0.6307310415303149</v>
      </c>
      <c r="Y29" s="1">
        <f ca="1">_xll.QCurves_GetDF($D$35,valDate,U29)</f>
        <v>0.95964482860679623</v>
      </c>
    </row>
    <row r="30" spans="2:25" x14ac:dyDescent="0.25">
      <c r="B30" t="s">
        <v>26</v>
      </c>
      <c r="C30" t="str">
        <f ca="1">_xll.QIns_CreateFundingInstrumentCollection("FundingInstrumentsComplex",C27:C29)</f>
        <v>FundingInstrumentsComplex¬3</v>
      </c>
      <c r="G30" t="s">
        <v>56</v>
      </c>
      <c r="H30">
        <v>1</v>
      </c>
      <c r="L30" t="s">
        <v>64</v>
      </c>
      <c r="M30" t="s">
        <v>54</v>
      </c>
      <c r="U30" s="2">
        <f t="shared" ca="1" si="0"/>
        <v>46304</v>
      </c>
      <c r="V30" s="1">
        <f ca="1">_xll.QCurves_GetDF($D$33,valDate,U30)</f>
        <v>0.59115135604560298</v>
      </c>
      <c r="W30" s="1">
        <f ca="1">_xll.QCurves_GetForwardRate($D$33,U30,U31,"Linear","Act365F")</f>
        <v>0.1240194434946833</v>
      </c>
      <c r="X30" s="1">
        <f ca="1">_xll.QCurves_GetDF($D$34,valDate,U30)</f>
        <v>0.61419222990008104</v>
      </c>
      <c r="Y30" s="1">
        <f ca="1">_xll.QCurves_GetDF($D$35,valDate,U30)</f>
        <v>0.95713532851836425</v>
      </c>
    </row>
    <row r="31" spans="2:25" x14ac:dyDescent="0.25">
      <c r="G31" t="s">
        <v>65</v>
      </c>
      <c r="H31">
        <v>2</v>
      </c>
      <c r="U31" s="2">
        <f t="shared" ca="1" si="0"/>
        <v>46396</v>
      </c>
      <c r="V31" s="1">
        <f ca="1">_xll.QCurves_GetDF($D$33,valDate,U31)</f>
        <v>0.57323228931866455</v>
      </c>
      <c r="W31" s="1">
        <f ca="1">_xll.QCurves_GetForwardRate($D$33,U31,U32,"Linear","Act365F")</f>
        <v>0.12711999300751539</v>
      </c>
      <c r="X31" s="1">
        <f ca="1">_xll.QCurves_GetDF($D$34,valDate,U31)</f>
        <v>0.59771677487976194</v>
      </c>
      <c r="Y31" s="1">
        <f ca="1">_xll.QCurves_GetDF($D$35,valDate,U31)</f>
        <v>0.95456152749551193</v>
      </c>
    </row>
    <row r="32" spans="2:25" x14ac:dyDescent="0.25">
      <c r="B32" t="s">
        <v>27</v>
      </c>
      <c r="C32" t="str">
        <f ca="1">_xll.QCurves_CreateFundingModel("ModelComplex",valDate,C30,G27:H31,J28)</f>
        <v>ModelComplex¬12</v>
      </c>
      <c r="U32" s="2">
        <f t="shared" ca="1" si="0"/>
        <v>46486</v>
      </c>
      <c r="V32" s="1">
        <f ca="1">_xll.QCurves_GetDF($D$33,valDate,U32)</f>
        <v>0.55581059744612504</v>
      </c>
      <c r="W32" s="1">
        <f ca="1">_xll.QCurves_GetForwardRate($D$33,U32,U33,"Linear","Act365F")</f>
        <v>0.11317255021449089</v>
      </c>
      <c r="X32" s="1">
        <f ca="1">_xll.QCurves_GetDF($D$34,valDate,U32)</f>
        <v>0.58167849418104156</v>
      </c>
      <c r="Y32" s="1">
        <f ca="1">_xll.QCurves_GetDF($D$35,valDate,U32)</f>
        <v>0.9519819919124336</v>
      </c>
    </row>
    <row r="33" spans="2:25" x14ac:dyDescent="0.25">
      <c r="B33" t="s">
        <v>28</v>
      </c>
      <c r="C33" t="str">
        <f t="array" aca="1" ref="C33:C38" ca="1">_xll.QCurves_ListCurvesInModel(C32)</f>
        <v>ZAR.JIBAR.3M</v>
      </c>
      <c r="D33" t="str">
        <f ca="1">_xll.QCurves_ExtractCurveFromModel($C$32,C33,"curve.complex."&amp;C33)</f>
        <v>curve.complex.ZAR.JIBAR.3M¬3</v>
      </c>
      <c r="U33" s="2">
        <f t="shared" ca="1" si="0"/>
        <v>46577</v>
      </c>
      <c r="V33" s="1">
        <f ca="1">_xll.QCurves_GetDF($D$33,valDate,U33)</f>
        <v>0.54055840574225256</v>
      </c>
      <c r="W33" s="1">
        <f ca="1">_xll.QCurves_GetForwardRate($D$33,U33,U34,"Linear","Act365F")</f>
        <v>0.1151625160290714</v>
      </c>
      <c r="X33" s="1">
        <f ca="1">_xll.QCurves_GetDF($D$34,valDate,U33)</f>
        <v>0.56555858172537254</v>
      </c>
      <c r="Y33" s="1">
        <f ca="1">_xll.QCurves_GetDF($D$35,valDate,U33)</f>
        <v>0.94920195317394584</v>
      </c>
    </row>
    <row r="34" spans="2:25" x14ac:dyDescent="0.25">
      <c r="B34" t="s">
        <v>28</v>
      </c>
      <c r="C34" t="str">
        <f ca="1"/>
        <v>ZAR.OIS.1B</v>
      </c>
      <c r="D34" t="str">
        <f ca="1">_xll.QCurves_ExtractCurveFromModel($C$32,C34,"curve.complex."&amp;C34)</f>
        <v>curve.complex.ZAR.OIS.1B¬3</v>
      </c>
      <c r="U34" s="2">
        <f t="shared" ca="1" si="0"/>
        <v>46669</v>
      </c>
      <c r="V34" s="1">
        <f ca="1">_xll.QCurves_GetDF($D$33,valDate,U34)</f>
        <v>0.5253100908871664</v>
      </c>
      <c r="W34" s="1">
        <f ca="1">_xll.QCurves_GetForwardRate($D$33,U34,U35,"Linear","Act365F")</f>
        <v>0.11714683807864844</v>
      </c>
      <c r="X34" s="1">
        <f ca="1">_xll.QCurves_GetDF($D$34,valDate,U34)</f>
        <v>0.54937707981928041</v>
      </c>
      <c r="Y34" s="1">
        <f ca="1">_xll.QCurves_GetDF($D$35,valDate,U34)</f>
        <v>0.94632205719360685</v>
      </c>
    </row>
    <row r="35" spans="2:25" x14ac:dyDescent="0.25">
      <c r="B35" t="s">
        <v>28</v>
      </c>
      <c r="C35" t="str">
        <f ca="1"/>
        <v>USD.LIBOR.3M</v>
      </c>
      <c r="D35" t="str">
        <f ca="1">_xll.QCurves_ExtractCurveFromModel($C$32,C35,"curve.complex."&amp;C35)</f>
        <v>curve.complex.USD.LIBOR.3M¬3</v>
      </c>
      <c r="M35" t="str">
        <f ca="1">_xll.QIns_CreateIRS("USDSwap_X",valDate,"6y",$J$2,L14,1000000,"USD.LIBOR.3M","USD.OIS.1B","Pay","USD.LIBOR.3M")</f>
        <v>USDSwap_X¬0</v>
      </c>
      <c r="U35" s="2">
        <f t="shared" ca="1" si="0"/>
        <v>46761</v>
      </c>
      <c r="V35" s="1">
        <f ca="1">_xll.QCurves_GetDF($D$33,valDate,U35)</f>
        <v>0.51024390371681438</v>
      </c>
      <c r="W35" s="1">
        <f ca="1">_xll.QCurves_GetForwardRate($D$33,U35,U36,"Linear","Act365F")</f>
        <v>0.11910208793379656</v>
      </c>
      <c r="X35" s="1">
        <f ca="1">_xll.QCurves_GetDF($D$34,valDate,U35)</f>
        <v>0.53332812950621078</v>
      </c>
      <c r="Y35" s="1">
        <f ca="1">_xll.QCurves_GetDF($D$35,valDate,U35)</f>
        <v>0.94337315800310673</v>
      </c>
    </row>
    <row r="36" spans="2:25" x14ac:dyDescent="0.25">
      <c r="B36" t="s">
        <v>28</v>
      </c>
      <c r="C36" t="str">
        <f ca="1"/>
        <v>USD.OIS.1B</v>
      </c>
      <c r="D36" t="str">
        <f ca="1">_xll.QCurves_ExtractCurveFromModel($C$32,C36,"curve.complex."&amp;C36)</f>
        <v>curve.complex.USD.OIS.1B¬3</v>
      </c>
      <c r="U36" s="2">
        <f t="shared" ca="1" si="0"/>
        <v>46852</v>
      </c>
      <c r="V36" s="1">
        <f ca="1">_xll.QCurves_GetDF($D$33,valDate,U36)</f>
        <v>0.49552967276340659</v>
      </c>
      <c r="W36" s="1">
        <f ca="1">_xll.QCurves_GetForwardRate($D$33,U36,U37,"Linear","Act365F")</f>
        <v>0.12106610256586189</v>
      </c>
      <c r="X36" s="1">
        <f ca="1">_xll.QCurves_GetDF($D$34,valDate,U36)</f>
        <v>0.51759942485096522</v>
      </c>
      <c r="Y36" s="1">
        <f ca="1">_xll.QCurves_GetDF($D$35,valDate,U36)</f>
        <v>0.94038911616997289</v>
      </c>
    </row>
    <row r="37" spans="2:25" x14ac:dyDescent="0.25">
      <c r="B37" t="s">
        <v>28</v>
      </c>
      <c r="C37" t="str">
        <f ca="1"/>
        <v>ZAR.DISC.[USD.OIS.1B]</v>
      </c>
      <c r="D37" t="str">
        <f ca="1">_xll.QCurves_ExtractCurveFromModel($C$32,C37,"curve.complex."&amp;C37)</f>
        <v>curve.complex.ZAR.DISC.[USD.OIS.1B]¬3</v>
      </c>
      <c r="U37" s="2">
        <f t="shared" ca="1" si="0"/>
        <v>46943</v>
      </c>
      <c r="Y37" s="1"/>
    </row>
    <row r="38" spans="2:25" x14ac:dyDescent="0.25">
      <c r="C38" t="e">
        <f ca="1"/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C107-E78D-42F6-9C95-7C92D15AD2A8}">
  <dimension ref="A1:AE57"/>
  <sheetViews>
    <sheetView tabSelected="1" workbookViewId="0">
      <selection activeCell="U30" sqref="Q30:U33"/>
    </sheetView>
  </sheetViews>
  <sheetFormatPr defaultRowHeight="15" x14ac:dyDescent="0.25"/>
  <cols>
    <col min="1" max="1" width="15.42578125" bestFit="1" customWidth="1"/>
    <col min="2" max="2" width="15.28515625" customWidth="1"/>
    <col min="3" max="3" width="14.28515625" bestFit="1" customWidth="1"/>
    <col min="4" max="4" width="9.42578125" bestFit="1" customWidth="1"/>
    <col min="5" max="5" width="13.7109375" bestFit="1" customWidth="1"/>
    <col min="8" max="8" width="10" bestFit="1" customWidth="1"/>
    <col min="10" max="10" width="9.5703125" bestFit="1" customWidth="1"/>
    <col min="11" max="11" width="8.140625" bestFit="1" customWidth="1"/>
    <col min="15" max="15" width="11.140625" bestFit="1" customWidth="1"/>
    <col min="17" max="17" width="11.85546875" bestFit="1" customWidth="1"/>
    <col min="18" max="18" width="11.5703125" customWidth="1"/>
    <col min="19" max="19" width="14.28515625" bestFit="1" customWidth="1"/>
    <col min="20" max="20" width="9.5703125" bestFit="1" customWidth="1"/>
    <col min="21" max="21" width="14.7109375" bestFit="1" customWidth="1"/>
    <col min="22" max="22" width="16.7109375" bestFit="1" customWidth="1"/>
    <col min="23" max="23" width="14.5703125" bestFit="1" customWidth="1"/>
    <col min="24" max="24" width="17.7109375" bestFit="1" customWidth="1"/>
    <col min="25" max="25" width="8" bestFit="1" customWidth="1"/>
    <col min="26" max="26" width="9.28515625" bestFit="1" customWidth="1"/>
    <col min="27" max="27" width="12.5703125" bestFit="1" customWidth="1"/>
    <col min="28" max="28" width="17" bestFit="1" customWidth="1"/>
    <col min="29" max="29" width="8.5703125" bestFit="1" customWidth="1"/>
    <col min="30" max="30" width="10" bestFit="1" customWidth="1"/>
    <col min="31" max="31" width="14.28515625" bestFit="1" customWidth="1"/>
  </cols>
  <sheetData>
    <row r="1" spans="1:15" x14ac:dyDescent="0.25">
      <c r="A1" s="8" t="s">
        <v>66</v>
      </c>
      <c r="D1" t="s">
        <v>99</v>
      </c>
      <c r="E1" s="2">
        <f ca="1">valDate</f>
        <v>43930</v>
      </c>
      <c r="K1" s="28" t="s">
        <v>86</v>
      </c>
      <c r="L1" s="28"/>
    </row>
    <row r="2" spans="1:15" x14ac:dyDescent="0.25">
      <c r="A2" s="16" t="s">
        <v>74</v>
      </c>
      <c r="B2" t="str" cm="1">
        <f t="array" aca="1" ref="B2" ca="1">_xll.QIns_CreateInflationIndex(B3,B4,"Linear",B6,B7,"1y","USD",B5,"P")</f>
        <v>USD.CPI¬19</v>
      </c>
      <c r="E2" s="2">
        <f ca="1">EDATE(E1,-3)</f>
        <v>43839</v>
      </c>
      <c r="F2">
        <f ca="1">9/30</f>
        <v>0.3</v>
      </c>
      <c r="J2" s="14" t="s">
        <v>88</v>
      </c>
      <c r="K2" s="14" t="s">
        <v>36</v>
      </c>
      <c r="L2" s="14" t="s">
        <v>30</v>
      </c>
      <c r="M2" s="14" t="s">
        <v>79</v>
      </c>
    </row>
    <row r="3" spans="1:15" x14ac:dyDescent="0.25">
      <c r="A3" s="16" t="s">
        <v>67</v>
      </c>
      <c r="B3" t="s">
        <v>77</v>
      </c>
      <c r="F3">
        <f ca="1">F13-F14</f>
        <v>2</v>
      </c>
      <c r="J3" s="2">
        <f ca="1">valDate</f>
        <v>43930</v>
      </c>
      <c r="K3" s="1">
        <f ca="1">_xll.QCurves_GetDF($B$28,valDate,J3)</f>
        <v>1</v>
      </c>
      <c r="L3" s="1">
        <f ca="1">_xll.QCurves_GetForwardRate($B$28,J3,J4,"Linear","Act365F")</f>
        <v>1.329593611111116E-2</v>
      </c>
      <c r="M3" cm="1">
        <f t="array" aca="1" ref="M3" ca="1">_xll.QCurves_GetCpiForecast($B$30,J3,-3)</f>
        <v>100.6</v>
      </c>
      <c r="N3">
        <v>100.6</v>
      </c>
      <c r="O3" s="25">
        <f ca="1">M3-N3</f>
        <v>0</v>
      </c>
    </row>
    <row r="4" spans="1:15" x14ac:dyDescent="0.25">
      <c r="A4" s="16" t="s">
        <v>70</v>
      </c>
      <c r="B4" t="s">
        <v>64</v>
      </c>
      <c r="F4">
        <f ca="1">F14+F3*F2</f>
        <v>100.6</v>
      </c>
      <c r="J4" s="2">
        <f ca="1">EDATE(J3,3)</f>
        <v>44021</v>
      </c>
      <c r="K4" s="1">
        <f ca="1">_xll.QCurves_GetDF($B$28,valDate,J4)</f>
        <v>0.99669607488388912</v>
      </c>
      <c r="L4" s="1">
        <f ca="1">_xll.QCurves_GetForwardRate($B$28,J4,J5,"Linear","Act365F")</f>
        <v>1.084789019614822E-2</v>
      </c>
      <c r="M4" cm="1">
        <f t="array" aca="1" ref="M4" ca="1">_xll.QCurves_GetCpiForecast($B$30,J4,-3)</f>
        <v>101.84216235277678</v>
      </c>
      <c r="N4">
        <v>101.84216235277678</v>
      </c>
      <c r="O4" s="25">
        <f t="shared" ref="O4:O35" ca="1" si="0">M4-N4</f>
        <v>0</v>
      </c>
    </row>
    <row r="5" spans="1:15" x14ac:dyDescent="0.25">
      <c r="A5" s="16" t="s">
        <v>87</v>
      </c>
      <c r="B5" t="str">
        <f ca="1">"-3m"</f>
        <v>-3m</v>
      </c>
      <c r="J5" s="2">
        <f t="shared" ref="J5:J50" ca="1" si="1">EDATE(J4,3)</f>
        <v>44113</v>
      </c>
      <c r="K5" s="1">
        <f ca="1">_xll.QCurves_GetDF($B$28,valDate,J5)</f>
        <v>0.9939782771219795</v>
      </c>
      <c r="L5" s="1">
        <f ca="1">_xll.QCurves_GetForwardRate($B$28,J5,J6,"Linear","Act365F")</f>
        <v>8.3877419183225159E-3</v>
      </c>
      <c r="M5" cm="1">
        <f t="array" aca="1" ref="M5" ca="1">_xll.QCurves_GetCpiForecast($B$30,J5,-3)</f>
        <v>103.08432470555357</v>
      </c>
      <c r="N5">
        <v>103.08432470555357</v>
      </c>
      <c r="O5" s="25">
        <f t="shared" ca="1" si="0"/>
        <v>0</v>
      </c>
    </row>
    <row r="6" spans="1:15" ht="15.75" thickBot="1" x14ac:dyDescent="0.3">
      <c r="A6" s="16" t="s">
        <v>68</v>
      </c>
      <c r="B6" s="9" t="s">
        <v>71</v>
      </c>
      <c r="J6" s="2">
        <f t="shared" ca="1" si="1"/>
        <v>44205</v>
      </c>
      <c r="K6" s="1">
        <f ca="1">_xll.QCurves_GetDF($B$28,valDate,J6)</f>
        <v>0.99188127093428713</v>
      </c>
      <c r="L6" s="1">
        <f ca="1">_xll.QCurves_GetForwardRate($B$28,J6,J7,"Linear","Act365F")</f>
        <v>5.9557338962919299E-3</v>
      </c>
      <c r="M6" cm="1">
        <f t="array" aca="1" ref="M6" ca="1">_xll.QCurves_GetCpiForecast($B$30,J6,-3)</f>
        <v>104.60300530860661</v>
      </c>
      <c r="N6">
        <v>104.60300530860663</v>
      </c>
      <c r="O6" s="25">
        <f t="shared" ca="1" si="0"/>
        <v>0</v>
      </c>
    </row>
    <row r="7" spans="1:15" ht="15.75" thickBot="1" x14ac:dyDescent="0.3">
      <c r="A7" s="16" t="s">
        <v>69</v>
      </c>
      <c r="B7" s="9" t="s">
        <v>72</v>
      </c>
      <c r="G7">
        <f ca="1">M7/M3-1</f>
        <v>5.488753391311807E-2</v>
      </c>
      <c r="I7" s="21" t="s">
        <v>34</v>
      </c>
      <c r="J7" s="22">
        <f t="shared" ca="1" si="1"/>
        <v>44295</v>
      </c>
      <c r="K7" s="23">
        <f ca="1">_xll.QCurves_GetDF($B$28,valDate,J7)</f>
        <v>0.99042679241991194</v>
      </c>
      <c r="L7" s="23">
        <f ca="1">_xll.QCurves_GetForwardRate($B$28,J7,J8,"Linear","Act365F")</f>
        <v>3.5387404592084897E-3</v>
      </c>
      <c r="M7" s="24" cm="1">
        <f t="array" aca="1" ref="M7" ca="1">_xll.QCurves_GetCpiForecast($B$30,J7,-3)</f>
        <v>106.12168591165967</v>
      </c>
      <c r="N7">
        <v>106.12168591165968</v>
      </c>
      <c r="O7" s="25">
        <f t="shared" ca="1" si="0"/>
        <v>0</v>
      </c>
    </row>
    <row r="8" spans="1:15" x14ac:dyDescent="0.25">
      <c r="J8" s="2">
        <f t="shared" ca="1" si="1"/>
        <v>44386</v>
      </c>
      <c r="K8" s="1">
        <f ca="1">_xll.QCurves_GetDF($B$28,valDate,J8)</f>
        <v>0.98955374742453073</v>
      </c>
      <c r="L8" s="1">
        <f ca="1">_xll.QCurves_GetForwardRate($B$28,J8,J9,"Linear","Act365F")</f>
        <v>1.0964710088553679E-3</v>
      </c>
      <c r="M8" cm="1">
        <f t="array" aca="1" ref="M8" ca="1">_xll.QCurves_GetCpiForecast($B$30,J8,-3)</f>
        <v>107.81948182466112</v>
      </c>
      <c r="N8">
        <v>107.81948182466114</v>
      </c>
      <c r="O8" s="25">
        <f t="shared" ca="1" si="0"/>
        <v>0</v>
      </c>
    </row>
    <row r="9" spans="1:15" x14ac:dyDescent="0.25">
      <c r="J9" s="2">
        <f t="shared" ca="1" si="1"/>
        <v>44478</v>
      </c>
      <c r="K9" s="1">
        <f ca="1">_xll.QCurves_GetDF($B$28,valDate,J9)</f>
        <v>0.98928033925064329</v>
      </c>
      <c r="L9" s="1">
        <f ca="1">_xll.QCurves_GetForwardRate($B$28,J9,J10,"Linear","Act365F")</f>
        <v>-1.3576469786977421E-3</v>
      </c>
      <c r="M9" cm="1">
        <f t="array" aca="1" ref="M9" ca="1">_xll.QCurves_GetCpiForecast($B$30,J9,-3)</f>
        <v>109.5410168436696</v>
      </c>
      <c r="N9">
        <v>109.54101684366961</v>
      </c>
      <c r="O9" s="25">
        <f t="shared" ca="1" si="0"/>
        <v>0</v>
      </c>
    </row>
    <row r="10" spans="1:15" ht="15.75" thickBot="1" x14ac:dyDescent="0.3">
      <c r="A10" s="8" t="s">
        <v>73</v>
      </c>
      <c r="E10" s="8" t="s">
        <v>83</v>
      </c>
      <c r="F10" t="str" cm="1">
        <f t="array" aca="1" ref="F10" ca="1">_xll.QCurves_CreateFixingDictionary(E10,"USD.CPI",E12:F14)</f>
        <v>CPI Fixings¬19</v>
      </c>
      <c r="J10" s="2">
        <f t="shared" ca="1" si="1"/>
        <v>44570</v>
      </c>
      <c r="K10" s="1">
        <f ca="1">_xll.QCurves_GetDF($B$28,valDate,J10)</f>
        <v>0.98961898828383377</v>
      </c>
      <c r="L10" s="1">
        <f ca="1">_xll.QCurves_GetForwardRate($B$28,J10,J11,"Linear","Act365F")</f>
        <v>-3.783636025533567E-3</v>
      </c>
      <c r="M10" cm="1">
        <f t="array" aca="1" ref="M10" ca="1">_xll.QCurves_GetCpiForecast($B$30,J10,-3)</f>
        <v>111.28146982991991</v>
      </c>
      <c r="N10">
        <v>111.28146982991993</v>
      </c>
      <c r="O10" s="25">
        <f t="shared" ca="1" si="0"/>
        <v>0</v>
      </c>
    </row>
    <row r="11" spans="1:15" ht="15.75" thickBot="1" x14ac:dyDescent="0.3">
      <c r="A11" s="14" t="s">
        <v>75</v>
      </c>
      <c r="B11" s="15" t="s">
        <v>76</v>
      </c>
      <c r="C11" s="15" t="s">
        <v>74</v>
      </c>
      <c r="E11" s="15" t="s">
        <v>84</v>
      </c>
      <c r="F11" s="15" t="s">
        <v>25</v>
      </c>
      <c r="I11" s="21" t="s">
        <v>12</v>
      </c>
      <c r="J11" s="22">
        <f t="shared" ca="1" si="1"/>
        <v>44660</v>
      </c>
      <c r="K11" s="23">
        <f ca="1">_xll.QCurves_GetDF($B$28,valDate,J11)</f>
        <v>0.9905431168206783</v>
      </c>
      <c r="L11" s="23">
        <f ca="1">_xll.QCurves_GetForwardRate($B$28,J11,J12,"Linear","Act365F")</f>
        <v>4.6259394590755206E-3</v>
      </c>
      <c r="M11" s="24" cm="1">
        <f t="array" aca="1" ref="M11" ca="1">_xll.QCurves_GetCpiForecast($B$30,J11,-3)</f>
        <v>113.02192281617023</v>
      </c>
      <c r="N11">
        <v>113.02192281617025</v>
      </c>
      <c r="O11" s="25">
        <f t="shared" ca="1" si="0"/>
        <v>0</v>
      </c>
    </row>
    <row r="12" spans="1:15" x14ac:dyDescent="0.25">
      <c r="A12" s="2">
        <f ca="1">valDate</f>
        <v>43930</v>
      </c>
      <c r="B12">
        <f ca="1">F4</f>
        <v>100.6</v>
      </c>
      <c r="C12" t="str" cm="1">
        <f t="array" aca="1" ref="C12" ca="1">_xll.QIns_CreateInflationFwd("InfFwd0",A12,B2,B12,100000000,"USD.CPI","USD.OIS.1B","USD.CPI",D12)</f>
        <v>InfFwd0¬19</v>
      </c>
      <c r="D12" s="2" cm="1">
        <f t="array" aca="1" ref="D12" ca="1">_xll.QDates_AddPeriod(valDate,$B$5,"P","USD")</f>
        <v>43839</v>
      </c>
      <c r="E12" s="17">
        <v>43891</v>
      </c>
      <c r="F12">
        <v>103</v>
      </c>
      <c r="J12" s="2">
        <f t="shared" ca="1" si="1"/>
        <v>44751</v>
      </c>
      <c r="K12" s="1">
        <f ca="1">_xll.QCurves_GetDF($B$28,valDate,J12)</f>
        <v>0.98940202322815007</v>
      </c>
      <c r="L12" s="1">
        <f ca="1">_xll.QCurves_GetForwardRate($B$28,J12,J13,"Linear","Act365F")</f>
        <v>4.868265453501895E-3</v>
      </c>
      <c r="M12" cm="1">
        <f t="array" aca="1" ref="M12" ca="1">_xll.QCurves_GetCpiForecast($B$30,J12,-3)</f>
        <v>115.19136548128431</v>
      </c>
      <c r="N12">
        <v>115.10809080132813</v>
      </c>
      <c r="O12" s="25">
        <f t="shared" ca="1" si="0"/>
        <v>8.3274679956176101E-2</v>
      </c>
    </row>
    <row r="13" spans="1:15" x14ac:dyDescent="0.25">
      <c r="A13" s="11" t="s">
        <v>32</v>
      </c>
      <c r="B13" s="10">
        <v>0.05</v>
      </c>
      <c r="C13" t="str" cm="1">
        <f t="array" aca="1" ref="C13" ca="1">_xll.QIns_CreateInflationBenchmarkSwap("InfSwap" &amp;A13,ComplexBuild!valDate,A13,$B$2,B13,100000000,"USD.CPI","USD.OIS.1B","Pay","USD.CPI",D13)</f>
        <v>InfSwap6m¬9</v>
      </c>
      <c r="D13" s="2" cm="1">
        <f t="array" aca="1" ref="D13" ca="1">_xll.QDates_AddPeriod(_xll.QDates_AddPeriod(valDate,A13),$B$5)</f>
        <v>44021</v>
      </c>
      <c r="E13" s="17">
        <v>43862</v>
      </c>
      <c r="F13">
        <v>102</v>
      </c>
      <c r="J13" s="2">
        <f t="shared" ca="1" si="1"/>
        <v>44843</v>
      </c>
      <c r="K13" s="1">
        <f ca="1">_xll.QCurves_GetDF($B$28,valDate,J13)</f>
        <v>0.98818944595200109</v>
      </c>
      <c r="L13" s="1">
        <f ca="1">_xll.QCurves_GetForwardRate($B$28,J13,J14,"Linear","Act365F")</f>
        <v>4.8941923571514962E-3</v>
      </c>
      <c r="M13" cm="1">
        <f t="array" aca="1" ref="M13" ca="1">_xll.QCurves_GetCpiForecast($B$30,J13,-3)</f>
        <v>117.39564062318617</v>
      </c>
      <c r="N13">
        <v>117.22625235372986</v>
      </c>
      <c r="O13" s="25">
        <f t="shared" ca="1" si="0"/>
        <v>0.16938826945630581</v>
      </c>
    </row>
    <row r="14" spans="1:15" ht="15.75" thickBot="1" x14ac:dyDescent="0.3">
      <c r="A14" s="11" t="s">
        <v>34</v>
      </c>
      <c r="B14" s="10">
        <v>5.5E-2</v>
      </c>
      <c r="C14" t="str" cm="1">
        <f t="array" aca="1" ref="C14" ca="1">_xll.QIns_CreateInflationBenchmarkSwap("InfSwap" &amp;A14,ComplexBuild!valDate,A14,$B$2,B14,100000000,"USD.CPI","USD.OIS.1B","Pay","USD.CPI",D14)</f>
        <v>InfSwap1y¬19</v>
      </c>
      <c r="D14" s="2" cm="1">
        <f t="array" aca="1" ref="D14" ca="1">_xll.QDates_AddPeriod(_xll.QDates_AddPeriod(valDate,A14),$B$5)</f>
        <v>44207</v>
      </c>
      <c r="E14" s="17">
        <v>43831</v>
      </c>
      <c r="F14">
        <v>100</v>
      </c>
      <c r="J14" s="2">
        <f t="shared" ca="1" si="1"/>
        <v>44935</v>
      </c>
      <c r="K14" s="1">
        <f ca="1">_xll.QCurves_GetDF($B$28,valDate,J14)</f>
        <v>0.98697191281199692</v>
      </c>
      <c r="L14" s="1">
        <f ca="1">_xll.QCurves_GetForwardRate($B$28,J14,J15,"Linear","Act365F")</f>
        <v>4.9197713265708432E-3</v>
      </c>
      <c r="M14" cm="1">
        <f t="array" aca="1" ref="M14" ca="1">_xll.QCurves_GetCpiForecast($B$30,J14,-3)</f>
        <v>119.6241385688452</v>
      </c>
      <c r="N14">
        <v>119.36769040670744</v>
      </c>
      <c r="O14" s="25">
        <f t="shared" ca="1" si="0"/>
        <v>0.25644816213775812</v>
      </c>
    </row>
    <row r="15" spans="1:15" ht="15.75" thickBot="1" x14ac:dyDescent="0.3">
      <c r="A15" s="11" t="s">
        <v>12</v>
      </c>
      <c r="B15" s="10">
        <v>0.06</v>
      </c>
      <c r="C15" t="str" cm="1">
        <f t="array" aca="1" ref="C15" ca="1">_xll.QIns_CreateInflationBenchmarkSwap("InfSwap" &amp;A15,ComplexBuild!valDate,A15,$B$2,B15,100000000,"USD.CPI","USD.OIS.1B","Pay","USD.CPI",D15)</f>
        <v>InfSwap2y¬19</v>
      </c>
      <c r="D15" s="2" cm="1">
        <f t="array" aca="1" ref="D15" ca="1">_xll.QDates_AddPeriod(_xll.QDates_AddPeriod(valDate,A15),$B$5)</f>
        <v>44572</v>
      </c>
      <c r="I15" s="21" t="s">
        <v>13</v>
      </c>
      <c r="J15" s="22">
        <f t="shared" ca="1" si="1"/>
        <v>45025</v>
      </c>
      <c r="K15" s="23">
        <f ca="1">_xll.QCurves_GetDF($B$28,valDate,J15)</f>
        <v>0.98577607347647955</v>
      </c>
      <c r="L15" s="23">
        <f ca="1">_xll.QCurves_GetForwardRate($B$28,J15,J16,"Linear","Act365F")</f>
        <v>6.3121810431694941E-3</v>
      </c>
      <c r="M15" s="24" cm="1">
        <f t="array" aca="1" ref="M15" ca="1">_xll.QCurves_GetCpiForecast($B$30,J15,-3)</f>
        <v>121.85263651450421</v>
      </c>
      <c r="N15">
        <v>121.509128459685</v>
      </c>
      <c r="O15" s="25">
        <f t="shared" ca="1" si="0"/>
        <v>0.34350805481921043</v>
      </c>
    </row>
    <row r="16" spans="1:15" x14ac:dyDescent="0.25">
      <c r="A16" s="11" t="s">
        <v>13</v>
      </c>
      <c r="B16" s="10">
        <v>6.6000000000000003E-2</v>
      </c>
      <c r="C16" t="str" cm="1">
        <f t="array" aca="1" ref="C16" ca="1">_xll.QIns_CreateInflationBenchmarkSwap("InfSwap" &amp;A16,ComplexBuild!valDate,A16,$B$2,B16,100000000,"USD.CPI","USD.OIS.1B","Pay","USD.CPI",D16)</f>
        <v>InfSwap3y¬19</v>
      </c>
      <c r="D16" s="2" cm="1">
        <f t="array" aca="1" ref="D16" ca="1">_xll.QDates_AddPeriod(_xll.QDates_AddPeriod(valDate,A16),$B$5)</f>
        <v>44936</v>
      </c>
      <c r="J16" s="2">
        <f t="shared" ca="1" si="1"/>
        <v>45116</v>
      </c>
      <c r="K16" s="1">
        <f ca="1">_xll.QCurves_GetDF($B$28,valDate,J16)</f>
        <v>0.98422717366878043</v>
      </c>
      <c r="L16" s="1">
        <f ca="1">_xll.QCurves_GetForwardRate($B$28,J16,J17,"Linear","Act365F")</f>
        <v>6.5653557753045134E-3</v>
      </c>
      <c r="M16" cm="1">
        <f t="array" aca="1" ref="M16" ca="1">_xll.QCurves_GetCpiForecast($B$30,J16,-3)</f>
        <v>124.21778335068639</v>
      </c>
      <c r="N16">
        <v>123.91532411304483</v>
      </c>
      <c r="O16" s="25">
        <f t="shared" ca="1" si="0"/>
        <v>0.30245923764155691</v>
      </c>
    </row>
    <row r="17" spans="1:31" x14ac:dyDescent="0.25">
      <c r="A17" s="11" t="s">
        <v>15</v>
      </c>
      <c r="B17" s="10">
        <v>7.0000000000000007E-2</v>
      </c>
      <c r="C17" t="str" cm="1">
        <f t="array" aca="1" ref="C17" ca="1">_xll.QIns_CreateInflationBenchmarkSwap("InfSwap" &amp;A17,ComplexBuild!valDate,A17,$B$2,B17,100000000,"USD.CPI","USD.OIS.1B","Pay","USD.CPI",D17)</f>
        <v>InfSwap5y¬19</v>
      </c>
      <c r="D17" s="2" cm="1">
        <f t="array" aca="1" ref="D17" ca="1">_xll.QDates_AddPeriod(_xll.QDates_AddPeriod(valDate,A17),$B$5)</f>
        <v>45666</v>
      </c>
      <c r="J17" s="2">
        <f t="shared" ca="1" si="1"/>
        <v>45208</v>
      </c>
      <c r="K17" s="1">
        <f ca="1">_xll.QCurves_GetDF($B$28,valDate,J17)</f>
        <v>0.98260113641887803</v>
      </c>
      <c r="L17" s="1">
        <f ca="1">_xll.QCurves_GetForwardRate($B$28,J17,J18,"Linear","Act365F")</f>
        <v>6.8057721793557636E-3</v>
      </c>
      <c r="M17" cm="1">
        <f t="array" aca="1" ref="M17" ca="1">_xll.QCurves_GetCpiForecast($B$30,J17,-3)</f>
        <v>126.61131241754792</v>
      </c>
      <c r="N17">
        <v>126.3517920108352</v>
      </c>
      <c r="O17" s="25">
        <f t="shared" ca="1" si="0"/>
        <v>0.25952040671272414</v>
      </c>
    </row>
    <row r="18" spans="1:31" x14ac:dyDescent="0.25">
      <c r="A18" s="11" t="s">
        <v>17</v>
      </c>
      <c r="B18" s="10">
        <v>7.4999999999999997E-2</v>
      </c>
      <c r="C18" t="str" cm="1">
        <f t="array" aca="1" ref="C18" ca="1">_xll.QIns_CreateInflationBenchmarkSwap("InfSwap" &amp;A18,ComplexBuild!valDate,A18,$B$2,B18,100000000,"USD.CPI","USD.OIS.1B","Pay","USD.CPI",D18)</f>
        <v>InfSwap10y¬19</v>
      </c>
      <c r="D18" s="2" cm="1">
        <f t="array" aca="1" ref="D18" ca="1">_xll.QDates_AddPeriod(_xll.QDates_AddPeriod(valDate,A18),$B$5)</f>
        <v>47492</v>
      </c>
      <c r="J18" s="2">
        <f t="shared" ca="1" si="1"/>
        <v>45300</v>
      </c>
      <c r="K18" s="1">
        <f ca="1">_xll.QCurves_GetDF($B$28,valDate,J18)</f>
        <v>0.98091844194025224</v>
      </c>
      <c r="L18" s="1">
        <f ca="1">_xll.QCurves_GetForwardRate($B$28,J18,J19,"Linear","Act365F")</f>
        <v>7.044828452434487E-3</v>
      </c>
      <c r="M18" cm="1">
        <f t="array" aca="1" ref="M18" ca="1">_xll.QCurves_GetCpiForecast($B$30,J18,-3)</f>
        <v>129.03114400162772</v>
      </c>
      <c r="N18">
        <v>128.81503428112876</v>
      </c>
      <c r="O18" s="25">
        <f t="shared" ca="1" si="0"/>
        <v>0.21610972049896304</v>
      </c>
    </row>
    <row r="19" spans="1:31" x14ac:dyDescent="0.25">
      <c r="A19" s="12" t="s">
        <v>78</v>
      </c>
      <c r="E19" s="8" t="s">
        <v>82</v>
      </c>
      <c r="J19" s="2">
        <f t="shared" ca="1" si="1"/>
        <v>45391</v>
      </c>
      <c r="K19" s="1">
        <f ca="1">_xll.QCurves_GetDF($B$28,valDate,J19)</f>
        <v>0.97919859526263953</v>
      </c>
      <c r="L19" s="1">
        <f ca="1">_xll.QCurves_GetForwardRate($B$28,J19,J20,"Linear","Act365F")</f>
        <v>7.8405600421535028E-3</v>
      </c>
      <c r="M19" cm="1">
        <f t="array" aca="1" ref="M19" ca="1">_xll.QCurves_GetCpiForecast($B$30,J19,-3)</f>
        <v>131.45097558570751</v>
      </c>
      <c r="N19">
        <v>131.27827655142232</v>
      </c>
      <c r="O19" s="25">
        <f t="shared" ca="1" si="0"/>
        <v>0.17269903428518774</v>
      </c>
    </row>
    <row r="20" spans="1:31" x14ac:dyDescent="0.25">
      <c r="A20" s="13" t="s">
        <v>64</v>
      </c>
      <c r="B20" t="str">
        <f ca="1">ComplexBuild!C28</f>
        <v>FundingInstruments_USD¬4</v>
      </c>
      <c r="E20" t="s">
        <v>53</v>
      </c>
      <c r="F20">
        <v>0</v>
      </c>
      <c r="J20" s="2">
        <f t="shared" ca="1" si="1"/>
        <v>45482</v>
      </c>
      <c r="K20" s="1">
        <f ca="1">_xll.QCurves_GetDF($B$28,valDate,J20)</f>
        <v>0.97728822179602359</v>
      </c>
      <c r="L20" s="1">
        <f ca="1">_xll.QCurves_GetForwardRate($B$28,J20,J21,"Linear","Act365F")</f>
        <v>8.1456250046731786E-3</v>
      </c>
      <c r="M20" cm="1">
        <f t="array" aca="1" ref="M20" ca="1">_xll.QCurves_GetCpiForecast($B$30,J20,-3)</f>
        <v>133.84450465256904</v>
      </c>
      <c r="N20">
        <v>133.71474444921267</v>
      </c>
      <c r="O20" s="25">
        <f t="shared" ca="1" si="0"/>
        <v>0.12976020335636917</v>
      </c>
    </row>
    <row r="21" spans="1:31" x14ac:dyDescent="0.25">
      <c r="A21" s="13" t="s">
        <v>79</v>
      </c>
      <c r="B21" t="str" cm="1">
        <f t="array" aca="1" ref="B21" ca="1">_xll.QIns_CreateFundingInstrumentCollection(A21,C12:C18)</f>
        <v>CPI¬9</v>
      </c>
      <c r="E21" t="s">
        <v>54</v>
      </c>
      <c r="F21">
        <v>0</v>
      </c>
      <c r="J21" s="2">
        <f t="shared" ca="1" si="1"/>
        <v>45574</v>
      </c>
      <c r="K21" s="1">
        <f ca="1">_xll.QCurves_GetDF($B$28,valDate,J21)</f>
        <v>0.97528581972614004</v>
      </c>
      <c r="L21" s="1">
        <f ca="1">_xll.QCurves_GetForwardRate($B$28,J21,J22,"Linear","Act365F")</f>
        <v>8.4522959620484915E-3</v>
      </c>
      <c r="M21" cm="1">
        <f t="array" aca="1" ref="M21" ca="1">_xll.QCurves_GetCpiForecast($B$30,J21,-3)</f>
        <v>136.23803371943058</v>
      </c>
      <c r="N21">
        <v>136.15121234700302</v>
      </c>
      <c r="O21" s="25">
        <f t="shared" ca="1" si="0"/>
        <v>8.6821372427550614E-2</v>
      </c>
    </row>
    <row r="22" spans="1:31" ht="15.75" thickBot="1" x14ac:dyDescent="0.3">
      <c r="A22" t="s">
        <v>81</v>
      </c>
      <c r="B22" t="str">
        <f ca="1">_xll.QIns_CreateFundingInstrumentCollection(A22,B20:B21)</f>
        <v>FicCPI¬9</v>
      </c>
      <c r="E22" t="s">
        <v>77</v>
      </c>
      <c r="F22">
        <v>1</v>
      </c>
      <c r="J22" s="2">
        <f t="shared" ca="1" si="1"/>
        <v>45666</v>
      </c>
      <c r="K22" s="1">
        <f ca="1">_xll.QCurves_GetDF($B$28,valDate,J22)</f>
        <v>0.97321244732404855</v>
      </c>
      <c r="L22" s="1">
        <f ca="1">_xll.QCurves_GetForwardRate($B$28,J22,J23,"Linear","Act365F")</f>
        <v>8.7554469376984866E-3</v>
      </c>
      <c r="M22" cm="1">
        <f t="array" aca="1" ref="M22" ca="1">_xll.QCurves_GetCpiForecast($B$30,J22,-3)</f>
        <v>138.65786530351036</v>
      </c>
      <c r="N22">
        <v>138.61445461729659</v>
      </c>
      <c r="O22" s="25">
        <f t="shared" ca="1" si="0"/>
        <v>4.3410686213775307E-2</v>
      </c>
    </row>
    <row r="23" spans="1:31" ht="15.75" thickBot="1" x14ac:dyDescent="0.3">
      <c r="I23" s="21" t="s">
        <v>15</v>
      </c>
      <c r="J23" s="22">
        <f t="shared" ca="1" si="1"/>
        <v>45756</v>
      </c>
      <c r="K23" s="23">
        <f ca="1">_xll.QCurves_GetDF($B$28,valDate,J23)</f>
        <v>0.97111592716689865</v>
      </c>
      <c r="L23" s="23">
        <f ca="1">_xll.QCurves_GetForwardRate($B$28,J23,J24,"Linear","Act365F")</f>
        <v>8.9370100375391979E-3</v>
      </c>
      <c r="M23" s="24" cm="1">
        <f t="array" aca="1" ref="M23" ca="1">_xll.QCurves_GetCpiForecast($B$30,J23,-3)</f>
        <v>141.07769688759015</v>
      </c>
      <c r="N23">
        <v>141.07769688759015</v>
      </c>
      <c r="O23" s="25">
        <f t="shared" ca="1" si="0"/>
        <v>0</v>
      </c>
    </row>
    <row r="24" spans="1:31" x14ac:dyDescent="0.25">
      <c r="A24" s="8" t="s">
        <v>27</v>
      </c>
      <c r="E24" t="s">
        <v>98</v>
      </c>
      <c r="F24" t="str">
        <f ca="1">ComplexBuild!J28</f>
        <v>fxMatrix¬3</v>
      </c>
      <c r="J24" s="2">
        <f t="shared" ca="1" si="1"/>
        <v>45847</v>
      </c>
      <c r="K24" s="1">
        <f ca="1">_xll.QCurves_GetDF($B$28,valDate,J24)</f>
        <v>0.96895696385680063</v>
      </c>
      <c r="L24" s="1">
        <f ca="1">_xll.QCurves_GetForwardRate($B$28,J24,J25,"Linear","Act365F")</f>
        <v>9.2307039174912755E-3</v>
      </c>
      <c r="M24" cm="1">
        <f t="array" aca="1" ref="M24" ca="1">_xll.QCurves_GetCpiForecast($B$30,J24,-3)</f>
        <v>144.3421547556126</v>
      </c>
      <c r="N24">
        <v>144.3421547556126</v>
      </c>
      <c r="O24" s="25">
        <f t="shared" ca="1" si="0"/>
        <v>0</v>
      </c>
      <c r="Q24" s="8" t="s">
        <v>91</v>
      </c>
      <c r="R24" t="str" cm="1">
        <f t="array" aca="1" ref="R24" ca="1">_xll.QIns_AssetPortfolioExpectedFlows("CashflowResult",B41,B33)</f>
        <v>CashflowResult¬25</v>
      </c>
      <c r="W24" s="8" t="s">
        <v>97</v>
      </c>
      <c r="X24" t="str" cm="1">
        <f t="array" aca="1" ref="X24" ca="1">_xll.QRisk_PortfolioIrBenchmarkDelta(W24,B41,B33,B22,"USD")</f>
        <v>BenchmarkRisk¬28</v>
      </c>
    </row>
    <row r="25" spans="1:31" x14ac:dyDescent="0.25">
      <c r="A25" t="s">
        <v>80</v>
      </c>
      <c r="B25" t="str" cm="1">
        <f t="array" aca="1" ref="B25" ca="1">_xll.QCurves_CreateFundingModel(A25,valDate,B22,E20:F22,ComplexBuild!J28,,F10)</f>
        <v>ModelCPI¬9</v>
      </c>
      <c r="E25" t="s">
        <v>64</v>
      </c>
      <c r="F25">
        <v>1</v>
      </c>
      <c r="J25" s="2">
        <f t="shared" ca="1" si="1"/>
        <v>45939</v>
      </c>
      <c r="K25" s="1">
        <f ca="1">_xll.QCurves_GetDF($B$28,valDate,J25)</f>
        <v>0.96670777979465861</v>
      </c>
      <c r="L25" s="1">
        <f ca="1">_xll.QCurves_GetForwardRate($B$28,J25,J26,"Linear","Act365F")</f>
        <v>9.5259146079641564E-3</v>
      </c>
      <c r="M25" cm="1">
        <f t="array" aca="1" ref="M25" ca="1">_xll.QCurves_GetCpiForecast($B$30,J25,-3)</f>
        <v>147.64288437772419</v>
      </c>
      <c r="N25">
        <v>147.64288437772422</v>
      </c>
      <c r="O25" s="25">
        <f t="shared" ca="1" si="0"/>
        <v>0</v>
      </c>
    </row>
    <row r="26" spans="1:31" x14ac:dyDescent="0.25">
      <c r="J26" s="2">
        <f t="shared" ca="1" si="1"/>
        <v>46031</v>
      </c>
      <c r="K26" s="1">
        <f ca="1">_xll.QCurves_GetDF($B$28,valDate,J26)</f>
        <v>0.96439222348453846</v>
      </c>
      <c r="L26" s="1">
        <f ca="1">_xll.QCurves_GetForwardRate($B$28,J26,J27,"Linear","Act365F")</f>
        <v>9.8176741808606461E-3</v>
      </c>
      <c r="M26" cm="1">
        <f t="array" aca="1" ref="M26" ca="1">_xll.QCurves_GetCpiForecast($B$30,J26,-3)</f>
        <v>150.97988575392492</v>
      </c>
      <c r="N26">
        <v>150.97988575392495</v>
      </c>
      <c r="O26" s="25">
        <f t="shared" ca="1" si="0"/>
        <v>0</v>
      </c>
      <c r="Q26" s="14" t="str">
        <f t="array" aca="1" ref="Q26:U40" ca="1">_xll.QCube_DisplayCube(R24)</f>
        <v>TradeId</v>
      </c>
      <c r="R26" s="14" t="str">
        <f ca="1"/>
        <v>Currency</v>
      </c>
      <c r="S26" s="14" t="str">
        <f ca="1"/>
        <v>TradeType</v>
      </c>
      <c r="T26" s="14" t="str">
        <f ca="1"/>
        <v>PayDate</v>
      </c>
      <c r="U26" s="14" t="str">
        <f ca="1"/>
        <v>Value</v>
      </c>
      <c r="W26" s="14" t="str">
        <f t="array" aca="1" ref="W26:AE57" ca="1">_xll.QCube_DisplayCube(X24)</f>
        <v>TradeId</v>
      </c>
      <c r="X26" s="14" t="str">
        <f ca="1"/>
        <v>TradeType</v>
      </c>
      <c r="Y26" s="14" t="str">
        <f ca="1"/>
        <v>Curve</v>
      </c>
      <c r="Z26" s="14" t="str">
        <f ca="1"/>
        <v>RiskDate</v>
      </c>
      <c r="AA26" s="14" t="str">
        <f ca="1"/>
        <v>Benchmark</v>
      </c>
      <c r="AB26" s="14" t="str">
        <f ca="1"/>
        <v>Metric</v>
      </c>
      <c r="AC26" s="14" t="str">
        <f ca="1"/>
        <v>Units</v>
      </c>
      <c r="AD26" s="14" t="str">
        <f ca="1"/>
        <v>BumpSize</v>
      </c>
      <c r="AE26" s="14" t="str">
        <f ca="1"/>
        <v>Value</v>
      </c>
    </row>
    <row r="27" spans="1:31" x14ac:dyDescent="0.25">
      <c r="A27" s="8" t="s">
        <v>85</v>
      </c>
      <c r="J27" s="2">
        <f t="shared" ca="1" si="1"/>
        <v>46121</v>
      </c>
      <c r="K27" s="1">
        <f ca="1">_xll.QCurves_GetDF($B$28,valDate,J27)</f>
        <v>0.96206326422356037</v>
      </c>
      <c r="L27" s="1">
        <f ca="1">_xll.QCurves_GetForwardRate($B$28,J27,J28,"Linear","Act365F")</f>
        <v>1.0108238374720333E-2</v>
      </c>
      <c r="M27" cm="1">
        <f t="array" aca="1" ref="M27" ca="1">_xll.QCurves_GetCpiForecast($B$30,J27,-3)</f>
        <v>154.31688713012565</v>
      </c>
      <c r="N27">
        <v>154.31688713012568</v>
      </c>
      <c r="O27" s="25">
        <f t="shared" ca="1" si="0"/>
        <v>0</v>
      </c>
      <c r="Q27" t="str">
        <f ca="1"/>
        <v>TradeObj</v>
      </c>
      <c r="R27" t="str">
        <f ca="1"/>
        <v>USD</v>
      </c>
      <c r="S27" t="str">
        <f ca="1"/>
        <v>InfPerfSwap</v>
      </c>
      <c r="T27" s="2">
        <f ca="1"/>
        <v>46114</v>
      </c>
      <c r="U27" s="4">
        <f ca="1"/>
        <v>13464460.265854279</v>
      </c>
      <c r="W27" s="13" t="str">
        <f ca="1"/>
        <v>TradeObj</v>
      </c>
      <c r="X27" s="13" t="str">
        <f ca="1"/>
        <v>InfPerfSwap</v>
      </c>
      <c r="Y27" s="13" t="str">
        <f ca="1"/>
        <v>USD.CPI</v>
      </c>
      <c r="Z27" s="19">
        <f ca="1"/>
        <v>45666</v>
      </c>
      <c r="AA27" s="20" t="str">
        <f ca="1"/>
        <v>InfSwap5y</v>
      </c>
      <c r="AB27" s="13" t="str">
        <f ca="1"/>
        <v>IrBenchmarkDelta</v>
      </c>
      <c r="AC27" s="13" t="str">
        <f ca="1"/>
        <v>Nominal</v>
      </c>
      <c r="AD27" s="13">
        <f ca="1"/>
        <v>0.01</v>
      </c>
      <c r="AE27" s="20">
        <f ca="1"/>
        <v>20098639.799651146</v>
      </c>
    </row>
    <row r="28" spans="1:31" x14ac:dyDescent="0.25">
      <c r="A28" t="str">
        <f t="array" aca="1" ref="A28:A30" ca="1">_xll.QCurves_ListCurvesInModel(B25)</f>
        <v>USD.LIBOR.3M</v>
      </c>
      <c r="B28" t="str">
        <f ca="1">_xll.QCurves_ExtractCurveFromModel($B$25,A28,"curve.cpiBuild."&amp;A28)</f>
        <v>curve.cpiBuild.USD.LIBOR.3M¬9</v>
      </c>
      <c r="J28" s="2">
        <f t="shared" ca="1" si="1"/>
        <v>46212</v>
      </c>
      <c r="K28" s="1">
        <f ca="1">_xll.QCurves_GetDF($B$28,valDate,J28)</f>
        <v>0.95964482860679623</v>
      </c>
      <c r="L28" s="1">
        <f ca="1">_xll.QCurves_GetForwardRate($B$28,J28,J29,"Linear","Act365F")</f>
        <v>1.0402049253073921E-2</v>
      </c>
      <c r="M28" cm="1">
        <f t="array" aca="1" ref="M28" ca="1">_xll.QCurves_GetCpiForecast($B$30,J28,-3)</f>
        <v>157.58134499814813</v>
      </c>
      <c r="N28">
        <v>157.58134499814813</v>
      </c>
      <c r="O28" s="25">
        <f t="shared" ca="1" si="0"/>
        <v>0</v>
      </c>
      <c r="Q28" t="str">
        <f ca="1"/>
        <v>TradeObj</v>
      </c>
      <c r="R28" t="str">
        <f ca="1"/>
        <v>USD</v>
      </c>
      <c r="S28" t="str">
        <f ca="1"/>
        <v>InfPerfSwap</v>
      </c>
      <c r="T28" s="2">
        <f ca="1"/>
        <v>46114</v>
      </c>
      <c r="U28" s="4">
        <f ca="1"/>
        <v>-12513071.695675237</v>
      </c>
      <c r="W28" s="13" t="str">
        <f ca="1"/>
        <v>TradeObj</v>
      </c>
      <c r="X28" s="13" t="str">
        <f ca="1"/>
        <v>InfPerfSwap</v>
      </c>
      <c r="Y28" s="13" t="str">
        <f ca="1"/>
        <v>USD.CPI</v>
      </c>
      <c r="Z28" s="19">
        <f ca="1"/>
        <v>47492</v>
      </c>
      <c r="AA28" s="20" t="str">
        <f ca="1"/>
        <v>InfSwap10y</v>
      </c>
      <c r="AB28" s="13" t="str">
        <f ca="1"/>
        <v>IrBenchmarkDelta</v>
      </c>
      <c r="AC28" s="13" t="str">
        <f ca="1"/>
        <v>Nominal</v>
      </c>
      <c r="AD28" s="13">
        <f ca="1"/>
        <v>0.01</v>
      </c>
      <c r="AE28" s="20">
        <f ca="1"/>
        <v>5068687.6511816857</v>
      </c>
    </row>
    <row r="29" spans="1:31" x14ac:dyDescent="0.25">
      <c r="A29" t="str">
        <f ca="1"/>
        <v>USD.OIS.1B</v>
      </c>
      <c r="B29" t="str">
        <f ca="1">_xll.QCurves_ExtractCurveFromModel($B$25,A29,"curve.cpiBuild."&amp;A29)</f>
        <v>curve.cpiBuild.USD.OIS.1B¬9</v>
      </c>
      <c r="J29" s="2">
        <f t="shared" ca="1" si="1"/>
        <v>46304</v>
      </c>
      <c r="K29" s="1">
        <f ca="1">_xll.QCurves_GetDF($B$28,valDate,J29)</f>
        <v>0.95713532851836425</v>
      </c>
      <c r="L29" s="1">
        <f ca="1">_xll.QCurves_GetForwardRate($B$28,J29,J30,"Linear","Act365F")</f>
        <v>1.0697346900180484E-2</v>
      </c>
      <c r="M29" cm="1">
        <f t="array" aca="1" ref="M29" ca="1">_xll.QCurves_GetCpiForecast($B$30,J29,-3)</f>
        <v>160.88207462025971</v>
      </c>
      <c r="N29">
        <v>160.88207462025971</v>
      </c>
      <c r="O29" s="25">
        <f t="shared" ca="1" si="0"/>
        <v>0</v>
      </c>
      <c r="Q29" t="e">
        <f ca="1"/>
        <v>#N/A</v>
      </c>
      <c r="R29" t="e">
        <f ca="1"/>
        <v>#N/A</v>
      </c>
      <c r="S29" t="e">
        <f ca="1"/>
        <v>#N/A</v>
      </c>
      <c r="T29" s="2" t="e">
        <f ca="1"/>
        <v>#N/A</v>
      </c>
      <c r="U29" s="4" t="e">
        <f ca="1"/>
        <v>#N/A</v>
      </c>
      <c r="W29" s="13" t="e">
        <f ca="1"/>
        <v>#N/A</v>
      </c>
      <c r="X29" s="13" t="e">
        <f ca="1"/>
        <v>#N/A</v>
      </c>
      <c r="Y29" s="13" t="e">
        <f ca="1"/>
        <v>#N/A</v>
      </c>
      <c r="Z29" s="19" t="e">
        <f ca="1"/>
        <v>#N/A</v>
      </c>
      <c r="AA29" s="20" t="e">
        <f ca="1"/>
        <v>#N/A</v>
      </c>
      <c r="AB29" s="13" t="e">
        <f ca="1"/>
        <v>#N/A</v>
      </c>
      <c r="AC29" s="13" t="e">
        <f ca="1"/>
        <v>#N/A</v>
      </c>
      <c r="AD29" s="13" t="e">
        <f ca="1"/>
        <v>#N/A</v>
      </c>
      <c r="AE29" s="20" t="e">
        <f ca="1"/>
        <v>#N/A</v>
      </c>
    </row>
    <row r="30" spans="1:31" x14ac:dyDescent="0.25">
      <c r="A30" t="str">
        <f ca="1"/>
        <v>USD.CPI</v>
      </c>
      <c r="B30" t="str">
        <f ca="1">_xll.QCurves_ExtractCurveFromModel($B$25,A30,"curve.cpiBuild."&amp;A30)</f>
        <v>curve.cpiBuild.USD.CPI¬9</v>
      </c>
      <c r="J30" s="2">
        <f t="shared" ca="1" si="1"/>
        <v>46396</v>
      </c>
      <c r="K30" s="1">
        <f ca="1">_xll.QCurves_GetDF($B$28,valDate,J30)</f>
        <v>0.95456152749551193</v>
      </c>
      <c r="L30" s="1">
        <f ca="1">_xll.QCurves_GetForwardRate($B$28,J30,J31,"Linear","Act365F")</f>
        <v>1.0989125796056969E-2</v>
      </c>
      <c r="M30" cm="1">
        <f t="array" aca="1" ref="M30" ca="1">_xll.QCurves_GetCpiForecast($B$30,J30,-3)</f>
        <v>164.21907599646045</v>
      </c>
      <c r="N30">
        <v>164.21907599646045</v>
      </c>
      <c r="O30" s="25">
        <f t="shared" ca="1" si="0"/>
        <v>0</v>
      </c>
      <c r="Q30" t="e">
        <f ca="1"/>
        <v>#N/A</v>
      </c>
      <c r="R30" t="e">
        <f ca="1"/>
        <v>#N/A</v>
      </c>
      <c r="S30" t="e">
        <f ca="1"/>
        <v>#N/A</v>
      </c>
      <c r="T30" s="2" t="e">
        <f ca="1"/>
        <v>#N/A</v>
      </c>
      <c r="U30" s="4" t="e">
        <f ca="1"/>
        <v>#N/A</v>
      </c>
      <c r="W30" s="13" t="e">
        <f ca="1"/>
        <v>#N/A</v>
      </c>
      <c r="X30" s="13" t="e">
        <f ca="1"/>
        <v>#N/A</v>
      </c>
      <c r="Y30" s="13" t="e">
        <f ca="1"/>
        <v>#N/A</v>
      </c>
      <c r="Z30" s="19" t="e">
        <f ca="1"/>
        <v>#N/A</v>
      </c>
      <c r="AA30" s="20" t="e">
        <f ca="1"/>
        <v>#N/A</v>
      </c>
      <c r="AB30" s="13" t="e">
        <f ca="1"/>
        <v>#N/A</v>
      </c>
      <c r="AC30" s="13" t="e">
        <f ca="1"/>
        <v>#N/A</v>
      </c>
      <c r="AD30" s="13" t="e">
        <f ca="1"/>
        <v>#N/A</v>
      </c>
      <c r="AE30" s="20" t="e">
        <f ca="1"/>
        <v>#N/A</v>
      </c>
    </row>
    <row r="31" spans="1:31" x14ac:dyDescent="0.25">
      <c r="J31" s="2">
        <f t="shared" ca="1" si="1"/>
        <v>46486</v>
      </c>
      <c r="K31" s="1">
        <f ca="1">_xll.QCurves_GetDF($B$28,valDate,J31)</f>
        <v>0.9519819919124336</v>
      </c>
      <c r="L31" s="1">
        <f ca="1">_xll.QCurves_GetForwardRate($B$28,J31,J32,"Linear","Act365F")</f>
        <v>1.1747452470901648E-2</v>
      </c>
      <c r="M31" cm="1">
        <f t="array" aca="1" ref="M31" ca="1">_xll.QCurves_GetCpiForecast($B$30,J31,-3)</f>
        <v>167.55607737266118</v>
      </c>
      <c r="N31">
        <v>167.55607737266118</v>
      </c>
      <c r="O31" s="25">
        <f t="shared" ca="1" si="0"/>
        <v>0</v>
      </c>
      <c r="Q31" t="e">
        <f ca="1"/>
        <v>#N/A</v>
      </c>
      <c r="R31" t="e">
        <f ca="1"/>
        <v>#N/A</v>
      </c>
      <c r="S31" t="e">
        <f ca="1"/>
        <v>#N/A</v>
      </c>
      <c r="T31" s="2" t="e">
        <f ca="1"/>
        <v>#N/A</v>
      </c>
      <c r="U31" s="4" t="e">
        <f ca="1"/>
        <v>#N/A</v>
      </c>
      <c r="W31" s="13" t="e">
        <f ca="1"/>
        <v>#N/A</v>
      </c>
      <c r="X31" s="13" t="e">
        <f ca="1"/>
        <v>#N/A</v>
      </c>
      <c r="Y31" s="13" t="e">
        <f ca="1"/>
        <v>#N/A</v>
      </c>
      <c r="Z31" s="19" t="e">
        <f ca="1"/>
        <v>#N/A</v>
      </c>
      <c r="AA31" s="20" t="e">
        <f ca="1"/>
        <v>#N/A</v>
      </c>
      <c r="AB31" s="13" t="e">
        <f ca="1"/>
        <v>#N/A</v>
      </c>
      <c r="AC31" s="13" t="e">
        <f ca="1"/>
        <v>#N/A</v>
      </c>
      <c r="AD31" s="13" t="e">
        <f ca="1"/>
        <v>#N/A</v>
      </c>
      <c r="AE31" s="20" t="e">
        <f ca="1"/>
        <v>#N/A</v>
      </c>
    </row>
    <row r="32" spans="1:31" x14ac:dyDescent="0.25">
      <c r="A32" s="8" t="s">
        <v>89</v>
      </c>
      <c r="J32" s="2">
        <f t="shared" ca="1" si="1"/>
        <v>46577</v>
      </c>
      <c r="K32" s="1">
        <f ca="1">_xll.QCurves_GetDF($B$28,valDate,J32)</f>
        <v>0.94920195317394584</v>
      </c>
      <c r="L32" s="1">
        <f ca="1">_xll.QCurves_GetForwardRate($B$28,J32,J33,"Linear","Act365F")</f>
        <v>1.2073769371609916E-2</v>
      </c>
      <c r="M32" cm="1">
        <f t="array" aca="1" ref="M32" ca="1">_xll.QCurves_GetCpiForecast($B$30,J32,-3)</f>
        <v>170.82053524068363</v>
      </c>
      <c r="N32">
        <v>170.82053524068365</v>
      </c>
      <c r="O32" s="25">
        <f t="shared" ca="1" si="0"/>
        <v>0</v>
      </c>
      <c r="Q32" t="e">
        <f ca="1"/>
        <v>#N/A</v>
      </c>
      <c r="R32" t="e">
        <f ca="1"/>
        <v>#N/A</v>
      </c>
      <c r="S32" t="e">
        <f ca="1"/>
        <v>#N/A</v>
      </c>
      <c r="T32" s="2" t="e">
        <f ca="1"/>
        <v>#N/A</v>
      </c>
      <c r="U32" s="4" t="e">
        <f ca="1"/>
        <v>#N/A</v>
      </c>
      <c r="W32" s="13" t="e">
        <f ca="1"/>
        <v>#N/A</v>
      </c>
      <c r="X32" s="13" t="e">
        <f ca="1"/>
        <v>#N/A</v>
      </c>
      <c r="Y32" s="13" t="e">
        <f ca="1"/>
        <v>#N/A</v>
      </c>
      <c r="Z32" s="19" t="e">
        <f ca="1"/>
        <v>#N/A</v>
      </c>
      <c r="AA32" s="20" t="e">
        <f ca="1"/>
        <v>#N/A</v>
      </c>
      <c r="AB32" s="13" t="e">
        <f ca="1"/>
        <v>#N/A</v>
      </c>
      <c r="AC32" s="13" t="e">
        <f ca="1"/>
        <v>#N/A</v>
      </c>
      <c r="AD32" s="13" t="e">
        <f ca="1"/>
        <v>#N/A</v>
      </c>
      <c r="AE32" s="20" t="e">
        <f ca="1"/>
        <v>#N/A</v>
      </c>
    </row>
    <row r="33" spans="1:31" x14ac:dyDescent="0.25">
      <c r="A33" t="str">
        <f ca="1">A32</f>
        <v>AssetFxModel</v>
      </c>
      <c r="B33" t="str" cm="1">
        <f t="array" aca="1" ref="B33" ca="1">_xll.QCurves_CreateAssetFxModel(A33,valDate,,,B25)</f>
        <v>AssetFxModel¬25</v>
      </c>
      <c r="D33" s="2"/>
      <c r="E33" s="2"/>
      <c r="J33" s="2">
        <f t="shared" ca="1" si="1"/>
        <v>46669</v>
      </c>
      <c r="K33" s="1">
        <f ca="1">_xll.QCurves_GetDF($B$28,valDate,J33)</f>
        <v>0.94632205719360685</v>
      </c>
      <c r="L33" s="1">
        <f ca="1">_xll.QCurves_GetForwardRate($B$28,J33,J34,"Linear","Act365F")</f>
        <v>1.2401706479070606E-2</v>
      </c>
      <c r="M33" cm="1">
        <f t="array" aca="1" ref="M33" ca="1">_xll.QCurves_GetCpiForecast($B$30,J33,-3)</f>
        <v>174.12126486279521</v>
      </c>
      <c r="N33">
        <v>174.12126486279524</v>
      </c>
      <c r="O33" s="25">
        <f t="shared" ca="1" si="0"/>
        <v>0</v>
      </c>
      <c r="Q33" t="e">
        <f ca="1"/>
        <v>#N/A</v>
      </c>
      <c r="R33" t="e">
        <f ca="1"/>
        <v>#N/A</v>
      </c>
      <c r="S33" t="e">
        <f ca="1"/>
        <v>#N/A</v>
      </c>
      <c r="T33" s="2" t="e">
        <f ca="1"/>
        <v>#N/A</v>
      </c>
      <c r="U33" s="4" t="e">
        <f ca="1"/>
        <v>#N/A</v>
      </c>
      <c r="W33" t="e">
        <f ca="1"/>
        <v>#N/A</v>
      </c>
      <c r="X33" t="e">
        <f ca="1"/>
        <v>#N/A</v>
      </c>
      <c r="Y33" t="e">
        <f ca="1"/>
        <v>#N/A</v>
      </c>
      <c r="Z33" s="2" t="e">
        <f ca="1"/>
        <v>#N/A</v>
      </c>
      <c r="AA33" s="4" t="e">
        <f ca="1"/>
        <v>#N/A</v>
      </c>
      <c r="AB33" t="e">
        <f ca="1"/>
        <v>#N/A</v>
      </c>
      <c r="AC33" t="e">
        <f ca="1"/>
        <v>#N/A</v>
      </c>
      <c r="AD33" t="e">
        <f ca="1"/>
        <v>#N/A</v>
      </c>
      <c r="AE33" s="4" t="e">
        <f ca="1"/>
        <v>#N/A</v>
      </c>
    </row>
    <row r="34" spans="1:31" x14ac:dyDescent="0.25">
      <c r="A34" t="s">
        <v>90</v>
      </c>
      <c r="B34" t="str" cm="1">
        <f t="array" aca="1" ref="B34" ca="1">_xll.QIns_CreatePortfolio(A34,C13:C18)</f>
        <v>Porfolio¬9</v>
      </c>
      <c r="D34" s="2"/>
      <c r="E34" s="2"/>
      <c r="J34" s="2">
        <f t="shared" ca="1" si="1"/>
        <v>46761</v>
      </c>
      <c r="K34" s="1">
        <f ca="1">_xll.QCurves_GetDF($B$28,valDate,J34)</f>
        <v>0.94337315800310673</v>
      </c>
      <c r="L34" s="1">
        <f ca="1">_xll.QCurves_GetForwardRate($B$28,J34,J35,"Linear","Act365F")</f>
        <v>1.2727666447033307E-2</v>
      </c>
      <c r="M34" cm="1">
        <f t="array" aca="1" ref="M34" ca="1">_xll.QCurves_GetCpiForecast($B$30,J34,-3)</f>
        <v>177.45826623899595</v>
      </c>
      <c r="N34">
        <v>177.45826623899598</v>
      </c>
      <c r="O34" s="25">
        <f t="shared" ca="1" si="0"/>
        <v>0</v>
      </c>
      <c r="Q34" t="e">
        <f ca="1"/>
        <v>#N/A</v>
      </c>
      <c r="R34" t="e">
        <f ca="1"/>
        <v>#N/A</v>
      </c>
      <c r="S34" t="e">
        <f ca="1"/>
        <v>#N/A</v>
      </c>
      <c r="T34" s="2" t="e">
        <f ca="1"/>
        <v>#N/A</v>
      </c>
      <c r="U34" s="4" t="e">
        <f ca="1"/>
        <v>#N/A</v>
      </c>
      <c r="W34" t="e">
        <f ca="1"/>
        <v>#N/A</v>
      </c>
      <c r="X34" t="e">
        <f ca="1"/>
        <v>#N/A</v>
      </c>
      <c r="Y34" t="e">
        <f ca="1"/>
        <v>#N/A</v>
      </c>
      <c r="Z34" s="2" t="e">
        <f ca="1"/>
        <v>#N/A</v>
      </c>
      <c r="AA34" s="4" t="e">
        <f ca="1"/>
        <v>#N/A</v>
      </c>
      <c r="AB34" t="e">
        <f ca="1"/>
        <v>#N/A</v>
      </c>
      <c r="AC34" t="e">
        <f ca="1"/>
        <v>#N/A</v>
      </c>
      <c r="AD34" t="e">
        <f ca="1"/>
        <v>#N/A</v>
      </c>
      <c r="AE34" s="4" t="e">
        <f ca="1"/>
        <v>#N/A</v>
      </c>
    </row>
    <row r="35" spans="1:31" x14ac:dyDescent="0.25">
      <c r="D35" s="2"/>
      <c r="E35" s="2"/>
      <c r="H35" s="26"/>
      <c r="J35" s="2">
        <f t="shared" ca="1" si="1"/>
        <v>46852</v>
      </c>
      <c r="K35" s="1">
        <f ca="1">_xll.QCurves_GetDF($B$28,valDate,J35)</f>
        <v>0.94038911616997289</v>
      </c>
      <c r="L35" s="1">
        <f ca="1">_xll.QCurves_GetForwardRate($B$28,J35,J36,"Linear","Act365F")</f>
        <v>1.305208075525594E-2</v>
      </c>
      <c r="M35" cm="1">
        <f t="array" aca="1" ref="M35" ca="1">_xll.QCurves_GetCpiForecast($B$30,J35,-3)</f>
        <v>180.79526761519668</v>
      </c>
      <c r="N35">
        <v>180.79526761519671</v>
      </c>
      <c r="O35" s="25">
        <f t="shared" ca="1" si="0"/>
        <v>0</v>
      </c>
      <c r="Q35" t="e">
        <f ca="1"/>
        <v>#N/A</v>
      </c>
      <c r="R35" t="e">
        <f ca="1"/>
        <v>#N/A</v>
      </c>
      <c r="S35" t="e">
        <f ca="1"/>
        <v>#N/A</v>
      </c>
      <c r="T35" s="2" t="e">
        <f ca="1"/>
        <v>#N/A</v>
      </c>
      <c r="U35" s="4" t="e">
        <f ca="1"/>
        <v>#N/A</v>
      </c>
      <c r="W35" t="e">
        <f ca="1"/>
        <v>#N/A</v>
      </c>
      <c r="X35" t="e">
        <f ca="1"/>
        <v>#N/A</v>
      </c>
      <c r="Y35" t="e">
        <f ca="1"/>
        <v>#N/A</v>
      </c>
      <c r="Z35" s="2" t="e">
        <f ca="1"/>
        <v>#N/A</v>
      </c>
      <c r="AA35" s="4" t="e">
        <f ca="1"/>
        <v>#N/A</v>
      </c>
      <c r="AB35" t="e">
        <f ca="1"/>
        <v>#N/A</v>
      </c>
      <c r="AC35" t="e">
        <f ca="1"/>
        <v>#N/A</v>
      </c>
      <c r="AD35" t="e">
        <f ca="1"/>
        <v>#N/A</v>
      </c>
      <c r="AE35" s="4" t="e">
        <f ca="1"/>
        <v>#N/A</v>
      </c>
    </row>
    <row r="36" spans="1:31" x14ac:dyDescent="0.25">
      <c r="A36" s="8" t="s">
        <v>92</v>
      </c>
      <c r="D36" s="2"/>
      <c r="E36" s="2"/>
      <c r="H36" s="26"/>
      <c r="J36" s="2">
        <f t="shared" ca="1" si="1"/>
        <v>46943</v>
      </c>
      <c r="K36" s="1">
        <f ca="1">_xll.QCurves_GetDF($B$28,valDate,J36)</f>
        <v>0.93733893989051209</v>
      </c>
      <c r="L36" s="1">
        <f ca="1">_xll.QCurves_GetForwardRate($B$28,J36,J37,"Linear","Act365F")</f>
        <v>1.3378548839313199E-2</v>
      </c>
      <c r="M36" cm="1">
        <f t="array" aca="1" ref="M36" ca="1">_xll.QCurves_GetCpiForecast($B$30,J36,-3)</f>
        <v>184.09599723730827</v>
      </c>
      <c r="N36">
        <v>184.0959972373083</v>
      </c>
      <c r="O36" s="25">
        <f t="shared" ref="O36:O50" ca="1" si="2">M36-N36</f>
        <v>0</v>
      </c>
      <c r="Q36" t="e">
        <f ca="1"/>
        <v>#N/A</v>
      </c>
      <c r="R36" t="e">
        <f ca="1"/>
        <v>#N/A</v>
      </c>
      <c r="S36" t="e">
        <f ca="1"/>
        <v>#N/A</v>
      </c>
      <c r="T36" s="2" t="e">
        <f ca="1"/>
        <v>#N/A</v>
      </c>
      <c r="U36" s="4" t="e">
        <f ca="1"/>
        <v>#N/A</v>
      </c>
      <c r="W36" t="e">
        <f ca="1"/>
        <v>#N/A</v>
      </c>
      <c r="X36" t="e">
        <f ca="1"/>
        <v>#N/A</v>
      </c>
      <c r="Y36" t="e">
        <f ca="1"/>
        <v>#N/A</v>
      </c>
      <c r="Z36" s="2" t="e">
        <f ca="1"/>
        <v>#N/A</v>
      </c>
      <c r="AA36" s="4" t="e">
        <f ca="1"/>
        <v>#N/A</v>
      </c>
      <c r="AB36" t="e">
        <f ca="1"/>
        <v>#N/A</v>
      </c>
      <c r="AC36" t="e">
        <f ca="1"/>
        <v>#N/A</v>
      </c>
      <c r="AD36" t="e">
        <f ca="1"/>
        <v>#N/A</v>
      </c>
      <c r="AE36" s="4" t="e">
        <f ca="1"/>
        <v>#N/A</v>
      </c>
    </row>
    <row r="37" spans="1:31" x14ac:dyDescent="0.25">
      <c r="A37" t="s">
        <v>93</v>
      </c>
      <c r="B37" s="2">
        <v>43923</v>
      </c>
      <c r="C37" s="2"/>
      <c r="D37" s="2"/>
      <c r="E37" s="2"/>
      <c r="H37" s="26"/>
      <c r="J37" s="2">
        <f t="shared" ca="1" si="1"/>
        <v>47035</v>
      </c>
      <c r="K37" s="1">
        <f ca="1">_xll.QCurves_GetDF($B$28,valDate,J37)</f>
        <v>0.93418873647539247</v>
      </c>
      <c r="L37" s="1">
        <f ca="1">_xll.QCurves_GetForwardRate($B$28,J37,J38,"Linear","Act365F")</f>
        <v>1.3724275432627111E-2</v>
      </c>
      <c r="M37" cm="1">
        <f t="array" aca="1" ref="M37" ca="1">_xll.QCurves_GetCpiForecast($B$30,J37,-3)</f>
        <v>187.39672685941986</v>
      </c>
      <c r="N37">
        <v>187.39672685941991</v>
      </c>
      <c r="O37" s="25">
        <f t="shared" ca="1" si="2"/>
        <v>0</v>
      </c>
      <c r="Q37" t="e">
        <f ca="1"/>
        <v>#N/A</v>
      </c>
      <c r="R37" t="e">
        <f ca="1"/>
        <v>#N/A</v>
      </c>
      <c r="S37" t="e">
        <f ca="1"/>
        <v>#N/A</v>
      </c>
      <c r="T37" s="2" t="e">
        <f ca="1"/>
        <v>#N/A</v>
      </c>
      <c r="U37" s="18" t="e">
        <f ca="1"/>
        <v>#N/A</v>
      </c>
      <c r="W37" t="e">
        <f ca="1"/>
        <v>#N/A</v>
      </c>
      <c r="X37" t="e">
        <f ca="1"/>
        <v>#N/A</v>
      </c>
      <c r="Y37" t="e">
        <f ca="1"/>
        <v>#N/A</v>
      </c>
      <c r="Z37" s="2" t="e">
        <f ca="1"/>
        <v>#N/A</v>
      </c>
      <c r="AA37" s="18" t="e">
        <f ca="1"/>
        <v>#N/A</v>
      </c>
      <c r="AB37" t="e">
        <f ca="1"/>
        <v>#N/A</v>
      </c>
      <c r="AC37" t="e">
        <f ca="1"/>
        <v>#N/A</v>
      </c>
      <c r="AD37" t="e">
        <f ca="1"/>
        <v>#N/A</v>
      </c>
      <c r="AE37" s="4" t="e">
        <f ca="1"/>
        <v>#N/A</v>
      </c>
    </row>
    <row r="38" spans="1:31" x14ac:dyDescent="0.25">
      <c r="A38" t="s">
        <v>94</v>
      </c>
      <c r="B38" s="2">
        <v>46114</v>
      </c>
      <c r="C38" s="2"/>
      <c r="D38" s="2"/>
      <c r="E38" s="2"/>
      <c r="J38" s="2">
        <f t="shared" ca="1" si="1"/>
        <v>47127</v>
      </c>
      <c r="K38" s="1">
        <f ca="1">_xll.QCurves_GetDF($B$28,valDate,J38)</f>
        <v>0.93096826641655694</v>
      </c>
      <c r="L38" s="1">
        <f ca="1">_xll.QCurves_GetForwardRate($B$28,J38,J39,"Linear","Act365F")</f>
        <v>1.4042264407516129E-2</v>
      </c>
      <c r="M38" cm="1">
        <f t="array" aca="1" ref="M38" ca="1">_xll.QCurves_GetCpiForecast($B$30,J38,-3)</f>
        <v>190.73372823562062</v>
      </c>
      <c r="N38">
        <v>190.73372823562062</v>
      </c>
      <c r="O38" s="25">
        <f t="shared" ca="1" si="2"/>
        <v>0</v>
      </c>
      <c r="Q38" t="e">
        <f ca="1"/>
        <v>#N/A</v>
      </c>
      <c r="R38" t="e">
        <f ca="1"/>
        <v>#N/A</v>
      </c>
      <c r="S38" t="e">
        <f ca="1"/>
        <v>#N/A</v>
      </c>
      <c r="T38" s="2" t="e">
        <f ca="1"/>
        <v>#N/A</v>
      </c>
      <c r="U38" s="18" t="e">
        <f ca="1"/>
        <v>#N/A</v>
      </c>
      <c r="W38" t="e">
        <f ca="1"/>
        <v>#N/A</v>
      </c>
      <c r="X38" t="e">
        <f ca="1"/>
        <v>#N/A</v>
      </c>
      <c r="Y38" t="e">
        <f ca="1"/>
        <v>#N/A</v>
      </c>
      <c r="Z38" s="2" t="e">
        <f ca="1"/>
        <v>#N/A</v>
      </c>
      <c r="AA38" s="18" t="e">
        <f ca="1"/>
        <v>#N/A</v>
      </c>
      <c r="AB38" t="e">
        <f ca="1"/>
        <v>#N/A</v>
      </c>
      <c r="AC38" t="e">
        <f ca="1"/>
        <v>#N/A</v>
      </c>
      <c r="AD38" t="e">
        <f ca="1"/>
        <v>#N/A</v>
      </c>
      <c r="AE38" s="4" t="e">
        <f ca="1"/>
        <v>#N/A</v>
      </c>
    </row>
    <row r="39" spans="1:31" x14ac:dyDescent="0.25">
      <c r="A39" t="s">
        <v>100</v>
      </c>
      <c r="B39" s="27">
        <v>25000000</v>
      </c>
      <c r="D39" s="2"/>
      <c r="E39" s="2"/>
      <c r="J39" s="2">
        <f t="shared" ca="1" si="1"/>
        <v>47217</v>
      </c>
      <c r="K39" s="1">
        <f ca="1">_xll.QCurves_GetDF($B$28,valDate,J39)</f>
        <v>0.9277559336184853</v>
      </c>
      <c r="L39" s="1">
        <f ca="1">_xll.QCurves_GetForwardRate($B$28,J39,J40,"Linear","Act365F")</f>
        <v>1.4064285836837904E-2</v>
      </c>
      <c r="M39" cm="1">
        <f t="array" aca="1" ref="M39" ca="1">_xll.QCurves_GetCpiForecast($B$30,J39,-3)</f>
        <v>194.07072961182132</v>
      </c>
      <c r="N39">
        <v>194.07072961182138</v>
      </c>
      <c r="O39" s="25">
        <f t="shared" ca="1" si="2"/>
        <v>0</v>
      </c>
      <c r="Q39" t="e">
        <f ca="1"/>
        <v>#N/A</v>
      </c>
      <c r="R39" t="e">
        <f ca="1"/>
        <v>#N/A</v>
      </c>
      <c r="S39" t="e">
        <f ca="1"/>
        <v>#N/A</v>
      </c>
      <c r="T39" s="2" t="e">
        <f ca="1"/>
        <v>#N/A</v>
      </c>
      <c r="U39" s="18" t="e">
        <f ca="1"/>
        <v>#N/A</v>
      </c>
      <c r="W39" t="e">
        <f ca="1"/>
        <v>#N/A</v>
      </c>
      <c r="X39" t="e">
        <f ca="1"/>
        <v>#N/A</v>
      </c>
      <c r="Y39" t="e">
        <f ca="1"/>
        <v>#N/A</v>
      </c>
      <c r="Z39" s="2" t="e">
        <f ca="1"/>
        <v>#N/A</v>
      </c>
      <c r="AA39" s="18" t="e">
        <f ca="1"/>
        <v>#N/A</v>
      </c>
      <c r="AB39" t="e">
        <f ca="1"/>
        <v>#N/A</v>
      </c>
      <c r="AC39" t="e">
        <f ca="1"/>
        <v>#N/A</v>
      </c>
      <c r="AD39" t="e">
        <f ca="1"/>
        <v>#N/A</v>
      </c>
      <c r="AE39" s="4" t="e">
        <f ca="1"/>
        <v>#N/A</v>
      </c>
    </row>
    <row r="40" spans="1:31" x14ac:dyDescent="0.25">
      <c r="A40" t="s">
        <v>95</v>
      </c>
      <c r="B40" s="3">
        <v>7.0000000000000007E-2</v>
      </c>
      <c r="J40" s="2">
        <f t="shared" ca="1" si="1"/>
        <v>47308</v>
      </c>
      <c r="K40" s="1">
        <f ca="1">_xll.QCurves_GetDF($B$28,valDate,J40)</f>
        <v>0.92451418160304677</v>
      </c>
      <c r="L40" s="1">
        <f ca="1">_xll.QCurves_GetForwardRate($B$28,J40,J41,"Linear","Act365F")</f>
        <v>1.4164355045629925E-2</v>
      </c>
      <c r="M40" cm="1">
        <f t="array" aca="1" ref="M40" ca="1">_xll.QCurves_GetCpiForecast($B$30,J40,-3)</f>
        <v>197.3351874798438</v>
      </c>
      <c r="N40">
        <v>197.33518747984382</v>
      </c>
      <c r="O40" s="25">
        <f t="shared" ca="1" si="2"/>
        <v>0</v>
      </c>
      <c r="Q40" t="e">
        <f ca="1"/>
        <v>#N/A</v>
      </c>
      <c r="R40" t="e">
        <f ca="1"/>
        <v>#N/A</v>
      </c>
      <c r="S40" t="e">
        <f ca="1"/>
        <v>#N/A</v>
      </c>
      <c r="T40" s="2" t="e">
        <f ca="1"/>
        <v>#N/A</v>
      </c>
      <c r="U40" s="18" t="e">
        <f ca="1"/>
        <v>#N/A</v>
      </c>
      <c r="W40" t="e">
        <f ca="1"/>
        <v>#N/A</v>
      </c>
      <c r="X40" t="e">
        <f ca="1"/>
        <v>#N/A</v>
      </c>
      <c r="Y40" t="e">
        <f ca="1"/>
        <v>#N/A</v>
      </c>
      <c r="Z40" s="2" t="e">
        <f ca="1"/>
        <v>#N/A</v>
      </c>
      <c r="AA40" s="18" t="e">
        <f ca="1"/>
        <v>#N/A</v>
      </c>
      <c r="AB40" t="e">
        <f ca="1"/>
        <v>#N/A</v>
      </c>
      <c r="AC40" t="e">
        <f ca="1"/>
        <v>#N/A</v>
      </c>
      <c r="AD40" t="e">
        <f ca="1"/>
        <v>#N/A</v>
      </c>
      <c r="AE40" s="4" t="e">
        <f ca="1"/>
        <v>#N/A</v>
      </c>
    </row>
    <row r="41" spans="1:31" x14ac:dyDescent="0.25">
      <c r="A41" t="s">
        <v>96</v>
      </c>
      <c r="B41" t="str" cm="1">
        <f t="array" aca="1" ref="B41" ca="1">_xll.QIns_CreateInflationPerfSwap(A41,B37,B38,B2,B40,B39,"USD.CPI","USD.OIS.1B","Pay")</f>
        <v>TradeObj¬25</v>
      </c>
      <c r="J41" s="2">
        <f t="shared" ca="1" si="1"/>
        <v>47400</v>
      </c>
      <c r="K41" s="1">
        <f ca="1">_xll.QCurves_GetDF($B$28,valDate,J41)</f>
        <v>0.92122522918515171</v>
      </c>
      <c r="L41" s="1">
        <f ca="1">_xll.QCurves_GetForwardRate($B$28,J41,J42,"Linear","Act365F")</f>
        <v>9.7378719579023429E-3</v>
      </c>
      <c r="M41" cm="1">
        <f t="array" aca="1" ref="M41" ca="1">_xll.QCurves_GetCpiForecast($B$30,J41,-3)</f>
        <v>200.63591710195539</v>
      </c>
      <c r="N41">
        <v>200.63591710195541</v>
      </c>
      <c r="O41" s="25">
        <f t="shared" ca="1" si="2"/>
        <v>0</v>
      </c>
      <c r="W41" t="e">
        <f ca="1"/>
        <v>#N/A</v>
      </c>
      <c r="X41" t="e">
        <f ca="1"/>
        <v>#N/A</v>
      </c>
      <c r="Y41" t="e">
        <f ca="1"/>
        <v>#N/A</v>
      </c>
      <c r="Z41" t="e">
        <f ca="1"/>
        <v>#N/A</v>
      </c>
      <c r="AA41" t="e">
        <f ca="1"/>
        <v>#N/A</v>
      </c>
      <c r="AB41" t="e">
        <f ca="1"/>
        <v>#N/A</v>
      </c>
      <c r="AC41" t="e">
        <f ca="1"/>
        <v>#N/A</v>
      </c>
      <c r="AD41" t="e">
        <f ca="1"/>
        <v>#N/A</v>
      </c>
      <c r="AE41" s="4" t="e">
        <f ca="1"/>
        <v>#N/A</v>
      </c>
    </row>
    <row r="42" spans="1:31" ht="15.75" thickBot="1" x14ac:dyDescent="0.3">
      <c r="J42" s="2">
        <f t="shared" ca="1" si="1"/>
        <v>47492</v>
      </c>
      <c r="K42" s="1">
        <f ca="1">_xll.QCurves_GetDF($B$28,valDate,J42)</f>
        <v>0.9189696390525407</v>
      </c>
      <c r="L42" s="1">
        <f ca="1">_xll.QCurves_GetForwardRate($B$28,J42,J43,"Linear","Act365F")</f>
        <v>-6.0096606368741558E-3</v>
      </c>
      <c r="M42" cm="1">
        <f t="array" aca="1" ref="M42" ca="1">_xll.QCurves_GetCpiForecast($B$30,J42,-3)</f>
        <v>203.97291847815612</v>
      </c>
      <c r="N42">
        <v>203.97291847815615</v>
      </c>
      <c r="O42" s="25">
        <f t="shared" ca="1" si="2"/>
        <v>0</v>
      </c>
      <c r="W42" t="e">
        <f ca="1"/>
        <v>#N/A</v>
      </c>
      <c r="X42" t="e">
        <f ca="1"/>
        <v>#N/A</v>
      </c>
      <c r="Y42" t="e">
        <f ca="1"/>
        <v>#N/A</v>
      </c>
      <c r="Z42" t="e">
        <f ca="1"/>
        <v>#N/A</v>
      </c>
      <c r="AA42" t="e">
        <f ca="1"/>
        <v>#N/A</v>
      </c>
      <c r="AB42" t="e">
        <f ca="1"/>
        <v>#N/A</v>
      </c>
      <c r="AC42" t="e">
        <f ca="1"/>
        <v>#N/A</v>
      </c>
      <c r="AD42" t="e">
        <f ca="1"/>
        <v>#N/A</v>
      </c>
      <c r="AE42" t="e">
        <f ca="1"/>
        <v>#N/A</v>
      </c>
    </row>
    <row r="43" spans="1:31" ht="15.75" thickBot="1" x14ac:dyDescent="0.3">
      <c r="I43" s="21" t="s">
        <v>17</v>
      </c>
      <c r="J43" s="22">
        <f t="shared" ca="1" si="1"/>
        <v>47582</v>
      </c>
      <c r="K43" s="23">
        <f ca="1">_xll.QCurves_GetDF($B$28,valDate,J43)</f>
        <v>0.9203334205257242</v>
      </c>
      <c r="L43" s="23">
        <f ca="1">_xll.QCurves_GetForwardRate($B$28,J43,J44,"Linear","Act365F")</f>
        <v>8.3059677455544871E-3</v>
      </c>
      <c r="M43" s="24" cm="1">
        <f t="array" aca="1" ref="M43" ca="1">_xll.QCurves_GetCpiForecast($B$30,J43,-3)</f>
        <v>207.30991985435685</v>
      </c>
      <c r="N43">
        <v>207.30991985435688</v>
      </c>
      <c r="O43" s="25">
        <f t="shared" ca="1" si="2"/>
        <v>0</v>
      </c>
      <c r="W43" t="e">
        <f ca="1"/>
        <v>#N/A</v>
      </c>
      <c r="X43" t="e">
        <f ca="1"/>
        <v>#N/A</v>
      </c>
      <c r="Y43" t="e">
        <f ca="1"/>
        <v>#N/A</v>
      </c>
      <c r="Z43" t="e">
        <f ca="1"/>
        <v>#N/A</v>
      </c>
      <c r="AA43" t="e">
        <f ca="1"/>
        <v>#N/A</v>
      </c>
      <c r="AB43" t="e">
        <f ca="1"/>
        <v>#N/A</v>
      </c>
      <c r="AC43" t="e">
        <f ca="1"/>
        <v>#N/A</v>
      </c>
      <c r="AD43" t="e">
        <f ca="1"/>
        <v>#N/A</v>
      </c>
      <c r="AE43" t="e">
        <f ca="1"/>
        <v>#N/A</v>
      </c>
    </row>
    <row r="44" spans="1:31" x14ac:dyDescent="0.25">
      <c r="J44" s="2">
        <f t="shared" ca="1" si="1"/>
        <v>47673</v>
      </c>
      <c r="K44" s="1">
        <f ca="1">_xll.QCurves_GetDF($B$28,valDate,J44)</f>
        <v>0.91843152983432508</v>
      </c>
      <c r="L44" s="1">
        <f ca="1">_xll.QCurves_GetForwardRate($B$28,J44,J45,"Linear","Act365F")</f>
        <v>8.3060621867200989E-3</v>
      </c>
      <c r="M44" cm="1">
        <f t="array" aca="1" ref="M44" ca="1">_xll.QCurves_GetCpiForecast($B$30,J44,-3)</f>
        <v>210.5743777223793</v>
      </c>
      <c r="N44">
        <v>210.57437772237932</v>
      </c>
      <c r="O44" s="25">
        <f t="shared" ca="1" si="2"/>
        <v>0</v>
      </c>
      <c r="W44" t="e">
        <f ca="1"/>
        <v>#N/A</v>
      </c>
      <c r="X44" t="e">
        <f ca="1"/>
        <v>#N/A</v>
      </c>
      <c r="Y44" t="e">
        <f ca="1"/>
        <v>#N/A</v>
      </c>
      <c r="Z44" t="e">
        <f ca="1"/>
        <v>#N/A</v>
      </c>
      <c r="AA44" t="e">
        <f ca="1"/>
        <v>#N/A</v>
      </c>
      <c r="AB44" t="e">
        <f ca="1"/>
        <v>#N/A</v>
      </c>
      <c r="AC44" t="e">
        <f ca="1"/>
        <v>#N/A</v>
      </c>
      <c r="AD44" t="e">
        <f ca="1"/>
        <v>#N/A</v>
      </c>
      <c r="AE44" t="e">
        <f ca="1"/>
        <v>#N/A</v>
      </c>
    </row>
    <row r="45" spans="1:31" x14ac:dyDescent="0.25">
      <c r="J45" s="2">
        <f t="shared" ca="1" si="1"/>
        <v>47765</v>
      </c>
      <c r="K45" s="1">
        <f ca="1">_xll.QCurves_GetDF($B$28,valDate,J45)</f>
        <v>0.91651273453937587</v>
      </c>
      <c r="L45" s="1">
        <f ca="1">_xll.QCurves_GetForwardRate($B$28,J45,J46,"Linear","Act365F")</f>
        <v>8.3060621867200989E-3</v>
      </c>
      <c r="M45" cm="1">
        <f t="array" aca="1" ref="M45" ca="1">_xll.QCurves_GetCpiForecast($B$30,J45,-3)</f>
        <v>213.87510734449089</v>
      </c>
      <c r="N45">
        <v>213.87510734449094</v>
      </c>
      <c r="O45" s="25">
        <f t="shared" ca="1" si="2"/>
        <v>0</v>
      </c>
      <c r="W45" t="e">
        <f ca="1"/>
        <v>#N/A</v>
      </c>
      <c r="X45" t="e">
        <f ca="1"/>
        <v>#N/A</v>
      </c>
      <c r="Y45" t="e">
        <f ca="1"/>
        <v>#N/A</v>
      </c>
      <c r="Z45" t="e">
        <f ca="1"/>
        <v>#N/A</v>
      </c>
      <c r="AA45" t="e">
        <f ca="1"/>
        <v>#N/A</v>
      </c>
      <c r="AB45" t="e">
        <f ca="1"/>
        <v>#N/A</v>
      </c>
      <c r="AC45" t="e">
        <f ca="1"/>
        <v>#N/A</v>
      </c>
      <c r="AD45" t="e">
        <f ca="1"/>
        <v>#N/A</v>
      </c>
      <c r="AE45" t="e">
        <f ca="1"/>
        <v>#N/A</v>
      </c>
    </row>
    <row r="46" spans="1:31" x14ac:dyDescent="0.25">
      <c r="J46" s="2">
        <f t="shared" ca="1" si="1"/>
        <v>47857</v>
      </c>
      <c r="K46" s="1">
        <f ca="1">_xll.QCurves_GetDF($B$28,valDate,J46)</f>
        <v>0.91459794800856886</v>
      </c>
      <c r="L46" s="1">
        <f ca="1">_xll.QCurves_GetForwardRate($B$28,J46,J47,"Linear","Act365F")</f>
        <v>8.3058733058206657E-3</v>
      </c>
      <c r="M46" cm="1">
        <f t="array" aca="1" ref="M46" ca="1">_xll.QCurves_GetCpiForecast($B$30,J46,-3)</f>
        <v>217.21210872069162</v>
      </c>
      <c r="N46">
        <v>217.21210872069167</v>
      </c>
      <c r="O46" s="25">
        <f t="shared" ca="1" si="2"/>
        <v>0</v>
      </c>
      <c r="W46" t="e">
        <f ca="1"/>
        <v>#N/A</v>
      </c>
      <c r="X46" t="e">
        <f ca="1"/>
        <v>#N/A</v>
      </c>
      <c r="Y46" t="e">
        <f ca="1"/>
        <v>#N/A</v>
      </c>
      <c r="Z46" t="e">
        <f ca="1"/>
        <v>#N/A</v>
      </c>
      <c r="AA46" t="e">
        <f ca="1"/>
        <v>#N/A</v>
      </c>
      <c r="AB46" t="e">
        <f ca="1"/>
        <v>#N/A</v>
      </c>
      <c r="AC46" t="e">
        <f ca="1"/>
        <v>#N/A</v>
      </c>
      <c r="AD46" t="e">
        <f ca="1"/>
        <v>#N/A</v>
      </c>
      <c r="AE46" t="e">
        <f ca="1"/>
        <v>#N/A</v>
      </c>
    </row>
    <row r="47" spans="1:31" x14ac:dyDescent="0.25">
      <c r="J47" s="2">
        <f t="shared" ca="1" si="1"/>
        <v>47947</v>
      </c>
      <c r="K47" s="1">
        <f ca="1">_xll.QCurves_GetDF($B$28,valDate,J47)</f>
        <v>0.91272865821734406</v>
      </c>
      <c r="L47" s="1">
        <f ca="1">_xll.QCurves_GetForwardRate($B$28,J47,J48,"Linear","Act365F")</f>
        <v>8.3059677455544871E-3</v>
      </c>
      <c r="M47" cm="1">
        <f t="array" aca="1" ref="M47" ca="1">_xll.QCurves_GetCpiForecast($B$30,J47,-3)</f>
        <v>220.54911009689235</v>
      </c>
      <c r="N47">
        <v>220.54911009689241</v>
      </c>
      <c r="O47" s="25">
        <f t="shared" ca="1" si="2"/>
        <v>0</v>
      </c>
      <c r="W47" t="e">
        <f ca="1"/>
        <v>#N/A</v>
      </c>
      <c r="X47" t="e">
        <f ca="1"/>
        <v>#N/A</v>
      </c>
      <c r="Y47" t="e">
        <f ca="1"/>
        <v>#N/A</v>
      </c>
      <c r="Z47" t="e">
        <f ca="1"/>
        <v>#N/A</v>
      </c>
      <c r="AA47" t="e">
        <f ca="1"/>
        <v>#N/A</v>
      </c>
      <c r="AB47" t="e">
        <f ca="1"/>
        <v>#N/A</v>
      </c>
      <c r="AC47" t="e">
        <f ca="1"/>
        <v>#N/A</v>
      </c>
      <c r="AD47" t="e">
        <f ca="1"/>
        <v>#N/A</v>
      </c>
      <c r="AE47" t="e">
        <f ca="1"/>
        <v>#N/A</v>
      </c>
    </row>
    <row r="48" spans="1:31" x14ac:dyDescent="0.25">
      <c r="J48" s="2">
        <f t="shared" ca="1" si="1"/>
        <v>48038</v>
      </c>
      <c r="K48" s="1">
        <f ca="1">_xll.QCurves_GetDF($B$28,valDate,J48)</f>
        <v>0.9108424829463807</v>
      </c>
      <c r="L48" s="1">
        <f ca="1">_xll.QCurves_GetForwardRate($B$28,J48,J49,"Linear","Act365F")</f>
        <v>8.3060621867200989E-3</v>
      </c>
      <c r="M48" cm="1">
        <f t="array" aca="1" ref="M48" ca="1">_xll.QCurves_GetCpiForecast($B$30,J48,-3)</f>
        <v>223.81356796491482</v>
      </c>
      <c r="N48">
        <v>223.81356796491485</v>
      </c>
      <c r="O48" s="25">
        <f t="shared" ca="1" si="2"/>
        <v>0</v>
      </c>
      <c r="W48" t="e">
        <f ca="1"/>
        <v>#N/A</v>
      </c>
      <c r="X48" t="e">
        <f ca="1"/>
        <v>#N/A</v>
      </c>
      <c r="Y48" t="e">
        <f ca="1"/>
        <v>#N/A</v>
      </c>
      <c r="Z48" t="e">
        <f ca="1"/>
        <v>#N/A</v>
      </c>
      <c r="AA48" t="e">
        <f ca="1"/>
        <v>#N/A</v>
      </c>
      <c r="AB48" t="e">
        <f ca="1"/>
        <v>#N/A</v>
      </c>
      <c r="AC48" t="e">
        <f ca="1"/>
        <v>#N/A</v>
      </c>
      <c r="AD48" t="e">
        <f ca="1"/>
        <v>#N/A</v>
      </c>
      <c r="AE48" t="e">
        <f ca="1"/>
        <v>#N/A</v>
      </c>
    </row>
    <row r="49" spans="10:31" x14ac:dyDescent="0.25">
      <c r="J49" s="2">
        <f t="shared" ca="1" si="1"/>
        <v>48130</v>
      </c>
      <c r="K49" s="1">
        <f ca="1">_xll.QCurves_GetDF($B$28,valDate,J49)</f>
        <v>0.90893954275547428</v>
      </c>
      <c r="L49" s="1">
        <f ca="1">_xll.QCurves_GetForwardRate($B$28,J49,J50,"Linear","Act365F")</f>
        <v>8.3060621867200989E-3</v>
      </c>
      <c r="M49" cm="1">
        <f t="array" aca="1" ref="M49" ca="1">_xll.QCurves_GetCpiForecast($B$30,J49,-3)</f>
        <v>227.11429758702641</v>
      </c>
      <c r="N49">
        <v>227.11429758702644</v>
      </c>
      <c r="O49" s="25">
        <f t="shared" ca="1" si="2"/>
        <v>0</v>
      </c>
      <c r="W49" t="e">
        <f ca="1"/>
        <v>#N/A</v>
      </c>
      <c r="X49" t="e">
        <f ca="1"/>
        <v>#N/A</v>
      </c>
      <c r="Y49" t="e">
        <f ca="1"/>
        <v>#N/A</v>
      </c>
      <c r="Z49" t="e">
        <f ca="1"/>
        <v>#N/A</v>
      </c>
      <c r="AA49" t="e">
        <f ca="1"/>
        <v>#N/A</v>
      </c>
      <c r="AB49" t="e">
        <f ca="1"/>
        <v>#N/A</v>
      </c>
      <c r="AC49" t="e">
        <f ca="1"/>
        <v>#N/A</v>
      </c>
      <c r="AD49" t="e">
        <f ca="1"/>
        <v>#N/A</v>
      </c>
      <c r="AE49" t="e">
        <f ca="1"/>
        <v>#N/A</v>
      </c>
    </row>
    <row r="50" spans="10:31" x14ac:dyDescent="0.25">
      <c r="J50" s="2">
        <f t="shared" ca="1" si="1"/>
        <v>48222</v>
      </c>
      <c r="K50" s="1">
        <f ca="1">_xll.QCurves_GetDF($B$28,valDate,J50)</f>
        <v>0.90704057820408612</v>
      </c>
      <c r="L50" s="1"/>
      <c r="M50" cm="1">
        <f t="array" aca="1" ref="M50" ca="1">_xll.QCurves_GetCpiForecast($B$30,J50,-3)</f>
        <v>230.45129896322715</v>
      </c>
      <c r="N50">
        <v>230.45129896322717</v>
      </c>
      <c r="O50" s="25">
        <f t="shared" ca="1" si="2"/>
        <v>0</v>
      </c>
      <c r="W50" t="e">
        <f ca="1"/>
        <v>#N/A</v>
      </c>
      <c r="X50" t="e">
        <f ca="1"/>
        <v>#N/A</v>
      </c>
      <c r="Y50" t="e">
        <f ca="1"/>
        <v>#N/A</v>
      </c>
      <c r="Z50" t="e">
        <f ca="1"/>
        <v>#N/A</v>
      </c>
      <c r="AA50" t="e">
        <f ca="1"/>
        <v>#N/A</v>
      </c>
      <c r="AB50" t="e">
        <f ca="1"/>
        <v>#N/A</v>
      </c>
      <c r="AC50" t="e">
        <f ca="1"/>
        <v>#N/A</v>
      </c>
      <c r="AD50" t="e">
        <f ca="1"/>
        <v>#N/A</v>
      </c>
      <c r="AE50" t="e">
        <f ca="1"/>
        <v>#N/A</v>
      </c>
    </row>
    <row r="51" spans="10:31" x14ac:dyDescent="0.25">
      <c r="W51" t="e">
        <f ca="1"/>
        <v>#N/A</v>
      </c>
      <c r="X51" t="e">
        <f ca="1"/>
        <v>#N/A</v>
      </c>
      <c r="Y51" t="e">
        <f ca="1"/>
        <v>#N/A</v>
      </c>
      <c r="Z51" t="e">
        <f ca="1"/>
        <v>#N/A</v>
      </c>
      <c r="AA51" t="e">
        <f ca="1"/>
        <v>#N/A</v>
      </c>
      <c r="AB51" t="e">
        <f ca="1"/>
        <v>#N/A</v>
      </c>
      <c r="AC51" t="e">
        <f ca="1"/>
        <v>#N/A</v>
      </c>
      <c r="AD51" t="e">
        <f ca="1"/>
        <v>#N/A</v>
      </c>
      <c r="AE51" t="e">
        <f ca="1"/>
        <v>#N/A</v>
      </c>
    </row>
    <row r="52" spans="10:31" x14ac:dyDescent="0.25">
      <c r="W52" t="e">
        <f ca="1"/>
        <v>#N/A</v>
      </c>
      <c r="X52" t="e">
        <f ca="1"/>
        <v>#N/A</v>
      </c>
      <c r="Y52" t="e">
        <f ca="1"/>
        <v>#N/A</v>
      </c>
      <c r="Z52" t="e">
        <f ca="1"/>
        <v>#N/A</v>
      </c>
      <c r="AA52" t="e">
        <f ca="1"/>
        <v>#N/A</v>
      </c>
      <c r="AB52" t="e">
        <f ca="1"/>
        <v>#N/A</v>
      </c>
      <c r="AC52" t="e">
        <f ca="1"/>
        <v>#N/A</v>
      </c>
      <c r="AD52" t="e">
        <f ca="1"/>
        <v>#N/A</v>
      </c>
      <c r="AE52" t="e">
        <f ca="1"/>
        <v>#N/A</v>
      </c>
    </row>
    <row r="53" spans="10:31" x14ac:dyDescent="0.25">
      <c r="W53" t="e">
        <f ca="1"/>
        <v>#N/A</v>
      </c>
      <c r="X53" t="e">
        <f ca="1"/>
        <v>#N/A</v>
      </c>
      <c r="Y53" t="e">
        <f ca="1"/>
        <v>#N/A</v>
      </c>
      <c r="Z53" t="e">
        <f ca="1"/>
        <v>#N/A</v>
      </c>
      <c r="AA53" t="e">
        <f ca="1"/>
        <v>#N/A</v>
      </c>
      <c r="AB53" t="e">
        <f ca="1"/>
        <v>#N/A</v>
      </c>
      <c r="AC53" t="e">
        <f ca="1"/>
        <v>#N/A</v>
      </c>
      <c r="AD53" t="e">
        <f ca="1"/>
        <v>#N/A</v>
      </c>
      <c r="AE53" t="e">
        <f ca="1"/>
        <v>#N/A</v>
      </c>
    </row>
    <row r="54" spans="10:31" x14ac:dyDescent="0.25">
      <c r="W54" t="e">
        <f ca="1"/>
        <v>#N/A</v>
      </c>
      <c r="X54" t="e">
        <f ca="1"/>
        <v>#N/A</v>
      </c>
      <c r="Y54" t="e">
        <f ca="1"/>
        <v>#N/A</v>
      </c>
      <c r="Z54" t="e">
        <f ca="1"/>
        <v>#N/A</v>
      </c>
      <c r="AA54" t="e">
        <f ca="1"/>
        <v>#N/A</v>
      </c>
      <c r="AB54" t="e">
        <f ca="1"/>
        <v>#N/A</v>
      </c>
      <c r="AC54" t="e">
        <f ca="1"/>
        <v>#N/A</v>
      </c>
      <c r="AD54" t="e">
        <f ca="1"/>
        <v>#N/A</v>
      </c>
      <c r="AE54" t="e">
        <f ca="1"/>
        <v>#N/A</v>
      </c>
    </row>
    <row r="55" spans="10:31" x14ac:dyDescent="0.25">
      <c r="W55" t="e">
        <f ca="1"/>
        <v>#N/A</v>
      </c>
      <c r="X55" t="e">
        <f ca="1"/>
        <v>#N/A</v>
      </c>
      <c r="Y55" t="e">
        <f ca="1"/>
        <v>#N/A</v>
      </c>
      <c r="Z55" t="e">
        <f ca="1"/>
        <v>#N/A</v>
      </c>
      <c r="AA55" t="e">
        <f ca="1"/>
        <v>#N/A</v>
      </c>
      <c r="AB55" t="e">
        <f ca="1"/>
        <v>#N/A</v>
      </c>
      <c r="AC55" t="e">
        <f ca="1"/>
        <v>#N/A</v>
      </c>
      <c r="AD55" t="e">
        <f ca="1"/>
        <v>#N/A</v>
      </c>
      <c r="AE55" t="e">
        <f ca="1"/>
        <v>#N/A</v>
      </c>
    </row>
    <row r="56" spans="10:31" x14ac:dyDescent="0.25">
      <c r="W56" t="e">
        <f ca="1"/>
        <v>#N/A</v>
      </c>
      <c r="X56" t="e">
        <f ca="1"/>
        <v>#N/A</v>
      </c>
      <c r="Y56" t="e">
        <f ca="1"/>
        <v>#N/A</v>
      </c>
      <c r="Z56" t="e">
        <f ca="1"/>
        <v>#N/A</v>
      </c>
      <c r="AA56" t="e">
        <f ca="1"/>
        <v>#N/A</v>
      </c>
      <c r="AB56" t="e">
        <f ca="1"/>
        <v>#N/A</v>
      </c>
      <c r="AC56" t="e">
        <f ca="1"/>
        <v>#N/A</v>
      </c>
      <c r="AD56" t="e">
        <f ca="1"/>
        <v>#N/A</v>
      </c>
      <c r="AE56" t="e">
        <f ca="1"/>
        <v>#N/A</v>
      </c>
    </row>
    <row r="57" spans="10:31" x14ac:dyDescent="0.25">
      <c r="W57" t="e">
        <f ca="1"/>
        <v>#N/A</v>
      </c>
      <c r="X57" t="e">
        <f ca="1"/>
        <v>#N/A</v>
      </c>
      <c r="Y57" t="e">
        <f ca="1"/>
        <v>#N/A</v>
      </c>
      <c r="Z57" t="e">
        <f ca="1"/>
        <v>#N/A</v>
      </c>
      <c r="AA57" t="e">
        <f ca="1"/>
        <v>#N/A</v>
      </c>
      <c r="AB57" t="e">
        <f ca="1"/>
        <v>#N/A</v>
      </c>
      <c r="AC57" t="e">
        <f ca="1"/>
        <v>#N/A</v>
      </c>
      <c r="AD57" t="e">
        <f ca="1"/>
        <v>#N/A</v>
      </c>
      <c r="AE57" t="e">
        <f ca="1"/>
        <v>#N/A</v>
      </c>
    </row>
  </sheetData>
  <mergeCells count="1">
    <mergeCell ref="K1:L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SelfDiscounting</vt:lpstr>
      <vt:lpstr>OisDiscounting</vt:lpstr>
      <vt:lpstr>ComplexBuild</vt:lpstr>
      <vt:lpstr>CPI</vt:lpstr>
      <vt:lpstr>ComplexBuild!index</vt:lpstr>
      <vt:lpstr>OisDiscounting!index</vt:lpstr>
      <vt:lpstr>index</vt:lpstr>
      <vt:lpstr>ComplexBuild!oisIndex</vt:lpstr>
      <vt:lpstr>oisIndex</vt:lpstr>
      <vt:lpstr>ComplexBuild!valDate</vt:lpstr>
      <vt:lpstr>OisDiscounting!valDate</vt:lpstr>
      <vt:lpstr>valDate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Brennan</dc:creator>
  <cp:lastModifiedBy>Gavin Brennan</cp:lastModifiedBy>
  <dcterms:created xsi:type="dcterms:W3CDTF">2018-08-21T09:22:15Z</dcterms:created>
  <dcterms:modified xsi:type="dcterms:W3CDTF">2023-06-01T08:11:41Z</dcterms:modified>
</cp:coreProperties>
</file>