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ern\Documents\GitHub\Machine-Elements\latex\Tribologia\Labs\"/>
    </mc:Choice>
  </mc:AlternateContent>
  <xr:revisionPtr revIDLastSave="0" documentId="13_ncr:1_{B7269F46-207A-4D30-8764-6997A8F9073E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Patim" sheetId="1" r:id="rId1"/>
    <sheet name="Oil" sheetId="2" r:id="rId2"/>
    <sheet name="Sheet1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5" i="1" l="1"/>
  <c r="C8" i="1"/>
  <c r="C6" i="1"/>
  <c r="O26" i="1"/>
  <c r="C20" i="1"/>
  <c r="C19" i="1" s="1"/>
  <c r="F23" i="2"/>
  <c r="D54" i="1"/>
  <c r="M38" i="1"/>
  <c r="M39" i="1" s="1"/>
  <c r="M40" i="1" s="1"/>
  <c r="M36" i="1"/>
  <c r="M35" i="1" s="1"/>
  <c r="M34" i="1" s="1"/>
  <c r="C30" i="1"/>
  <c r="B30" i="1"/>
  <c r="L26" i="1"/>
  <c r="L27" i="1" s="1"/>
  <c r="L28" i="1" s="1"/>
  <c r="L29" i="1" s="1"/>
  <c r="L30" i="1" s="1"/>
  <c r="L31" i="1" s="1"/>
  <c r="C21" i="1"/>
  <c r="O30" i="1" s="1"/>
  <c r="C15" i="1"/>
  <c r="C29" i="1" s="1"/>
  <c r="C31" i="1" s="1"/>
  <c r="M11" i="1"/>
  <c r="N11" i="1" s="1"/>
  <c r="C11" i="1"/>
  <c r="O44" i="1" s="1"/>
  <c r="P44" i="1" s="1"/>
  <c r="C53" i="1"/>
  <c r="S6" i="1"/>
  <c r="L44" i="1"/>
  <c r="L45" i="1" s="1"/>
  <c r="L46" i="1" s="1"/>
  <c r="S5" i="1"/>
  <c r="O5" i="1"/>
  <c r="C55" i="1" l="1"/>
  <c r="B55" i="1"/>
  <c r="C32" i="1"/>
  <c r="C33" i="1" s="1"/>
  <c r="C41" i="1"/>
  <c r="C42" i="1" s="1"/>
  <c r="O28" i="1"/>
  <c r="L37" i="1"/>
  <c r="L32" i="1"/>
  <c r="L47" i="1"/>
  <c r="L48" i="1" s="1"/>
  <c r="L49" i="1" s="1"/>
  <c r="N46" i="1"/>
  <c r="O38" i="1"/>
  <c r="O40" i="1"/>
  <c r="C51" i="1"/>
  <c r="C44" i="1"/>
  <c r="N45" i="1"/>
  <c r="N48" i="1"/>
  <c r="O32" i="1"/>
  <c r="O37" i="1"/>
  <c r="W4" i="1"/>
  <c r="W5" i="1" s="1"/>
  <c r="O31" i="1"/>
  <c r="O34" i="1"/>
  <c r="O36" i="1"/>
  <c r="O39" i="1"/>
  <c r="O27" i="1"/>
  <c r="O35" i="1"/>
  <c r="C38" i="1"/>
  <c r="N44" i="1"/>
  <c r="O29" i="1"/>
  <c r="C34" i="1"/>
  <c r="C36" i="1"/>
  <c r="O11" i="1" l="1"/>
  <c r="T5" i="1"/>
  <c r="C37" i="1"/>
  <c r="T6" i="1"/>
  <c r="L50" i="1"/>
  <c r="N50" i="1" s="1"/>
  <c r="N49" i="1"/>
  <c r="L38" i="1"/>
  <c r="L39" i="1" s="1"/>
  <c r="L40" i="1" s="1"/>
  <c r="L36" i="1"/>
  <c r="L35" i="1" s="1"/>
  <c r="L34" i="1" s="1"/>
  <c r="N47" i="1"/>
  <c r="C35" i="1" l="1"/>
  <c r="C39" i="1"/>
  <c r="O45" i="1"/>
  <c r="O48" i="1"/>
  <c r="O46" i="1"/>
  <c r="O50" i="1"/>
  <c r="O49" i="1"/>
  <c r="O47" i="1"/>
  <c r="Q48" i="1" l="1"/>
  <c r="P48" i="1"/>
  <c r="P49" i="1"/>
  <c r="Q49" i="1"/>
  <c r="Q44" i="1"/>
  <c r="P50" i="1"/>
  <c r="Q50" i="1"/>
  <c r="C40" i="1"/>
  <c r="C45" i="1"/>
  <c r="C46" i="1" s="1"/>
  <c r="Q45" i="1"/>
  <c r="P45" i="1"/>
  <c r="Q47" i="1"/>
  <c r="P47" i="1"/>
  <c r="Q46" i="1"/>
  <c r="P46" i="1"/>
</calcChain>
</file>

<file path=xl/sharedStrings.xml><?xml version="1.0" encoding="utf-8"?>
<sst xmlns="http://schemas.openxmlformats.org/spreadsheetml/2006/main" count="199" uniqueCount="139">
  <si>
    <t>Patim Hidrodinâmico - CETRIB</t>
  </si>
  <si>
    <t>Obtenção do Coeficiente de Expansão Térmica</t>
  </si>
  <si>
    <r>
      <rPr>
        <b/>
        <sz val="11"/>
        <color rgb="FF000000"/>
        <rFont val="Calibri"/>
        <family val="2"/>
        <charset val="1"/>
      </rPr>
      <t xml:space="preserve">Obtenção das constantes para a curva </t>
    </r>
    <r>
      <rPr>
        <b/>
        <sz val="10"/>
        <rFont val="Arial"/>
        <family val="2"/>
        <charset val="1"/>
      </rPr>
      <t>ASTM D341</t>
    </r>
  </si>
  <si>
    <t>Input</t>
  </si>
  <si>
    <t>T [ºC]</t>
  </si>
  <si>
    <r>
      <rPr>
        <sz val="10"/>
        <rFont val="Symbol"/>
        <family val="1"/>
        <charset val="2"/>
      </rPr>
      <t>r</t>
    </r>
    <r>
      <rPr>
        <sz val="11"/>
        <color rgb="FF000000"/>
        <rFont val="Calibri"/>
        <family val="2"/>
        <charset val="1"/>
      </rPr>
      <t xml:space="preserve"> [g/cm</t>
    </r>
    <r>
      <rPr>
        <vertAlign val="superscript"/>
        <sz val="10"/>
        <rFont val="Arial"/>
        <family val="2"/>
        <charset val="1"/>
      </rPr>
      <t>3</t>
    </r>
    <r>
      <rPr>
        <sz val="11"/>
        <color rgb="FF000000"/>
        <rFont val="Calibri"/>
        <family val="2"/>
        <charset val="1"/>
      </rPr>
      <t>]</t>
    </r>
  </si>
  <si>
    <r>
      <rPr>
        <sz val="10"/>
        <rFont val="Symbol"/>
        <family val="1"/>
        <charset val="2"/>
      </rPr>
      <t>r*</t>
    </r>
    <r>
      <rPr>
        <sz val="11"/>
        <color rgb="FF000000"/>
        <rFont val="Calibri"/>
        <family val="2"/>
        <charset val="1"/>
      </rPr>
      <t xml:space="preserve"> [g/cm</t>
    </r>
    <r>
      <rPr>
        <vertAlign val="superscript"/>
        <sz val="10"/>
        <rFont val="Arial"/>
        <family val="2"/>
        <charset val="1"/>
      </rPr>
      <t>3</t>
    </r>
    <r>
      <rPr>
        <sz val="11"/>
        <color rgb="FF000000"/>
        <rFont val="Calibri"/>
        <family val="2"/>
        <charset val="1"/>
      </rPr>
      <t>]</t>
    </r>
  </si>
  <si>
    <r>
      <rPr>
        <b/>
        <sz val="10"/>
        <rFont val="Symbol"/>
        <family val="1"/>
        <charset val="2"/>
      </rPr>
      <t>u</t>
    </r>
    <r>
      <rPr>
        <sz val="10"/>
        <rFont val="Symbol"/>
        <family val="1"/>
        <charset val="2"/>
      </rPr>
      <t xml:space="preserve"> </t>
    </r>
    <r>
      <rPr>
        <sz val="11"/>
        <color rgb="FF000000"/>
        <rFont val="Calibri"/>
        <family val="2"/>
        <charset val="1"/>
      </rPr>
      <t>[cSt]</t>
    </r>
  </si>
  <si>
    <r>
      <rPr>
        <b/>
        <sz val="10"/>
        <rFont val="Symbol"/>
        <family val="1"/>
        <charset val="2"/>
      </rPr>
      <t>u*</t>
    </r>
    <r>
      <rPr>
        <sz val="10"/>
        <rFont val="Symbol"/>
        <family val="1"/>
        <charset val="2"/>
      </rPr>
      <t xml:space="preserve"> </t>
    </r>
    <r>
      <rPr>
        <sz val="11"/>
        <color rgb="FF000000"/>
        <rFont val="Calibri"/>
        <family val="2"/>
        <charset val="1"/>
      </rPr>
      <t>[cSt]</t>
    </r>
  </si>
  <si>
    <t>B=</t>
  </si>
  <si>
    <t>Dimensões do Patim</t>
  </si>
  <si>
    <t>A=</t>
  </si>
  <si>
    <t>mm</t>
  </si>
  <si>
    <t>a=</t>
  </si>
  <si>
    <t>L=</t>
  </si>
  <si>
    <r>
      <rPr>
        <sz val="10"/>
        <rFont val="Symbol"/>
        <family val="1"/>
        <charset val="2"/>
      </rPr>
      <t>a</t>
    </r>
    <r>
      <rPr>
        <sz val="11"/>
        <color rgb="FF000000"/>
        <rFont val="Calibri"/>
        <family val="2"/>
        <charset val="1"/>
      </rPr>
      <t xml:space="preserve"> [1/ºC]</t>
    </r>
  </si>
  <si>
    <t>L/B=</t>
  </si>
  <si>
    <t>-</t>
  </si>
  <si>
    <t>&gt;4</t>
  </si>
  <si>
    <t>Cinemática</t>
  </si>
  <si>
    <t>n=</t>
  </si>
  <si>
    <t>rpm</t>
  </si>
  <si>
    <r>
      <rPr>
        <sz val="10"/>
        <rFont val="Symbol"/>
        <family val="1"/>
        <charset val="2"/>
      </rPr>
      <t>r</t>
    </r>
    <r>
      <rPr>
        <sz val="11"/>
        <color rgb="FF000000"/>
        <rFont val="Calibri"/>
        <family val="2"/>
        <charset val="1"/>
      </rPr>
      <t>[g/cm</t>
    </r>
    <r>
      <rPr>
        <vertAlign val="superscript"/>
        <sz val="10"/>
        <rFont val="Arial"/>
        <family val="2"/>
        <charset val="1"/>
      </rPr>
      <t>3</t>
    </r>
    <r>
      <rPr>
        <sz val="11"/>
        <color rgb="FF000000"/>
        <rFont val="Calibri"/>
        <family val="2"/>
        <charset val="1"/>
      </rPr>
      <t>]</t>
    </r>
  </si>
  <si>
    <t>U=</t>
  </si>
  <si>
    <t>m/s</t>
  </si>
  <si>
    <t>Filme Lubrificante</t>
  </si>
  <si>
    <t>h2=</t>
  </si>
  <si>
    <r>
      <rPr>
        <sz val="11"/>
        <color rgb="FF000000"/>
        <rFont val="Symbol"/>
        <family val="1"/>
        <charset val="2"/>
      </rPr>
      <t>m</t>
    </r>
    <r>
      <rPr>
        <sz val="11"/>
        <color rgb="FF000000"/>
        <rFont val="Calibri"/>
        <family val="2"/>
        <charset val="1"/>
      </rPr>
      <t>m</t>
    </r>
  </si>
  <si>
    <t>h1=</t>
  </si>
  <si>
    <t>K=</t>
  </si>
  <si>
    <t>- 1,2 (Max. Carga); 1,55 (Min. COF)</t>
  </si>
  <si>
    <t>Óelo Lubrificante</t>
  </si>
  <si>
    <t>Refª. Comercial</t>
  </si>
  <si>
    <t>NUTO H 100</t>
  </si>
  <si>
    <t>T=</t>
  </si>
  <si>
    <t>ºC</t>
  </si>
  <si>
    <t>Viscosidade, ASTM D445</t>
  </si>
  <si>
    <t xml:space="preserve"> </t>
  </si>
  <si>
    <t>h=</t>
  </si>
  <si>
    <t>cP</t>
  </si>
  <si>
    <t xml:space="preserve">   cSt @ 100°C</t>
  </si>
  <si>
    <t>Pa.s</t>
  </si>
  <si>
    <t xml:space="preserve">   cSt @ 40°C</t>
  </si>
  <si>
    <t>r=</t>
  </si>
  <si>
    <t>kg/m3</t>
  </si>
  <si>
    <t>Viscosity Index, ASTM D2270</t>
  </si>
  <si>
    <t>cp=</t>
  </si>
  <si>
    <t>J/(g.K)</t>
  </si>
  <si>
    <t>Density 15ºC, ASTM D4052</t>
  </si>
  <si>
    <t>EXPERIMENTAL SEGUNDO B</t>
  </si>
  <si>
    <t>Furos</t>
  </si>
  <si>
    <t>x / mm</t>
  </si>
  <si>
    <t>y / mm</t>
  </si>
  <si>
    <t>Coluna / mm</t>
  </si>
  <si>
    <t>p / Pa</t>
  </si>
  <si>
    <t>Output</t>
  </si>
  <si>
    <t>alfa=</t>
  </si>
  <si>
    <t>º</t>
  </si>
  <si>
    <t>inclinação do patim</t>
  </si>
  <si>
    <t>h/=</t>
  </si>
  <si>
    <t>espessura na posição de pressão máxima</t>
  </si>
  <si>
    <t>x/=</t>
  </si>
  <si>
    <t>posição de pressão máxima</t>
  </si>
  <si>
    <t>EXPERIMENTAL SEGUNDO L</t>
  </si>
  <si>
    <t>p*/=</t>
  </si>
  <si>
    <t>pressão adimensional máxima</t>
  </si>
  <si>
    <t>pmáx=</t>
  </si>
  <si>
    <t>Mpa</t>
  </si>
  <si>
    <t>W*=</t>
  </si>
  <si>
    <t>carga adimensional</t>
  </si>
  <si>
    <t>W=</t>
  </si>
  <si>
    <t>N</t>
  </si>
  <si>
    <t>carga suportada</t>
  </si>
  <si>
    <t>F*=</t>
  </si>
  <si>
    <t>força de atrito adimensional</t>
  </si>
  <si>
    <t>F=</t>
  </si>
  <si>
    <t>força de atrito</t>
  </si>
  <si>
    <t>m=</t>
  </si>
  <si>
    <t>coeficiente de atrito</t>
  </si>
  <si>
    <t>m*=</t>
  </si>
  <si>
    <t>coeficiente de atrito adimensional</t>
  </si>
  <si>
    <t>TEÓRICO</t>
  </si>
  <si>
    <t>Qy=</t>
  </si>
  <si>
    <t>m3/s</t>
  </si>
  <si>
    <t>caudal em Oy nulo L/B&gt;4</t>
  </si>
  <si>
    <r>
      <rPr>
        <b/>
        <sz val="11"/>
        <color rgb="FF000000"/>
        <rFont val="Calibri"/>
        <family val="2"/>
        <charset val="1"/>
      </rPr>
      <t xml:space="preserve">h / </t>
    </r>
    <r>
      <rPr>
        <b/>
        <sz val="11"/>
        <color rgb="FF000000"/>
        <rFont val="Symbol"/>
        <family val="1"/>
        <charset val="2"/>
      </rPr>
      <t>m</t>
    </r>
    <r>
      <rPr>
        <b/>
        <sz val="11"/>
        <color rgb="FF000000"/>
        <rFont val="Calibri"/>
        <family val="2"/>
        <charset val="1"/>
      </rPr>
      <t>m</t>
    </r>
  </si>
  <si>
    <t>p* / Pa</t>
  </si>
  <si>
    <t>Qx=</t>
  </si>
  <si>
    <t>caudal em Ox</t>
  </si>
  <si>
    <t>H=</t>
  </si>
  <si>
    <t>W</t>
  </si>
  <si>
    <t>potência dissipada</t>
  </si>
  <si>
    <r>
      <rPr>
        <sz val="11"/>
        <color rgb="FF000000"/>
        <rFont val="Symbol"/>
        <family val="1"/>
        <charset val="2"/>
      </rPr>
      <t>D</t>
    </r>
    <r>
      <rPr>
        <sz val="11"/>
        <color rgb="FF000000"/>
        <rFont val="Calibri"/>
        <family val="2"/>
        <charset val="1"/>
      </rPr>
      <t>T=</t>
    </r>
  </si>
  <si>
    <t>aumento de temperatura sofrido pelo lubrificante</t>
  </si>
  <si>
    <t>Comparação das Cargas</t>
  </si>
  <si>
    <t>6W*=</t>
  </si>
  <si>
    <t>∞</t>
  </si>
  <si>
    <t>Relação</t>
  </si>
  <si>
    <t>NUTO H 32</t>
  </si>
  <si>
    <t>NUTO H 46</t>
  </si>
  <si>
    <t>NUTO H 68</t>
  </si>
  <si>
    <t>NUTO H 150</t>
  </si>
  <si>
    <t>5.4</t>
  </si>
  <si>
    <t>6.7</t>
  </si>
  <si>
    <t>8.5</t>
  </si>
  <si>
    <t>11.1</t>
  </si>
  <si>
    <t>14.6</t>
  </si>
  <si>
    <t>0.872</t>
  </si>
  <si>
    <t>0.876</t>
  </si>
  <si>
    <t>0.882</t>
  </si>
  <si>
    <t>0.884</t>
  </si>
  <si>
    <t>0.887</t>
  </si>
  <si>
    <t>Pour Point, °C, ASTM D97</t>
  </si>
  <si>
    <t>Ponto de Fulgor, COC, °C, ASTM D92</t>
  </si>
  <si>
    <t>Demulsibilidade a 54°C, ASTM D1401</t>
  </si>
  <si>
    <t>Demulsibilidade a 82°C, ASTM D1401</t>
  </si>
  <si>
    <t>Corrosão em lâmina de cobre, 3 hrs a 100°C, ASTM D130</t>
  </si>
  <si>
    <t>1A</t>
  </si>
  <si>
    <t>g/cm3</t>
  </si>
  <si>
    <r>
      <rPr>
        <b/>
        <sz val="12"/>
        <color rgb="FF000000"/>
        <rFont val="Calibri"/>
        <family val="2"/>
        <charset val="1"/>
      </rPr>
      <t>L</t>
    </r>
    <r>
      <rPr>
        <b/>
        <vertAlign val="subscript"/>
        <sz val="12"/>
        <color rgb="FF000000"/>
        <rFont val="Calibri"/>
        <family val="2"/>
        <charset val="1"/>
      </rPr>
      <t>1</t>
    </r>
  </si>
  <si>
    <r>
      <rPr>
        <b/>
        <sz val="12"/>
        <color rgb="FF000000"/>
        <rFont val="Calibri"/>
        <family val="2"/>
        <charset val="1"/>
      </rPr>
      <t>L</t>
    </r>
    <r>
      <rPr>
        <b/>
        <vertAlign val="subscript"/>
        <sz val="12"/>
        <color rgb="FF000000"/>
        <rFont val="Calibri"/>
        <family val="2"/>
        <charset val="1"/>
      </rPr>
      <t>2</t>
    </r>
  </si>
  <si>
    <r>
      <rPr>
        <b/>
        <sz val="12"/>
        <color rgb="FF000000"/>
        <rFont val="Calibri"/>
        <family val="2"/>
        <charset val="1"/>
      </rPr>
      <t>L</t>
    </r>
    <r>
      <rPr>
        <b/>
        <vertAlign val="subscript"/>
        <sz val="12"/>
        <color rgb="FF000000"/>
        <rFont val="Calibri"/>
        <family val="2"/>
        <charset val="1"/>
      </rPr>
      <t>3</t>
    </r>
  </si>
  <si>
    <r>
      <rPr>
        <b/>
        <sz val="12"/>
        <color rgb="FF000000"/>
        <rFont val="Calibri"/>
        <family val="2"/>
        <charset val="1"/>
      </rPr>
      <t>L</t>
    </r>
    <r>
      <rPr>
        <b/>
        <vertAlign val="subscript"/>
        <sz val="12"/>
        <color rgb="FF000000"/>
        <rFont val="Calibri"/>
        <family val="2"/>
        <charset val="1"/>
      </rPr>
      <t>4</t>
    </r>
  </si>
  <si>
    <r>
      <rPr>
        <b/>
        <sz val="12"/>
        <color rgb="FF000000"/>
        <rFont val="Calibri"/>
        <family val="2"/>
        <charset val="1"/>
      </rPr>
      <t>L</t>
    </r>
    <r>
      <rPr>
        <b/>
        <vertAlign val="subscript"/>
        <sz val="12"/>
        <color rgb="FF000000"/>
        <rFont val="Calibri"/>
        <family val="2"/>
        <charset val="1"/>
      </rPr>
      <t>5</t>
    </r>
  </si>
  <si>
    <r>
      <rPr>
        <b/>
        <sz val="12"/>
        <color rgb="FF000000"/>
        <rFont val="Calibri"/>
        <family val="2"/>
        <charset val="1"/>
      </rPr>
      <t>L</t>
    </r>
    <r>
      <rPr>
        <b/>
        <vertAlign val="subscript"/>
        <sz val="12"/>
        <color rgb="FF000000"/>
        <rFont val="Calibri"/>
        <family val="2"/>
        <charset val="1"/>
      </rPr>
      <t>6</t>
    </r>
  </si>
  <si>
    <r>
      <rPr>
        <b/>
        <sz val="12"/>
        <color rgb="FF000000"/>
        <rFont val="Calibri"/>
        <family val="2"/>
        <charset val="1"/>
      </rPr>
      <t>L</t>
    </r>
    <r>
      <rPr>
        <b/>
        <vertAlign val="subscript"/>
        <sz val="12"/>
        <color rgb="FF000000"/>
        <rFont val="Calibri"/>
        <family val="2"/>
        <charset val="1"/>
      </rPr>
      <t>7</t>
    </r>
  </si>
  <si>
    <r>
      <rPr>
        <b/>
        <sz val="12"/>
        <color rgb="FF000000"/>
        <rFont val="Calibri"/>
        <family val="2"/>
        <charset val="1"/>
      </rPr>
      <t>L</t>
    </r>
    <r>
      <rPr>
        <b/>
        <vertAlign val="subscript"/>
        <sz val="12"/>
        <color rgb="FF000000"/>
        <rFont val="Calibri"/>
        <family val="2"/>
        <charset val="1"/>
      </rPr>
      <t>8</t>
    </r>
  </si>
  <si>
    <r>
      <rPr>
        <b/>
        <sz val="12"/>
        <color rgb="FF000000"/>
        <rFont val="Calibri"/>
        <family val="2"/>
        <charset val="1"/>
      </rPr>
      <t>L</t>
    </r>
    <r>
      <rPr>
        <b/>
        <vertAlign val="subscript"/>
        <sz val="12"/>
        <color rgb="FF000000"/>
        <rFont val="Calibri"/>
        <family val="2"/>
        <charset val="1"/>
      </rPr>
      <t>9</t>
    </r>
  </si>
  <si>
    <r>
      <rPr>
        <b/>
        <sz val="12"/>
        <color rgb="FF000000"/>
        <rFont val="Calibri"/>
        <family val="2"/>
        <charset val="1"/>
      </rPr>
      <t>L</t>
    </r>
    <r>
      <rPr>
        <b/>
        <vertAlign val="subscript"/>
        <sz val="12"/>
        <color rgb="FF000000"/>
        <rFont val="Calibri"/>
        <family val="2"/>
        <charset val="1"/>
      </rPr>
      <t>10</t>
    </r>
  </si>
  <si>
    <r>
      <rPr>
        <b/>
        <sz val="12"/>
        <color rgb="FF000000"/>
        <rFont val="Calibri"/>
        <family val="2"/>
        <charset val="1"/>
      </rPr>
      <t>L</t>
    </r>
    <r>
      <rPr>
        <b/>
        <vertAlign val="subscript"/>
        <sz val="12"/>
        <color rgb="FF000000"/>
        <rFont val="Calibri"/>
        <family val="2"/>
        <charset val="1"/>
      </rPr>
      <t>11</t>
    </r>
  </si>
  <si>
    <r>
      <rPr>
        <b/>
        <sz val="12"/>
        <color rgb="FF000000"/>
        <rFont val="Calibri"/>
        <family val="2"/>
        <charset val="1"/>
      </rPr>
      <t>L</t>
    </r>
    <r>
      <rPr>
        <b/>
        <vertAlign val="subscript"/>
        <sz val="12"/>
        <color rgb="FF000000"/>
        <rFont val="Calibri"/>
        <family val="2"/>
        <charset val="1"/>
      </rPr>
      <t>12</t>
    </r>
  </si>
  <si>
    <r>
      <rPr>
        <b/>
        <sz val="12"/>
        <color rgb="FF000000"/>
        <rFont val="Calibri"/>
        <family val="2"/>
        <charset val="1"/>
      </rPr>
      <t>L</t>
    </r>
    <r>
      <rPr>
        <b/>
        <vertAlign val="subscript"/>
        <sz val="12"/>
        <color rgb="FF000000"/>
        <rFont val="Calibri"/>
        <family val="2"/>
        <charset val="1"/>
      </rPr>
      <t>13</t>
    </r>
  </si>
  <si>
    <r>
      <rPr>
        <b/>
        <sz val="12"/>
        <color rgb="FF000000"/>
        <rFont val="Calibri"/>
        <family val="2"/>
        <charset val="1"/>
      </rPr>
      <t>T</t>
    </r>
    <r>
      <rPr>
        <sz val="12"/>
        <color rgb="FF000000"/>
        <rFont val="Calibri"/>
        <family val="2"/>
        <charset val="1"/>
      </rPr>
      <t xml:space="preserve"> óleo (ºC)</t>
    </r>
  </si>
  <si>
    <r>
      <rPr>
        <b/>
        <sz val="12"/>
        <color rgb="FF000000"/>
        <rFont val="Calibri"/>
        <family val="2"/>
        <charset val="1"/>
      </rPr>
      <t>n</t>
    </r>
    <r>
      <rPr>
        <sz val="12"/>
        <color rgb="FF000000"/>
        <rFont val="Calibri"/>
        <family val="2"/>
        <charset val="1"/>
      </rPr>
      <t xml:space="preserve"> (rpm)</t>
    </r>
  </si>
  <si>
    <r>
      <rPr>
        <b/>
        <sz val="12"/>
        <color rgb="FF000000"/>
        <rFont val="Calibri"/>
        <family val="2"/>
        <charset val="1"/>
      </rPr>
      <t>h</t>
    </r>
    <r>
      <rPr>
        <b/>
        <vertAlign val="subscript"/>
        <sz val="12"/>
        <color rgb="FF000000"/>
        <rFont val="Calibri"/>
        <family val="2"/>
        <charset val="1"/>
      </rPr>
      <t>1</t>
    </r>
    <r>
      <rPr>
        <sz val="12"/>
        <color rgb="FF000000"/>
        <rFont val="Calibri"/>
        <family val="2"/>
        <charset val="1"/>
      </rPr>
      <t xml:space="preserve"> (mm)</t>
    </r>
  </si>
  <si>
    <r>
      <rPr>
        <b/>
        <sz val="12"/>
        <color rgb="FF000000"/>
        <rFont val="Calibri"/>
        <family val="2"/>
        <charset val="1"/>
      </rPr>
      <t>h</t>
    </r>
    <r>
      <rPr>
        <b/>
        <vertAlign val="subscript"/>
        <sz val="12"/>
        <color rgb="FF000000"/>
        <rFont val="Calibri"/>
        <family val="2"/>
        <charset val="1"/>
      </rPr>
      <t>0</t>
    </r>
    <r>
      <rPr>
        <sz val="12"/>
        <color rgb="FF000000"/>
        <rFont val="Calibri"/>
        <family val="2"/>
        <charset val="1"/>
      </rPr>
      <t xml:space="preserve"> (mm)</t>
    </r>
  </si>
  <si>
    <t>6W*=(L/B=∞)</t>
  </si>
  <si>
    <t>6W*=(L/B=1.042)</t>
  </si>
  <si>
    <t>Rel.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</si>
</sst>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E+00"/>
  </numFmts>
  <fonts count="18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i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Symbol"/>
      <family val="1"/>
      <charset val="2"/>
    </font>
    <font>
      <vertAlign val="superscript"/>
      <sz val="10"/>
      <name val="Arial"/>
      <family val="2"/>
      <charset val="1"/>
    </font>
    <font>
      <b/>
      <sz val="10"/>
      <name val="Symbol"/>
      <family val="1"/>
      <charset val="2"/>
    </font>
    <font>
      <b/>
      <sz val="11"/>
      <color rgb="FFFA7D00"/>
      <name val="Calibri"/>
      <family val="2"/>
      <charset val="1"/>
    </font>
    <font>
      <b/>
      <sz val="11"/>
      <name val="Arial"/>
      <family val="2"/>
      <charset val="1"/>
    </font>
    <font>
      <sz val="11"/>
      <color rgb="FF3F3F76"/>
      <name val="Calibri"/>
      <family val="2"/>
      <charset val="1"/>
    </font>
    <font>
      <sz val="11"/>
      <color rgb="FF000000"/>
      <name val="Symbol"/>
      <family val="1"/>
      <charset val="2"/>
    </font>
    <font>
      <i/>
      <sz val="11"/>
      <color rgb="FF000000"/>
      <name val="Calibri"/>
      <family val="2"/>
      <charset val="1"/>
    </font>
    <font>
      <b/>
      <sz val="11"/>
      <color rgb="FF000000"/>
      <name val="Symbol"/>
      <family val="1"/>
      <charset val="2"/>
    </font>
    <font>
      <b/>
      <u/>
      <sz val="11"/>
      <color rgb="FF000000"/>
      <name val="Calibri"/>
      <family val="2"/>
      <charset val="1"/>
    </font>
    <font>
      <b/>
      <vertAlign val="subscript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E6E0EC"/>
      </patternFill>
    </fill>
    <fill>
      <patternFill patternType="solid">
        <fgColor rgb="FFFFCC99"/>
        <bgColor rgb="FFD9D9D9"/>
      </patternFill>
    </fill>
    <fill>
      <patternFill patternType="solid">
        <fgColor rgb="FFE6E0EC"/>
        <bgColor rgb="FFD9D9D9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9" fillId="2" borderId="1" applyProtection="0"/>
    <xf numFmtId="0" fontId="11" fillId="3" borderId="1" applyProtection="0"/>
  </cellStyleXfs>
  <cellXfs count="8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0" xfId="0" applyBorder="1"/>
    <xf numFmtId="0" fontId="0" fillId="0" borderId="6" xfId="0" applyBorder="1"/>
    <xf numFmtId="0" fontId="2" fillId="0" borderId="0" xfId="0" applyFont="1"/>
    <xf numFmtId="0" fontId="0" fillId="0" borderId="5" xfId="0" applyBorder="1"/>
    <xf numFmtId="0" fontId="3" fillId="0" borderId="0" xfId="0" applyFont="1"/>
    <xf numFmtId="0" fontId="4" fillId="0" borderId="5" xfId="0" applyFont="1" applyBorder="1"/>
    <xf numFmtId="0" fontId="5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9" fillId="2" borderId="1" xfId="1" applyAlignment="1" applyProtection="1"/>
    <xf numFmtId="164" fontId="0" fillId="4" borderId="12" xfId="0" applyNumberFormat="1" applyFill="1" applyBorder="1" applyAlignment="1">
      <alignment horizontal="right"/>
    </xf>
    <xf numFmtId="165" fontId="0" fillId="4" borderId="13" xfId="0" applyNumberFormat="1" applyFill="1" applyBorder="1" applyAlignment="1"/>
    <xf numFmtId="165" fontId="0" fillId="0" borderId="13" xfId="0" applyNumberFormat="1" applyBorder="1" applyAlignment="1"/>
    <xf numFmtId="2" fontId="9" fillId="2" borderId="1" xfId="1" applyNumberFormat="1" applyAlignment="1" applyProtection="1"/>
    <xf numFmtId="2" fontId="0" fillId="0" borderId="0" xfId="0" applyNumberFormat="1" applyBorder="1"/>
    <xf numFmtId="0" fontId="0" fillId="0" borderId="5" xfId="0" applyFon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5" fontId="0" fillId="0" borderId="0" xfId="0" applyNumberFormat="1" applyBorder="1" applyAlignment="1"/>
    <xf numFmtId="165" fontId="0" fillId="0" borderId="0" xfId="0" applyNumberFormat="1" applyBorder="1"/>
    <xf numFmtId="11" fontId="0" fillId="0" borderId="0" xfId="0" applyNumberFormat="1"/>
    <xf numFmtId="0" fontId="1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11" fillId="3" borderId="1" xfId="2" applyNumberFormat="1" applyBorder="1" applyAlignment="1" applyProtection="1"/>
    <xf numFmtId="0" fontId="6" fillId="0" borderId="8" xfId="0" applyFont="1" applyBorder="1" applyAlignment="1">
      <alignment horizontal="left"/>
    </xf>
    <xf numFmtId="164" fontId="0" fillId="4" borderId="14" xfId="0" applyNumberFormat="1" applyFill="1" applyBorder="1" applyAlignment="1">
      <alignment horizontal="right"/>
    </xf>
    <xf numFmtId="165" fontId="0" fillId="4" borderId="15" xfId="0" applyNumberFormat="1" applyFill="1" applyBorder="1" applyAlignment="1"/>
    <xf numFmtId="2" fontId="0" fillId="0" borderId="16" xfId="0" applyNumberFormat="1" applyBorder="1"/>
    <xf numFmtId="165" fontId="11" fillId="3" borderId="1" xfId="2" applyNumberFormat="1" applyBorder="1" applyAlignment="1" applyProtection="1"/>
    <xf numFmtId="0" fontId="12" fillId="0" borderId="0" xfId="0" applyFont="1" applyBorder="1"/>
    <xf numFmtId="0" fontId="5" fillId="0" borderId="0" xfId="0" applyFont="1"/>
    <xf numFmtId="0" fontId="2" fillId="0" borderId="0" xfId="0" applyFont="1" applyBorder="1" applyAlignment="1">
      <alignment horizontal="right"/>
    </xf>
    <xf numFmtId="0" fontId="13" fillId="0" borderId="0" xfId="0" applyFont="1" applyBorder="1"/>
    <xf numFmtId="0" fontId="0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3" borderId="1" xfId="2" applyBorder="1" applyAlignment="1" applyProtection="1"/>
    <xf numFmtId="2" fontId="0" fillId="0" borderId="0" xfId="0" applyNumberFormat="1"/>
    <xf numFmtId="0" fontId="0" fillId="0" borderId="17" xfId="0" applyFont="1" applyBorder="1" applyAlignment="1">
      <alignment horizontal="right"/>
    </xf>
    <xf numFmtId="165" fontId="0" fillId="0" borderId="18" xfId="0" applyNumberFormat="1" applyBorder="1"/>
    <xf numFmtId="0" fontId="0" fillId="0" borderId="18" xfId="0" applyFont="1" applyBorder="1"/>
    <xf numFmtId="0" fontId="0" fillId="0" borderId="18" xfId="0" applyFont="1" applyBorder="1" applyAlignment="1">
      <alignment horizontal="right"/>
    </xf>
    <xf numFmtId="0" fontId="11" fillId="3" borderId="19" xfId="2" applyBorder="1" applyAlignment="1" applyProtection="1"/>
    <xf numFmtId="0" fontId="0" fillId="0" borderId="20" xfId="0" applyBorder="1"/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21" xfId="0" applyFont="1" applyBorder="1" applyAlignment="1">
      <alignment horizontal="center"/>
    </xf>
    <xf numFmtId="0" fontId="2" fillId="0" borderId="21" xfId="0" applyFont="1" applyBorder="1"/>
    <xf numFmtId="164" fontId="0" fillId="0" borderId="21" xfId="0" applyNumberFormat="1" applyBorder="1"/>
    <xf numFmtId="0" fontId="0" fillId="0" borderId="21" xfId="0" applyBorder="1"/>
    <xf numFmtId="0" fontId="4" fillId="0" borderId="0" xfId="0" applyFont="1"/>
    <xf numFmtId="0" fontId="0" fillId="0" borderId="22" xfId="0" applyFont="1" applyBorder="1" applyAlignment="1">
      <alignment horizontal="right"/>
    </xf>
    <xf numFmtId="0" fontId="0" fillId="0" borderId="22" xfId="0" applyBorder="1"/>
    <xf numFmtId="0" fontId="12" fillId="0" borderId="22" xfId="0" applyFont="1" applyBorder="1"/>
    <xf numFmtId="0" fontId="0" fillId="0" borderId="9" xfId="0" applyBorder="1" applyAlignment="1">
      <alignment horizontal="right"/>
    </xf>
    <xf numFmtId="165" fontId="0" fillId="0" borderId="9" xfId="0" applyNumberFormat="1" applyBorder="1"/>
    <xf numFmtId="0" fontId="12" fillId="0" borderId="9" xfId="0" applyFont="1" applyBorder="1"/>
    <xf numFmtId="0" fontId="0" fillId="0" borderId="23" xfId="0" applyFont="1" applyBorder="1" applyAlignment="1">
      <alignment horizontal="right"/>
    </xf>
    <xf numFmtId="166" fontId="0" fillId="0" borderId="23" xfId="0" applyNumberFormat="1" applyBorder="1"/>
    <xf numFmtId="0" fontId="0" fillId="0" borderId="23" xfId="0" applyFont="1" applyBorder="1"/>
    <xf numFmtId="165" fontId="0" fillId="0" borderId="22" xfId="0" applyNumberFormat="1" applyBorder="1"/>
    <xf numFmtId="0" fontId="0" fillId="0" borderId="9" xfId="0" applyFont="1" applyBorder="1"/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2" fillId="0" borderId="9" xfId="0" applyFont="1" applyBorder="1" applyAlignment="1">
      <alignment horizontal="right"/>
    </xf>
    <xf numFmtId="0" fontId="12" fillId="0" borderId="22" xfId="0" applyFont="1" applyBorder="1" applyAlignment="1">
      <alignment horizontal="right"/>
    </xf>
    <xf numFmtId="166" fontId="0" fillId="0" borderId="9" xfId="0" applyNumberFormat="1" applyBorder="1"/>
    <xf numFmtId="2" fontId="0" fillId="0" borderId="21" xfId="0" applyNumberFormat="1" applyBorder="1"/>
    <xf numFmtId="0" fontId="0" fillId="0" borderId="23" xfId="0" applyFont="1" applyBorder="1" applyAlignment="1">
      <alignment horizontal="left"/>
    </xf>
    <xf numFmtId="0" fontId="12" fillId="0" borderId="23" xfId="0" applyFont="1" applyBorder="1" applyAlignment="1">
      <alignment horizontal="right"/>
    </xf>
    <xf numFmtId="165" fontId="0" fillId="0" borderId="23" xfId="0" applyNumberForma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/>
    <xf numFmtId="0" fontId="11" fillId="3" borderId="1" xfId="2" applyAlignment="1" applyProtection="1"/>
    <xf numFmtId="4" fontId="0" fillId="0" borderId="0" xfId="0" applyNumberFormat="1"/>
    <xf numFmtId="0" fontId="15" fillId="0" borderId="0" xfId="0" applyFont="1"/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Excel Built-in Calculation" xfId="1" xr:uid="{00000000-0005-0000-0000-000006000000}"/>
    <cellStyle name="Excel Built-in Input" xfId="2" xr:uid="{00000000-0005-0000-0000-000007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C0504D"/>
      <rgbColor rgb="FFFFFFCC"/>
      <rgbColor rgb="FFE6E0EC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A7D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Patim!$O$43</c:f>
              <c:strCache>
                <c:ptCount val="1"/>
                <c:pt idx="0">
                  <c:v>p / Pa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Patim!$L$44:$L$50</c:f>
              <c:numCache>
                <c:formatCode>0.0</c:formatCode>
                <c:ptCount val="7"/>
                <c:pt idx="0">
                  <c:v>78</c:v>
                </c:pt>
                <c:pt idx="1">
                  <c:v>65.5</c:v>
                </c:pt>
                <c:pt idx="2">
                  <c:v>53</c:v>
                </c:pt>
                <c:pt idx="3">
                  <c:v>40.5</c:v>
                </c:pt>
                <c:pt idx="4">
                  <c:v>28</c:v>
                </c:pt>
                <c:pt idx="5">
                  <c:v>15.5</c:v>
                </c:pt>
                <c:pt idx="6">
                  <c:v>3</c:v>
                </c:pt>
              </c:numCache>
            </c:numRef>
          </c:xVal>
          <c:yVal>
            <c:numRef>
              <c:f>Patim!$O$44:$O$50</c:f>
              <c:numCache>
                <c:formatCode>0.00</c:formatCode>
                <c:ptCount val="7"/>
                <c:pt idx="0">
                  <c:v>1972.3273984398998</c:v>
                </c:pt>
                <c:pt idx="1">
                  <c:v>3458.6164794689048</c:v>
                </c:pt>
                <c:pt idx="2">
                  <c:v>4982.583296762361</c:v>
                </c:pt>
                <c:pt idx="3">
                  <c:v>6400.5081528980381</c:v>
                </c:pt>
                <c:pt idx="4">
                  <c:v>7351.7841851500616</c:v>
                </c:pt>
                <c:pt idx="5">
                  <c:v>6901.3351426488998</c:v>
                </c:pt>
                <c:pt idx="6">
                  <c:v>2392.3066155684437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9-4012-94BB-F29B1AF05E03}"/>
            </c:ext>
          </c:extLst>
        </c:ser>
        <c:ser>
          <c:idx val="1"/>
          <c:order val="1"/>
          <c:tx>
            <c:strRef>
              <c:f>Patim!$O$25</c:f>
              <c:strCache>
                <c:ptCount val="1"/>
                <c:pt idx="0">
                  <c:v>p / Pa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Patim!$L$26:$L$32</c:f>
              <c:numCache>
                <c:formatCode>0.0</c:formatCode>
                <c:ptCount val="7"/>
                <c:pt idx="0">
                  <c:v>78</c:v>
                </c:pt>
                <c:pt idx="1">
                  <c:v>65.5</c:v>
                </c:pt>
                <c:pt idx="2">
                  <c:v>53</c:v>
                </c:pt>
                <c:pt idx="3">
                  <c:v>40.5</c:v>
                </c:pt>
                <c:pt idx="4">
                  <c:v>28</c:v>
                </c:pt>
                <c:pt idx="5">
                  <c:v>15.5</c:v>
                </c:pt>
                <c:pt idx="6">
                  <c:v>3</c:v>
                </c:pt>
              </c:numCache>
            </c:numRef>
          </c:xVal>
          <c:yVal>
            <c:numRef>
              <c:f>Patim!$O$26:$O$32</c:f>
              <c:numCache>
                <c:formatCode>0.0</c:formatCode>
                <c:ptCount val="7"/>
                <c:pt idx="0">
                  <c:v>1076.0700834000002</c:v>
                </c:pt>
                <c:pt idx="1">
                  <c:v>1601.1922840992002</c:v>
                </c:pt>
                <c:pt idx="2">
                  <c:v>2229.6172128048006</c:v>
                </c:pt>
                <c:pt idx="3">
                  <c:v>2926.9106268480004</c:v>
                </c:pt>
                <c:pt idx="4">
                  <c:v>3572.5526768880009</c:v>
                </c:pt>
                <c:pt idx="5">
                  <c:v>3701.6810868960006</c:v>
                </c:pt>
                <c:pt idx="6">
                  <c:v>1936.9261501200003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B9-4012-94BB-F29B1AF05E03}"/>
            </c:ext>
          </c:extLst>
        </c:ser>
        <c:ser>
          <c:idx val="2"/>
          <c:order val="2"/>
          <c:tx>
            <c:strRef>
              <c:f>Patim!$Q$43</c:f>
              <c:strCache>
                <c:ptCount val="1"/>
                <c:pt idx="0">
                  <c:v>p* / Pa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Patim!$L$44:$L$50</c:f>
              <c:numCache>
                <c:formatCode>0.0</c:formatCode>
                <c:ptCount val="7"/>
                <c:pt idx="0">
                  <c:v>78</c:v>
                </c:pt>
                <c:pt idx="1">
                  <c:v>65.5</c:v>
                </c:pt>
                <c:pt idx="2">
                  <c:v>53</c:v>
                </c:pt>
                <c:pt idx="3">
                  <c:v>40.5</c:v>
                </c:pt>
                <c:pt idx="4">
                  <c:v>28</c:v>
                </c:pt>
                <c:pt idx="5">
                  <c:v>15.5</c:v>
                </c:pt>
                <c:pt idx="6">
                  <c:v>3</c:v>
                </c:pt>
              </c:numCache>
            </c:numRef>
          </c:xVal>
          <c:yVal>
            <c:numRef>
              <c:f>Patim!$Q$44:$Q$50</c:f>
              <c:numCache>
                <c:formatCode>0.00</c:formatCode>
                <c:ptCount val="7"/>
                <c:pt idx="0">
                  <c:v>920.41945260528655</c:v>
                </c:pt>
                <c:pt idx="1">
                  <c:v>1614.0210237521555</c:v>
                </c:pt>
                <c:pt idx="2">
                  <c:v>2325.2055384891019</c:v>
                </c:pt>
                <c:pt idx="3">
                  <c:v>2986.9038046857513</c:v>
                </c:pt>
                <c:pt idx="4">
                  <c:v>3430.8326197366955</c:v>
                </c:pt>
                <c:pt idx="5">
                  <c:v>3220.6230665694866</c:v>
                </c:pt>
                <c:pt idx="6">
                  <c:v>1116.4097539319405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B9-4012-94BB-F29B1AF0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4177"/>
        <c:axId val="62708502"/>
      </c:scatterChart>
      <c:valAx>
        <c:axId val="37614177"/>
        <c:scaling>
          <c:orientation val="maxMin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708502"/>
        <c:crosses val="autoZero"/>
        <c:crossBetween val="midCat"/>
      </c:valAx>
      <c:valAx>
        <c:axId val="62708502"/>
        <c:scaling>
          <c:orientation val="minMax"/>
        </c:scaling>
        <c:delete val="0"/>
        <c:axPos val="r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61417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19800</xdr:colOff>
      <xdr:row>9</xdr:row>
      <xdr:rowOff>38520</xdr:rowOff>
    </xdr:from>
    <xdr:to>
      <xdr:col>13</xdr:col>
      <xdr:colOff>190440</xdr:colOff>
      <xdr:row>10</xdr:row>
      <xdr:rowOff>171000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659600" y="1684440"/>
          <a:ext cx="1396440" cy="3229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19440</xdr:colOff>
      <xdr:row>14</xdr:row>
      <xdr:rowOff>171720</xdr:rowOff>
    </xdr:from>
    <xdr:to>
      <xdr:col>20</xdr:col>
      <xdr:colOff>409680</xdr:colOff>
      <xdr:row>15</xdr:row>
      <xdr:rowOff>171000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5776640" y="2714760"/>
          <a:ext cx="1616040" cy="180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466560</xdr:colOff>
      <xdr:row>51</xdr:row>
      <xdr:rowOff>54360</xdr:rowOff>
    </xdr:from>
    <xdr:to>
      <xdr:col>16</xdr:col>
      <xdr:colOff>45360</xdr:colOff>
      <xdr:row>66</xdr:row>
      <xdr:rowOff>139320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57</xdr:row>
      <xdr:rowOff>37440</xdr:rowOff>
    </xdr:from>
    <xdr:to>
      <xdr:col>4</xdr:col>
      <xdr:colOff>2882160</xdr:colOff>
      <xdr:row>77</xdr:row>
      <xdr:rowOff>150120</xdr:rowOff>
    </xdr:to>
    <xdr:pic>
      <xdr:nvPicPr>
        <xdr:cNvPr id="5" name="Imagem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12720" y="10193400"/>
          <a:ext cx="4986360" cy="37321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472905</xdr:colOff>
      <xdr:row>58</xdr:row>
      <xdr:rowOff>54000</xdr:rowOff>
    </xdr:from>
    <xdr:to>
      <xdr:col>4</xdr:col>
      <xdr:colOff>472905</xdr:colOff>
      <xdr:row>74</xdr:row>
      <xdr:rowOff>149760</xdr:rowOff>
    </xdr:to>
    <xdr:sp macro="" textlink="">
      <xdr:nvSpPr>
        <xdr:cNvPr id="6" name="Lin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101805" y="10626750"/>
          <a:ext cx="0" cy="2991360"/>
        </a:xfrm>
        <a:prstGeom prst="line">
          <a:avLst/>
        </a:prstGeom>
        <a:ln w="0">
          <a:solidFill>
            <a:srgbClr val="C0504D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>
    <xdr:from>
      <xdr:col>2</xdr:col>
      <xdr:colOff>298440</xdr:colOff>
      <xdr:row>67</xdr:row>
      <xdr:rowOff>136545</xdr:rowOff>
    </xdr:from>
    <xdr:to>
      <xdr:col>7</xdr:col>
      <xdr:colOff>464040</xdr:colOff>
      <xdr:row>67</xdr:row>
      <xdr:rowOff>136545</xdr:rowOff>
    </xdr:to>
    <xdr:sp macro="" textlink="">
      <xdr:nvSpPr>
        <xdr:cNvPr id="7" name="Lin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479540" y="12338070"/>
          <a:ext cx="6928350" cy="0"/>
        </a:xfrm>
        <a:prstGeom prst="line">
          <a:avLst/>
        </a:prstGeom>
        <a:ln w="0">
          <a:solidFill>
            <a:srgbClr val="F79646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/>
      </xdr:style>
    </xdr:sp>
    <xdr:clientData/>
  </xdr:twoCellAnchor>
  <xdr:twoCellAnchor editAs="oneCell">
    <xdr:from>
      <xdr:col>17</xdr:col>
      <xdr:colOff>14040</xdr:colOff>
      <xdr:row>8</xdr:row>
      <xdr:rowOff>170280</xdr:rowOff>
    </xdr:from>
    <xdr:to>
      <xdr:col>23</xdr:col>
      <xdr:colOff>421920</xdr:colOff>
      <xdr:row>36</xdr:row>
      <xdr:rowOff>14400</xdr:rowOff>
    </xdr:to>
    <xdr:pic>
      <xdr:nvPicPr>
        <xdr:cNvPr id="8" name="Imagem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5158520" y="1640880"/>
          <a:ext cx="4084560" cy="4832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17280</xdr:colOff>
      <xdr:row>0</xdr:row>
      <xdr:rowOff>0</xdr:rowOff>
    </xdr:from>
    <xdr:to>
      <xdr:col>9</xdr:col>
      <xdr:colOff>340200</xdr:colOff>
      <xdr:row>13</xdr:row>
      <xdr:rowOff>12600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5918040" y="0"/>
          <a:ext cx="3836520" cy="2380320"/>
        </a:xfrm>
        <a:prstGeom prst="rect">
          <a:avLst/>
        </a:prstGeom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68"/>
  <sheetViews>
    <sheetView tabSelected="1" topLeftCell="A37" zoomScaleNormal="100" workbookViewId="0">
      <selection activeCell="D56" sqref="D56"/>
    </sheetView>
  </sheetViews>
  <sheetFormatPr defaultColWidth="8.6640625" defaultRowHeight="14.4" x14ac:dyDescent="0.3"/>
  <cols>
    <col min="3" max="3" width="12.44140625" customWidth="1"/>
    <col min="5" max="5" width="45.109375" customWidth="1"/>
    <col min="6" max="6" width="6.44140625" customWidth="1"/>
    <col min="7" max="7" width="26" customWidth="1"/>
    <col min="14" max="14" width="12.77734375" customWidth="1"/>
    <col min="15" max="16" width="12.44140625" customWidth="1"/>
  </cols>
  <sheetData>
    <row r="1" spans="2:23" x14ac:dyDescent="0.3">
      <c r="B1" s="1"/>
      <c r="C1" s="2"/>
      <c r="D1" s="2"/>
      <c r="E1" s="2"/>
      <c r="F1" s="2"/>
      <c r="G1" s="2"/>
      <c r="H1" s="2"/>
      <c r="I1" s="2"/>
      <c r="J1" s="2"/>
      <c r="K1" s="3"/>
    </row>
    <row r="2" spans="2:23" ht="15.6" x14ac:dyDescent="0.3">
      <c r="B2" s="4" t="s">
        <v>0</v>
      </c>
      <c r="C2" s="5"/>
      <c r="D2" s="5"/>
      <c r="E2" s="5"/>
      <c r="F2" s="5"/>
      <c r="G2" s="5"/>
      <c r="H2" s="5"/>
      <c r="I2" s="5"/>
      <c r="J2" s="5"/>
      <c r="K2" s="6"/>
      <c r="M2" s="7" t="s">
        <v>1</v>
      </c>
      <c r="R2" s="7" t="s">
        <v>2</v>
      </c>
    </row>
    <row r="3" spans="2:23" x14ac:dyDescent="0.3">
      <c r="B3" s="8"/>
      <c r="C3" s="5"/>
      <c r="D3" s="5"/>
      <c r="E3" s="5"/>
      <c r="F3" s="5"/>
      <c r="G3" s="5"/>
      <c r="H3" s="5"/>
      <c r="I3" s="5"/>
      <c r="J3" s="5"/>
      <c r="K3" s="6"/>
      <c r="M3" s="9"/>
    </row>
    <row r="4" spans="2:23" ht="16.2" x14ac:dyDescent="0.3">
      <c r="B4" s="10" t="s">
        <v>3</v>
      </c>
      <c r="C4" s="5"/>
      <c r="D4" s="5"/>
      <c r="E4" s="5"/>
      <c r="F4" s="5"/>
      <c r="G4" s="5"/>
      <c r="H4" s="5"/>
      <c r="I4" s="5"/>
      <c r="J4" s="5"/>
      <c r="K4" s="6"/>
      <c r="M4" s="11" t="s">
        <v>4</v>
      </c>
      <c r="N4" s="12" t="s">
        <v>5</v>
      </c>
      <c r="O4" s="12" t="s">
        <v>6</v>
      </c>
      <c r="R4" s="13" t="s">
        <v>4</v>
      </c>
      <c r="S4" s="14" t="s">
        <v>7</v>
      </c>
      <c r="T4" s="15" t="s">
        <v>8</v>
      </c>
      <c r="U4" s="5"/>
      <c r="V4" s="16" t="s">
        <v>9</v>
      </c>
      <c r="W4" s="17">
        <f>+LOG10(LOG10(S5+0.7)/LOG10(S6+0.7))/LOG10((R6+273.15)/(R5+273.15))</f>
        <v>3.5667500954221447</v>
      </c>
    </row>
    <row r="5" spans="2:23" x14ac:dyDescent="0.3">
      <c r="B5" s="10"/>
      <c r="C5" s="88" t="s">
        <v>10</v>
      </c>
      <c r="D5" s="88"/>
      <c r="E5" s="5"/>
      <c r="F5" s="5"/>
      <c r="G5" s="5"/>
      <c r="H5" s="5"/>
      <c r="I5" s="5"/>
      <c r="J5" s="5"/>
      <c r="K5" s="6"/>
      <c r="M5" s="18">
        <v>15</v>
      </c>
      <c r="N5" s="19">
        <v>0.88400000000000001</v>
      </c>
      <c r="O5" s="20">
        <f>$N$5*(1-$M$8*(M5-$M$5))</f>
        <v>0.88400000000000001</v>
      </c>
      <c r="R5">
        <v>40</v>
      </c>
      <c r="S5">
        <f>+H20</f>
        <v>100</v>
      </c>
      <c r="T5" s="21">
        <f>POWER(10,POWER(10,$W$5-$W$4*LOG10(273.15+R5)))-$W$6</f>
        <v>99.336632000049264</v>
      </c>
      <c r="U5" s="22"/>
      <c r="V5" s="16" t="s">
        <v>11</v>
      </c>
      <c r="W5" s="17">
        <f>+LOG10(LOG10(S6+0.7))+W4*LOG10(R6+273)</f>
        <v>9.2027897021342966</v>
      </c>
    </row>
    <row r="6" spans="2:23" x14ac:dyDescent="0.3">
      <c r="B6" s="23" t="s">
        <v>9</v>
      </c>
      <c r="C6" s="5">
        <f>130-12-22</f>
        <v>96</v>
      </c>
      <c r="D6" s="5" t="s">
        <v>12</v>
      </c>
      <c r="E6" s="5"/>
      <c r="F6" s="5"/>
      <c r="G6" s="5"/>
      <c r="H6" s="5"/>
      <c r="I6" s="5"/>
      <c r="J6" s="5"/>
      <c r="K6" s="6"/>
      <c r="M6" s="24"/>
      <c r="N6" s="25"/>
      <c r="O6" s="25"/>
      <c r="R6">
        <v>100</v>
      </c>
      <c r="S6">
        <f>+H19</f>
        <v>11.1</v>
      </c>
      <c r="T6" s="21">
        <f>POWER(10,POWER(10,$W$5-$W$4*LOG10(273.15+R6)))-$W$6</f>
        <v>11.058338652265176</v>
      </c>
      <c r="U6" s="5"/>
      <c r="V6" s="16" t="s">
        <v>13</v>
      </c>
      <c r="W6" s="17">
        <v>0.7</v>
      </c>
    </row>
    <row r="7" spans="2:23" x14ac:dyDescent="0.3">
      <c r="B7" s="23" t="s">
        <v>14</v>
      </c>
      <c r="C7" s="5">
        <v>100</v>
      </c>
      <c r="D7" s="5" t="s">
        <v>12</v>
      </c>
      <c r="E7" s="5"/>
      <c r="F7" s="5"/>
      <c r="G7" s="5"/>
      <c r="H7" s="5"/>
      <c r="I7" s="5"/>
      <c r="J7" s="5"/>
      <c r="K7" s="6"/>
      <c r="M7" s="12" t="s">
        <v>15</v>
      </c>
      <c r="N7" s="25"/>
      <c r="O7" s="25"/>
    </row>
    <row r="8" spans="2:23" x14ac:dyDescent="0.3">
      <c r="B8" s="23" t="s">
        <v>16</v>
      </c>
      <c r="C8" s="26">
        <f>C7/C6</f>
        <v>1.0416666666666667</v>
      </c>
      <c r="D8" s="5" t="s">
        <v>17</v>
      </c>
      <c r="E8" s="5" t="s">
        <v>18</v>
      </c>
      <c r="F8" s="5"/>
      <c r="G8" s="5"/>
      <c r="H8" s="5"/>
      <c r="I8" s="5"/>
      <c r="J8" s="5"/>
      <c r="K8" s="6"/>
      <c r="M8" s="27">
        <v>7.3200000000000001E-4</v>
      </c>
      <c r="N8" s="28"/>
      <c r="O8" s="5"/>
    </row>
    <row r="9" spans="2:23" x14ac:dyDescent="0.3">
      <c r="B9" s="23"/>
      <c r="C9" s="88" t="s">
        <v>19</v>
      </c>
      <c r="D9" s="88"/>
      <c r="E9" s="5"/>
      <c r="F9" s="5"/>
      <c r="G9" s="5"/>
      <c r="H9" s="5"/>
      <c r="I9" s="5"/>
      <c r="J9" s="5"/>
      <c r="K9" s="6"/>
      <c r="P9" s="29"/>
    </row>
    <row r="10" spans="2:23" ht="16.2" x14ac:dyDescent="0.3">
      <c r="B10" s="23" t="s">
        <v>20</v>
      </c>
      <c r="C10" s="30">
        <v>50</v>
      </c>
      <c r="D10" s="5" t="s">
        <v>21</v>
      </c>
      <c r="E10" s="5"/>
      <c r="F10" s="5"/>
      <c r="G10" s="5"/>
      <c r="H10" s="5"/>
      <c r="I10" s="5"/>
      <c r="J10" s="5"/>
      <c r="K10" s="6"/>
      <c r="M10" s="11" t="s">
        <v>4</v>
      </c>
      <c r="N10" s="31" t="s">
        <v>22</v>
      </c>
      <c r="O10" s="14" t="s">
        <v>7</v>
      </c>
    </row>
    <row r="11" spans="2:23" x14ac:dyDescent="0.3">
      <c r="B11" s="23" t="s">
        <v>23</v>
      </c>
      <c r="C11" s="22">
        <f>C10/60*PI()*0.14</f>
        <v>0.36651914291880927</v>
      </c>
      <c r="D11" s="5" t="s">
        <v>24</v>
      </c>
      <c r="E11" s="5"/>
      <c r="F11" s="5"/>
      <c r="G11" s="5"/>
      <c r="H11" s="5"/>
      <c r="I11" s="5"/>
      <c r="J11" s="5"/>
      <c r="K11" s="6"/>
      <c r="M11" s="32">
        <f>+C18</f>
        <v>25</v>
      </c>
      <c r="N11" s="33">
        <f>$N$5*(1-$M$8*(M11-$M$5))</f>
        <v>0.87752912000000005</v>
      </c>
      <c r="O11" s="34">
        <f>POWER(10,POWER(10,$W$5-$W$4*LOG10(273.15+M11)))-$W$6</f>
        <v>240.76996135215484</v>
      </c>
      <c r="P11" s="5"/>
    </row>
    <row r="12" spans="2:23" x14ac:dyDescent="0.3">
      <c r="B12" s="23"/>
      <c r="C12" s="88" t="s">
        <v>25</v>
      </c>
      <c r="D12" s="88"/>
      <c r="E12" s="5"/>
      <c r="F12" s="5"/>
      <c r="G12" s="5"/>
      <c r="H12" s="5"/>
      <c r="I12" s="5"/>
      <c r="J12" s="5"/>
      <c r="K12" s="6"/>
      <c r="P12" s="26"/>
    </row>
    <row r="13" spans="2:23" x14ac:dyDescent="0.3">
      <c r="B13" s="23" t="s">
        <v>26</v>
      </c>
      <c r="C13" s="35">
        <v>500</v>
      </c>
      <c r="D13" s="36" t="s">
        <v>27</v>
      </c>
      <c r="E13" s="5"/>
      <c r="F13" s="5"/>
      <c r="G13" s="5"/>
      <c r="H13" s="5"/>
      <c r="I13" s="5"/>
      <c r="J13" s="5"/>
      <c r="K13" s="6"/>
      <c r="P13" s="5"/>
    </row>
    <row r="14" spans="2:23" x14ac:dyDescent="0.3">
      <c r="B14" s="23" t="s">
        <v>28</v>
      </c>
      <c r="C14" s="35">
        <v>1500</v>
      </c>
      <c r="D14" s="36" t="s">
        <v>27</v>
      </c>
      <c r="E14" s="5"/>
      <c r="F14" s="5"/>
      <c r="G14" s="5"/>
      <c r="H14" s="5"/>
      <c r="I14" s="5"/>
      <c r="J14" s="5"/>
      <c r="K14" s="6"/>
      <c r="P14" s="37"/>
    </row>
    <row r="15" spans="2:23" x14ac:dyDescent="0.3">
      <c r="B15" s="23" t="s">
        <v>29</v>
      </c>
      <c r="C15" s="26">
        <f>(C14-C13)/C13</f>
        <v>2</v>
      </c>
      <c r="D15" s="5" t="s">
        <v>17</v>
      </c>
      <c r="E15" s="5" t="s">
        <v>30</v>
      </c>
      <c r="F15" s="5"/>
      <c r="G15" s="5"/>
      <c r="H15" s="5"/>
      <c r="I15" s="5"/>
      <c r="J15" s="5"/>
      <c r="K15" s="6"/>
    </row>
    <row r="16" spans="2:23" x14ac:dyDescent="0.3">
      <c r="B16" s="23"/>
      <c r="C16" s="5"/>
      <c r="D16" s="5"/>
      <c r="E16" s="5"/>
      <c r="F16" s="5"/>
      <c r="G16" s="5"/>
      <c r="H16" s="5"/>
      <c r="I16" s="5"/>
      <c r="J16" s="5"/>
      <c r="K16" s="6"/>
    </row>
    <row r="17" spans="2:28" x14ac:dyDescent="0.3">
      <c r="B17" s="8"/>
      <c r="C17" s="88" t="s">
        <v>31</v>
      </c>
      <c r="D17" s="88"/>
      <c r="E17" s="5"/>
      <c r="F17" s="5"/>
      <c r="G17" s="38" t="s">
        <v>32</v>
      </c>
      <c r="H17" s="39" t="s">
        <v>33</v>
      </c>
      <c r="I17" s="5"/>
      <c r="J17" s="5"/>
      <c r="K17" s="6"/>
    </row>
    <row r="18" spans="2:28" x14ac:dyDescent="0.3">
      <c r="B18" s="23" t="s">
        <v>34</v>
      </c>
      <c r="C18" s="30">
        <v>25</v>
      </c>
      <c r="D18" s="5" t="s">
        <v>35</v>
      </c>
      <c r="E18" s="5"/>
      <c r="F18" s="5"/>
      <c r="G18" s="40" t="s">
        <v>36</v>
      </c>
      <c r="H18" s="5" t="s">
        <v>37</v>
      </c>
      <c r="I18" s="5"/>
      <c r="J18" s="5"/>
      <c r="K18" s="6"/>
    </row>
    <row r="19" spans="2:28" x14ac:dyDescent="0.3">
      <c r="B19" s="41" t="s">
        <v>38</v>
      </c>
      <c r="C19" s="26">
        <f>C20*1000</f>
        <v>211.28265230779044</v>
      </c>
      <c r="D19" s="5" t="s">
        <v>39</v>
      </c>
      <c r="E19" s="5"/>
      <c r="F19" s="5"/>
      <c r="G19" s="40" t="s">
        <v>40</v>
      </c>
      <c r="H19" s="42">
        <v>11.1</v>
      </c>
      <c r="I19" s="5"/>
      <c r="J19" s="5"/>
      <c r="K19" s="6"/>
      <c r="Y19" s="16"/>
    </row>
    <row r="20" spans="2:28" x14ac:dyDescent="0.3">
      <c r="B20" s="41" t="s">
        <v>38</v>
      </c>
      <c r="C20" s="26">
        <f>(POWER(10,POWER(10,$W$5-$W$4*LOG10(273.15+C18)))-$W$6)*0.000001*C21</f>
        <v>0.21128265230779045</v>
      </c>
      <c r="D20" s="5" t="s">
        <v>41</v>
      </c>
      <c r="E20" s="5"/>
      <c r="F20" s="5"/>
      <c r="G20" s="40" t="s">
        <v>42</v>
      </c>
      <c r="H20" s="42">
        <v>100</v>
      </c>
      <c r="I20" s="5"/>
      <c r="J20" s="5"/>
      <c r="K20" s="6"/>
      <c r="Y20" s="43"/>
      <c r="Z20" s="43"/>
      <c r="AA20" s="43"/>
      <c r="AB20" s="43"/>
    </row>
    <row r="21" spans="2:28" x14ac:dyDescent="0.3">
      <c r="B21" s="41" t="s">
        <v>43</v>
      </c>
      <c r="C21" s="26">
        <f>$N$5*(1-$M$8*(C18-$M$5))*1000</f>
        <v>877.52912000000003</v>
      </c>
      <c r="D21" s="5" t="s">
        <v>44</v>
      </c>
      <c r="E21" s="5"/>
      <c r="F21" s="5"/>
      <c r="G21" s="40" t="s">
        <v>45</v>
      </c>
      <c r="H21" s="42">
        <v>95</v>
      </c>
      <c r="I21" s="5"/>
      <c r="J21" s="5"/>
      <c r="K21" s="6"/>
      <c r="Y21" s="43"/>
      <c r="Z21" s="43"/>
      <c r="AA21" s="43"/>
      <c r="AB21" s="43"/>
    </row>
    <row r="22" spans="2:28" x14ac:dyDescent="0.3">
      <c r="B22" s="44" t="s">
        <v>46</v>
      </c>
      <c r="C22" s="45">
        <v>1.88</v>
      </c>
      <c r="D22" s="46" t="s">
        <v>47</v>
      </c>
      <c r="E22" s="46"/>
      <c r="F22" s="46"/>
      <c r="G22" s="47" t="s">
        <v>48</v>
      </c>
      <c r="H22" s="48">
        <v>0.88400000000000001</v>
      </c>
      <c r="I22" s="46"/>
      <c r="J22" s="46"/>
      <c r="K22" s="49"/>
      <c r="S22" s="22"/>
      <c r="T22" s="22"/>
      <c r="U22" s="22"/>
      <c r="V22" s="5"/>
      <c r="Y22" s="43"/>
      <c r="Z22" s="43"/>
      <c r="AA22" s="43"/>
      <c r="AB22" s="43"/>
    </row>
    <row r="23" spans="2:28" x14ac:dyDescent="0.3">
      <c r="B23" s="50"/>
      <c r="G23" s="51"/>
      <c r="V23" s="5"/>
      <c r="Y23" s="43"/>
      <c r="Z23" s="43"/>
      <c r="AA23" s="43"/>
      <c r="AB23" s="43"/>
    </row>
    <row r="24" spans="2:28" x14ac:dyDescent="0.3">
      <c r="B24" s="50"/>
      <c r="G24" s="51"/>
      <c r="K24" s="87" t="s">
        <v>49</v>
      </c>
      <c r="L24" s="87"/>
      <c r="M24" s="87"/>
      <c r="N24" s="87"/>
      <c r="O24" s="87"/>
      <c r="Y24" s="43"/>
      <c r="Z24" s="43"/>
      <c r="AA24" s="43"/>
      <c r="AB24" s="43"/>
    </row>
    <row r="25" spans="2:28" x14ac:dyDescent="0.3">
      <c r="B25" s="50"/>
      <c r="G25" s="51"/>
      <c r="K25" s="52" t="s">
        <v>50</v>
      </c>
      <c r="L25" s="52" t="s">
        <v>51</v>
      </c>
      <c r="M25" s="52" t="s">
        <v>52</v>
      </c>
      <c r="N25" s="52" t="s">
        <v>53</v>
      </c>
      <c r="O25" s="52" t="s">
        <v>54</v>
      </c>
      <c r="Y25" s="43"/>
      <c r="Z25" s="43"/>
      <c r="AA25" s="43"/>
      <c r="AB25" s="43"/>
    </row>
    <row r="26" spans="2:28" x14ac:dyDescent="0.3">
      <c r="G26" s="51"/>
      <c r="K26" s="53">
        <v>1</v>
      </c>
      <c r="L26" s="54">
        <f>C6-18</f>
        <v>78</v>
      </c>
      <c r="M26" s="55">
        <v>0</v>
      </c>
      <c r="N26" s="55">
        <v>125</v>
      </c>
      <c r="O26" s="54">
        <f>$C$21*9.81*(N26*0.001)</f>
        <v>1076.0700834000002</v>
      </c>
      <c r="Y26" s="43"/>
      <c r="Z26" s="43"/>
      <c r="AA26" s="43"/>
      <c r="AB26" s="43"/>
    </row>
    <row r="27" spans="2:28" x14ac:dyDescent="0.3">
      <c r="K27" s="53">
        <v>2</v>
      </c>
      <c r="L27" s="54">
        <f t="shared" ref="L27:L32" si="0">L26-12.5</f>
        <v>65.5</v>
      </c>
      <c r="M27" s="55">
        <v>0</v>
      </c>
      <c r="N27" s="55">
        <v>186</v>
      </c>
      <c r="O27" s="54">
        <f t="shared" ref="O27:O32" si="1">$C$21*9.81*(N27*0.001)</f>
        <v>1601.1922840992002</v>
      </c>
      <c r="Y27" s="43"/>
      <c r="Z27" s="43"/>
      <c r="AA27" s="43"/>
      <c r="AB27" s="43"/>
    </row>
    <row r="28" spans="2:28" x14ac:dyDescent="0.3">
      <c r="B28" s="56" t="s">
        <v>55</v>
      </c>
      <c r="K28" s="53">
        <v>3</v>
      </c>
      <c r="L28" s="54">
        <f t="shared" si="0"/>
        <v>53</v>
      </c>
      <c r="M28" s="55">
        <v>0</v>
      </c>
      <c r="N28" s="55">
        <v>259</v>
      </c>
      <c r="O28" s="54">
        <f t="shared" si="1"/>
        <v>2229.6172128048006</v>
      </c>
      <c r="Y28" s="43"/>
      <c r="Z28" s="43"/>
      <c r="AA28" s="43"/>
      <c r="AB28" s="43"/>
    </row>
    <row r="29" spans="2:28" x14ac:dyDescent="0.3">
      <c r="B29" s="57" t="s">
        <v>28</v>
      </c>
      <c r="C29" s="58">
        <f>C15*C13+C13</f>
        <v>1500</v>
      </c>
      <c r="D29" s="59" t="s">
        <v>27</v>
      </c>
      <c r="E29" s="59"/>
      <c r="F29" s="59"/>
      <c r="G29" s="59"/>
      <c r="H29" s="59"/>
      <c r="K29" s="53">
        <v>4</v>
      </c>
      <c r="L29" s="54">
        <f t="shared" si="0"/>
        <v>40.5</v>
      </c>
      <c r="M29" s="55">
        <v>0</v>
      </c>
      <c r="N29" s="55">
        <v>340</v>
      </c>
      <c r="O29" s="54">
        <f t="shared" si="1"/>
        <v>2926.9106268480004</v>
      </c>
      <c r="Y29" s="43"/>
      <c r="Z29" s="43"/>
      <c r="AA29" s="43"/>
      <c r="AB29" s="43"/>
    </row>
    <row r="30" spans="2:28" x14ac:dyDescent="0.3">
      <c r="B30" s="60" t="str">
        <f>+B13</f>
        <v>h2=</v>
      </c>
      <c r="C30" s="61">
        <f>+C13</f>
        <v>500</v>
      </c>
      <c r="D30" s="62" t="s">
        <v>27</v>
      </c>
      <c r="E30" s="62"/>
      <c r="F30" s="62"/>
      <c r="G30" s="62"/>
      <c r="H30" s="62"/>
      <c r="K30" s="53">
        <v>5</v>
      </c>
      <c r="L30" s="54">
        <f t="shared" si="0"/>
        <v>28</v>
      </c>
      <c r="M30" s="55">
        <v>0</v>
      </c>
      <c r="N30" s="55">
        <v>415</v>
      </c>
      <c r="O30" s="54">
        <f t="shared" si="1"/>
        <v>3572.5526768880009</v>
      </c>
      <c r="Y30" s="43"/>
      <c r="Z30" s="43"/>
      <c r="AA30" s="43"/>
      <c r="AB30" s="43"/>
    </row>
    <row r="31" spans="2:28" x14ac:dyDescent="0.3">
      <c r="B31" s="63" t="s">
        <v>56</v>
      </c>
      <c r="C31" s="64">
        <f>ATAN((C29-C13)*0.001/C6)*180/PI()</f>
        <v>0.59680945122917706</v>
      </c>
      <c r="D31" s="65" t="s">
        <v>57</v>
      </c>
      <c r="E31" s="65" t="s">
        <v>58</v>
      </c>
      <c r="F31" s="65"/>
      <c r="G31" s="65"/>
      <c r="H31" s="65"/>
      <c r="K31" s="53">
        <v>6</v>
      </c>
      <c r="L31" s="54">
        <f t="shared" si="0"/>
        <v>15.5</v>
      </c>
      <c r="M31" s="55">
        <v>0</v>
      </c>
      <c r="N31" s="55">
        <v>430</v>
      </c>
      <c r="O31" s="54">
        <f t="shared" si="1"/>
        <v>3701.6810868960006</v>
      </c>
      <c r="Y31" s="43"/>
      <c r="Z31" s="43"/>
      <c r="AA31" s="43"/>
      <c r="AB31" s="43"/>
    </row>
    <row r="32" spans="2:28" x14ac:dyDescent="0.3">
      <c r="B32" s="57" t="s">
        <v>59</v>
      </c>
      <c r="C32" s="66">
        <f>2*C13*(C15+1)/(C15+2)</f>
        <v>750</v>
      </c>
      <c r="D32" s="59" t="s">
        <v>27</v>
      </c>
      <c r="E32" s="58" t="s">
        <v>60</v>
      </c>
      <c r="F32" s="59"/>
      <c r="G32" s="59"/>
      <c r="H32" s="59"/>
      <c r="K32" s="53">
        <v>7</v>
      </c>
      <c r="L32" s="54">
        <f t="shared" si="0"/>
        <v>3</v>
      </c>
      <c r="M32" s="55">
        <v>0</v>
      </c>
      <c r="N32" s="55">
        <v>225</v>
      </c>
      <c r="O32" s="54">
        <f t="shared" si="1"/>
        <v>1936.9261501200003</v>
      </c>
      <c r="Y32" s="43"/>
      <c r="Z32" s="43"/>
      <c r="AA32" s="43"/>
      <c r="AB32" s="43"/>
    </row>
    <row r="33" spans="2:28" x14ac:dyDescent="0.3">
      <c r="B33" s="60" t="s">
        <v>61</v>
      </c>
      <c r="C33" s="61">
        <f>(C32/C13-1)*C6/C15</f>
        <v>24</v>
      </c>
      <c r="D33" s="67" t="s">
        <v>12</v>
      </c>
      <c r="E33" s="67" t="s">
        <v>62</v>
      </c>
      <c r="F33" s="67"/>
      <c r="G33" s="67"/>
      <c r="H33" s="67"/>
      <c r="K33" s="87" t="s">
        <v>63</v>
      </c>
      <c r="L33" s="87"/>
      <c r="M33" s="87"/>
      <c r="N33" s="87"/>
      <c r="O33" s="87"/>
      <c r="Y33" s="43"/>
      <c r="Z33" s="43"/>
      <c r="AA33" s="43"/>
      <c r="AB33" s="43"/>
    </row>
    <row r="34" spans="2:28" x14ac:dyDescent="0.3">
      <c r="B34" s="57" t="s">
        <v>64</v>
      </c>
      <c r="C34" s="66">
        <f>C13/C15*(-1/C32+C13/C32^2*(C15+1)/(C15+2)+1/C13/(C15+2))</f>
        <v>-4.166666666666663E-2</v>
      </c>
      <c r="D34" s="58" t="s">
        <v>17</v>
      </c>
      <c r="E34" s="58" t="s">
        <v>65</v>
      </c>
      <c r="F34" s="59"/>
      <c r="G34" s="59"/>
      <c r="H34" s="59"/>
      <c r="K34" s="53">
        <v>8</v>
      </c>
      <c r="L34" s="54">
        <f>L35</f>
        <v>15.5</v>
      </c>
      <c r="M34" s="54">
        <f>M35+12.5</f>
        <v>37.5</v>
      </c>
      <c r="N34" s="55">
        <v>329</v>
      </c>
      <c r="O34" s="54">
        <f t="shared" ref="O34:O40" si="2">$C$21*9.81*(N34*0.001)</f>
        <v>2832.2164595088007</v>
      </c>
      <c r="Y34" s="43"/>
      <c r="Z34" s="43"/>
      <c r="AA34" s="43"/>
      <c r="AB34" s="43"/>
    </row>
    <row r="35" spans="2:28" x14ac:dyDescent="0.3">
      <c r="B35" s="60" t="s">
        <v>66</v>
      </c>
      <c r="C35" s="61">
        <f>C34*6*C11*1000*C20*0.000001*C6/(C13*0.001)^2</f>
        <v>-7.4341571171965496E-3</v>
      </c>
      <c r="D35" s="67" t="s">
        <v>67</v>
      </c>
      <c r="E35" s="67"/>
      <c r="F35" s="67"/>
      <c r="G35" s="67"/>
      <c r="H35" s="67"/>
      <c r="K35" s="53">
        <v>9</v>
      </c>
      <c r="L35" s="54">
        <f>L36</f>
        <v>15.5</v>
      </c>
      <c r="M35" s="54">
        <f>M36+12.5</f>
        <v>25</v>
      </c>
      <c r="N35" s="55">
        <v>409</v>
      </c>
      <c r="O35" s="54">
        <f t="shared" si="2"/>
        <v>3520.901312884801</v>
      </c>
      <c r="Y35" s="43"/>
      <c r="Z35" s="43"/>
      <c r="AA35" s="43"/>
      <c r="AB35" s="43"/>
    </row>
    <row r="36" spans="2:28" x14ac:dyDescent="0.3">
      <c r="B36" s="57" t="s">
        <v>68</v>
      </c>
      <c r="C36" s="66">
        <f>1/C15^2*(-LN(C15+1)+2*C15/(C15+2))</f>
        <v>-2.4653072167027446E-2</v>
      </c>
      <c r="D36" s="58" t="s">
        <v>17</v>
      </c>
      <c r="E36" s="68" t="s">
        <v>69</v>
      </c>
      <c r="F36" s="59"/>
      <c r="G36" s="59"/>
      <c r="H36" s="59"/>
      <c r="K36" s="53">
        <v>10</v>
      </c>
      <c r="L36" s="54">
        <f>L37</f>
        <v>15.5</v>
      </c>
      <c r="M36" s="54">
        <f>M37+12.5</f>
        <v>12.5</v>
      </c>
      <c r="N36" s="55">
        <v>430</v>
      </c>
      <c r="O36" s="54">
        <f t="shared" si="2"/>
        <v>3701.6810868960006</v>
      </c>
      <c r="Y36" s="43"/>
      <c r="Z36" s="43"/>
      <c r="AA36" s="43"/>
      <c r="AB36" s="43"/>
    </row>
    <row r="37" spans="2:28" x14ac:dyDescent="0.3">
      <c r="B37" s="60" t="s">
        <v>70</v>
      </c>
      <c r="C37" s="61">
        <f>C36*6*C11*1000*C20*0.000001*C6^2*C7/(C13*0.001)^2</f>
        <v>-42.226516664356012</v>
      </c>
      <c r="D37" s="67" t="s">
        <v>71</v>
      </c>
      <c r="E37" s="69" t="s">
        <v>72</v>
      </c>
      <c r="F37" s="67"/>
      <c r="G37" s="67"/>
      <c r="H37" s="67"/>
      <c r="K37" s="53">
        <v>6</v>
      </c>
      <c r="L37" s="54">
        <f>L31</f>
        <v>15.5</v>
      </c>
      <c r="M37" s="54">
        <v>0</v>
      </c>
      <c r="N37" s="55">
        <v>430</v>
      </c>
      <c r="O37" s="54">
        <f t="shared" si="2"/>
        <v>3701.6810868960006</v>
      </c>
      <c r="Y37" s="43"/>
      <c r="Z37" s="43"/>
      <c r="AA37" s="43"/>
      <c r="AB37" s="43"/>
    </row>
    <row r="38" spans="2:28" x14ac:dyDescent="0.3">
      <c r="B38" s="57" t="s">
        <v>73</v>
      </c>
      <c r="C38" s="66">
        <f>6/(C15+2)-4*LN(C15+1)/C15</f>
        <v>-0.69722457733621956</v>
      </c>
      <c r="D38" s="58" t="s">
        <v>17</v>
      </c>
      <c r="E38" s="68" t="s">
        <v>74</v>
      </c>
      <c r="F38" s="59"/>
      <c r="G38" s="59"/>
      <c r="H38" s="59"/>
      <c r="K38" s="53">
        <v>11</v>
      </c>
      <c r="L38" s="54">
        <f>L37</f>
        <v>15.5</v>
      </c>
      <c r="M38" s="54">
        <f>M37-12.5</f>
        <v>-12.5</v>
      </c>
      <c r="N38" s="55">
        <v>431</v>
      </c>
      <c r="O38" s="54">
        <f t="shared" si="2"/>
        <v>3710.2896475632006</v>
      </c>
      <c r="Y38" s="43"/>
      <c r="Z38" s="43"/>
      <c r="AA38" s="43"/>
      <c r="AB38" s="43"/>
    </row>
    <row r="39" spans="2:28" x14ac:dyDescent="0.3">
      <c r="B39" s="40" t="s">
        <v>75</v>
      </c>
      <c r="C39" s="26">
        <f>C38*C11*1000*C20*0.000001*C6*C7/(C13*0.001)</f>
        <v>-1.0366554107776835</v>
      </c>
      <c r="D39" s="5" t="s">
        <v>71</v>
      </c>
      <c r="E39" s="70" t="s">
        <v>76</v>
      </c>
      <c r="F39" s="5"/>
      <c r="G39" s="5"/>
      <c r="H39" s="5"/>
      <c r="K39" s="53">
        <v>12</v>
      </c>
      <c r="L39" s="54">
        <f>L38</f>
        <v>15.5</v>
      </c>
      <c r="M39" s="54">
        <f>M38-12.5</f>
        <v>-25</v>
      </c>
      <c r="N39" s="55">
        <v>416</v>
      </c>
      <c r="O39" s="54">
        <f t="shared" si="2"/>
        <v>3581.1612375552008</v>
      </c>
      <c r="Y39" s="43"/>
      <c r="Z39" s="43"/>
      <c r="AA39" s="43"/>
      <c r="AB39" s="43"/>
    </row>
    <row r="40" spans="2:28" x14ac:dyDescent="0.3">
      <c r="B40" s="71" t="s">
        <v>77</v>
      </c>
      <c r="C40" s="61">
        <f>C39/C37</f>
        <v>2.4549868013449917E-2</v>
      </c>
      <c r="D40" s="67" t="s">
        <v>17</v>
      </c>
      <c r="E40" s="69" t="s">
        <v>78</v>
      </c>
      <c r="F40" s="67"/>
      <c r="G40" s="67"/>
      <c r="H40" s="67"/>
      <c r="K40" s="53">
        <v>13</v>
      </c>
      <c r="L40" s="54">
        <f>L39</f>
        <v>15.5</v>
      </c>
      <c r="M40" s="54">
        <f>M39-12.5</f>
        <v>-37.5</v>
      </c>
      <c r="N40" s="55">
        <v>340</v>
      </c>
      <c r="O40" s="54">
        <f t="shared" si="2"/>
        <v>2926.9106268480004</v>
      </c>
      <c r="Y40" s="43"/>
      <c r="Z40" s="43"/>
      <c r="AA40" s="43"/>
      <c r="AB40" s="43"/>
    </row>
    <row r="41" spans="2:28" x14ac:dyDescent="0.3">
      <c r="B41" s="72" t="s">
        <v>79</v>
      </c>
      <c r="C41" s="66">
        <f>C15*((3*C15-2*(C15+2)*LN(C15+1))/(6*C15-3*(C15+2)*LN(C15+1)))</f>
        <v>4.7135746585823872</v>
      </c>
      <c r="D41" s="58" t="s">
        <v>17</v>
      </c>
      <c r="E41" s="68" t="s">
        <v>80</v>
      </c>
      <c r="F41" s="59"/>
      <c r="G41" s="59"/>
      <c r="H41" s="59"/>
      <c r="Y41" s="43"/>
      <c r="Z41" s="43"/>
      <c r="AA41" s="43"/>
      <c r="AB41" s="43"/>
    </row>
    <row r="42" spans="2:28" x14ac:dyDescent="0.3">
      <c r="B42" s="71" t="s">
        <v>77</v>
      </c>
      <c r="C42" s="61">
        <f>C41*C13*0.001/C6</f>
        <v>2.4549868013449935E-2</v>
      </c>
      <c r="D42" s="67" t="s">
        <v>17</v>
      </c>
      <c r="E42" s="69" t="s">
        <v>78</v>
      </c>
      <c r="F42" s="67"/>
      <c r="G42" s="67"/>
      <c r="H42" s="67"/>
      <c r="K42" s="87" t="s">
        <v>81</v>
      </c>
      <c r="L42" s="87"/>
      <c r="M42" s="87"/>
      <c r="N42" s="87"/>
      <c r="O42" s="87"/>
      <c r="P42" s="87"/>
      <c r="Q42" s="87"/>
      <c r="Y42" s="43"/>
      <c r="Z42" s="43"/>
      <c r="AA42" s="43"/>
      <c r="AB42" s="43"/>
    </row>
    <row r="43" spans="2:28" x14ac:dyDescent="0.3">
      <c r="B43" s="57" t="s">
        <v>82</v>
      </c>
      <c r="C43" s="59">
        <v>0</v>
      </c>
      <c r="D43" s="58" t="s">
        <v>83</v>
      </c>
      <c r="E43" s="68" t="s">
        <v>84</v>
      </c>
      <c r="F43" s="59"/>
      <c r="G43" s="59"/>
      <c r="H43" s="59"/>
      <c r="K43" s="52" t="s">
        <v>50</v>
      </c>
      <c r="L43" s="52" t="s">
        <v>51</v>
      </c>
      <c r="M43" s="52" t="s">
        <v>52</v>
      </c>
      <c r="N43" s="52" t="s">
        <v>85</v>
      </c>
      <c r="O43" s="52" t="s">
        <v>54</v>
      </c>
      <c r="P43" s="52" t="s">
        <v>53</v>
      </c>
      <c r="Q43" s="52" t="s">
        <v>86</v>
      </c>
      <c r="Y43" s="43"/>
      <c r="Z43" s="43"/>
      <c r="AA43" s="43"/>
      <c r="AB43" s="43"/>
    </row>
    <row r="44" spans="2:28" x14ac:dyDescent="0.3">
      <c r="B44" s="60" t="s">
        <v>87</v>
      </c>
      <c r="C44" s="73">
        <f>C11*C13*0.000001*C7*0.001*(C15+1)/(C15+2)</f>
        <v>1.374446785945535E-5</v>
      </c>
      <c r="D44" s="67" t="s">
        <v>83</v>
      </c>
      <c r="E44" s="69" t="s">
        <v>88</v>
      </c>
      <c r="F44" s="67"/>
      <c r="G44" s="67"/>
      <c r="H44" s="67"/>
      <c r="K44" s="53">
        <v>1</v>
      </c>
      <c r="L44" s="54">
        <f>C6-18</f>
        <v>78</v>
      </c>
      <c r="M44" s="55">
        <v>0</v>
      </c>
      <c r="N44" s="54">
        <f t="shared" ref="N44:N50" si="3">$C$13*(1+$C$15*L44/$C$6)</f>
        <v>1312.5</v>
      </c>
      <c r="O44" s="74">
        <f>(6*$C$11*1000*$C$20*0.000001*$C$6/($C$15*$C$13*0.001)*(-1/(N44*0.001)+$C$13*0.001/(N44*0.001)^2*($C$15+1)/($C$15+2)+1/($C$13*0.001*($C$15+2))))*(-1)*1000000</f>
        <v>1972.3273984398998</v>
      </c>
      <c r="P44" s="54">
        <f>O44/($C$21*9.81)*1000</f>
        <v>229.11233070062266</v>
      </c>
      <c r="Q44" s="74">
        <f t="shared" ref="Q44:Q50" si="4">O44/$D$54</f>
        <v>920.41945260528655</v>
      </c>
      <c r="Y44" s="43"/>
      <c r="Z44" s="43"/>
      <c r="AA44" s="43"/>
      <c r="AB44" s="43"/>
    </row>
    <row r="45" spans="2:28" x14ac:dyDescent="0.3">
      <c r="B45" s="63" t="s">
        <v>89</v>
      </c>
      <c r="C45" s="64">
        <f>-C39*C11</f>
        <v>0.37995405266038274</v>
      </c>
      <c r="D45" s="65" t="s">
        <v>90</v>
      </c>
      <c r="E45" s="75" t="s">
        <v>91</v>
      </c>
      <c r="F45" s="65"/>
      <c r="G45" s="65"/>
      <c r="H45" s="65"/>
      <c r="K45" s="53">
        <v>2</v>
      </c>
      <c r="L45" s="54">
        <f t="shared" ref="L45:L50" si="5">L44-12.5</f>
        <v>65.5</v>
      </c>
      <c r="M45" s="55">
        <v>0</v>
      </c>
      <c r="N45" s="54">
        <f t="shared" si="3"/>
        <v>1182.2916666666665</v>
      </c>
      <c r="O45" s="74">
        <f t="shared" ref="O45:O50" si="6">(6*$C$11*1000*$C$20*0.000001*$C$6/($C$15*$C$13*0.001)*(-1/(N45*0.001)+$C$13*0.001/(N45*0.001)^2*($C$15+1)/($C$15+2)+1/($C$13*0.001*($C$15+2))))*(-1)*1000000</f>
        <v>3458.6164794689048</v>
      </c>
      <c r="P45" s="54">
        <f t="shared" ref="P45:P50" si="7">O45/($C$21*9.81)*1000</f>
        <v>401.76477963927107</v>
      </c>
      <c r="Q45" s="74">
        <f t="shared" si="4"/>
        <v>1614.0210237521555</v>
      </c>
      <c r="Y45" s="43"/>
      <c r="Z45" s="43"/>
      <c r="AA45" s="43"/>
      <c r="AB45" s="43"/>
    </row>
    <row r="46" spans="2:28" x14ac:dyDescent="0.3">
      <c r="B46" s="76" t="s">
        <v>92</v>
      </c>
      <c r="C46" s="77">
        <f>C45/C44/C21/(C22*1000)</f>
        <v>1.6756517513365893E-2</v>
      </c>
      <c r="D46" s="65" t="s">
        <v>35</v>
      </c>
      <c r="E46" s="75" t="s">
        <v>93</v>
      </c>
      <c r="F46" s="65"/>
      <c r="G46" s="65"/>
      <c r="H46" s="65"/>
      <c r="K46" s="53">
        <v>3</v>
      </c>
      <c r="L46" s="54">
        <f t="shared" si="5"/>
        <v>53</v>
      </c>
      <c r="M46" s="55">
        <v>0</v>
      </c>
      <c r="N46" s="54">
        <f t="shared" si="3"/>
        <v>1052.0833333333335</v>
      </c>
      <c r="O46" s="74">
        <f t="shared" si="6"/>
        <v>4982.583296762361</v>
      </c>
      <c r="P46" s="54">
        <f t="shared" si="7"/>
        <v>578.79400394386528</v>
      </c>
      <c r="Q46" s="74">
        <f t="shared" si="4"/>
        <v>2325.2055384891019</v>
      </c>
      <c r="Y46" s="43"/>
      <c r="Z46" s="43"/>
      <c r="AA46" s="43"/>
      <c r="AB46" s="43"/>
    </row>
    <row r="47" spans="2:28" x14ac:dyDescent="0.3">
      <c r="K47" s="53">
        <v>4</v>
      </c>
      <c r="L47" s="54">
        <f t="shared" si="5"/>
        <v>40.5</v>
      </c>
      <c r="M47" s="55">
        <v>0</v>
      </c>
      <c r="N47" s="54">
        <f t="shared" si="3"/>
        <v>921.875</v>
      </c>
      <c r="O47" s="74">
        <f t="shared" si="6"/>
        <v>6400.5081528980381</v>
      </c>
      <c r="P47" s="54">
        <f t="shared" si="7"/>
        <v>743.50502950917246</v>
      </c>
      <c r="Q47" s="74">
        <f t="shared" si="4"/>
        <v>2986.9038046857513</v>
      </c>
      <c r="Y47" s="43"/>
      <c r="Z47" s="43"/>
      <c r="AA47" s="43"/>
      <c r="AB47" s="43"/>
    </row>
    <row r="48" spans="2:28" x14ac:dyDescent="0.3">
      <c r="K48" s="53">
        <v>5</v>
      </c>
      <c r="L48" s="54">
        <f t="shared" si="5"/>
        <v>28</v>
      </c>
      <c r="M48" s="55">
        <v>0</v>
      </c>
      <c r="N48" s="54">
        <f t="shared" si="3"/>
        <v>791.66666666666674</v>
      </c>
      <c r="O48" s="74">
        <f t="shared" si="6"/>
        <v>7351.7841851500616</v>
      </c>
      <c r="P48" s="54">
        <f t="shared" si="7"/>
        <v>854.00852353420009</v>
      </c>
      <c r="Q48" s="74">
        <f t="shared" si="4"/>
        <v>3430.8326197366955</v>
      </c>
      <c r="Y48" s="43"/>
      <c r="Z48" s="43"/>
      <c r="AA48" s="43"/>
      <c r="AB48" s="43"/>
    </row>
    <row r="49" spans="1:28" x14ac:dyDescent="0.3">
      <c r="K49" s="53">
        <v>6</v>
      </c>
      <c r="L49" s="54">
        <f t="shared" si="5"/>
        <v>15.5</v>
      </c>
      <c r="M49" s="55">
        <v>0</v>
      </c>
      <c r="N49" s="54">
        <f t="shared" si="3"/>
        <v>661.45833333333337</v>
      </c>
      <c r="O49" s="74">
        <f t="shared" si="6"/>
        <v>6901.3351426488998</v>
      </c>
      <c r="P49" s="54">
        <f t="shared" si="7"/>
        <v>801.68281428788612</v>
      </c>
      <c r="Q49" s="74">
        <f t="shared" si="4"/>
        <v>3220.6230665694866</v>
      </c>
      <c r="Y49" s="43"/>
      <c r="Z49" s="43"/>
      <c r="AA49" s="43"/>
      <c r="AB49" s="43"/>
    </row>
    <row r="50" spans="1:28" x14ac:dyDescent="0.3">
      <c r="B50" s="88" t="s">
        <v>94</v>
      </c>
      <c r="C50" s="88"/>
      <c r="D50" s="88"/>
      <c r="K50" s="53">
        <v>7</v>
      </c>
      <c r="L50" s="54">
        <f t="shared" si="5"/>
        <v>3</v>
      </c>
      <c r="M50" s="55">
        <v>0</v>
      </c>
      <c r="N50" s="54">
        <f t="shared" si="3"/>
        <v>531.25</v>
      </c>
      <c r="O50" s="74">
        <f t="shared" si="6"/>
        <v>2392.3066155684437</v>
      </c>
      <c r="P50" s="54">
        <f t="shared" si="7"/>
        <v>277.89856028819264</v>
      </c>
      <c r="Q50" s="74">
        <f t="shared" si="4"/>
        <v>1116.4097539319405</v>
      </c>
      <c r="Y50" s="43"/>
      <c r="Z50" s="43"/>
      <c r="AA50" s="43"/>
      <c r="AB50" s="43"/>
    </row>
    <row r="51" spans="1:28" x14ac:dyDescent="0.3">
      <c r="B51" s="78" t="s">
        <v>29</v>
      </c>
      <c r="C51" s="43">
        <f>C15</f>
        <v>2</v>
      </c>
      <c r="Y51" s="43"/>
      <c r="Z51" s="43"/>
      <c r="AA51" s="43"/>
      <c r="AB51" s="43"/>
    </row>
    <row r="52" spans="1:28" x14ac:dyDescent="0.3">
      <c r="A52" s="78" t="s">
        <v>95</v>
      </c>
      <c r="B52" s="79" t="s">
        <v>16</v>
      </c>
      <c r="C52" s="79" t="s">
        <v>16</v>
      </c>
      <c r="Y52" s="43"/>
      <c r="Z52" s="43"/>
      <c r="AA52" s="43"/>
      <c r="AB52" s="43"/>
    </row>
    <row r="53" spans="1:28" x14ac:dyDescent="0.3">
      <c r="B53" s="80" t="s">
        <v>96</v>
      </c>
      <c r="C53" s="81">
        <f>ROUND(C8,3)</f>
        <v>1.042</v>
      </c>
      <c r="D53" s="7" t="s">
        <v>97</v>
      </c>
      <c r="Y53" s="43"/>
      <c r="Z53" s="43"/>
      <c r="AA53" s="43"/>
      <c r="AB53" s="43"/>
    </row>
    <row r="54" spans="1:28" x14ac:dyDescent="0.3">
      <c r="B54" s="82">
        <v>0.15</v>
      </c>
      <c r="C54" s="82">
        <v>7.0000000000000007E-2</v>
      </c>
      <c r="D54" s="81">
        <f>B54/C54</f>
        <v>2.1428571428571428</v>
      </c>
      <c r="Y54" s="43"/>
      <c r="Z54" s="43"/>
      <c r="AA54" s="43"/>
      <c r="AB54" s="43"/>
    </row>
    <row r="55" spans="1:28" x14ac:dyDescent="0.3">
      <c r="A55" t="s">
        <v>90</v>
      </c>
      <c r="B55" s="83">
        <f>1000*B$54*$C$7*$C$20*$C$11*$C$6^2/($C$13^2)</f>
        <v>42.820744995052173</v>
      </c>
      <c r="C55" s="83">
        <f>1000*C$54*$C$7*$C$20*$C$11*$C$6^2/($C$13^2)</f>
        <v>19.983014331024346</v>
      </c>
      <c r="D55" s="81">
        <f>B55/C55</f>
        <v>2.1428571428571428</v>
      </c>
      <c r="Y55" s="43"/>
      <c r="Z55" s="43"/>
      <c r="AA55" s="43"/>
      <c r="AB55" s="43"/>
    </row>
    <row r="56" spans="1:28" x14ac:dyDescent="0.3">
      <c r="F56" s="81"/>
      <c r="Y56" s="43"/>
      <c r="Z56" s="43"/>
      <c r="AA56" s="43"/>
      <c r="AB56" s="43"/>
    </row>
    <row r="57" spans="1:28" x14ac:dyDescent="0.3">
      <c r="Y57" s="43"/>
      <c r="Z57" s="43"/>
      <c r="AA57" s="43"/>
      <c r="AB57" s="43"/>
    </row>
    <row r="58" spans="1:28" x14ac:dyDescent="0.3">
      <c r="Y58" s="43"/>
      <c r="Z58" s="43"/>
      <c r="AA58" s="43"/>
      <c r="AB58" s="43"/>
    </row>
    <row r="59" spans="1:28" x14ac:dyDescent="0.3">
      <c r="Y59" s="43"/>
      <c r="Z59" s="43"/>
      <c r="AA59" s="43"/>
      <c r="AB59" s="43"/>
    </row>
    <row r="60" spans="1:28" x14ac:dyDescent="0.3">
      <c r="Y60" s="43"/>
      <c r="Z60" s="43"/>
      <c r="AA60" s="43"/>
      <c r="AB60" s="43"/>
    </row>
    <row r="61" spans="1:28" x14ac:dyDescent="0.3">
      <c r="Y61" s="43"/>
      <c r="Z61" s="43"/>
      <c r="AA61" s="43"/>
      <c r="AB61" s="43"/>
    </row>
    <row r="62" spans="1:28" x14ac:dyDescent="0.3">
      <c r="Y62" s="43"/>
      <c r="Z62" s="43"/>
      <c r="AA62" s="43"/>
      <c r="AB62" s="43"/>
    </row>
    <row r="63" spans="1:28" x14ac:dyDescent="0.3">
      <c r="Y63" s="43"/>
      <c r="Z63" s="43"/>
      <c r="AA63" s="43"/>
      <c r="AB63" s="43"/>
    </row>
    <row r="64" spans="1:28" x14ac:dyDescent="0.3">
      <c r="Y64" s="43"/>
      <c r="Z64" s="43"/>
      <c r="AA64" s="43"/>
      <c r="AB64" s="43"/>
    </row>
    <row r="65" spans="25:28" x14ac:dyDescent="0.3">
      <c r="Y65" s="43"/>
      <c r="Z65" s="43"/>
      <c r="AA65" s="43"/>
      <c r="AB65" s="43"/>
    </row>
    <row r="66" spans="25:28" x14ac:dyDescent="0.3">
      <c r="Y66" s="43"/>
      <c r="Z66" s="43"/>
      <c r="AA66" s="43"/>
      <c r="AB66" s="43"/>
    </row>
    <row r="67" spans="25:28" x14ac:dyDescent="0.3">
      <c r="Y67" s="43"/>
      <c r="Z67" s="43"/>
      <c r="AA67" s="43"/>
      <c r="AB67" s="43"/>
    </row>
    <row r="68" spans="25:28" x14ac:dyDescent="0.3">
      <c r="Y68" s="43"/>
      <c r="Z68" s="43"/>
      <c r="AA68" s="43"/>
      <c r="AB68" s="43"/>
    </row>
    <row r="69" spans="25:28" x14ac:dyDescent="0.3">
      <c r="Y69" s="43"/>
      <c r="Z69" s="43"/>
      <c r="AA69" s="43"/>
      <c r="AB69" s="43"/>
    </row>
    <row r="70" spans="25:28" x14ac:dyDescent="0.3">
      <c r="Y70" s="43"/>
      <c r="Z70" s="43"/>
      <c r="AA70" s="43"/>
      <c r="AB70" s="43"/>
    </row>
    <row r="71" spans="25:28" x14ac:dyDescent="0.3">
      <c r="Y71" s="43"/>
      <c r="Z71" s="43"/>
      <c r="AA71" s="43"/>
      <c r="AB71" s="43"/>
    </row>
    <row r="72" spans="25:28" x14ac:dyDescent="0.3">
      <c r="Y72" s="43"/>
      <c r="Z72" s="43"/>
      <c r="AA72" s="43"/>
      <c r="AB72" s="43"/>
    </row>
    <row r="73" spans="25:28" x14ac:dyDescent="0.3">
      <c r="Y73" s="43"/>
      <c r="Z73" s="43"/>
      <c r="AA73" s="43"/>
      <c r="AB73" s="43"/>
    </row>
    <row r="74" spans="25:28" x14ac:dyDescent="0.3">
      <c r="Y74" s="43"/>
      <c r="Z74" s="43"/>
      <c r="AA74" s="43"/>
      <c r="AB74" s="43"/>
    </row>
    <row r="75" spans="25:28" x14ac:dyDescent="0.3">
      <c r="Y75" s="43"/>
      <c r="Z75" s="43"/>
      <c r="AA75" s="43"/>
      <c r="AB75" s="43"/>
    </row>
    <row r="76" spans="25:28" x14ac:dyDescent="0.3">
      <c r="Y76" s="43"/>
      <c r="Z76" s="43"/>
      <c r="AA76" s="43"/>
      <c r="AB76" s="43"/>
    </row>
    <row r="77" spans="25:28" x14ac:dyDescent="0.3">
      <c r="Y77" s="43"/>
      <c r="Z77" s="43"/>
      <c r="AA77" s="43"/>
      <c r="AB77" s="43"/>
    </row>
    <row r="78" spans="25:28" x14ac:dyDescent="0.3">
      <c r="Y78" s="43"/>
      <c r="Z78" s="43"/>
      <c r="AA78" s="43"/>
      <c r="AB78" s="43"/>
    </row>
    <row r="79" spans="25:28" x14ac:dyDescent="0.3">
      <c r="Y79" s="43"/>
      <c r="Z79" s="43"/>
      <c r="AA79" s="43"/>
      <c r="AB79" s="43"/>
    </row>
    <row r="80" spans="25:28" x14ac:dyDescent="0.3">
      <c r="Y80" s="43"/>
      <c r="Z80" s="43"/>
      <c r="AA80" s="43"/>
      <c r="AB80" s="43"/>
    </row>
    <row r="81" spans="25:28" x14ac:dyDescent="0.3">
      <c r="Y81" s="43"/>
      <c r="Z81" s="43"/>
      <c r="AA81" s="43"/>
      <c r="AB81" s="43"/>
    </row>
    <row r="82" spans="25:28" x14ac:dyDescent="0.3">
      <c r="Y82" s="43"/>
      <c r="Z82" s="43"/>
      <c r="AA82" s="43"/>
      <c r="AB82" s="43"/>
    </row>
    <row r="83" spans="25:28" x14ac:dyDescent="0.3">
      <c r="Y83" s="43"/>
      <c r="Z83" s="43"/>
      <c r="AA83" s="43"/>
      <c r="AB83" s="43"/>
    </row>
    <row r="84" spans="25:28" x14ac:dyDescent="0.3">
      <c r="Y84" s="43"/>
      <c r="Z84" s="43"/>
      <c r="AA84" s="43"/>
      <c r="AB84" s="43"/>
    </row>
    <row r="85" spans="25:28" x14ac:dyDescent="0.3">
      <c r="Y85" s="43"/>
      <c r="Z85" s="43"/>
      <c r="AA85" s="43"/>
      <c r="AB85" s="43"/>
    </row>
    <row r="86" spans="25:28" x14ac:dyDescent="0.3">
      <c r="Y86" s="43"/>
      <c r="Z86" s="43"/>
      <c r="AA86" s="43"/>
      <c r="AB86" s="43"/>
    </row>
    <row r="87" spans="25:28" x14ac:dyDescent="0.3">
      <c r="Y87" s="43"/>
      <c r="Z87" s="43"/>
      <c r="AA87" s="43"/>
      <c r="AB87" s="43"/>
    </row>
    <row r="88" spans="25:28" x14ac:dyDescent="0.3">
      <c r="Y88" s="43"/>
      <c r="Z88" s="43"/>
      <c r="AA88" s="43"/>
      <c r="AB88" s="43"/>
    </row>
    <row r="89" spans="25:28" x14ac:dyDescent="0.3">
      <c r="Y89" s="43"/>
      <c r="Z89" s="43"/>
      <c r="AA89" s="43"/>
      <c r="AB89" s="43"/>
    </row>
    <row r="90" spans="25:28" x14ac:dyDescent="0.3">
      <c r="Y90" s="43"/>
      <c r="Z90" s="43"/>
      <c r="AA90" s="43"/>
      <c r="AB90" s="43"/>
    </row>
    <row r="91" spans="25:28" x14ac:dyDescent="0.3">
      <c r="Y91" s="43"/>
      <c r="Z91" s="43"/>
      <c r="AA91" s="43"/>
      <c r="AB91" s="43"/>
    </row>
    <row r="92" spans="25:28" x14ac:dyDescent="0.3">
      <c r="Y92" s="43"/>
      <c r="Z92" s="43"/>
      <c r="AA92" s="43"/>
      <c r="AB92" s="43"/>
    </row>
    <row r="93" spans="25:28" x14ac:dyDescent="0.3">
      <c r="Y93" s="43"/>
      <c r="Z93" s="43"/>
      <c r="AA93" s="43"/>
      <c r="AB93" s="43"/>
    </row>
    <row r="94" spans="25:28" x14ac:dyDescent="0.3">
      <c r="Y94" s="43"/>
      <c r="Z94" s="43"/>
      <c r="AA94" s="43"/>
      <c r="AB94" s="43"/>
    </row>
    <row r="95" spans="25:28" x14ac:dyDescent="0.3">
      <c r="Y95" s="43"/>
      <c r="Z95" s="43"/>
      <c r="AA95" s="43"/>
      <c r="AB95" s="43"/>
    </row>
    <row r="96" spans="25:28" x14ac:dyDescent="0.3">
      <c r="Y96" s="43"/>
      <c r="Z96" s="43"/>
      <c r="AA96" s="43"/>
      <c r="AB96" s="43"/>
    </row>
    <row r="97" spans="25:28" x14ac:dyDescent="0.3">
      <c r="Y97" s="43"/>
      <c r="Z97" s="43"/>
      <c r="AA97" s="43"/>
      <c r="AB97" s="43"/>
    </row>
    <row r="98" spans="25:28" x14ac:dyDescent="0.3">
      <c r="Y98" s="43"/>
      <c r="Z98" s="43"/>
      <c r="AA98" s="43"/>
      <c r="AB98" s="43"/>
    </row>
    <row r="99" spans="25:28" x14ac:dyDescent="0.3">
      <c r="Y99" s="43"/>
      <c r="Z99" s="43"/>
      <c r="AA99" s="43"/>
      <c r="AB99" s="43"/>
    </row>
    <row r="100" spans="25:28" x14ac:dyDescent="0.3">
      <c r="Y100" s="43"/>
      <c r="Z100" s="43"/>
      <c r="AA100" s="43"/>
      <c r="AB100" s="43"/>
    </row>
    <row r="101" spans="25:28" x14ac:dyDescent="0.3">
      <c r="Y101" s="43"/>
      <c r="Z101" s="43"/>
      <c r="AA101" s="43"/>
      <c r="AB101" s="43"/>
    </row>
    <row r="102" spans="25:28" x14ac:dyDescent="0.3">
      <c r="Y102" s="43"/>
      <c r="Z102" s="43"/>
      <c r="AA102" s="43"/>
      <c r="AB102" s="43"/>
    </row>
    <row r="103" spans="25:28" x14ac:dyDescent="0.3">
      <c r="Y103" s="43"/>
      <c r="Z103" s="43"/>
      <c r="AA103" s="43"/>
      <c r="AB103" s="43"/>
    </row>
    <row r="104" spans="25:28" x14ac:dyDescent="0.3">
      <c r="Y104" s="43"/>
      <c r="Z104" s="43"/>
      <c r="AA104" s="43"/>
      <c r="AB104" s="43"/>
    </row>
    <row r="105" spans="25:28" x14ac:dyDescent="0.3">
      <c r="Y105" s="43"/>
      <c r="Z105" s="43"/>
      <c r="AA105" s="43"/>
      <c r="AB105" s="43"/>
    </row>
    <row r="106" spans="25:28" x14ac:dyDescent="0.3">
      <c r="Y106" s="43"/>
      <c r="Z106" s="43"/>
      <c r="AA106" s="43"/>
      <c r="AB106" s="43"/>
    </row>
    <row r="107" spans="25:28" x14ac:dyDescent="0.3">
      <c r="Y107" s="43"/>
      <c r="Z107" s="43"/>
      <c r="AA107" s="43"/>
      <c r="AB107" s="43"/>
    </row>
    <row r="108" spans="25:28" x14ac:dyDescent="0.3">
      <c r="Y108" s="43"/>
      <c r="Z108" s="43"/>
      <c r="AA108" s="43"/>
      <c r="AB108" s="43"/>
    </row>
    <row r="109" spans="25:28" x14ac:dyDescent="0.3">
      <c r="Y109" s="43"/>
      <c r="Z109" s="43"/>
      <c r="AA109" s="43"/>
      <c r="AB109" s="43"/>
    </row>
    <row r="110" spans="25:28" x14ac:dyDescent="0.3">
      <c r="Y110" s="43"/>
      <c r="Z110" s="43"/>
      <c r="AA110" s="43"/>
      <c r="AB110" s="43"/>
    </row>
    <row r="111" spans="25:28" x14ac:dyDescent="0.3">
      <c r="Y111" s="43"/>
      <c r="Z111" s="43"/>
      <c r="AA111" s="43"/>
      <c r="AB111" s="43"/>
    </row>
    <row r="112" spans="25:28" x14ac:dyDescent="0.3">
      <c r="Y112" s="43"/>
      <c r="Z112" s="43"/>
      <c r="AA112" s="43"/>
      <c r="AB112" s="43"/>
    </row>
    <row r="113" spans="25:28" x14ac:dyDescent="0.3">
      <c r="Y113" s="43"/>
      <c r="Z113" s="43"/>
      <c r="AA113" s="43"/>
      <c r="AB113" s="43"/>
    </row>
    <row r="114" spans="25:28" x14ac:dyDescent="0.3">
      <c r="Y114" s="43"/>
      <c r="Z114" s="43"/>
      <c r="AA114" s="43"/>
      <c r="AB114" s="43"/>
    </row>
    <row r="115" spans="25:28" x14ac:dyDescent="0.3">
      <c r="Y115" s="43"/>
      <c r="Z115" s="43"/>
      <c r="AA115" s="43"/>
      <c r="AB115" s="43"/>
    </row>
    <row r="116" spans="25:28" x14ac:dyDescent="0.3">
      <c r="Y116" s="43"/>
      <c r="Z116" s="43"/>
      <c r="AA116" s="43"/>
      <c r="AB116" s="43"/>
    </row>
    <row r="117" spans="25:28" x14ac:dyDescent="0.3">
      <c r="Y117" s="43"/>
      <c r="Z117" s="43"/>
      <c r="AA117" s="43"/>
      <c r="AB117" s="43"/>
    </row>
    <row r="118" spans="25:28" x14ac:dyDescent="0.3">
      <c r="Y118" s="43"/>
      <c r="Z118" s="43"/>
      <c r="AA118" s="43"/>
      <c r="AB118" s="43"/>
    </row>
    <row r="119" spans="25:28" x14ac:dyDescent="0.3">
      <c r="Y119" s="43"/>
      <c r="Z119" s="43"/>
      <c r="AA119" s="43"/>
      <c r="AB119" s="43"/>
    </row>
    <row r="120" spans="25:28" x14ac:dyDescent="0.3">
      <c r="Y120" s="43"/>
      <c r="Z120" s="43"/>
      <c r="AA120" s="43"/>
      <c r="AB120" s="43"/>
    </row>
    <row r="121" spans="25:28" x14ac:dyDescent="0.3">
      <c r="Y121" s="43"/>
      <c r="Z121" s="43"/>
      <c r="AA121" s="43"/>
      <c r="AB121" s="43"/>
    </row>
    <row r="122" spans="25:28" x14ac:dyDescent="0.3">
      <c r="Y122" s="43"/>
      <c r="Z122" s="43"/>
      <c r="AA122" s="43"/>
      <c r="AB122" s="43"/>
    </row>
    <row r="123" spans="25:28" x14ac:dyDescent="0.3">
      <c r="Y123" s="43"/>
      <c r="Z123" s="43"/>
      <c r="AA123" s="43"/>
      <c r="AB123" s="43"/>
    </row>
    <row r="124" spans="25:28" x14ac:dyDescent="0.3">
      <c r="Y124" s="43"/>
      <c r="Z124" s="43"/>
      <c r="AA124" s="43"/>
      <c r="AB124" s="43"/>
    </row>
    <row r="125" spans="25:28" x14ac:dyDescent="0.3">
      <c r="Y125" s="43"/>
      <c r="Z125" s="43"/>
      <c r="AA125" s="43"/>
      <c r="AB125" s="43"/>
    </row>
    <row r="126" spans="25:28" x14ac:dyDescent="0.3">
      <c r="Y126" s="43"/>
      <c r="Z126" s="43"/>
      <c r="AA126" s="43"/>
      <c r="AB126" s="43"/>
    </row>
    <row r="127" spans="25:28" x14ac:dyDescent="0.3">
      <c r="Y127" s="43"/>
      <c r="Z127" s="43"/>
      <c r="AA127" s="43"/>
      <c r="AB127" s="43"/>
    </row>
    <row r="128" spans="25:28" x14ac:dyDescent="0.3">
      <c r="Y128" s="43"/>
      <c r="Z128" s="43"/>
      <c r="AA128" s="43"/>
      <c r="AB128" s="43"/>
    </row>
    <row r="129" spans="25:28" x14ac:dyDescent="0.3">
      <c r="Y129" s="43"/>
      <c r="Z129" s="43"/>
      <c r="AA129" s="43"/>
      <c r="AB129" s="43"/>
    </row>
    <row r="130" spans="25:28" x14ac:dyDescent="0.3">
      <c r="Y130" s="43"/>
      <c r="Z130" s="43"/>
      <c r="AA130" s="43"/>
      <c r="AB130" s="43"/>
    </row>
    <row r="131" spans="25:28" x14ac:dyDescent="0.3">
      <c r="Y131" s="43"/>
      <c r="Z131" s="43"/>
      <c r="AA131" s="43"/>
      <c r="AB131" s="43"/>
    </row>
    <row r="132" spans="25:28" x14ac:dyDescent="0.3">
      <c r="Y132" s="43"/>
      <c r="Z132" s="43"/>
      <c r="AA132" s="43"/>
      <c r="AB132" s="43"/>
    </row>
    <row r="133" spans="25:28" x14ac:dyDescent="0.3">
      <c r="Y133" s="43"/>
      <c r="Z133" s="43"/>
      <c r="AA133" s="43"/>
      <c r="AB133" s="43"/>
    </row>
    <row r="134" spans="25:28" x14ac:dyDescent="0.3">
      <c r="Y134" s="43"/>
      <c r="Z134" s="43"/>
      <c r="AA134" s="43"/>
      <c r="AB134" s="43"/>
    </row>
    <row r="135" spans="25:28" x14ac:dyDescent="0.3">
      <c r="Y135" s="43"/>
      <c r="Z135" s="43"/>
      <c r="AA135" s="43"/>
      <c r="AB135" s="43"/>
    </row>
    <row r="136" spans="25:28" x14ac:dyDescent="0.3">
      <c r="Y136" s="43"/>
      <c r="Z136" s="43"/>
      <c r="AA136" s="43"/>
      <c r="AB136" s="43"/>
    </row>
    <row r="137" spans="25:28" x14ac:dyDescent="0.3">
      <c r="Y137" s="43"/>
      <c r="Z137" s="43"/>
      <c r="AA137" s="43"/>
      <c r="AB137" s="43"/>
    </row>
    <row r="138" spans="25:28" x14ac:dyDescent="0.3">
      <c r="Y138" s="43"/>
      <c r="Z138" s="43"/>
      <c r="AA138" s="43"/>
      <c r="AB138" s="43"/>
    </row>
    <row r="139" spans="25:28" x14ac:dyDescent="0.3">
      <c r="Y139" s="43"/>
      <c r="Z139" s="43"/>
      <c r="AA139" s="43"/>
      <c r="AB139" s="43"/>
    </row>
    <row r="140" spans="25:28" x14ac:dyDescent="0.3">
      <c r="Y140" s="43"/>
      <c r="Z140" s="43"/>
      <c r="AA140" s="43"/>
      <c r="AB140" s="43"/>
    </row>
    <row r="141" spans="25:28" x14ac:dyDescent="0.3">
      <c r="Y141" s="43"/>
      <c r="Z141" s="43"/>
      <c r="AA141" s="43"/>
      <c r="AB141" s="43"/>
    </row>
    <row r="142" spans="25:28" x14ac:dyDescent="0.3">
      <c r="Y142" s="43"/>
      <c r="Z142" s="43"/>
      <c r="AA142" s="43"/>
      <c r="AB142" s="43"/>
    </row>
    <row r="143" spans="25:28" x14ac:dyDescent="0.3">
      <c r="Y143" s="43"/>
      <c r="Z143" s="43"/>
      <c r="AA143" s="43"/>
      <c r="AB143" s="43"/>
    </row>
    <row r="144" spans="25:28" x14ac:dyDescent="0.3">
      <c r="Y144" s="43"/>
      <c r="Z144" s="43"/>
      <c r="AA144" s="43"/>
      <c r="AB144" s="43"/>
    </row>
    <row r="145" spans="25:28" x14ac:dyDescent="0.3">
      <c r="Y145" s="43"/>
      <c r="Z145" s="43"/>
      <c r="AA145" s="43"/>
      <c r="AB145" s="43"/>
    </row>
    <row r="146" spans="25:28" x14ac:dyDescent="0.3">
      <c r="Y146" s="43"/>
      <c r="Z146" s="43"/>
      <c r="AA146" s="43"/>
      <c r="AB146" s="43"/>
    </row>
    <row r="147" spans="25:28" x14ac:dyDescent="0.3">
      <c r="Y147" s="43"/>
      <c r="Z147" s="43"/>
      <c r="AA147" s="43"/>
      <c r="AB147" s="43"/>
    </row>
    <row r="148" spans="25:28" x14ac:dyDescent="0.3">
      <c r="Y148" s="43"/>
      <c r="Z148" s="43"/>
      <c r="AA148" s="43"/>
      <c r="AB148" s="43"/>
    </row>
    <row r="149" spans="25:28" x14ac:dyDescent="0.3">
      <c r="Y149" s="43"/>
      <c r="Z149" s="43"/>
      <c r="AA149" s="43"/>
      <c r="AB149" s="43"/>
    </row>
    <row r="150" spans="25:28" x14ac:dyDescent="0.3">
      <c r="Y150" s="43"/>
      <c r="Z150" s="43"/>
      <c r="AA150" s="43"/>
      <c r="AB150" s="43"/>
    </row>
    <row r="151" spans="25:28" x14ac:dyDescent="0.3">
      <c r="Y151" s="43"/>
      <c r="Z151" s="43"/>
      <c r="AA151" s="43"/>
      <c r="AB151" s="43"/>
    </row>
    <row r="152" spans="25:28" x14ac:dyDescent="0.3">
      <c r="Y152" s="43"/>
      <c r="Z152" s="43"/>
      <c r="AA152" s="43"/>
      <c r="AB152" s="43"/>
    </row>
    <row r="153" spans="25:28" x14ac:dyDescent="0.3">
      <c r="Y153" s="43"/>
      <c r="Z153" s="43"/>
      <c r="AA153" s="43"/>
      <c r="AB153" s="43"/>
    </row>
    <row r="154" spans="25:28" x14ac:dyDescent="0.3">
      <c r="Y154" s="43"/>
      <c r="Z154" s="43"/>
      <c r="AA154" s="43"/>
      <c r="AB154" s="43"/>
    </row>
    <row r="155" spans="25:28" x14ac:dyDescent="0.3">
      <c r="Y155" s="43"/>
      <c r="Z155" s="43"/>
      <c r="AA155" s="43"/>
      <c r="AB155" s="43"/>
    </row>
    <row r="156" spans="25:28" x14ac:dyDescent="0.3">
      <c r="Y156" s="43"/>
      <c r="Z156" s="43"/>
      <c r="AA156" s="43"/>
      <c r="AB156" s="43"/>
    </row>
    <row r="157" spans="25:28" x14ac:dyDescent="0.3">
      <c r="Y157" s="43"/>
      <c r="Z157" s="43"/>
      <c r="AA157" s="43"/>
      <c r="AB157" s="43"/>
    </row>
    <row r="158" spans="25:28" x14ac:dyDescent="0.3">
      <c r="Y158" s="43"/>
      <c r="Z158" s="43"/>
      <c r="AA158" s="43"/>
      <c r="AB158" s="43"/>
    </row>
    <row r="159" spans="25:28" x14ac:dyDescent="0.3">
      <c r="Y159" s="43"/>
      <c r="Z159" s="43"/>
      <c r="AA159" s="43"/>
      <c r="AB159" s="43"/>
    </row>
    <row r="160" spans="25:28" x14ac:dyDescent="0.3">
      <c r="Y160" s="43"/>
      <c r="Z160" s="43"/>
      <c r="AA160" s="43"/>
      <c r="AB160" s="43"/>
    </row>
    <row r="161" spans="25:28" x14ac:dyDescent="0.3">
      <c r="Y161" s="43"/>
      <c r="Z161" s="43"/>
      <c r="AA161" s="43"/>
      <c r="AB161" s="43"/>
    </row>
    <row r="162" spans="25:28" x14ac:dyDescent="0.3">
      <c r="Y162" s="43"/>
      <c r="Z162" s="43"/>
      <c r="AA162" s="43"/>
      <c r="AB162" s="43"/>
    </row>
    <row r="163" spans="25:28" x14ac:dyDescent="0.3">
      <c r="Y163" s="43"/>
      <c r="Z163" s="43"/>
      <c r="AA163" s="43"/>
      <c r="AB163" s="43"/>
    </row>
    <row r="164" spans="25:28" x14ac:dyDescent="0.3">
      <c r="Y164" s="43"/>
      <c r="Z164" s="43"/>
      <c r="AA164" s="43"/>
      <c r="AB164" s="43"/>
    </row>
    <row r="165" spans="25:28" x14ac:dyDescent="0.3">
      <c r="Y165" s="43"/>
      <c r="Z165" s="43"/>
      <c r="AA165" s="43"/>
      <c r="AB165" s="43"/>
    </row>
    <row r="166" spans="25:28" x14ac:dyDescent="0.3">
      <c r="Y166" s="43"/>
      <c r="Z166" s="43"/>
      <c r="AA166" s="43"/>
      <c r="AB166" s="43"/>
    </row>
    <row r="167" spans="25:28" x14ac:dyDescent="0.3">
      <c r="Y167" s="43"/>
      <c r="Z167" s="43"/>
      <c r="AA167" s="43"/>
      <c r="AB167" s="43"/>
    </row>
    <row r="168" spans="25:28" x14ac:dyDescent="0.3">
      <c r="Y168" s="43"/>
      <c r="Z168" s="43"/>
      <c r="AA168" s="43"/>
      <c r="AB168" s="43"/>
    </row>
    <row r="169" spans="25:28" x14ac:dyDescent="0.3">
      <c r="Y169" s="43"/>
      <c r="Z169" s="43"/>
      <c r="AA169" s="43"/>
      <c r="AB169" s="43"/>
    </row>
    <row r="170" spans="25:28" x14ac:dyDescent="0.3">
      <c r="Y170" s="43"/>
      <c r="Z170" s="43"/>
      <c r="AA170" s="43"/>
      <c r="AB170" s="43"/>
    </row>
    <row r="171" spans="25:28" x14ac:dyDescent="0.3">
      <c r="Y171" s="43"/>
      <c r="Z171" s="43"/>
      <c r="AA171" s="43"/>
      <c r="AB171" s="43"/>
    </row>
    <row r="172" spans="25:28" x14ac:dyDescent="0.3">
      <c r="Y172" s="43"/>
      <c r="Z172" s="43"/>
      <c r="AA172" s="43"/>
      <c r="AB172" s="43"/>
    </row>
    <row r="173" spans="25:28" x14ac:dyDescent="0.3">
      <c r="Y173" s="43"/>
      <c r="Z173" s="43"/>
      <c r="AA173" s="43"/>
      <c r="AB173" s="43"/>
    </row>
    <row r="174" spans="25:28" x14ac:dyDescent="0.3">
      <c r="Y174" s="43"/>
      <c r="Z174" s="43"/>
      <c r="AA174" s="43"/>
      <c r="AB174" s="43"/>
    </row>
    <row r="175" spans="25:28" x14ac:dyDescent="0.3">
      <c r="Y175" s="43"/>
      <c r="Z175" s="43"/>
      <c r="AA175" s="43"/>
      <c r="AB175" s="43"/>
    </row>
    <row r="176" spans="25:28" x14ac:dyDescent="0.3">
      <c r="Y176" s="43"/>
      <c r="Z176" s="43"/>
      <c r="AA176" s="43"/>
      <c r="AB176" s="43"/>
    </row>
    <row r="177" spans="25:28" x14ac:dyDescent="0.3">
      <c r="Y177" s="43"/>
      <c r="Z177" s="43"/>
      <c r="AA177" s="43"/>
      <c r="AB177" s="43"/>
    </row>
    <row r="178" spans="25:28" x14ac:dyDescent="0.3">
      <c r="Y178" s="43"/>
      <c r="Z178" s="43"/>
      <c r="AA178" s="43"/>
      <c r="AB178" s="43"/>
    </row>
    <row r="179" spans="25:28" x14ac:dyDescent="0.3">
      <c r="Y179" s="43"/>
      <c r="Z179" s="43"/>
      <c r="AA179" s="43"/>
      <c r="AB179" s="43"/>
    </row>
    <row r="180" spans="25:28" x14ac:dyDescent="0.3">
      <c r="Y180" s="43"/>
      <c r="Z180" s="43"/>
      <c r="AA180" s="43"/>
      <c r="AB180" s="43"/>
    </row>
    <row r="181" spans="25:28" x14ac:dyDescent="0.3">
      <c r="Y181" s="43"/>
      <c r="Z181" s="43"/>
      <c r="AA181" s="43"/>
      <c r="AB181" s="43"/>
    </row>
    <row r="182" spans="25:28" x14ac:dyDescent="0.3">
      <c r="Y182" s="43"/>
      <c r="Z182" s="43"/>
      <c r="AA182" s="43"/>
      <c r="AB182" s="43"/>
    </row>
    <row r="183" spans="25:28" x14ac:dyDescent="0.3">
      <c r="Y183" s="43"/>
      <c r="Z183" s="43"/>
      <c r="AA183" s="43"/>
      <c r="AB183" s="43"/>
    </row>
    <row r="184" spans="25:28" x14ac:dyDescent="0.3">
      <c r="Y184" s="43"/>
      <c r="Z184" s="43"/>
      <c r="AA184" s="43"/>
      <c r="AB184" s="43"/>
    </row>
    <row r="185" spans="25:28" x14ac:dyDescent="0.3">
      <c r="Y185" s="43"/>
      <c r="Z185" s="43"/>
      <c r="AA185" s="43"/>
      <c r="AB185" s="43"/>
    </row>
    <row r="186" spans="25:28" x14ac:dyDescent="0.3">
      <c r="Y186" s="43"/>
      <c r="Z186" s="43"/>
      <c r="AA186" s="43"/>
      <c r="AB186" s="43"/>
    </row>
    <row r="187" spans="25:28" x14ac:dyDescent="0.3">
      <c r="Y187" s="43"/>
      <c r="Z187" s="43"/>
      <c r="AA187" s="43"/>
      <c r="AB187" s="43"/>
    </row>
    <row r="188" spans="25:28" x14ac:dyDescent="0.3">
      <c r="Y188" s="43"/>
      <c r="Z188" s="43"/>
      <c r="AA188" s="43"/>
      <c r="AB188" s="43"/>
    </row>
    <row r="189" spans="25:28" x14ac:dyDescent="0.3">
      <c r="Y189" s="43"/>
      <c r="Z189" s="43"/>
      <c r="AA189" s="43"/>
      <c r="AB189" s="43"/>
    </row>
    <row r="190" spans="25:28" x14ac:dyDescent="0.3">
      <c r="Y190" s="43"/>
      <c r="Z190" s="43"/>
      <c r="AA190" s="43"/>
      <c r="AB190" s="43"/>
    </row>
    <row r="191" spans="25:28" x14ac:dyDescent="0.3">
      <c r="Y191" s="43"/>
      <c r="Z191" s="43"/>
      <c r="AA191" s="43"/>
      <c r="AB191" s="43"/>
    </row>
    <row r="192" spans="25:28" x14ac:dyDescent="0.3">
      <c r="Y192" s="43"/>
      <c r="Z192" s="43"/>
      <c r="AA192" s="43"/>
      <c r="AB192" s="43"/>
    </row>
    <row r="193" spans="25:28" x14ac:dyDescent="0.3">
      <c r="Y193" s="43"/>
      <c r="Z193" s="43"/>
      <c r="AA193" s="43"/>
      <c r="AB193" s="43"/>
    </row>
    <row r="194" spans="25:28" x14ac:dyDescent="0.3">
      <c r="Y194" s="43"/>
      <c r="Z194" s="43"/>
      <c r="AA194" s="43"/>
      <c r="AB194" s="43"/>
    </row>
    <row r="195" spans="25:28" x14ac:dyDescent="0.3">
      <c r="Y195" s="43"/>
      <c r="Z195" s="43"/>
      <c r="AA195" s="43"/>
      <c r="AB195" s="43"/>
    </row>
    <row r="196" spans="25:28" x14ac:dyDescent="0.3">
      <c r="Y196" s="43"/>
      <c r="Z196" s="43"/>
      <c r="AA196" s="43"/>
      <c r="AB196" s="43"/>
    </row>
    <row r="197" spans="25:28" x14ac:dyDescent="0.3">
      <c r="Y197" s="43"/>
      <c r="Z197" s="43"/>
      <c r="AA197" s="43"/>
      <c r="AB197" s="43"/>
    </row>
    <row r="198" spans="25:28" x14ac:dyDescent="0.3">
      <c r="Y198" s="43"/>
      <c r="Z198" s="43"/>
      <c r="AA198" s="43"/>
      <c r="AB198" s="43"/>
    </row>
    <row r="199" spans="25:28" x14ac:dyDescent="0.3">
      <c r="Y199" s="43"/>
      <c r="Z199" s="43"/>
      <c r="AA199" s="43"/>
      <c r="AB199" s="43"/>
    </row>
    <row r="200" spans="25:28" x14ac:dyDescent="0.3">
      <c r="Y200" s="43"/>
      <c r="Z200" s="43"/>
      <c r="AA200" s="43"/>
      <c r="AB200" s="43"/>
    </row>
    <row r="201" spans="25:28" x14ac:dyDescent="0.3">
      <c r="Y201" s="43"/>
      <c r="Z201" s="43"/>
      <c r="AA201" s="43"/>
      <c r="AB201" s="43"/>
    </row>
    <row r="202" spans="25:28" x14ac:dyDescent="0.3">
      <c r="Y202" s="43"/>
      <c r="Z202" s="43"/>
      <c r="AA202" s="43"/>
      <c r="AB202" s="43"/>
    </row>
    <row r="203" spans="25:28" x14ac:dyDescent="0.3">
      <c r="Y203" s="43"/>
      <c r="Z203" s="43"/>
      <c r="AA203" s="43"/>
      <c r="AB203" s="43"/>
    </row>
    <row r="204" spans="25:28" x14ac:dyDescent="0.3">
      <c r="Y204" s="43"/>
      <c r="Z204" s="43"/>
      <c r="AA204" s="43"/>
      <c r="AB204" s="43"/>
    </row>
    <row r="205" spans="25:28" x14ac:dyDescent="0.3">
      <c r="Y205" s="43"/>
      <c r="Z205" s="43"/>
      <c r="AA205" s="43"/>
      <c r="AB205" s="43"/>
    </row>
    <row r="206" spans="25:28" x14ac:dyDescent="0.3">
      <c r="Y206" s="43"/>
      <c r="Z206" s="43"/>
      <c r="AA206" s="43"/>
      <c r="AB206" s="43"/>
    </row>
    <row r="207" spans="25:28" x14ac:dyDescent="0.3">
      <c r="Y207" s="43"/>
      <c r="Z207" s="43"/>
      <c r="AA207" s="43"/>
      <c r="AB207" s="43"/>
    </row>
    <row r="208" spans="25:28" x14ac:dyDescent="0.3">
      <c r="Y208" s="43"/>
      <c r="Z208" s="43"/>
      <c r="AA208" s="43"/>
      <c r="AB208" s="43"/>
    </row>
    <row r="209" spans="25:28" x14ac:dyDescent="0.3">
      <c r="Y209" s="43"/>
      <c r="Z209" s="43"/>
      <c r="AA209" s="43"/>
      <c r="AB209" s="43"/>
    </row>
    <row r="210" spans="25:28" x14ac:dyDescent="0.3">
      <c r="Y210" s="43"/>
      <c r="Z210" s="43"/>
      <c r="AA210" s="43"/>
      <c r="AB210" s="43"/>
    </row>
    <row r="211" spans="25:28" x14ac:dyDescent="0.3">
      <c r="Y211" s="43"/>
      <c r="Z211" s="43"/>
      <c r="AA211" s="43"/>
      <c r="AB211" s="43"/>
    </row>
    <row r="212" spans="25:28" x14ac:dyDescent="0.3">
      <c r="Y212" s="43"/>
      <c r="Z212" s="43"/>
      <c r="AA212" s="43"/>
      <c r="AB212" s="43"/>
    </row>
    <row r="213" spans="25:28" x14ac:dyDescent="0.3">
      <c r="Y213" s="43"/>
      <c r="Z213" s="43"/>
      <c r="AA213" s="43"/>
      <c r="AB213" s="43"/>
    </row>
    <row r="214" spans="25:28" x14ac:dyDescent="0.3">
      <c r="Y214" s="43"/>
      <c r="Z214" s="43"/>
      <c r="AA214" s="43"/>
      <c r="AB214" s="43"/>
    </row>
    <row r="215" spans="25:28" x14ac:dyDescent="0.3">
      <c r="Y215" s="43"/>
      <c r="Z215" s="43"/>
      <c r="AA215" s="43"/>
      <c r="AB215" s="43"/>
    </row>
    <row r="216" spans="25:28" x14ac:dyDescent="0.3">
      <c r="Y216" s="43"/>
      <c r="Z216" s="43"/>
      <c r="AA216" s="43"/>
      <c r="AB216" s="43"/>
    </row>
    <row r="217" spans="25:28" x14ac:dyDescent="0.3">
      <c r="Y217" s="43"/>
      <c r="Z217" s="43"/>
      <c r="AA217" s="43"/>
      <c r="AB217" s="43"/>
    </row>
    <row r="218" spans="25:28" x14ac:dyDescent="0.3">
      <c r="Y218" s="43"/>
      <c r="Z218" s="43"/>
      <c r="AA218" s="43"/>
      <c r="AB218" s="43"/>
    </row>
    <row r="219" spans="25:28" x14ac:dyDescent="0.3">
      <c r="Y219" s="43"/>
      <c r="Z219" s="43"/>
      <c r="AA219" s="43"/>
      <c r="AB219" s="43"/>
    </row>
    <row r="220" spans="25:28" x14ac:dyDescent="0.3">
      <c r="Y220" s="43"/>
      <c r="Z220" s="43"/>
      <c r="AA220" s="43"/>
      <c r="AB220" s="43"/>
    </row>
    <row r="221" spans="25:28" x14ac:dyDescent="0.3">
      <c r="Y221" s="43"/>
      <c r="Z221" s="43"/>
      <c r="AA221" s="43"/>
      <c r="AB221" s="43"/>
    </row>
    <row r="222" spans="25:28" x14ac:dyDescent="0.3">
      <c r="Y222" s="43"/>
      <c r="Z222" s="43"/>
      <c r="AA222" s="43"/>
      <c r="AB222" s="43"/>
    </row>
    <row r="223" spans="25:28" x14ac:dyDescent="0.3">
      <c r="Y223" s="43"/>
      <c r="Z223" s="43"/>
      <c r="AA223" s="43"/>
      <c r="AB223" s="43"/>
    </row>
    <row r="224" spans="25:28" x14ac:dyDescent="0.3">
      <c r="Y224" s="43"/>
      <c r="Z224" s="43"/>
      <c r="AA224" s="43"/>
      <c r="AB224" s="43"/>
    </row>
    <row r="225" spans="25:28" x14ac:dyDescent="0.3">
      <c r="Y225" s="43"/>
      <c r="Z225" s="43"/>
      <c r="AA225" s="43"/>
      <c r="AB225" s="43"/>
    </row>
    <row r="226" spans="25:28" x14ac:dyDescent="0.3">
      <c r="Y226" s="43"/>
      <c r="Z226" s="43"/>
      <c r="AA226" s="43"/>
      <c r="AB226" s="43"/>
    </row>
    <row r="227" spans="25:28" x14ac:dyDescent="0.3">
      <c r="Y227" s="43"/>
      <c r="Z227" s="43"/>
      <c r="AA227" s="43"/>
      <c r="AB227" s="43"/>
    </row>
    <row r="228" spans="25:28" x14ac:dyDescent="0.3">
      <c r="Y228" s="43"/>
      <c r="Z228" s="43"/>
      <c r="AA228" s="43"/>
      <c r="AB228" s="43"/>
    </row>
    <row r="229" spans="25:28" x14ac:dyDescent="0.3">
      <c r="Y229" s="43"/>
      <c r="Z229" s="43"/>
      <c r="AA229" s="43"/>
      <c r="AB229" s="43"/>
    </row>
    <row r="230" spans="25:28" x14ac:dyDescent="0.3">
      <c r="Y230" s="43"/>
      <c r="Z230" s="43"/>
      <c r="AA230" s="43"/>
      <c r="AB230" s="43"/>
    </row>
    <row r="231" spans="25:28" x14ac:dyDescent="0.3">
      <c r="Y231" s="43"/>
      <c r="Z231" s="43"/>
      <c r="AA231" s="43"/>
      <c r="AB231" s="43"/>
    </row>
    <row r="232" spans="25:28" x14ac:dyDescent="0.3">
      <c r="Y232" s="43"/>
      <c r="Z232" s="43"/>
      <c r="AA232" s="43"/>
      <c r="AB232" s="43"/>
    </row>
    <row r="233" spans="25:28" x14ac:dyDescent="0.3">
      <c r="Y233" s="43"/>
      <c r="Z233" s="43"/>
      <c r="AA233" s="43"/>
      <c r="AB233" s="43"/>
    </row>
    <row r="234" spans="25:28" x14ac:dyDescent="0.3">
      <c r="Y234" s="43"/>
      <c r="Z234" s="43"/>
      <c r="AA234" s="43"/>
      <c r="AB234" s="43"/>
    </row>
    <row r="235" spans="25:28" x14ac:dyDescent="0.3">
      <c r="Y235" s="43"/>
      <c r="Z235" s="43"/>
      <c r="AA235" s="43"/>
      <c r="AB235" s="43"/>
    </row>
    <row r="236" spans="25:28" x14ac:dyDescent="0.3">
      <c r="Y236" s="43"/>
      <c r="Z236" s="43"/>
      <c r="AA236" s="43"/>
      <c r="AB236" s="43"/>
    </row>
    <row r="237" spans="25:28" x14ac:dyDescent="0.3">
      <c r="Y237" s="43"/>
      <c r="Z237" s="43"/>
      <c r="AA237" s="43"/>
      <c r="AB237" s="43"/>
    </row>
    <row r="238" spans="25:28" x14ac:dyDescent="0.3">
      <c r="Y238" s="43"/>
      <c r="Z238" s="43"/>
      <c r="AA238" s="43"/>
      <c r="AB238" s="43"/>
    </row>
    <row r="239" spans="25:28" x14ac:dyDescent="0.3">
      <c r="Y239" s="43"/>
      <c r="Z239" s="43"/>
      <c r="AA239" s="43"/>
      <c r="AB239" s="43"/>
    </row>
    <row r="240" spans="25:28" x14ac:dyDescent="0.3">
      <c r="Y240" s="43"/>
      <c r="Z240" s="43"/>
      <c r="AA240" s="43"/>
      <c r="AB240" s="43"/>
    </row>
    <row r="241" spans="25:28" x14ac:dyDescent="0.3">
      <c r="Y241" s="43"/>
      <c r="Z241" s="43"/>
      <c r="AA241" s="43"/>
      <c r="AB241" s="43"/>
    </row>
    <row r="242" spans="25:28" x14ac:dyDescent="0.3">
      <c r="Y242" s="43"/>
      <c r="Z242" s="43"/>
      <c r="AA242" s="43"/>
      <c r="AB242" s="43"/>
    </row>
    <row r="243" spans="25:28" x14ac:dyDescent="0.3">
      <c r="Y243" s="43"/>
      <c r="Z243" s="43"/>
      <c r="AA243" s="43"/>
      <c r="AB243" s="43"/>
    </row>
    <row r="244" spans="25:28" x14ac:dyDescent="0.3">
      <c r="Y244" s="43"/>
      <c r="Z244" s="43"/>
      <c r="AA244" s="43"/>
      <c r="AB244" s="43"/>
    </row>
    <row r="245" spans="25:28" x14ac:dyDescent="0.3">
      <c r="Y245" s="43"/>
      <c r="Z245" s="43"/>
      <c r="AA245" s="43"/>
      <c r="AB245" s="43"/>
    </row>
    <row r="246" spans="25:28" x14ac:dyDescent="0.3">
      <c r="Y246" s="43"/>
      <c r="Z246" s="43"/>
      <c r="AA246" s="43"/>
      <c r="AB246" s="43"/>
    </row>
    <row r="247" spans="25:28" x14ac:dyDescent="0.3">
      <c r="Y247" s="43"/>
      <c r="Z247" s="43"/>
      <c r="AA247" s="43"/>
      <c r="AB247" s="43"/>
    </row>
    <row r="248" spans="25:28" x14ac:dyDescent="0.3">
      <c r="Y248" s="43"/>
      <c r="Z248" s="43"/>
      <c r="AA248" s="43"/>
      <c r="AB248" s="43"/>
    </row>
    <row r="249" spans="25:28" x14ac:dyDescent="0.3">
      <c r="Y249" s="43"/>
      <c r="Z249" s="43"/>
      <c r="AA249" s="43"/>
      <c r="AB249" s="43"/>
    </row>
    <row r="250" spans="25:28" x14ac:dyDescent="0.3">
      <c r="Y250" s="43"/>
      <c r="Z250" s="43"/>
      <c r="AA250" s="43"/>
      <c r="AB250" s="43"/>
    </row>
    <row r="251" spans="25:28" x14ac:dyDescent="0.3">
      <c r="Y251" s="43"/>
      <c r="Z251" s="43"/>
      <c r="AA251" s="43"/>
      <c r="AB251" s="43"/>
    </row>
    <row r="252" spans="25:28" x14ac:dyDescent="0.3">
      <c r="Y252" s="43"/>
      <c r="Z252" s="43"/>
      <c r="AA252" s="43"/>
      <c r="AB252" s="43"/>
    </row>
    <row r="253" spans="25:28" x14ac:dyDescent="0.3">
      <c r="Y253" s="43"/>
      <c r="Z253" s="43"/>
      <c r="AA253" s="43"/>
      <c r="AB253" s="43"/>
    </row>
    <row r="254" spans="25:28" x14ac:dyDescent="0.3">
      <c r="Y254" s="43"/>
      <c r="Z254" s="43"/>
      <c r="AA254" s="43"/>
      <c r="AB254" s="43"/>
    </row>
    <row r="255" spans="25:28" x14ac:dyDescent="0.3">
      <c r="Y255" s="43"/>
      <c r="Z255" s="43"/>
      <c r="AA255" s="43"/>
      <c r="AB255" s="43"/>
    </row>
    <row r="256" spans="25:28" x14ac:dyDescent="0.3">
      <c r="Y256" s="43"/>
      <c r="Z256" s="43"/>
      <c r="AA256" s="43"/>
      <c r="AB256" s="43"/>
    </row>
    <row r="257" spans="25:28" x14ac:dyDescent="0.3">
      <c r="Y257" s="43"/>
      <c r="Z257" s="43"/>
      <c r="AA257" s="43"/>
      <c r="AB257" s="43"/>
    </row>
    <row r="258" spans="25:28" x14ac:dyDescent="0.3">
      <c r="Y258" s="43"/>
      <c r="Z258" s="43"/>
      <c r="AA258" s="43"/>
      <c r="AB258" s="43"/>
    </row>
    <row r="259" spans="25:28" x14ac:dyDescent="0.3">
      <c r="Y259" s="43"/>
      <c r="Z259" s="43"/>
      <c r="AA259" s="43"/>
      <c r="AB259" s="43"/>
    </row>
    <row r="260" spans="25:28" x14ac:dyDescent="0.3">
      <c r="Y260" s="43"/>
      <c r="Z260" s="43"/>
      <c r="AA260" s="43"/>
      <c r="AB260" s="43"/>
    </row>
    <row r="261" spans="25:28" x14ac:dyDescent="0.3">
      <c r="Y261" s="43"/>
      <c r="Z261" s="43"/>
      <c r="AA261" s="43"/>
      <c r="AB261" s="43"/>
    </row>
    <row r="262" spans="25:28" x14ac:dyDescent="0.3">
      <c r="Y262" s="43"/>
      <c r="Z262" s="43"/>
      <c r="AA262" s="43"/>
      <c r="AB262" s="43"/>
    </row>
    <row r="263" spans="25:28" x14ac:dyDescent="0.3">
      <c r="Y263" s="43"/>
      <c r="Z263" s="43"/>
      <c r="AA263" s="43"/>
      <c r="AB263" s="43"/>
    </row>
    <row r="264" spans="25:28" x14ac:dyDescent="0.3">
      <c r="Y264" s="43"/>
      <c r="Z264" s="43"/>
      <c r="AA264" s="43"/>
      <c r="AB264" s="43"/>
    </row>
    <row r="265" spans="25:28" x14ac:dyDescent="0.3">
      <c r="Y265" s="43"/>
      <c r="Z265" s="43"/>
      <c r="AA265" s="43"/>
      <c r="AB265" s="43"/>
    </row>
    <row r="266" spans="25:28" x14ac:dyDescent="0.3">
      <c r="Y266" s="43"/>
      <c r="Z266" s="43"/>
      <c r="AA266" s="43"/>
      <c r="AB266" s="43"/>
    </row>
    <row r="267" spans="25:28" x14ac:dyDescent="0.3">
      <c r="Y267" s="43"/>
      <c r="Z267" s="43"/>
      <c r="AA267" s="43"/>
      <c r="AB267" s="43"/>
    </row>
    <row r="268" spans="25:28" x14ac:dyDescent="0.3">
      <c r="Y268" s="43"/>
      <c r="Z268" s="43"/>
      <c r="AA268" s="43"/>
      <c r="AB268" s="43"/>
    </row>
    <row r="269" spans="25:28" x14ac:dyDescent="0.3">
      <c r="Y269" s="43"/>
      <c r="Z269" s="43"/>
      <c r="AA269" s="43"/>
      <c r="AB269" s="43"/>
    </row>
    <row r="270" spans="25:28" x14ac:dyDescent="0.3">
      <c r="Y270" s="43"/>
      <c r="Z270" s="43"/>
      <c r="AA270" s="43"/>
      <c r="AB270" s="43"/>
    </row>
    <row r="271" spans="25:28" x14ac:dyDescent="0.3">
      <c r="Y271" s="43"/>
      <c r="Z271" s="43"/>
      <c r="AA271" s="43"/>
      <c r="AB271" s="43"/>
    </row>
    <row r="272" spans="25:28" x14ac:dyDescent="0.3">
      <c r="Y272" s="43"/>
      <c r="Z272" s="43"/>
      <c r="AA272" s="43"/>
      <c r="AB272" s="43"/>
    </row>
    <row r="273" spans="25:28" x14ac:dyDescent="0.3">
      <c r="Y273" s="43"/>
      <c r="Z273" s="43"/>
      <c r="AA273" s="43"/>
      <c r="AB273" s="43"/>
    </row>
    <row r="274" spans="25:28" x14ac:dyDescent="0.3">
      <c r="Y274" s="43"/>
      <c r="Z274" s="43"/>
      <c r="AA274" s="43"/>
      <c r="AB274" s="43"/>
    </row>
    <row r="275" spans="25:28" x14ac:dyDescent="0.3">
      <c r="Y275" s="43"/>
      <c r="Z275" s="43"/>
      <c r="AA275" s="43"/>
      <c r="AB275" s="43"/>
    </row>
    <row r="276" spans="25:28" x14ac:dyDescent="0.3">
      <c r="Y276" s="43"/>
      <c r="Z276" s="43"/>
      <c r="AA276" s="43"/>
      <c r="AB276" s="43"/>
    </row>
    <row r="277" spans="25:28" x14ac:dyDescent="0.3">
      <c r="Y277" s="43"/>
      <c r="Z277" s="43"/>
      <c r="AA277" s="43"/>
      <c r="AB277" s="43"/>
    </row>
    <row r="278" spans="25:28" x14ac:dyDescent="0.3">
      <c r="Y278" s="43"/>
      <c r="Z278" s="43"/>
      <c r="AA278" s="43"/>
      <c r="AB278" s="43"/>
    </row>
    <row r="279" spans="25:28" x14ac:dyDescent="0.3">
      <c r="Y279" s="43"/>
      <c r="Z279" s="43"/>
      <c r="AA279" s="43"/>
      <c r="AB279" s="43"/>
    </row>
    <row r="280" spans="25:28" x14ac:dyDescent="0.3">
      <c r="Y280" s="43"/>
      <c r="Z280" s="43"/>
      <c r="AA280" s="43"/>
      <c r="AB280" s="43"/>
    </row>
    <row r="281" spans="25:28" x14ac:dyDescent="0.3">
      <c r="Y281" s="43"/>
      <c r="Z281" s="43"/>
      <c r="AA281" s="43"/>
      <c r="AB281" s="43"/>
    </row>
    <row r="282" spans="25:28" x14ac:dyDescent="0.3">
      <c r="Y282" s="43"/>
      <c r="Z282" s="43"/>
      <c r="AA282" s="43"/>
      <c r="AB282" s="43"/>
    </row>
    <row r="283" spans="25:28" x14ac:dyDescent="0.3">
      <c r="Y283" s="43"/>
      <c r="Z283" s="43"/>
      <c r="AA283" s="43"/>
      <c r="AB283" s="43"/>
    </row>
    <row r="284" spans="25:28" x14ac:dyDescent="0.3">
      <c r="Y284" s="43"/>
      <c r="Z284" s="43"/>
      <c r="AA284" s="43"/>
      <c r="AB284" s="43"/>
    </row>
    <row r="285" spans="25:28" x14ac:dyDescent="0.3">
      <c r="Y285" s="43"/>
      <c r="Z285" s="43"/>
      <c r="AA285" s="43"/>
      <c r="AB285" s="43"/>
    </row>
    <row r="286" spans="25:28" x14ac:dyDescent="0.3">
      <c r="Y286" s="43"/>
      <c r="Z286" s="43"/>
      <c r="AA286" s="43"/>
      <c r="AB286" s="43"/>
    </row>
    <row r="287" spans="25:28" x14ac:dyDescent="0.3">
      <c r="Y287" s="43"/>
      <c r="Z287" s="43"/>
      <c r="AA287" s="43"/>
      <c r="AB287" s="43"/>
    </row>
    <row r="288" spans="25:28" x14ac:dyDescent="0.3">
      <c r="Y288" s="43"/>
      <c r="Z288" s="43"/>
      <c r="AA288" s="43"/>
      <c r="AB288" s="43"/>
    </row>
    <row r="289" spans="25:28" x14ac:dyDescent="0.3">
      <c r="Y289" s="43"/>
      <c r="Z289" s="43"/>
      <c r="AA289" s="43"/>
      <c r="AB289" s="43"/>
    </row>
    <row r="290" spans="25:28" x14ac:dyDescent="0.3">
      <c r="Y290" s="43"/>
      <c r="Z290" s="43"/>
      <c r="AA290" s="43"/>
      <c r="AB290" s="43"/>
    </row>
    <row r="291" spans="25:28" x14ac:dyDescent="0.3">
      <c r="Y291" s="43"/>
      <c r="Z291" s="43"/>
      <c r="AA291" s="43"/>
      <c r="AB291" s="43"/>
    </row>
    <row r="292" spans="25:28" x14ac:dyDescent="0.3">
      <c r="Y292" s="43"/>
      <c r="Z292" s="43"/>
      <c r="AA292" s="43"/>
      <c r="AB292" s="43"/>
    </row>
    <row r="293" spans="25:28" x14ac:dyDescent="0.3">
      <c r="Y293" s="43"/>
      <c r="Z293" s="43"/>
      <c r="AA293" s="43"/>
      <c r="AB293" s="43"/>
    </row>
    <row r="294" spans="25:28" x14ac:dyDescent="0.3">
      <c r="Y294" s="43"/>
      <c r="Z294" s="43"/>
      <c r="AA294" s="43"/>
      <c r="AB294" s="43"/>
    </row>
    <row r="295" spans="25:28" x14ac:dyDescent="0.3">
      <c r="Y295" s="43"/>
      <c r="Z295" s="43"/>
      <c r="AA295" s="43"/>
      <c r="AB295" s="43"/>
    </row>
    <row r="296" spans="25:28" x14ac:dyDescent="0.3">
      <c r="Y296" s="43"/>
      <c r="Z296" s="43"/>
      <c r="AA296" s="43"/>
      <c r="AB296" s="43"/>
    </row>
    <row r="297" spans="25:28" x14ac:dyDescent="0.3">
      <c r="Y297" s="43"/>
      <c r="Z297" s="43"/>
      <c r="AA297" s="43"/>
      <c r="AB297" s="43"/>
    </row>
    <row r="298" spans="25:28" x14ac:dyDescent="0.3">
      <c r="Y298" s="43"/>
      <c r="Z298" s="43"/>
      <c r="AA298" s="43"/>
      <c r="AB298" s="43"/>
    </row>
    <row r="299" spans="25:28" x14ac:dyDescent="0.3">
      <c r="Y299" s="43"/>
      <c r="Z299" s="43"/>
      <c r="AA299" s="43"/>
      <c r="AB299" s="43"/>
    </row>
    <row r="300" spans="25:28" x14ac:dyDescent="0.3">
      <c r="Y300" s="43"/>
      <c r="Z300" s="43"/>
      <c r="AA300" s="43"/>
      <c r="AB300" s="43"/>
    </row>
    <row r="301" spans="25:28" x14ac:dyDescent="0.3">
      <c r="Y301" s="43"/>
      <c r="Z301" s="43"/>
      <c r="AA301" s="43"/>
      <c r="AB301" s="43"/>
    </row>
    <row r="302" spans="25:28" x14ac:dyDescent="0.3">
      <c r="Y302" s="43"/>
      <c r="Z302" s="43"/>
      <c r="AA302" s="43"/>
      <c r="AB302" s="43"/>
    </row>
    <row r="303" spans="25:28" x14ac:dyDescent="0.3">
      <c r="Y303" s="43"/>
      <c r="Z303" s="43"/>
      <c r="AA303" s="43"/>
      <c r="AB303" s="43"/>
    </row>
    <row r="304" spans="25:28" x14ac:dyDescent="0.3">
      <c r="Y304" s="43"/>
      <c r="Z304" s="43"/>
      <c r="AA304" s="43"/>
      <c r="AB304" s="43"/>
    </row>
    <row r="305" spans="25:28" x14ac:dyDescent="0.3">
      <c r="Y305" s="43"/>
      <c r="Z305" s="43"/>
      <c r="AA305" s="43"/>
      <c r="AB305" s="43"/>
    </row>
    <row r="306" spans="25:28" x14ac:dyDescent="0.3">
      <c r="Y306" s="43"/>
      <c r="Z306" s="43"/>
      <c r="AA306" s="43"/>
      <c r="AB306" s="43"/>
    </row>
    <row r="307" spans="25:28" x14ac:dyDescent="0.3">
      <c r="Y307" s="43"/>
      <c r="Z307" s="43"/>
      <c r="AA307" s="43"/>
      <c r="AB307" s="43"/>
    </row>
    <row r="308" spans="25:28" x14ac:dyDescent="0.3">
      <c r="Y308" s="43"/>
      <c r="Z308" s="43"/>
      <c r="AA308" s="43"/>
      <c r="AB308" s="43"/>
    </row>
    <row r="309" spans="25:28" x14ac:dyDescent="0.3">
      <c r="Y309" s="43"/>
      <c r="Z309" s="43"/>
      <c r="AA309" s="43"/>
      <c r="AB309" s="43"/>
    </row>
    <row r="310" spans="25:28" x14ac:dyDescent="0.3">
      <c r="Y310" s="43"/>
      <c r="Z310" s="43"/>
      <c r="AA310" s="43"/>
      <c r="AB310" s="43"/>
    </row>
    <row r="311" spans="25:28" x14ac:dyDescent="0.3">
      <c r="Y311" s="43"/>
      <c r="Z311" s="43"/>
      <c r="AA311" s="43"/>
      <c r="AB311" s="43"/>
    </row>
    <row r="312" spans="25:28" x14ac:dyDescent="0.3">
      <c r="Y312" s="43"/>
      <c r="Z312" s="43"/>
      <c r="AA312" s="43"/>
      <c r="AB312" s="43"/>
    </row>
    <row r="313" spans="25:28" x14ac:dyDescent="0.3">
      <c r="Y313" s="43"/>
      <c r="Z313" s="43"/>
      <c r="AA313" s="43"/>
      <c r="AB313" s="43"/>
    </row>
    <row r="314" spans="25:28" x14ac:dyDescent="0.3">
      <c r="Y314" s="43"/>
      <c r="Z314" s="43"/>
      <c r="AA314" s="43"/>
      <c r="AB314" s="43"/>
    </row>
    <row r="315" spans="25:28" x14ac:dyDescent="0.3">
      <c r="Y315" s="43"/>
      <c r="Z315" s="43"/>
      <c r="AA315" s="43"/>
      <c r="AB315" s="43"/>
    </row>
    <row r="316" spans="25:28" x14ac:dyDescent="0.3">
      <c r="Y316" s="43"/>
      <c r="Z316" s="43"/>
      <c r="AA316" s="43"/>
      <c r="AB316" s="43"/>
    </row>
    <row r="326" spans="19:22" x14ac:dyDescent="0.3">
      <c r="S326" s="43"/>
      <c r="T326" s="43"/>
      <c r="U326" s="43"/>
      <c r="V326" s="43"/>
    </row>
    <row r="327" spans="19:22" x14ac:dyDescent="0.3">
      <c r="S327" s="43"/>
      <c r="T327" s="43"/>
      <c r="U327" s="43"/>
      <c r="V327" s="43"/>
    </row>
    <row r="328" spans="19:22" x14ac:dyDescent="0.3">
      <c r="S328" s="43"/>
      <c r="T328" s="43"/>
      <c r="U328" s="43"/>
      <c r="V328" s="43"/>
    </row>
    <row r="329" spans="19:22" x14ac:dyDescent="0.3">
      <c r="S329" s="43"/>
      <c r="T329" s="43"/>
      <c r="U329" s="43"/>
      <c r="V329" s="43"/>
    </row>
    <row r="330" spans="19:22" x14ac:dyDescent="0.3">
      <c r="S330" s="43"/>
      <c r="T330" s="43"/>
      <c r="U330" s="43"/>
      <c r="V330" s="43"/>
    </row>
    <row r="331" spans="19:22" x14ac:dyDescent="0.3">
      <c r="S331" s="43"/>
      <c r="T331" s="43"/>
      <c r="U331" s="43"/>
      <c r="V331" s="43"/>
    </row>
    <row r="332" spans="19:22" x14ac:dyDescent="0.3">
      <c r="S332" s="43"/>
      <c r="T332" s="43"/>
      <c r="U332" s="43"/>
      <c r="V332" s="43"/>
    </row>
    <row r="333" spans="19:22" x14ac:dyDescent="0.3">
      <c r="S333" s="43"/>
      <c r="T333" s="43"/>
      <c r="U333" s="43"/>
      <c r="V333" s="43"/>
    </row>
    <row r="334" spans="19:22" x14ac:dyDescent="0.3">
      <c r="S334" s="43"/>
      <c r="T334" s="43"/>
      <c r="U334" s="43"/>
      <c r="V334" s="43"/>
    </row>
    <row r="335" spans="19:22" x14ac:dyDescent="0.3">
      <c r="S335" s="43"/>
      <c r="T335" s="43"/>
      <c r="U335" s="43"/>
      <c r="V335" s="43"/>
    </row>
    <row r="336" spans="19:22" x14ac:dyDescent="0.3">
      <c r="S336" s="43"/>
      <c r="T336" s="43"/>
      <c r="U336" s="43"/>
      <c r="V336" s="43"/>
    </row>
    <row r="337" spans="19:22" x14ac:dyDescent="0.3">
      <c r="S337" s="43"/>
      <c r="T337" s="43"/>
      <c r="U337" s="43"/>
      <c r="V337" s="43"/>
    </row>
    <row r="338" spans="19:22" x14ac:dyDescent="0.3">
      <c r="S338" s="43"/>
      <c r="T338" s="43"/>
      <c r="U338" s="43"/>
      <c r="V338" s="43"/>
    </row>
    <row r="339" spans="19:22" x14ac:dyDescent="0.3">
      <c r="S339" s="43"/>
      <c r="T339" s="43"/>
      <c r="U339" s="43"/>
      <c r="V339" s="43"/>
    </row>
    <row r="340" spans="19:22" x14ac:dyDescent="0.3">
      <c r="S340" s="43"/>
      <c r="T340" s="43"/>
      <c r="U340" s="43"/>
      <c r="V340" s="43"/>
    </row>
    <row r="341" spans="19:22" x14ac:dyDescent="0.3">
      <c r="S341" s="43"/>
      <c r="T341" s="43"/>
      <c r="U341" s="43"/>
      <c r="V341" s="43"/>
    </row>
    <row r="342" spans="19:22" x14ac:dyDescent="0.3">
      <c r="S342" s="43"/>
      <c r="T342" s="43"/>
      <c r="U342" s="43"/>
      <c r="V342" s="43"/>
    </row>
    <row r="343" spans="19:22" x14ac:dyDescent="0.3">
      <c r="S343" s="43"/>
      <c r="T343" s="43"/>
      <c r="U343" s="43"/>
      <c r="V343" s="43"/>
    </row>
    <row r="344" spans="19:22" x14ac:dyDescent="0.3">
      <c r="S344" s="43"/>
      <c r="T344" s="43"/>
      <c r="U344" s="43"/>
      <c r="V344" s="43"/>
    </row>
    <row r="345" spans="19:22" x14ac:dyDescent="0.3">
      <c r="S345" s="43"/>
      <c r="T345" s="43"/>
      <c r="U345" s="43"/>
      <c r="V345" s="43"/>
    </row>
    <row r="346" spans="19:22" x14ac:dyDescent="0.3">
      <c r="S346" s="43"/>
      <c r="T346" s="43"/>
      <c r="U346" s="43"/>
      <c r="V346" s="43"/>
    </row>
    <row r="347" spans="19:22" x14ac:dyDescent="0.3">
      <c r="S347" s="43"/>
      <c r="T347" s="43"/>
      <c r="U347" s="43"/>
      <c r="V347" s="43"/>
    </row>
    <row r="348" spans="19:22" x14ac:dyDescent="0.3">
      <c r="S348" s="43"/>
      <c r="T348" s="43"/>
      <c r="U348" s="43"/>
      <c r="V348" s="43"/>
    </row>
    <row r="349" spans="19:22" x14ac:dyDescent="0.3">
      <c r="S349" s="43"/>
      <c r="T349" s="43"/>
      <c r="U349" s="43"/>
      <c r="V349" s="43"/>
    </row>
    <row r="350" spans="19:22" x14ac:dyDescent="0.3">
      <c r="S350" s="43"/>
      <c r="T350" s="43"/>
      <c r="U350" s="43"/>
      <c r="V350" s="43"/>
    </row>
    <row r="351" spans="19:22" x14ac:dyDescent="0.3">
      <c r="S351" s="43"/>
      <c r="T351" s="43"/>
      <c r="U351" s="43"/>
      <c r="V351" s="43"/>
    </row>
    <row r="352" spans="19:22" x14ac:dyDescent="0.3">
      <c r="S352" s="43"/>
      <c r="T352" s="43"/>
      <c r="U352" s="43"/>
      <c r="V352" s="43"/>
    </row>
    <row r="353" spans="19:22" x14ac:dyDescent="0.3">
      <c r="S353" s="43"/>
      <c r="T353" s="43"/>
      <c r="U353" s="43"/>
      <c r="V353" s="43"/>
    </row>
    <row r="354" spans="19:22" x14ac:dyDescent="0.3">
      <c r="S354" s="43"/>
      <c r="T354" s="43"/>
      <c r="U354" s="43"/>
      <c r="V354" s="43"/>
    </row>
    <row r="355" spans="19:22" x14ac:dyDescent="0.3">
      <c r="S355" s="43"/>
      <c r="T355" s="43"/>
      <c r="U355" s="43"/>
      <c r="V355" s="43"/>
    </row>
    <row r="356" spans="19:22" x14ac:dyDescent="0.3">
      <c r="S356" s="43"/>
      <c r="T356" s="43"/>
      <c r="U356" s="43"/>
      <c r="V356" s="43"/>
    </row>
    <row r="357" spans="19:22" x14ac:dyDescent="0.3">
      <c r="S357" s="43"/>
      <c r="T357" s="43"/>
      <c r="U357" s="43"/>
      <c r="V357" s="43"/>
    </row>
    <row r="358" spans="19:22" x14ac:dyDescent="0.3">
      <c r="S358" s="43"/>
      <c r="T358" s="43"/>
      <c r="U358" s="43"/>
      <c r="V358" s="43"/>
    </row>
    <row r="359" spans="19:22" x14ac:dyDescent="0.3">
      <c r="S359" s="43"/>
      <c r="T359" s="43"/>
      <c r="U359" s="43"/>
      <c r="V359" s="43"/>
    </row>
    <row r="360" spans="19:22" x14ac:dyDescent="0.3">
      <c r="S360" s="43"/>
      <c r="T360" s="43"/>
      <c r="U360" s="43"/>
      <c r="V360" s="43"/>
    </row>
    <row r="361" spans="19:22" x14ac:dyDescent="0.3">
      <c r="S361" s="43"/>
      <c r="T361" s="43"/>
      <c r="U361" s="43"/>
      <c r="V361" s="43"/>
    </row>
    <row r="362" spans="19:22" x14ac:dyDescent="0.3">
      <c r="S362" s="43"/>
      <c r="T362" s="43"/>
      <c r="U362" s="43"/>
      <c r="V362" s="43"/>
    </row>
    <row r="363" spans="19:22" x14ac:dyDescent="0.3">
      <c r="S363" s="43"/>
      <c r="T363" s="43"/>
      <c r="U363" s="43"/>
      <c r="V363" s="43"/>
    </row>
    <row r="364" spans="19:22" x14ac:dyDescent="0.3">
      <c r="S364" s="43"/>
      <c r="T364" s="43"/>
      <c r="U364" s="43"/>
      <c r="V364" s="43"/>
    </row>
    <row r="365" spans="19:22" x14ac:dyDescent="0.3">
      <c r="S365" s="43"/>
      <c r="T365" s="43"/>
      <c r="U365" s="43"/>
      <c r="V365" s="43"/>
    </row>
    <row r="366" spans="19:22" x14ac:dyDescent="0.3">
      <c r="S366" s="43"/>
      <c r="T366" s="43"/>
      <c r="U366" s="43"/>
      <c r="V366" s="43"/>
    </row>
    <row r="367" spans="19:22" x14ac:dyDescent="0.3">
      <c r="S367" s="43"/>
      <c r="T367" s="43"/>
      <c r="U367" s="43"/>
      <c r="V367" s="43"/>
    </row>
    <row r="368" spans="19:22" x14ac:dyDescent="0.3">
      <c r="S368" s="43"/>
      <c r="U368" s="43"/>
      <c r="V368" s="43"/>
    </row>
  </sheetData>
  <mergeCells count="8">
    <mergeCell ref="K33:O33"/>
    <mergeCell ref="K42:Q42"/>
    <mergeCell ref="B50:D50"/>
    <mergeCell ref="C5:D5"/>
    <mergeCell ref="C9:D9"/>
    <mergeCell ref="C12:D12"/>
    <mergeCell ref="C17:D17"/>
    <mergeCell ref="K24:O24"/>
  </mergeCells>
  <pageMargins left="0.70833333333333304" right="0.70833333333333304" top="0.55138888888888904" bottom="0.35416666666666702" header="0.51180555555555496" footer="0.51180555555555496"/>
  <pageSetup paperSize="9" firstPageNumber="0" fitToHeight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I23"/>
  <sheetViews>
    <sheetView zoomScaleNormal="100" workbookViewId="0">
      <selection activeCell="D28" sqref="D28"/>
    </sheetView>
  </sheetViews>
  <sheetFormatPr defaultColWidth="8.6640625" defaultRowHeight="14.4" x14ac:dyDescent="0.3"/>
  <cols>
    <col min="4" max="4" width="47.77734375" customWidth="1"/>
    <col min="5" max="5" width="12.109375" customWidth="1"/>
    <col min="6" max="6" width="11.5546875" customWidth="1"/>
    <col min="7" max="7" width="11" customWidth="1"/>
    <col min="8" max="8" width="11.5546875" customWidth="1"/>
    <col min="9" max="9" width="12.109375" customWidth="1"/>
  </cols>
  <sheetData>
    <row r="3" spans="4:9" x14ac:dyDescent="0.3">
      <c r="E3" t="s">
        <v>98</v>
      </c>
      <c r="F3" t="s">
        <v>99</v>
      </c>
      <c r="G3" t="s">
        <v>100</v>
      </c>
      <c r="H3" t="s">
        <v>33</v>
      </c>
      <c r="I3" t="s">
        <v>101</v>
      </c>
    </row>
    <row r="4" spans="4:9" x14ac:dyDescent="0.3">
      <c r="D4" t="s">
        <v>36</v>
      </c>
      <c r="E4" t="s">
        <v>37</v>
      </c>
      <c r="F4" t="s">
        <v>37</v>
      </c>
      <c r="G4" t="s">
        <v>37</v>
      </c>
      <c r="H4" t="s">
        <v>37</v>
      </c>
      <c r="I4" t="s">
        <v>37</v>
      </c>
    </row>
    <row r="5" spans="4:9" x14ac:dyDescent="0.3">
      <c r="D5" t="s">
        <v>40</v>
      </c>
      <c r="E5" t="s">
        <v>102</v>
      </c>
      <c r="F5" t="s">
        <v>103</v>
      </c>
      <c r="G5" t="s">
        <v>104</v>
      </c>
      <c r="H5" t="s">
        <v>105</v>
      </c>
      <c r="I5" t="s">
        <v>106</v>
      </c>
    </row>
    <row r="6" spans="4:9" x14ac:dyDescent="0.3">
      <c r="D6" t="s">
        <v>42</v>
      </c>
      <c r="E6">
        <v>32</v>
      </c>
      <c r="F6">
        <v>46</v>
      </c>
      <c r="G6">
        <v>68</v>
      </c>
      <c r="H6">
        <v>100</v>
      </c>
      <c r="I6">
        <v>150</v>
      </c>
    </row>
    <row r="7" spans="4:9" x14ac:dyDescent="0.3">
      <c r="D7" t="s">
        <v>45</v>
      </c>
      <c r="E7">
        <v>104</v>
      </c>
      <c r="F7">
        <v>104</v>
      </c>
      <c r="G7">
        <v>107</v>
      </c>
      <c r="H7">
        <v>95</v>
      </c>
      <c r="I7">
        <v>95</v>
      </c>
    </row>
    <row r="8" spans="4:9" x14ac:dyDescent="0.3">
      <c r="D8" t="s">
        <v>48</v>
      </c>
      <c r="E8" t="s">
        <v>107</v>
      </c>
      <c r="F8" t="s">
        <v>108</v>
      </c>
      <c r="G8" t="s">
        <v>109</v>
      </c>
      <c r="H8" t="s">
        <v>110</v>
      </c>
      <c r="I8" t="s">
        <v>111</v>
      </c>
    </row>
    <row r="9" spans="4:9" x14ac:dyDescent="0.3">
      <c r="D9" t="s">
        <v>112</v>
      </c>
      <c r="E9">
        <v>-24</v>
      </c>
      <c r="F9">
        <v>-24</v>
      </c>
      <c r="G9">
        <v>-18</v>
      </c>
      <c r="H9">
        <v>-18</v>
      </c>
      <c r="I9">
        <v>-18</v>
      </c>
    </row>
    <row r="10" spans="4:9" x14ac:dyDescent="0.3">
      <c r="D10" t="s">
        <v>113</v>
      </c>
      <c r="E10">
        <v>212</v>
      </c>
      <c r="F10">
        <v>226</v>
      </c>
      <c r="G10">
        <v>234</v>
      </c>
      <c r="H10">
        <v>242</v>
      </c>
      <c r="I10">
        <v>258</v>
      </c>
    </row>
    <row r="11" spans="4:9" x14ac:dyDescent="0.3">
      <c r="D11" t="s">
        <v>114</v>
      </c>
      <c r="E11">
        <v>15</v>
      </c>
      <c r="F11">
        <v>15</v>
      </c>
      <c r="G11">
        <v>20</v>
      </c>
      <c r="H11" t="s">
        <v>37</v>
      </c>
      <c r="I11" t="s">
        <v>37</v>
      </c>
    </row>
    <row r="12" spans="4:9" x14ac:dyDescent="0.3">
      <c r="D12" t="s">
        <v>115</v>
      </c>
      <c r="E12" t="s">
        <v>37</v>
      </c>
      <c r="F12" t="s">
        <v>37</v>
      </c>
      <c r="G12" t="s">
        <v>37</v>
      </c>
      <c r="H12">
        <v>10</v>
      </c>
      <c r="I12">
        <v>5</v>
      </c>
    </row>
    <row r="13" spans="4:9" x14ac:dyDescent="0.3">
      <c r="D13" t="s">
        <v>116</v>
      </c>
      <c r="E13" t="s">
        <v>117</v>
      </c>
      <c r="F13" t="s">
        <v>117</v>
      </c>
      <c r="G13" t="s">
        <v>117</v>
      </c>
      <c r="H13" t="s">
        <v>117</v>
      </c>
      <c r="I13" t="s">
        <v>117</v>
      </c>
    </row>
    <row r="16" spans="4:9" x14ac:dyDescent="0.3">
      <c r="E16" t="s">
        <v>33</v>
      </c>
    </row>
    <row r="17" spans="4:6" x14ac:dyDescent="0.3">
      <c r="D17" t="s">
        <v>36</v>
      </c>
      <c r="E17" t="s">
        <v>37</v>
      </c>
    </row>
    <row r="18" spans="4:6" x14ac:dyDescent="0.3">
      <c r="D18" t="s">
        <v>40</v>
      </c>
      <c r="E18">
        <v>11.1</v>
      </c>
    </row>
    <row r="19" spans="4:6" x14ac:dyDescent="0.3">
      <c r="D19" t="s">
        <v>42</v>
      </c>
      <c r="E19">
        <v>100</v>
      </c>
    </row>
    <row r="20" spans="4:6" x14ac:dyDescent="0.3">
      <c r="D20" t="s">
        <v>45</v>
      </c>
      <c r="E20">
        <v>95</v>
      </c>
    </row>
    <row r="21" spans="4:6" x14ac:dyDescent="0.3">
      <c r="D21" t="s">
        <v>48</v>
      </c>
      <c r="E21">
        <v>0.88400000000000001</v>
      </c>
      <c r="F21" t="s">
        <v>118</v>
      </c>
    </row>
    <row r="23" spans="4:6" x14ac:dyDescent="0.3">
      <c r="F23">
        <f>1/1000*1000000</f>
        <v>1000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3"/>
  <sheetViews>
    <sheetView zoomScaleNormal="100" workbookViewId="0">
      <selection activeCell="M2" sqref="M2"/>
    </sheetView>
  </sheetViews>
  <sheetFormatPr defaultColWidth="8.6640625" defaultRowHeight="14.4" x14ac:dyDescent="0.3"/>
  <sheetData>
    <row r="1" spans="1:15" x14ac:dyDescent="0.3">
      <c r="B1" s="84">
        <v>1</v>
      </c>
      <c r="C1" s="84">
        <v>2</v>
      </c>
      <c r="D1" s="84">
        <v>3</v>
      </c>
      <c r="E1" s="84">
        <v>4</v>
      </c>
      <c r="F1" s="84">
        <v>5</v>
      </c>
      <c r="G1">
        <v>6</v>
      </c>
      <c r="H1">
        <v>7</v>
      </c>
      <c r="I1">
        <v>8</v>
      </c>
      <c r="J1">
        <v>9</v>
      </c>
      <c r="K1" s="84">
        <v>10</v>
      </c>
      <c r="L1" s="84">
        <v>11</v>
      </c>
      <c r="M1" s="84">
        <v>12</v>
      </c>
      <c r="N1" s="84">
        <v>13</v>
      </c>
      <c r="O1" s="84">
        <v>14</v>
      </c>
    </row>
    <row r="2" spans="1:15" ht="18" x14ac:dyDescent="0.3">
      <c r="A2" s="85" t="s">
        <v>119</v>
      </c>
      <c r="B2">
        <v>107</v>
      </c>
      <c r="C2">
        <v>107</v>
      </c>
      <c r="D2">
        <v>23</v>
      </c>
      <c r="E2">
        <v>68</v>
      </c>
      <c r="F2">
        <v>68</v>
      </c>
      <c r="G2">
        <v>88</v>
      </c>
      <c r="H2">
        <v>65</v>
      </c>
      <c r="I2">
        <v>43</v>
      </c>
      <c r="J2">
        <v>20</v>
      </c>
      <c r="K2">
        <v>152</v>
      </c>
      <c r="L2">
        <v>20</v>
      </c>
      <c r="M2">
        <v>33</v>
      </c>
      <c r="N2">
        <v>35</v>
      </c>
      <c r="O2">
        <v>93</v>
      </c>
    </row>
    <row r="3" spans="1:15" ht="18" x14ac:dyDescent="0.3">
      <c r="A3" s="86" t="s">
        <v>120</v>
      </c>
      <c r="B3">
        <v>160</v>
      </c>
      <c r="C3">
        <v>160</v>
      </c>
      <c r="D3">
        <v>45</v>
      </c>
      <c r="E3">
        <v>90</v>
      </c>
      <c r="F3">
        <v>90</v>
      </c>
      <c r="G3">
        <v>119</v>
      </c>
      <c r="H3">
        <v>89</v>
      </c>
      <c r="I3">
        <v>74</v>
      </c>
      <c r="J3">
        <v>44</v>
      </c>
      <c r="K3">
        <v>205</v>
      </c>
      <c r="L3">
        <v>43</v>
      </c>
      <c r="M3">
        <v>61</v>
      </c>
      <c r="N3">
        <v>50</v>
      </c>
      <c r="O3">
        <v>134</v>
      </c>
    </row>
    <row r="4" spans="1:15" ht="18" x14ac:dyDescent="0.3">
      <c r="A4" s="86" t="s">
        <v>121</v>
      </c>
      <c r="B4">
        <v>209</v>
      </c>
      <c r="C4">
        <v>209</v>
      </c>
      <c r="D4">
        <v>66</v>
      </c>
      <c r="E4">
        <v>111</v>
      </c>
      <c r="F4">
        <v>111</v>
      </c>
      <c r="G4">
        <v>150</v>
      </c>
      <c r="H4">
        <v>117</v>
      </c>
      <c r="I4">
        <v>105</v>
      </c>
      <c r="J4">
        <v>72</v>
      </c>
      <c r="K4">
        <v>254</v>
      </c>
      <c r="L4">
        <v>68</v>
      </c>
      <c r="M4">
        <v>96</v>
      </c>
      <c r="N4">
        <v>55</v>
      </c>
      <c r="O4">
        <v>168</v>
      </c>
    </row>
    <row r="5" spans="1:15" ht="18" x14ac:dyDescent="0.3">
      <c r="A5" s="86" t="s">
        <v>122</v>
      </c>
      <c r="B5">
        <v>250</v>
      </c>
      <c r="C5">
        <v>250</v>
      </c>
      <c r="D5">
        <v>90</v>
      </c>
      <c r="E5">
        <v>135</v>
      </c>
      <c r="F5">
        <v>135</v>
      </c>
      <c r="G5">
        <v>172</v>
      </c>
      <c r="H5">
        <v>145</v>
      </c>
      <c r="I5">
        <v>127</v>
      </c>
      <c r="J5">
        <v>100</v>
      </c>
      <c r="K5">
        <v>295</v>
      </c>
      <c r="L5">
        <v>92</v>
      </c>
      <c r="M5">
        <v>131</v>
      </c>
      <c r="N5">
        <v>69</v>
      </c>
      <c r="O5">
        <v>212</v>
      </c>
    </row>
    <row r="6" spans="1:15" ht="18" x14ac:dyDescent="0.3">
      <c r="A6" s="86" t="s">
        <v>123</v>
      </c>
      <c r="B6">
        <v>266</v>
      </c>
      <c r="C6">
        <v>266</v>
      </c>
      <c r="D6">
        <v>101</v>
      </c>
      <c r="E6">
        <v>146</v>
      </c>
      <c r="F6">
        <v>146</v>
      </c>
      <c r="G6">
        <v>182</v>
      </c>
      <c r="H6">
        <v>168</v>
      </c>
      <c r="I6">
        <v>137</v>
      </c>
      <c r="J6">
        <v>123</v>
      </c>
      <c r="K6">
        <v>311</v>
      </c>
      <c r="L6">
        <v>108</v>
      </c>
      <c r="M6">
        <v>160</v>
      </c>
      <c r="N6">
        <v>73</v>
      </c>
      <c r="O6">
        <v>237</v>
      </c>
    </row>
    <row r="7" spans="1:15" ht="18" x14ac:dyDescent="0.3">
      <c r="A7" s="86" t="s">
        <v>124</v>
      </c>
      <c r="B7">
        <v>221</v>
      </c>
      <c r="C7">
        <v>221</v>
      </c>
      <c r="D7">
        <v>98</v>
      </c>
      <c r="E7">
        <v>143</v>
      </c>
      <c r="F7">
        <v>143</v>
      </c>
      <c r="G7">
        <v>160</v>
      </c>
      <c r="H7">
        <v>166</v>
      </c>
      <c r="I7">
        <v>115</v>
      </c>
      <c r="J7">
        <v>121</v>
      </c>
      <c r="K7">
        <v>266</v>
      </c>
      <c r="L7">
        <v>99</v>
      </c>
      <c r="M7">
        <v>163</v>
      </c>
      <c r="N7">
        <v>68</v>
      </c>
      <c r="O7">
        <v>230</v>
      </c>
    </row>
    <row r="8" spans="1:15" ht="18" x14ac:dyDescent="0.3">
      <c r="A8" s="86" t="s">
        <v>125</v>
      </c>
      <c r="B8">
        <v>59</v>
      </c>
      <c r="C8">
        <v>59</v>
      </c>
      <c r="D8">
        <v>19</v>
      </c>
      <c r="E8">
        <v>64</v>
      </c>
      <c r="F8">
        <v>64</v>
      </c>
      <c r="G8">
        <v>66</v>
      </c>
      <c r="H8">
        <v>80</v>
      </c>
      <c r="I8">
        <v>21</v>
      </c>
      <c r="J8">
        <v>35</v>
      </c>
      <c r="K8">
        <v>104</v>
      </c>
      <c r="L8">
        <v>19</v>
      </c>
      <c r="M8">
        <v>59</v>
      </c>
      <c r="N8">
        <v>15</v>
      </c>
      <c r="O8">
        <v>89</v>
      </c>
    </row>
    <row r="9" spans="1:15" ht="18" x14ac:dyDescent="0.3">
      <c r="A9" s="86" t="s">
        <v>126</v>
      </c>
      <c r="B9">
        <v>151</v>
      </c>
      <c r="C9">
        <v>151</v>
      </c>
      <c r="D9">
        <v>55</v>
      </c>
      <c r="E9">
        <v>100</v>
      </c>
      <c r="F9">
        <v>100</v>
      </c>
      <c r="G9">
        <v>115</v>
      </c>
      <c r="H9">
        <v>110</v>
      </c>
      <c r="I9">
        <v>70</v>
      </c>
      <c r="J9">
        <v>65</v>
      </c>
      <c r="K9">
        <v>196</v>
      </c>
      <c r="L9">
        <v>58</v>
      </c>
      <c r="M9">
        <v>96</v>
      </c>
      <c r="N9">
        <v>40</v>
      </c>
      <c r="O9">
        <v>144</v>
      </c>
    </row>
    <row r="10" spans="1:15" ht="18" x14ac:dyDescent="0.3">
      <c r="A10" s="86" t="s">
        <v>127</v>
      </c>
      <c r="B10">
        <v>205</v>
      </c>
      <c r="C10">
        <v>205</v>
      </c>
      <c r="D10">
        <v>91</v>
      </c>
      <c r="E10">
        <v>126</v>
      </c>
      <c r="F10">
        <v>126</v>
      </c>
      <c r="G10">
        <v>147</v>
      </c>
      <c r="H10">
        <v>146</v>
      </c>
      <c r="I10">
        <v>102</v>
      </c>
      <c r="J10">
        <v>101</v>
      </c>
      <c r="K10">
        <v>250</v>
      </c>
      <c r="L10">
        <v>87</v>
      </c>
      <c r="M10">
        <v>142</v>
      </c>
      <c r="N10">
        <v>60</v>
      </c>
      <c r="O10">
        <v>198</v>
      </c>
    </row>
    <row r="11" spans="1:15" ht="18" x14ac:dyDescent="0.3">
      <c r="A11" s="86" t="s">
        <v>128</v>
      </c>
      <c r="B11">
        <v>222</v>
      </c>
      <c r="C11">
        <v>222</v>
      </c>
      <c r="D11">
        <v>102</v>
      </c>
      <c r="E11">
        <v>147</v>
      </c>
      <c r="F11">
        <v>147</v>
      </c>
      <c r="G11">
        <v>159</v>
      </c>
      <c r="H11">
        <v>161</v>
      </c>
      <c r="I11">
        <v>114</v>
      </c>
      <c r="J11">
        <v>116</v>
      </c>
      <c r="K11">
        <v>267</v>
      </c>
      <c r="L11">
        <v>98</v>
      </c>
      <c r="M11">
        <v>161</v>
      </c>
      <c r="N11">
        <v>66</v>
      </c>
      <c r="O11">
        <v>220</v>
      </c>
    </row>
    <row r="12" spans="1:15" ht="18" x14ac:dyDescent="0.3">
      <c r="A12" s="86" t="s">
        <v>129</v>
      </c>
      <c r="B12">
        <v>214</v>
      </c>
      <c r="C12">
        <v>214</v>
      </c>
      <c r="D12">
        <v>95</v>
      </c>
      <c r="E12">
        <v>140</v>
      </c>
      <c r="F12">
        <v>140</v>
      </c>
      <c r="G12">
        <v>158</v>
      </c>
      <c r="H12">
        <v>162</v>
      </c>
      <c r="I12">
        <v>113</v>
      </c>
      <c r="J12">
        <v>117</v>
      </c>
      <c r="K12">
        <v>259</v>
      </c>
      <c r="L12">
        <v>96</v>
      </c>
      <c r="M12">
        <v>159</v>
      </c>
      <c r="N12">
        <v>66</v>
      </c>
      <c r="O12">
        <v>220</v>
      </c>
    </row>
    <row r="13" spans="1:15" ht="18" x14ac:dyDescent="0.3">
      <c r="A13" s="86" t="s">
        <v>130</v>
      </c>
      <c r="B13">
        <v>201</v>
      </c>
      <c r="C13">
        <v>201</v>
      </c>
      <c r="D13">
        <v>80</v>
      </c>
      <c r="E13">
        <v>125</v>
      </c>
      <c r="F13">
        <v>125</v>
      </c>
      <c r="G13">
        <v>150</v>
      </c>
      <c r="H13">
        <v>150</v>
      </c>
      <c r="I13">
        <v>115</v>
      </c>
      <c r="J13">
        <v>105</v>
      </c>
      <c r="K13">
        <v>246</v>
      </c>
      <c r="L13">
        <v>86</v>
      </c>
      <c r="M13">
        <v>141</v>
      </c>
      <c r="N13">
        <v>60</v>
      </c>
      <c r="O13">
        <v>198</v>
      </c>
    </row>
    <row r="14" spans="1:15" ht="18" x14ac:dyDescent="0.3">
      <c r="A14" s="86" t="s">
        <v>131</v>
      </c>
      <c r="B14">
        <v>148</v>
      </c>
      <c r="C14">
        <v>148</v>
      </c>
      <c r="D14">
        <v>48</v>
      </c>
      <c r="E14">
        <v>93</v>
      </c>
      <c r="F14">
        <v>93</v>
      </c>
      <c r="G14">
        <v>115</v>
      </c>
      <c r="H14">
        <v>115</v>
      </c>
      <c r="I14">
        <v>73</v>
      </c>
      <c r="J14">
        <v>70</v>
      </c>
      <c r="K14">
        <v>193</v>
      </c>
      <c r="L14">
        <v>57</v>
      </c>
      <c r="M14">
        <v>96</v>
      </c>
      <c r="N14">
        <v>40</v>
      </c>
      <c r="O14">
        <v>144</v>
      </c>
    </row>
    <row r="16" spans="1:15" ht="31.2" x14ac:dyDescent="0.3">
      <c r="A16" s="85" t="s">
        <v>132</v>
      </c>
      <c r="B16">
        <v>21.5</v>
      </c>
      <c r="C16">
        <v>21.5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25</v>
      </c>
      <c r="J16">
        <v>20</v>
      </c>
      <c r="K16">
        <v>21.5</v>
      </c>
      <c r="L16">
        <v>20</v>
      </c>
      <c r="M16">
        <v>20</v>
      </c>
      <c r="N16">
        <v>21</v>
      </c>
      <c r="O16">
        <v>22</v>
      </c>
    </row>
    <row r="17" spans="1:15" ht="15.6" x14ac:dyDescent="0.3">
      <c r="A17" s="86" t="s">
        <v>133</v>
      </c>
      <c r="B17">
        <v>105</v>
      </c>
      <c r="C17">
        <v>105</v>
      </c>
      <c r="D17">
        <v>149</v>
      </c>
      <c r="E17">
        <v>149</v>
      </c>
      <c r="F17">
        <v>149</v>
      </c>
      <c r="G17">
        <v>40</v>
      </c>
      <c r="H17">
        <v>100</v>
      </c>
      <c r="I17">
        <v>25</v>
      </c>
      <c r="J17">
        <v>120</v>
      </c>
      <c r="K17">
        <v>105</v>
      </c>
      <c r="L17">
        <v>35.1</v>
      </c>
      <c r="M17">
        <v>147</v>
      </c>
      <c r="N17">
        <v>140</v>
      </c>
      <c r="O17">
        <v>146</v>
      </c>
    </row>
    <row r="18" spans="1:15" ht="18" x14ac:dyDescent="0.3">
      <c r="A18" s="86" t="s">
        <v>134</v>
      </c>
      <c r="B18">
        <v>1.2</v>
      </c>
      <c r="C18">
        <v>1.2</v>
      </c>
      <c r="D18">
        <v>3</v>
      </c>
      <c r="E18">
        <v>3</v>
      </c>
      <c r="F18">
        <v>3</v>
      </c>
      <c r="G18">
        <v>1.5</v>
      </c>
      <c r="H18">
        <v>3</v>
      </c>
      <c r="I18">
        <v>1.5</v>
      </c>
      <c r="J18">
        <v>3</v>
      </c>
      <c r="K18">
        <v>1.2</v>
      </c>
      <c r="L18">
        <v>2</v>
      </c>
      <c r="M18">
        <v>3</v>
      </c>
      <c r="N18">
        <v>3</v>
      </c>
      <c r="O18">
        <v>2</v>
      </c>
    </row>
    <row r="19" spans="1:15" ht="18" x14ac:dyDescent="0.3">
      <c r="A19" s="86" t="s">
        <v>135</v>
      </c>
      <c r="B19">
        <v>0.5</v>
      </c>
      <c r="C19">
        <v>0.5</v>
      </c>
      <c r="D19">
        <v>0.75</v>
      </c>
      <c r="E19">
        <v>0.75</v>
      </c>
      <c r="F19">
        <v>0.75</v>
      </c>
      <c r="G19">
        <v>0.6</v>
      </c>
      <c r="H19">
        <v>0.8</v>
      </c>
      <c r="I19">
        <v>0.5</v>
      </c>
      <c r="J19">
        <v>0.8</v>
      </c>
      <c r="K19">
        <v>0.5</v>
      </c>
      <c r="L19">
        <v>0.5</v>
      </c>
      <c r="M19">
        <v>0.5</v>
      </c>
      <c r="N19">
        <v>1</v>
      </c>
      <c r="O19">
        <v>0.5</v>
      </c>
    </row>
    <row r="21" spans="1:15" x14ac:dyDescent="0.3">
      <c r="A21" t="s">
        <v>136</v>
      </c>
      <c r="B21">
        <v>0.16</v>
      </c>
      <c r="C21">
        <v>0.16</v>
      </c>
    </row>
    <row r="22" spans="1:15" x14ac:dyDescent="0.3">
      <c r="A22" t="s">
        <v>137</v>
      </c>
      <c r="B22">
        <v>7.0000000000000007E-2</v>
      </c>
      <c r="C22">
        <v>7.0000000000000007E-2</v>
      </c>
    </row>
    <row r="23" spans="1:15" x14ac:dyDescent="0.3">
      <c r="A23" t="s">
        <v>138</v>
      </c>
      <c r="B23" s="81">
        <v>2.28571428571429</v>
      </c>
      <c r="C23">
        <v>2.28571428571429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Patim</vt:lpstr>
      <vt:lpstr>Oil</vt:lpstr>
      <vt:lpstr>Sheet1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dc:description/>
  <cp:lastModifiedBy>Carlos Fernandes</cp:lastModifiedBy>
  <cp:revision>15</cp:revision>
  <dcterms:created xsi:type="dcterms:W3CDTF">2014-04-05T09:48:07Z</dcterms:created>
  <dcterms:modified xsi:type="dcterms:W3CDTF">2022-05-30T17:29:23Z</dcterms:modified>
  <dc:language>en-US</dc:language>
</cp:coreProperties>
</file>