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ocuments\GitHub\Senior-Design\Wing Tail Drag Buildup\"/>
    </mc:Choice>
  </mc:AlternateContent>
  <xr:revisionPtr revIDLastSave="0" documentId="13_ncr:1_{02E71467-A482-45DE-B487-F4277777C2CC}" xr6:coauthVersionLast="47" xr6:coauthVersionMax="47" xr10:uidLastSave="{00000000-0000-0000-0000-000000000000}"/>
  <bookViews>
    <workbookView xWindow="1500" yWindow="1470" windowWidth="28455" windowHeight="16620" xr2:uid="{82617F0D-A785-403D-9CC0-085A46D2A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F13" i="1"/>
  <c r="B14" i="1"/>
  <c r="B13" i="1"/>
  <c r="B21" i="1"/>
  <c r="B23" i="1" s="1"/>
  <c r="B24" i="1" s="1"/>
  <c r="P5" i="1"/>
  <c r="Q5" i="1"/>
  <c r="R5" i="1"/>
  <c r="O5" i="1"/>
  <c r="P6" i="1"/>
  <c r="Q6" i="1"/>
  <c r="R6" i="1"/>
  <c r="O6" i="1"/>
  <c r="C21" i="1"/>
  <c r="C23" i="1" s="1"/>
  <c r="C24" i="1" s="1"/>
  <c r="D21" i="1"/>
  <c r="D23" i="1" s="1"/>
  <c r="D24" i="1" s="1"/>
  <c r="E21" i="1"/>
  <c r="E23" i="1" s="1"/>
  <c r="E24" i="1" s="1"/>
  <c r="F21" i="1"/>
  <c r="F23" i="1" s="1"/>
  <c r="F24" i="1" s="1"/>
  <c r="G21" i="1"/>
  <c r="G23" i="1" s="1"/>
  <c r="G24" i="1" s="1"/>
  <c r="H21" i="1"/>
  <c r="H23" i="1" s="1"/>
  <c r="H24" i="1" s="1"/>
  <c r="I21" i="1"/>
  <c r="I23" i="1" s="1"/>
  <c r="I24" i="1" s="1"/>
  <c r="J21" i="1"/>
  <c r="J23" i="1" s="1"/>
  <c r="J24" i="1" s="1"/>
  <c r="K21" i="1"/>
  <c r="K23" i="1" s="1"/>
  <c r="K24" i="1" s="1"/>
  <c r="L21" i="1"/>
  <c r="L23" i="1" s="1"/>
  <c r="L24" i="1" s="1"/>
  <c r="M21" i="1"/>
  <c r="M23" i="1" s="1"/>
  <c r="M24" i="1" s="1"/>
  <c r="N21" i="1"/>
  <c r="N23" i="1" s="1"/>
  <c r="N24" i="1" s="1"/>
  <c r="O21" i="1"/>
  <c r="O23" i="1" s="1"/>
  <c r="O24" i="1" s="1"/>
  <c r="P21" i="1"/>
  <c r="P23" i="1" s="1"/>
  <c r="P24" i="1" s="1"/>
  <c r="Q21" i="1"/>
  <c r="Q23" i="1" s="1"/>
  <c r="Q24" i="1" s="1"/>
  <c r="R21" i="1"/>
  <c r="R23" i="1" s="1"/>
  <c r="R24" i="1" s="1"/>
  <c r="S21" i="1"/>
  <c r="S23" i="1" s="1"/>
  <c r="S24" i="1" s="1"/>
  <c r="T21" i="1"/>
  <c r="T23" i="1" s="1"/>
  <c r="T24" i="1" s="1"/>
  <c r="U21" i="1"/>
  <c r="U23" i="1" s="1"/>
  <c r="U24" i="1" s="1"/>
  <c r="V21" i="1"/>
  <c r="V23" i="1" s="1"/>
  <c r="V24" i="1" s="1"/>
  <c r="C26" i="1" l="1"/>
  <c r="C27" i="1" s="1"/>
  <c r="V26" i="1"/>
  <c r="V27" i="1" s="1"/>
  <c r="S26" i="1"/>
  <c r="S27" i="1" s="1"/>
  <c r="B16" i="1"/>
  <c r="U26" i="1" s="1"/>
  <c r="U27" i="1" s="1"/>
  <c r="H26" i="1" l="1"/>
  <c r="H27" i="1" s="1"/>
  <c r="B26" i="1"/>
  <c r="B27" i="1" s="1"/>
  <c r="J26" i="1"/>
  <c r="J27" i="1" s="1"/>
  <c r="I26" i="1"/>
  <c r="I27" i="1" s="1"/>
  <c r="P26" i="1"/>
  <c r="P27" i="1" s="1"/>
  <c r="F26" i="1"/>
  <c r="F27" i="1" s="1"/>
  <c r="K26" i="1"/>
  <c r="K27" i="1" s="1"/>
  <c r="Q26" i="1"/>
  <c r="Q27" i="1" s="1"/>
  <c r="R26" i="1"/>
  <c r="R27" i="1" s="1"/>
  <c r="M26" i="1"/>
  <c r="M27" i="1" s="1"/>
  <c r="T26" i="1"/>
  <c r="T27" i="1" s="1"/>
  <c r="N26" i="1"/>
  <c r="N27" i="1" s="1"/>
  <c r="E26" i="1"/>
  <c r="E27" i="1" s="1"/>
  <c r="O26" i="1"/>
  <c r="O27" i="1" s="1"/>
  <c r="L26" i="1"/>
  <c r="L27" i="1" s="1"/>
  <c r="G26" i="1"/>
  <c r="G27" i="1" s="1"/>
  <c r="D26" i="1"/>
  <c r="D27" i="1" s="1"/>
</calcChain>
</file>

<file path=xl/sharedStrings.xml><?xml version="1.0" encoding="utf-8"?>
<sst xmlns="http://schemas.openxmlformats.org/spreadsheetml/2006/main" count="75" uniqueCount="63">
  <si>
    <t>Range</t>
  </si>
  <si>
    <t>nm</t>
  </si>
  <si>
    <t xml:space="preserve">Crusie </t>
  </si>
  <si>
    <t>160 Kts</t>
  </si>
  <si>
    <t xml:space="preserve">Weight </t>
  </si>
  <si>
    <t>We</t>
  </si>
  <si>
    <t>Wf</t>
  </si>
  <si>
    <t>Wto</t>
  </si>
  <si>
    <t>lbs</t>
  </si>
  <si>
    <t>Altitude</t>
  </si>
  <si>
    <t>ft</t>
  </si>
  <si>
    <t>rho</t>
  </si>
  <si>
    <t>Area</t>
  </si>
  <si>
    <t>Chord</t>
  </si>
  <si>
    <t>Span</t>
  </si>
  <si>
    <t>slug/ft^3</t>
  </si>
  <si>
    <t>ft^2</t>
  </si>
  <si>
    <t>Speed [kts]</t>
  </si>
  <si>
    <t>Speed [ft/s]</t>
  </si>
  <si>
    <t>Cd_p_wing</t>
  </si>
  <si>
    <t>Cd_p_vt</t>
  </si>
  <si>
    <t>Cd_p_ht</t>
  </si>
  <si>
    <t>Section</t>
  </si>
  <si>
    <t>Re</t>
  </si>
  <si>
    <t>Tip</t>
  </si>
  <si>
    <t>Root</t>
  </si>
  <si>
    <t>MAC</t>
  </si>
  <si>
    <t>mu</t>
  </si>
  <si>
    <t>lb-s/ ft2</t>
  </si>
  <si>
    <t>R</t>
  </si>
  <si>
    <t>Temp</t>
  </si>
  <si>
    <t>Fuse_D</t>
  </si>
  <si>
    <t>Cd_i_wing</t>
  </si>
  <si>
    <t>delta1</t>
  </si>
  <si>
    <t>delta2</t>
  </si>
  <si>
    <t>CL_wing</t>
  </si>
  <si>
    <t>AR</t>
  </si>
  <si>
    <t>Y90</t>
  </si>
  <si>
    <t>Y99</t>
  </si>
  <si>
    <t>Tail Lift Slope NACA 0012</t>
  </si>
  <si>
    <t>tan(0.5phi)</t>
  </si>
  <si>
    <t>K</t>
  </si>
  <si>
    <t>Cl_alph_theo</t>
  </si>
  <si>
    <t>alpha_0</t>
  </si>
  <si>
    <t>CL_Htail</t>
  </si>
  <si>
    <t>Cl_alph(a1)</t>
  </si>
  <si>
    <t>alpha [deg]</t>
  </si>
  <si>
    <t>KA</t>
  </si>
  <si>
    <t>Klamb</t>
  </si>
  <si>
    <t>KH</t>
  </si>
  <si>
    <t>de/da</t>
  </si>
  <si>
    <t>Induced drag parameters NACA 2412</t>
  </si>
  <si>
    <t>St/S</t>
  </si>
  <si>
    <t>Cd_i_ht</t>
  </si>
  <si>
    <t>Tail AR</t>
  </si>
  <si>
    <t>Tail MAC</t>
  </si>
  <si>
    <t>Tail Length</t>
  </si>
  <si>
    <t>del1</t>
  </si>
  <si>
    <t>del2</t>
  </si>
  <si>
    <t>From Iscold</t>
  </si>
  <si>
    <t>Xfoil</t>
  </si>
  <si>
    <t>Weight</t>
  </si>
  <si>
    <t>Iscold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</si>
</sst>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165" fontId="1" fillId="0" borderId="0" xfId="0" applyNumberFormat="1" applyFont="1"/>
    <xf numFmtId="165" fontId="0" fillId="0" borderId="0" xfId="0" applyNumberFormat="1" applyFill="1"/>
    <xf numFmtId="0" fontId="0" fillId="5" borderId="0" xfId="0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6C11-8322-4BAC-B928-8395D64AAF23}">
  <dimension ref="A1:W30"/>
  <sheetViews>
    <sheetView tabSelected="1" topLeftCell="A4" zoomScaleNormal="100" workbookViewId="0">
      <selection activeCell="M36" sqref="M36"/>
    </sheetView>
  </sheetViews>
  <sheetFormatPr defaultRowHeight="15" x14ac:dyDescent="0.25"/>
  <cols>
    <col min="1" max="1" width="11.7109375" customWidth="1"/>
    <col min="2" max="2" width="10.42578125" customWidth="1"/>
    <col min="3" max="22" width="10.5703125" bestFit="1" customWidth="1"/>
  </cols>
  <sheetData>
    <row r="1" spans="1:19" x14ac:dyDescent="0.25">
      <c r="I1" s="3" t="s">
        <v>30</v>
      </c>
      <c r="J1">
        <v>454.47840000000002</v>
      </c>
      <c r="K1" t="s">
        <v>29</v>
      </c>
      <c r="N1" s="7" t="s">
        <v>31</v>
      </c>
      <c r="O1" s="8">
        <v>5</v>
      </c>
      <c r="P1" s="8" t="s">
        <v>10</v>
      </c>
      <c r="Q1" s="8"/>
      <c r="R1" s="8"/>
      <c r="S1" s="9"/>
    </row>
    <row r="2" spans="1:19" x14ac:dyDescent="0.25">
      <c r="I2" s="3" t="s">
        <v>27</v>
      </c>
      <c r="J2" s="4">
        <v>3.4009999999999998E-7</v>
      </c>
      <c r="K2" s="5" t="s">
        <v>28</v>
      </c>
      <c r="L2" s="3"/>
      <c r="N2" s="10"/>
      <c r="O2" s="11"/>
      <c r="P2" s="11"/>
      <c r="Q2" s="11"/>
      <c r="R2" s="11"/>
      <c r="S2" s="12"/>
    </row>
    <row r="3" spans="1:19" x14ac:dyDescent="0.25">
      <c r="A3" t="s">
        <v>0</v>
      </c>
      <c r="B3">
        <v>2000</v>
      </c>
      <c r="C3" t="s">
        <v>1</v>
      </c>
      <c r="D3" t="s">
        <v>2</v>
      </c>
      <c r="E3" t="s">
        <v>3</v>
      </c>
      <c r="F3" t="s">
        <v>9</v>
      </c>
      <c r="G3">
        <v>18000</v>
      </c>
      <c r="H3" t="s">
        <v>10</v>
      </c>
      <c r="I3" s="3" t="s">
        <v>11</v>
      </c>
      <c r="J3" s="3">
        <v>1.3546000000000001E-3</v>
      </c>
      <c r="K3" s="5" t="s">
        <v>15</v>
      </c>
      <c r="N3" s="10" t="s">
        <v>22</v>
      </c>
      <c r="O3" s="11">
        <v>1</v>
      </c>
      <c r="P3" s="11">
        <v>2</v>
      </c>
      <c r="Q3" s="11">
        <v>3</v>
      </c>
      <c r="R3" s="11">
        <v>4</v>
      </c>
      <c r="S3" s="12"/>
    </row>
    <row r="4" spans="1:19" x14ac:dyDescent="0.25">
      <c r="I4" s="3" t="s">
        <v>12</v>
      </c>
      <c r="J4" s="3">
        <v>38.531999999999996</v>
      </c>
      <c r="K4" s="5" t="s">
        <v>16</v>
      </c>
      <c r="N4" s="10" t="s">
        <v>26</v>
      </c>
      <c r="O4" s="11">
        <v>5.7469999999999999</v>
      </c>
      <c r="P4" s="11">
        <v>4.9809999999999999</v>
      </c>
      <c r="Q4" s="11">
        <v>4.2144000000000004</v>
      </c>
      <c r="R4" s="11">
        <v>3.4481999999999999</v>
      </c>
      <c r="S4" s="12" t="s">
        <v>10</v>
      </c>
    </row>
    <row r="5" spans="1:19" x14ac:dyDescent="0.25">
      <c r="A5" t="s">
        <v>4</v>
      </c>
      <c r="B5" t="s">
        <v>5</v>
      </c>
      <c r="C5" t="s">
        <v>6</v>
      </c>
      <c r="D5" t="s">
        <v>7</v>
      </c>
      <c r="I5" s="3" t="s">
        <v>13</v>
      </c>
      <c r="J5" s="3">
        <v>4.5975999999999999</v>
      </c>
      <c r="K5" s="5" t="s">
        <v>10</v>
      </c>
      <c r="N5" s="10" t="s">
        <v>12</v>
      </c>
      <c r="O5" s="11">
        <f>O4*0.25*($J$6/2)</f>
        <v>17.241</v>
      </c>
      <c r="P5" s="11">
        <f t="shared" ref="P5:R5" si="0">P4*0.25*($J$6/2)</f>
        <v>14.943</v>
      </c>
      <c r="Q5" s="11">
        <f t="shared" si="0"/>
        <v>12.6432</v>
      </c>
      <c r="R5" s="11">
        <f t="shared" si="0"/>
        <v>10.3446</v>
      </c>
      <c r="S5" s="12" t="s">
        <v>16</v>
      </c>
    </row>
    <row r="6" spans="1:19" x14ac:dyDescent="0.25">
      <c r="B6">
        <v>1459</v>
      </c>
      <c r="C6">
        <v>694</v>
      </c>
      <c r="D6">
        <v>2219.4</v>
      </c>
      <c r="E6" t="s">
        <v>8</v>
      </c>
      <c r="I6" s="3" t="s">
        <v>14</v>
      </c>
      <c r="J6" s="3">
        <v>24</v>
      </c>
      <c r="K6" s="5" t="s">
        <v>10</v>
      </c>
      <c r="N6" s="13" t="s">
        <v>23</v>
      </c>
      <c r="O6" s="14">
        <f>($J$3*$O$20*O4)/$J$2</f>
        <v>4349098.4357541902</v>
      </c>
      <c r="P6" s="14">
        <f>($J$3*$O$20*P4)/$J$2</f>
        <v>3769420.4469273747</v>
      </c>
      <c r="Q6" s="14">
        <f>($J$3*$O$20*Q4)/$J$2</f>
        <v>3189288.4022346372</v>
      </c>
      <c r="R6" s="14">
        <f>($J$3*$O$20*R4)/$J$2</f>
        <v>2609459.061452514</v>
      </c>
      <c r="S6" s="15"/>
    </row>
    <row r="7" spans="1:19" x14ac:dyDescent="0.25">
      <c r="I7" t="s">
        <v>24</v>
      </c>
      <c r="J7">
        <v>3.0649999999999999</v>
      </c>
      <c r="K7" s="6" t="s">
        <v>10</v>
      </c>
    </row>
    <row r="8" spans="1:19" x14ac:dyDescent="0.25">
      <c r="I8" t="s">
        <v>25</v>
      </c>
      <c r="J8">
        <v>6.13</v>
      </c>
      <c r="K8" s="6" t="s">
        <v>10</v>
      </c>
    </row>
    <row r="9" spans="1:19" x14ac:dyDescent="0.25">
      <c r="I9" s="3" t="s">
        <v>36</v>
      </c>
      <c r="J9" s="3">
        <v>15</v>
      </c>
    </row>
    <row r="10" spans="1:19" x14ac:dyDescent="0.25">
      <c r="A10" s="3" t="s">
        <v>51</v>
      </c>
      <c r="E10" s="3" t="s">
        <v>39</v>
      </c>
    </row>
    <row r="11" spans="1:19" x14ac:dyDescent="0.25">
      <c r="A11" t="s">
        <v>33</v>
      </c>
      <c r="B11">
        <v>0.04</v>
      </c>
      <c r="E11" t="s">
        <v>37</v>
      </c>
      <c r="F11">
        <v>2.7799999999999998E-2</v>
      </c>
      <c r="H11" t="s">
        <v>42</v>
      </c>
      <c r="I11">
        <v>0.12075</v>
      </c>
      <c r="K11" t="s">
        <v>57</v>
      </c>
      <c r="L11">
        <v>0.02</v>
      </c>
    </row>
    <row r="12" spans="1:19" x14ac:dyDescent="0.25">
      <c r="A12" t="s">
        <v>34</v>
      </c>
      <c r="B12">
        <v>0</v>
      </c>
      <c r="E12" t="s">
        <v>38</v>
      </c>
      <c r="F12">
        <v>5.1190000000000003E-3</v>
      </c>
      <c r="H12" s="3" t="s">
        <v>45</v>
      </c>
      <c r="I12" s="3">
        <f>1.05*F14*I11</f>
        <v>0.11410875000000001</v>
      </c>
      <c r="K12" t="s">
        <v>58</v>
      </c>
      <c r="L12">
        <v>0</v>
      </c>
    </row>
    <row r="13" spans="1:19" x14ac:dyDescent="0.25">
      <c r="A13" t="s">
        <v>47</v>
      </c>
      <c r="B13" s="2">
        <f>(1/J9)-(1/(1+J9)^1.7)</f>
        <v>5.7692460768252324E-2</v>
      </c>
      <c r="E13" t="s">
        <v>40</v>
      </c>
      <c r="F13">
        <f>(0.5*(F11-F12))/9</f>
        <v>1.2600555555555555E-3</v>
      </c>
      <c r="H13" t="s">
        <v>43</v>
      </c>
      <c r="I13">
        <v>0</v>
      </c>
    </row>
    <row r="14" spans="1:19" x14ac:dyDescent="0.25">
      <c r="A14" t="s">
        <v>48</v>
      </c>
      <c r="B14" s="2">
        <f>(10 -3*0.5)/7</f>
        <v>1.2142857142857142</v>
      </c>
      <c r="E14" t="s">
        <v>41</v>
      </c>
      <c r="F14">
        <v>0.9</v>
      </c>
      <c r="H14" t="s">
        <v>52</v>
      </c>
      <c r="I14">
        <v>0.1026</v>
      </c>
    </row>
    <row r="15" spans="1:19" x14ac:dyDescent="0.25">
      <c r="A15" t="s">
        <v>49</v>
      </c>
      <c r="B15">
        <v>1.25</v>
      </c>
      <c r="H15" t="s">
        <v>55</v>
      </c>
      <c r="I15">
        <v>2.8163</v>
      </c>
    </row>
    <row r="16" spans="1:19" x14ac:dyDescent="0.25">
      <c r="A16" s="3" t="s">
        <v>50</v>
      </c>
      <c r="B16" s="20">
        <f>4.44*(B13*B14*B15)^1.19</f>
        <v>0.24478196964639271</v>
      </c>
      <c r="H16" t="s">
        <v>56</v>
      </c>
      <c r="I16">
        <v>11.547000000000001</v>
      </c>
    </row>
    <row r="17" spans="1:23" x14ac:dyDescent="0.25">
      <c r="H17" t="s">
        <v>54</v>
      </c>
      <c r="I17">
        <v>4.0999999999999996</v>
      </c>
    </row>
    <row r="20" spans="1:23" x14ac:dyDescent="0.25">
      <c r="A20" t="s">
        <v>17</v>
      </c>
      <c r="B20">
        <v>60</v>
      </c>
      <c r="C20">
        <v>70</v>
      </c>
      <c r="D20">
        <v>80</v>
      </c>
      <c r="E20">
        <v>90</v>
      </c>
      <c r="F20">
        <v>100</v>
      </c>
      <c r="G20">
        <v>110</v>
      </c>
      <c r="H20">
        <v>120</v>
      </c>
      <c r="I20">
        <v>130</v>
      </c>
      <c r="J20">
        <v>140</v>
      </c>
      <c r="K20">
        <v>150</v>
      </c>
      <c r="L20">
        <v>160</v>
      </c>
      <c r="M20">
        <v>170</v>
      </c>
      <c r="N20">
        <v>180</v>
      </c>
      <c r="O20">
        <v>190</v>
      </c>
      <c r="P20">
        <v>200</v>
      </c>
      <c r="Q20">
        <v>210</v>
      </c>
      <c r="R20">
        <v>220</v>
      </c>
      <c r="S20">
        <v>230</v>
      </c>
      <c r="T20">
        <v>240</v>
      </c>
      <c r="U20">
        <v>250</v>
      </c>
      <c r="V20">
        <v>260</v>
      </c>
    </row>
    <row r="21" spans="1:23" x14ac:dyDescent="0.25">
      <c r="A21" t="s">
        <v>18</v>
      </c>
      <c r="B21" s="1">
        <f>B20*1.68780986</f>
        <v>101.26859159999999</v>
      </c>
      <c r="C21" s="1">
        <f>C20*1.68780986</f>
        <v>118.14669019999999</v>
      </c>
      <c r="D21" s="1">
        <f t="shared" ref="D21:G21" si="1">D20*1.68780986</f>
        <v>135.02478880000001</v>
      </c>
      <c r="E21" s="1">
        <f t="shared" si="1"/>
        <v>151.9028874</v>
      </c>
      <c r="F21" s="1">
        <f t="shared" si="1"/>
        <v>168.78098600000001</v>
      </c>
      <c r="G21" s="1">
        <f t="shared" si="1"/>
        <v>185.6590846</v>
      </c>
      <c r="H21" s="1">
        <f>H20*1.68780986</f>
        <v>202.53718319999999</v>
      </c>
      <c r="I21" s="1">
        <f t="shared" ref="I21:V21" si="2">I20*1.68780986</f>
        <v>219.4152818</v>
      </c>
      <c r="J21" s="1">
        <f t="shared" si="2"/>
        <v>236.29338039999999</v>
      </c>
      <c r="K21" s="1">
        <f t="shared" si="2"/>
        <v>253.17147900000001</v>
      </c>
      <c r="L21" s="1">
        <f t="shared" si="2"/>
        <v>270.04957760000002</v>
      </c>
      <c r="M21" s="1">
        <f t="shared" si="2"/>
        <v>286.92767620000001</v>
      </c>
      <c r="N21" s="1">
        <f t="shared" si="2"/>
        <v>303.80577479999999</v>
      </c>
      <c r="O21" s="1">
        <f t="shared" si="2"/>
        <v>320.68387339999998</v>
      </c>
      <c r="P21" s="1">
        <f t="shared" si="2"/>
        <v>337.56197200000003</v>
      </c>
      <c r="Q21" s="1">
        <f t="shared" si="2"/>
        <v>354.44007060000001</v>
      </c>
      <c r="R21" s="1">
        <f t="shared" si="2"/>
        <v>371.3181692</v>
      </c>
      <c r="S21" s="1">
        <f t="shared" si="2"/>
        <v>388.19626779999999</v>
      </c>
      <c r="T21" s="1">
        <f t="shared" si="2"/>
        <v>405.07436639999997</v>
      </c>
      <c r="U21" s="1">
        <f t="shared" si="2"/>
        <v>421.95246500000002</v>
      </c>
      <c r="V21" s="1">
        <f t="shared" si="2"/>
        <v>438.8305636</v>
      </c>
      <c r="W21" s="22"/>
    </row>
    <row r="22" spans="1:23" x14ac:dyDescent="0.25">
      <c r="A22" s="18" t="s">
        <v>46</v>
      </c>
      <c r="B22">
        <v>7.0510000000000002</v>
      </c>
      <c r="C22">
        <v>4.1769999999999996</v>
      </c>
      <c r="D22">
        <v>2.9769999999999999</v>
      </c>
      <c r="E22">
        <v>1.843</v>
      </c>
      <c r="F22">
        <v>1.0529999999999999</v>
      </c>
      <c r="G22">
        <v>0.48099999999999998</v>
      </c>
      <c r="H22">
        <v>4.4999999999999998E-2</v>
      </c>
      <c r="I22">
        <v>-0.29099999999999998</v>
      </c>
      <c r="J22">
        <v>-0.55300000000000005</v>
      </c>
      <c r="K22">
        <v>-0.76500000000000001</v>
      </c>
      <c r="L22">
        <v>-0.93799999999999994</v>
      </c>
      <c r="M22">
        <v>-1.08</v>
      </c>
      <c r="N22">
        <v>-1.1990000000000001</v>
      </c>
      <c r="O22">
        <v>-1.2989999999999999</v>
      </c>
      <c r="P22">
        <v>-1.3839999999999999</v>
      </c>
      <c r="Q22">
        <v>-1.456</v>
      </c>
      <c r="R22">
        <v>-1.52</v>
      </c>
      <c r="S22">
        <v>-1.575</v>
      </c>
      <c r="T22">
        <v>-1.6220000000000001</v>
      </c>
      <c r="U22">
        <v>-1.663</v>
      </c>
      <c r="V22">
        <v>-1.7010000000000001</v>
      </c>
      <c r="W22" s="23" t="s">
        <v>60</v>
      </c>
    </row>
    <row r="23" spans="1:23" x14ac:dyDescent="0.25">
      <c r="A23" s="16" t="s">
        <v>35</v>
      </c>
      <c r="B23" s="2">
        <f xml:space="preserve"> $D$6/(0.5*$J$3*B21^2*$J$4)</f>
        <v>8.2924605554335695</v>
      </c>
      <c r="C23" s="2">
        <f xml:space="preserve"> $D$6/(0.5*$J$3*C21^2*$J$4)</f>
        <v>6.0924199999103781</v>
      </c>
      <c r="D23" s="2">
        <f xml:space="preserve"> $D$6/(0.5*$J$3*D21^2*$J$4)</f>
        <v>4.6645090624313816</v>
      </c>
      <c r="E23" s="2">
        <f xml:space="preserve"> $D$6/(0.5*$J$3*E21^2*$J$4)</f>
        <v>3.6855380246371414</v>
      </c>
      <c r="F23" s="2">
        <f xml:space="preserve"> $D$6/(0.5*$J$3*F21^2*$J$4)</f>
        <v>2.9852857999560842</v>
      </c>
      <c r="G23" s="2">
        <f xml:space="preserve"> $D$6/(0.5*$J$3*G21^2*$J$4)</f>
        <v>2.4671783470711444</v>
      </c>
      <c r="H23" s="2">
        <f xml:space="preserve"> $D$6/(0.5*$J$3*H21^2*$J$4)</f>
        <v>2.0731151388583924</v>
      </c>
      <c r="I23" s="2">
        <f xml:space="preserve"> $D$6/(0.5*$J$3*I21^2*$J$4)</f>
        <v>1.7664413017491629</v>
      </c>
      <c r="J23" s="2">
        <f xml:space="preserve"> $D$6/(0.5*$J$3*J21^2*$J$4)</f>
        <v>1.5231049999775945</v>
      </c>
      <c r="K23" s="2">
        <f xml:space="preserve"> $D$6/(0.5*$J$3*K21^2*$J$4)</f>
        <v>1.3267936888693708</v>
      </c>
      <c r="L23" s="2">
        <f xml:space="preserve"> $D$6/(0.5*$J$3*L21^2*$J$4)</f>
        <v>1.1661272656078454</v>
      </c>
      <c r="M23" s="2">
        <f xml:space="preserve"> $D$6/(0.5*$J$3*M21^2*$J$4)</f>
        <v>1.0329708650367073</v>
      </c>
      <c r="N23" s="2">
        <f xml:space="preserve"> $D$6/(0.5*$J$3*N21^2*$J$4)</f>
        <v>0.92138450615928535</v>
      </c>
      <c r="O23" s="2">
        <f xml:space="preserve"> $D$6/(0.5*$J$3*O21^2*$J$4)</f>
        <v>0.82694897505708731</v>
      </c>
      <c r="P23" s="2">
        <f xml:space="preserve"> $D$6/(0.5*$J$3*P21^2*$J$4)</f>
        <v>0.74632144998902106</v>
      </c>
      <c r="Q23" s="2">
        <f xml:space="preserve"> $D$6/(0.5*$J$3*Q21^2*$J$4)</f>
        <v>0.67693555554559748</v>
      </c>
      <c r="R23" s="2">
        <f xml:space="preserve"> $D$6/(0.5*$J$3*R21^2*$J$4)</f>
        <v>0.61679458676778609</v>
      </c>
      <c r="S23" s="2">
        <f xml:space="preserve"> $D$6/(0.5*$J$3*S21^2*$J$4)</f>
        <v>0.5643262381769536</v>
      </c>
      <c r="T23" s="2">
        <f xml:space="preserve"> $D$6/(0.5*$J$3*T21^2*$J$4)</f>
        <v>0.5182787847145981</v>
      </c>
      <c r="U23" s="2">
        <f xml:space="preserve"> $D$6/(0.5*$J$3*U21^2*$J$4)</f>
        <v>0.47764572799297356</v>
      </c>
      <c r="V23" s="2">
        <f xml:space="preserve"> $D$6/(0.5*$J$3*V21^2*$J$4)</f>
        <v>0.44161032543729073</v>
      </c>
      <c r="W23" s="23" t="s">
        <v>61</v>
      </c>
    </row>
    <row r="24" spans="1:23" x14ac:dyDescent="0.25">
      <c r="A24" s="19" t="s">
        <v>32</v>
      </c>
      <c r="B24" s="2">
        <f>((1+$B$11)*(B23^2))/(PI()*$J$9)</f>
        <v>1.5176060050144764</v>
      </c>
      <c r="C24" s="2">
        <f>((1+$B$11)*(C23^2))/(PI()*$J$9)</f>
        <v>0.81916592357299522</v>
      </c>
      <c r="D24" s="2">
        <f>((1+$B$11)*(D23^2))/(PI()*$J$9)</f>
        <v>0.48018002502411133</v>
      </c>
      <c r="E24" s="2">
        <f>((1+$B$11)*(E23^2))/(PI()*$J$9)</f>
        <v>0.29977402568187173</v>
      </c>
      <c r="F24" s="2">
        <f>((1+$B$11)*(F23^2))/(PI()*$J$9)</f>
        <v>0.196681738249876</v>
      </c>
      <c r="G24" s="2">
        <f>((1+$B$11)*(G23^2))/(PI()*$J$9)</f>
        <v>0.13433627364925627</v>
      </c>
      <c r="H24" s="2">
        <f>((1+$B$11)*(H23^2))/(PI()*$J$9)</f>
        <v>9.4850375313404775E-2</v>
      </c>
      <c r="I24" s="2">
        <f>((1+$B$11)*(I23^2))/(PI()*$J$9)</f>
        <v>6.8863743653890322E-2</v>
      </c>
      <c r="J24" s="2">
        <f>((1+$B$11)*(J23^2))/(PI()*$J$9)</f>
        <v>5.1197870223312202E-2</v>
      </c>
      <c r="K24" s="2">
        <f>((1+$B$11)*(K23^2))/(PI()*$J$9)</f>
        <v>3.8850713728370567E-2</v>
      </c>
      <c r="L24" s="2">
        <f>((1+$B$11)*(L23^2))/(PI()*$J$9)</f>
        <v>3.0011251564006958E-2</v>
      </c>
      <c r="M24" s="2">
        <f>((1+$B$11)*(M23^2))/(PI()*$J$9)</f>
        <v>2.3548776744755931E-2</v>
      </c>
      <c r="N24" s="2">
        <f>((1+$B$11)*(N23^2))/(PI()*$J$9)</f>
        <v>1.8735876605116983E-2</v>
      </c>
      <c r="O24" s="2">
        <f>((1+$B$11)*(O23^2))/(PI()*$J$9)</f>
        <v>1.5092098606508248E-2</v>
      </c>
      <c r="P24" s="2">
        <f>((1+$B$11)*(P23^2))/(PI()*$J$9)</f>
        <v>1.229260864061725E-2</v>
      </c>
      <c r="Q24" s="2">
        <f>((1+$B$11)*(Q23^2))/(PI()*$J$9)</f>
        <v>1.011315955028389E-2</v>
      </c>
      <c r="R24" s="2">
        <f>((1+$B$11)*(R23^2))/(PI()*$J$9)</f>
        <v>8.3960171030785166E-3</v>
      </c>
      <c r="S24" s="2">
        <f>((1+$B$11)*(S23^2))/(PI()*$J$9)</f>
        <v>7.0283388870778785E-3</v>
      </c>
      <c r="T24" s="2">
        <f>((1+$B$11)*(T23^2))/(PI()*$J$9)</f>
        <v>5.9281484570877984E-3</v>
      </c>
      <c r="U24" s="2">
        <f>((1+$B$11)*(U23^2))/(PI()*$J$9)</f>
        <v>5.0350524991968279E-3</v>
      </c>
      <c r="V24" s="2">
        <f>((1+$B$11)*(V23^2))/(PI()*$J$9)</f>
        <v>4.3039839783681451E-3</v>
      </c>
      <c r="W24" s="23" t="s">
        <v>59</v>
      </c>
    </row>
    <row r="25" spans="1:23" x14ac:dyDescent="0.25">
      <c r="A25" s="19" t="s">
        <v>19</v>
      </c>
      <c r="B25" s="2">
        <v>3.7677342669161298E-2</v>
      </c>
      <c r="C25" s="2">
        <v>2.44899992541599E-2</v>
      </c>
      <c r="D25" s="2">
        <v>2.0250215248781601E-2</v>
      </c>
      <c r="E25" s="2">
        <v>1.9775066989825198E-2</v>
      </c>
      <c r="F25" s="2">
        <v>2.0100102247298302E-2</v>
      </c>
      <c r="G25" s="2">
        <v>2.0651940529969302E-2</v>
      </c>
      <c r="H25" s="2">
        <v>2.10200900496849E-2</v>
      </c>
      <c r="I25" s="2">
        <v>2.11462672638787E-2</v>
      </c>
      <c r="J25" s="2">
        <v>2.1214944867359298E-2</v>
      </c>
      <c r="K25" s="2">
        <v>2.1241298109474799E-2</v>
      </c>
      <c r="L25" s="2">
        <v>2.13107775518812E-2</v>
      </c>
      <c r="M25" s="2">
        <v>2.1283123476863799E-2</v>
      </c>
      <c r="N25" s="2">
        <v>2.1333935376342001E-2</v>
      </c>
      <c r="O25" s="2">
        <v>2.1349906495591601E-2</v>
      </c>
      <c r="P25" s="2">
        <v>2.13586909096301E-2</v>
      </c>
      <c r="Q25" s="2">
        <v>2.13586909096301E-2</v>
      </c>
      <c r="R25" s="2">
        <v>2.1364279906013799E-2</v>
      </c>
      <c r="S25" s="2">
        <v>2.1367475323668599E-2</v>
      </c>
      <c r="T25" s="2">
        <v>2.1389819371155E-2</v>
      </c>
      <c r="U25" s="2">
        <v>2.1412995102688501E-2</v>
      </c>
      <c r="V25" s="2">
        <v>2.1405006558551501E-2</v>
      </c>
      <c r="W25" s="23" t="s">
        <v>60</v>
      </c>
    </row>
    <row r="26" spans="1:23" x14ac:dyDescent="0.25">
      <c r="A26" s="17" t="s">
        <v>44</v>
      </c>
      <c r="B26" s="2">
        <f>$I$12*B22*(1-$B$16)*$I$14</f>
        <v>6.2343240623357297E-2</v>
      </c>
      <c r="C26" s="2">
        <f>$I$12*C22*(1-$B$16)*$I$14</f>
        <v>3.6932026107468922E-2</v>
      </c>
      <c r="D26" s="2">
        <f>$I$12*D22*(1-$B$16)*$I$14</f>
        <v>2.6321915662421595E-2</v>
      </c>
      <c r="E26" s="2">
        <f>$I$12*E22*(1-$B$16)*$I$14</f>
        <v>1.6295361291851863E-2</v>
      </c>
      <c r="F26" s="2">
        <f>$I$12*F22*(1-$B$16)*$I$14</f>
        <v>9.3103719155290341E-3</v>
      </c>
      <c r="G26" s="2">
        <f>$I$12*G22*(1-$B$16)*$I$14</f>
        <v>4.2528859367231388E-3</v>
      </c>
      <c r="H26" s="2">
        <f>$I$12*H22*(1-$B$16)*$I$14</f>
        <v>3.9787914168927497E-4</v>
      </c>
      <c r="I26" s="2">
        <f>$I$12*I22*(1-$B$16)*$I$14</f>
        <v>-2.5729517829239782E-3</v>
      </c>
      <c r="J26" s="2">
        <f>$I$12*J22*(1-$B$16)*$I$14</f>
        <v>-4.88949256342598E-3</v>
      </c>
      <c r="K26" s="2">
        <f>$I$12*K22*(1-$B$16)*$I$14</f>
        <v>-6.7639454087176755E-3</v>
      </c>
      <c r="L26" s="2">
        <f>$I$12*L22*(1-$B$16)*$I$14</f>
        <v>-8.2935696645453326E-3</v>
      </c>
      <c r="M26" s="2">
        <f>$I$12*M22*(1-$B$16)*$I$14</f>
        <v>-9.549099400542601E-3</v>
      </c>
      <c r="N26" s="2">
        <f>$I$12*N22*(1-$B$16)*$I$14</f>
        <v>-1.060126868634313E-2</v>
      </c>
      <c r="O26" s="2">
        <f>$I$12*O22*(1-$B$16)*$I$14</f>
        <v>-1.148544455676374E-2</v>
      </c>
      <c r="P26" s="2">
        <f>$I$12*P22*(1-$B$16)*$I$14</f>
        <v>-1.2236994046621257E-2</v>
      </c>
      <c r="Q26" s="2">
        <f>$I$12*Q22*(1-$B$16)*$I$14</f>
        <v>-1.2873600673324097E-2</v>
      </c>
      <c r="R26" s="2">
        <f>$I$12*R22*(1-$B$16)*$I$14</f>
        <v>-1.3439473230393288E-2</v>
      </c>
      <c r="S26" s="2">
        <f>$I$12*S22*(1-$B$16)*$I$14</f>
        <v>-1.3925769959124626E-2</v>
      </c>
      <c r="T26" s="2">
        <f>$I$12*T22*(1-$B$16)*$I$14</f>
        <v>-1.4341332618222312E-2</v>
      </c>
      <c r="U26" s="2">
        <f>$I$12*U22*(1-$B$16)*$I$14</f>
        <v>-1.4703844725094766E-2</v>
      </c>
      <c r="V26" s="2">
        <f>$I$12*V22*(1-$B$16)*$I$14</f>
        <v>-1.5039831555854595E-2</v>
      </c>
      <c r="W26" s="23" t="s">
        <v>62</v>
      </c>
    </row>
    <row r="27" spans="1:23" x14ac:dyDescent="0.25">
      <c r="A27" s="19" t="s">
        <v>53</v>
      </c>
      <c r="B27" s="21">
        <f>((1+$L$11)*(B26^2))/(PI()*$I$17)</f>
        <v>3.0778339722596973E-4</v>
      </c>
      <c r="C27" s="21">
        <f>((1+$L$11)*(C26^2))/(PI()*$I$17)</f>
        <v>1.0801217468867552E-4</v>
      </c>
      <c r="D27" s="21">
        <f t="shared" ref="D27:V27" si="3">((1+$L$11)*(D26^2))/(PI()*$I$17)</f>
        <v>5.4865763724146713E-5</v>
      </c>
      <c r="E27" s="21">
        <f t="shared" si="3"/>
        <v>2.1027828680488288E-5</v>
      </c>
      <c r="F27" s="21">
        <f t="shared" si="3"/>
        <v>6.8643671134060467E-6</v>
      </c>
      <c r="G27" s="21">
        <f t="shared" si="3"/>
        <v>1.4322997375785515E-6</v>
      </c>
      <c r="H27" s="21">
        <f t="shared" si="3"/>
        <v>1.2536282988907236E-8</v>
      </c>
      <c r="I27" s="21">
        <f t="shared" si="3"/>
        <v>5.2423949618945873E-7</v>
      </c>
      <c r="J27" s="21">
        <f t="shared" si="3"/>
        <v>1.8931892170640665E-6</v>
      </c>
      <c r="K27" s="21">
        <f t="shared" si="3"/>
        <v>3.622985783794193E-6</v>
      </c>
      <c r="L27" s="21">
        <f t="shared" si="3"/>
        <v>5.4469004296751116E-6</v>
      </c>
      <c r="M27" s="21">
        <f t="shared" si="3"/>
        <v>7.2208990016105725E-6</v>
      </c>
      <c r="N27" s="21">
        <f t="shared" si="3"/>
        <v>8.8998384993264422E-6</v>
      </c>
      <c r="O27" s="21">
        <f t="shared" si="3"/>
        <v>1.0446289605809911E-5</v>
      </c>
      <c r="P27" s="21">
        <f t="shared" si="3"/>
        <v>1.1858122700642124E-5</v>
      </c>
      <c r="Q27" s="21">
        <f t="shared" si="3"/>
        <v>1.3124008698455337E-5</v>
      </c>
      <c r="R27" s="21">
        <f t="shared" si="3"/>
        <v>1.4303125045714213E-5</v>
      </c>
      <c r="S27" s="21">
        <f t="shared" si="3"/>
        <v>1.535694666141137E-5</v>
      </c>
      <c r="T27" s="21">
        <f t="shared" si="3"/>
        <v>1.6287163622216411E-5</v>
      </c>
      <c r="U27" s="21">
        <f t="shared" si="3"/>
        <v>1.712096573301196E-5</v>
      </c>
      <c r="V27" s="21">
        <f t="shared" si="3"/>
        <v>1.7912342585870219E-5</v>
      </c>
      <c r="W27" s="23" t="s">
        <v>62</v>
      </c>
    </row>
    <row r="28" spans="1:23" x14ac:dyDescent="0.25">
      <c r="A28" s="19" t="s">
        <v>21</v>
      </c>
      <c r="B28" s="2">
        <v>3.0822223606353201E-3</v>
      </c>
      <c r="C28" s="2">
        <v>2.3200506591923601E-3</v>
      </c>
      <c r="D28" s="2">
        <v>2E-3</v>
      </c>
      <c r="E28" s="2">
        <v>1.7926278417938299E-3</v>
      </c>
      <c r="F28" s="2">
        <v>1.7103132980379901E-3</v>
      </c>
      <c r="G28" s="2">
        <v>1.67982642998028E-3</v>
      </c>
      <c r="H28" s="2">
        <v>1.66458299595142E-3</v>
      </c>
      <c r="I28" s="2">
        <v>1.6554369355341E-3</v>
      </c>
      <c r="J28" s="2">
        <v>1.6523882487283299E-3</v>
      </c>
      <c r="K28" s="2">
        <v>1.6523882487283299E-3</v>
      </c>
      <c r="L28" s="2">
        <v>1.6554369355341E-3</v>
      </c>
      <c r="M28" s="2">
        <v>1.6554369355341E-3</v>
      </c>
      <c r="N28" s="2">
        <v>1.6554369355341E-3</v>
      </c>
      <c r="O28" s="2">
        <v>1.6615343091456499E-3</v>
      </c>
      <c r="P28" s="2">
        <v>1.66458299595142E-3</v>
      </c>
      <c r="Q28" s="2">
        <v>1.6676316827571899E-3</v>
      </c>
      <c r="R28" s="2">
        <v>1.6737290563687301E-3</v>
      </c>
      <c r="S28" s="2">
        <v>1.6767777431745E-3</v>
      </c>
      <c r="T28" s="2">
        <v>1.67982642998028E-3</v>
      </c>
      <c r="U28" s="2">
        <v>1.6889724903975899E-3</v>
      </c>
      <c r="V28" s="2">
        <v>1.6889724903975899E-3</v>
      </c>
      <c r="W28" s="23" t="s">
        <v>60</v>
      </c>
    </row>
    <row r="29" spans="1:23" x14ac:dyDescent="0.25">
      <c r="A29" s="19" t="s">
        <v>20</v>
      </c>
      <c r="B29" s="2">
        <v>1.71032388663968E-3</v>
      </c>
      <c r="C29" s="2">
        <v>1.6829933561714899E-3</v>
      </c>
      <c r="D29" s="2">
        <v>1.66646942800789E-3</v>
      </c>
      <c r="E29" s="2">
        <v>1.65707204401536E-3</v>
      </c>
      <c r="F29" s="2">
        <v>1.6508071213536799E-3</v>
      </c>
      <c r="G29" s="2">
        <v>1.6445421986920001E-3</v>
      </c>
      <c r="H29" s="2">
        <v>1.64054811585176E-3</v>
      </c>
      <c r="I29" s="2">
        <v>1.63514481469947E-3</v>
      </c>
      <c r="J29" s="2">
        <v>1.63514481469947E-3</v>
      </c>
      <c r="K29" s="2">
        <v>1.63827727603031E-3</v>
      </c>
      <c r="L29" s="2">
        <v>1.63514481469947E-3</v>
      </c>
      <c r="M29" s="2">
        <v>1.63514481469947E-3</v>
      </c>
      <c r="N29" s="2">
        <v>1.6414097373611499E-3</v>
      </c>
      <c r="O29" s="2">
        <v>1.63827727603031E-3</v>
      </c>
      <c r="P29" s="2">
        <v>1.6422713588705501E-3</v>
      </c>
      <c r="Q29" s="2">
        <v>1.6414097373611499E-3</v>
      </c>
      <c r="R29" s="2">
        <v>1.64767466002284E-3</v>
      </c>
      <c r="S29" s="2">
        <v>1.6445421986920001E-3</v>
      </c>
      <c r="T29" s="2">
        <v>1.6539395826845201E-3</v>
      </c>
      <c r="U29" s="2">
        <v>1.6508071213536799E-3</v>
      </c>
      <c r="V29" s="2">
        <v>1.66020450534621E-3</v>
      </c>
      <c r="W29" s="23" t="s">
        <v>60</v>
      </c>
    </row>
    <row r="30" spans="1:23" x14ac:dyDescent="0.25">
      <c r="A30" s="24"/>
      <c r="W3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EddieH</dc:creator>
  <cp:lastModifiedBy>e</cp:lastModifiedBy>
  <dcterms:created xsi:type="dcterms:W3CDTF">2022-02-11T20:38:39Z</dcterms:created>
  <dcterms:modified xsi:type="dcterms:W3CDTF">2022-02-16T06:57:04Z</dcterms:modified>
</cp:coreProperties>
</file>