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ieH\Documents\GitHub\Senior-Design\Wing Tail Drag Buildup\"/>
    </mc:Choice>
  </mc:AlternateContent>
  <xr:revisionPtr revIDLastSave="0" documentId="13_ncr:1_{A673F954-7712-4AFC-B89B-A7C459871A1E}" xr6:coauthVersionLast="47" xr6:coauthVersionMax="47" xr10:uidLastSave="{00000000-0000-0000-0000-000000000000}"/>
  <bookViews>
    <workbookView xWindow="-98" yWindow="-98" windowWidth="28996" windowHeight="15675" xr2:uid="{82617F0D-A785-403D-9CC0-085A46D2A0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1" l="1"/>
  <c r="B27" i="1" s="1"/>
  <c r="I12" i="1"/>
  <c r="F13" i="1"/>
  <c r="B14" i="1"/>
  <c r="B13" i="1"/>
  <c r="B21" i="1"/>
  <c r="B24" i="1" s="1"/>
  <c r="P5" i="1"/>
  <c r="Q5" i="1"/>
  <c r="R5" i="1"/>
  <c r="O5" i="1"/>
  <c r="P6" i="1"/>
  <c r="Q6" i="1"/>
  <c r="R6" i="1"/>
  <c r="O6" i="1"/>
  <c r="C21" i="1"/>
  <c r="C23" i="1" s="1"/>
  <c r="C24" i="1" s="1"/>
  <c r="D21" i="1"/>
  <c r="D23" i="1" s="1"/>
  <c r="D24" i="1" s="1"/>
  <c r="E21" i="1"/>
  <c r="E23" i="1" s="1"/>
  <c r="E24" i="1" s="1"/>
  <c r="F21" i="1"/>
  <c r="F23" i="1" s="1"/>
  <c r="F24" i="1" s="1"/>
  <c r="G21" i="1"/>
  <c r="G23" i="1" s="1"/>
  <c r="G24" i="1" s="1"/>
  <c r="H21" i="1"/>
  <c r="H23" i="1" s="1"/>
  <c r="H24" i="1" s="1"/>
  <c r="I21" i="1"/>
  <c r="I23" i="1" s="1"/>
  <c r="I24" i="1" s="1"/>
  <c r="J21" i="1"/>
  <c r="J23" i="1" s="1"/>
  <c r="J24" i="1" s="1"/>
  <c r="K21" i="1"/>
  <c r="K23" i="1" s="1"/>
  <c r="K24" i="1" s="1"/>
  <c r="L21" i="1"/>
  <c r="L23" i="1" s="1"/>
  <c r="L24" i="1" s="1"/>
  <c r="M21" i="1"/>
  <c r="M23" i="1" s="1"/>
  <c r="M24" i="1" s="1"/>
  <c r="N21" i="1"/>
  <c r="N23" i="1" s="1"/>
  <c r="N24" i="1" s="1"/>
  <c r="O21" i="1"/>
  <c r="O23" i="1" s="1"/>
  <c r="O24" i="1" s="1"/>
  <c r="P21" i="1"/>
  <c r="P23" i="1" s="1"/>
  <c r="P24" i="1" s="1"/>
  <c r="Q21" i="1"/>
  <c r="Q23" i="1" s="1"/>
  <c r="Q24" i="1" s="1"/>
  <c r="R21" i="1"/>
  <c r="R23" i="1" s="1"/>
  <c r="R24" i="1" s="1"/>
  <c r="S21" i="1"/>
  <c r="S23" i="1" s="1"/>
  <c r="S24" i="1" s="1"/>
  <c r="T21" i="1"/>
  <c r="T23" i="1" s="1"/>
  <c r="T24" i="1" s="1"/>
  <c r="U21" i="1"/>
  <c r="U23" i="1" s="1"/>
  <c r="U24" i="1" s="1"/>
  <c r="V21" i="1"/>
  <c r="V23" i="1" s="1"/>
  <c r="V24" i="1" s="1"/>
  <c r="C26" i="1" l="1"/>
  <c r="C27" i="1" s="1"/>
  <c r="V26" i="1"/>
  <c r="V27" i="1" s="1"/>
  <c r="S26" i="1"/>
  <c r="S27" i="1" s="1"/>
  <c r="B16" i="1"/>
  <c r="U26" i="1" s="1"/>
  <c r="U27" i="1" s="1"/>
  <c r="H26" i="1" l="1"/>
  <c r="H27" i="1" s="1"/>
  <c r="J26" i="1"/>
  <c r="J27" i="1" s="1"/>
  <c r="I26" i="1"/>
  <c r="I27" i="1" s="1"/>
  <c r="P26" i="1"/>
  <c r="P27" i="1" s="1"/>
  <c r="F26" i="1"/>
  <c r="F27" i="1" s="1"/>
  <c r="K26" i="1"/>
  <c r="K27" i="1" s="1"/>
  <c r="Q26" i="1"/>
  <c r="Q27" i="1" s="1"/>
  <c r="R26" i="1"/>
  <c r="R27" i="1" s="1"/>
  <c r="M26" i="1"/>
  <c r="M27" i="1" s="1"/>
  <c r="T26" i="1"/>
  <c r="T27" i="1" s="1"/>
  <c r="N26" i="1"/>
  <c r="N27" i="1" s="1"/>
  <c r="E26" i="1"/>
  <c r="E27" i="1" s="1"/>
  <c r="O26" i="1"/>
  <c r="O27" i="1" s="1"/>
  <c r="L26" i="1"/>
  <c r="L27" i="1" s="1"/>
  <c r="G26" i="1"/>
  <c r="G27" i="1" s="1"/>
  <c r="D26" i="1"/>
  <c r="D27" i="1" s="1"/>
</calcChain>
</file>

<file path=xl/sharedStrings.xml><?xml version="1.0" encoding="utf-8"?>
<sst xmlns="http://schemas.openxmlformats.org/spreadsheetml/2006/main" count="75" uniqueCount="63">
  <si>
    <t>Range</t>
  </si>
  <si>
    <t>nm</t>
  </si>
  <si>
    <t xml:space="preserve">Crusie </t>
  </si>
  <si>
    <t>160 Kts</t>
  </si>
  <si>
    <t xml:space="preserve">Weight </t>
  </si>
  <si>
    <t>We</t>
  </si>
  <si>
    <t>Wf</t>
  </si>
  <si>
    <t>Wto</t>
  </si>
  <si>
    <t>lbs</t>
  </si>
  <si>
    <t>Altitude</t>
  </si>
  <si>
    <t>ft</t>
  </si>
  <si>
    <t>rho</t>
  </si>
  <si>
    <t>Area</t>
  </si>
  <si>
    <t>Chord</t>
  </si>
  <si>
    <t>Span</t>
  </si>
  <si>
    <t>slug/ft^3</t>
  </si>
  <si>
    <t>ft^2</t>
  </si>
  <si>
    <t>Speed [kts]</t>
  </si>
  <si>
    <t>Speed [ft/s]</t>
  </si>
  <si>
    <t>Cd_p_wing</t>
  </si>
  <si>
    <t>Cd_p_vt</t>
  </si>
  <si>
    <t>Cd_p_ht</t>
  </si>
  <si>
    <t>Section</t>
  </si>
  <si>
    <t>Re</t>
  </si>
  <si>
    <t>Tip</t>
  </si>
  <si>
    <t>Root</t>
  </si>
  <si>
    <t>MAC</t>
  </si>
  <si>
    <t>mu</t>
  </si>
  <si>
    <t>lb-s/ ft2</t>
  </si>
  <si>
    <t>R</t>
  </si>
  <si>
    <t>Temp</t>
  </si>
  <si>
    <t>Fuse_D</t>
  </si>
  <si>
    <t>Cd_i_wing</t>
  </si>
  <si>
    <t>delta1</t>
  </si>
  <si>
    <t>delta2</t>
  </si>
  <si>
    <t>CL_wing</t>
  </si>
  <si>
    <t>AR</t>
  </si>
  <si>
    <t>Y90</t>
  </si>
  <si>
    <t>Y99</t>
  </si>
  <si>
    <t>Tail Lift Slope NACA 0012</t>
  </si>
  <si>
    <t>tan(0.5phi)</t>
  </si>
  <si>
    <t>K</t>
  </si>
  <si>
    <t>Cl_alph_theo</t>
  </si>
  <si>
    <t>alpha_0</t>
  </si>
  <si>
    <t>CL_Htail</t>
  </si>
  <si>
    <t>Cl_alph(a1)</t>
  </si>
  <si>
    <t>alpha [deg]</t>
  </si>
  <si>
    <t>KA</t>
  </si>
  <si>
    <t>Klamb</t>
  </si>
  <si>
    <t>KH</t>
  </si>
  <si>
    <t>de/da</t>
  </si>
  <si>
    <t>Induced drag parameters NACA 2412</t>
  </si>
  <si>
    <t>St/S</t>
  </si>
  <si>
    <t>Cd_i_ht</t>
  </si>
  <si>
    <t>Tail AR</t>
  </si>
  <si>
    <t>Tail MAC</t>
  </si>
  <si>
    <t>Tail Length</t>
  </si>
  <si>
    <t>del1</t>
  </si>
  <si>
    <t>del2</t>
  </si>
  <si>
    <t>From Iscold</t>
  </si>
  <si>
    <t>Xfoil</t>
  </si>
  <si>
    <t>Weight</t>
  </si>
  <si>
    <t>Iscold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</si>
</sst>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1" fontId="0" fillId="0" borderId="7" xfId="0" applyNumberFormat="1" applyBorder="1"/>
    <xf numFmtId="0" fontId="0" fillId="0" borderId="8" xfId="0" applyBorder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165" fontId="1" fillId="0" borderId="0" xfId="0" applyNumberFormat="1" applyFont="1"/>
    <xf numFmtId="165" fontId="0" fillId="0" borderId="0" xfId="0" applyNumberFormat="1" applyFill="1"/>
    <xf numFmtId="0" fontId="0" fillId="5" borderId="0" xfId="0" applyFill="1"/>
    <xf numFmtId="0" fontId="1" fillId="5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6C11-8322-4BAC-B928-8395D64AAF23}">
  <dimension ref="A1:W30"/>
  <sheetViews>
    <sheetView tabSelected="1" zoomScaleNormal="100" workbookViewId="0">
      <selection activeCell="H40" sqref="H40"/>
    </sheetView>
  </sheetViews>
  <sheetFormatPr defaultRowHeight="14.25" x14ac:dyDescent="0.45"/>
  <cols>
    <col min="1" max="1" width="11.73046875" customWidth="1"/>
    <col min="2" max="2" width="10.3984375" customWidth="1"/>
    <col min="3" max="22" width="10.59765625" bestFit="1" customWidth="1"/>
  </cols>
  <sheetData>
    <row r="1" spans="1:19" x14ac:dyDescent="0.45">
      <c r="I1" s="3" t="s">
        <v>30</v>
      </c>
      <c r="J1">
        <v>454.47840000000002</v>
      </c>
      <c r="K1" t="s">
        <v>29</v>
      </c>
      <c r="N1" s="7" t="s">
        <v>31</v>
      </c>
      <c r="O1" s="8">
        <v>5</v>
      </c>
      <c r="P1" s="8" t="s">
        <v>10</v>
      </c>
      <c r="Q1" s="8"/>
      <c r="R1" s="8"/>
      <c r="S1" s="9"/>
    </row>
    <row r="2" spans="1:19" x14ac:dyDescent="0.45">
      <c r="I2" s="3" t="s">
        <v>27</v>
      </c>
      <c r="J2" s="4">
        <v>3.4009999999999998E-7</v>
      </c>
      <c r="K2" s="5" t="s">
        <v>28</v>
      </c>
      <c r="L2" s="3"/>
      <c r="N2" s="10"/>
      <c r="O2" s="11"/>
      <c r="P2" s="11"/>
      <c r="Q2" s="11"/>
      <c r="R2" s="11"/>
      <c r="S2" s="12"/>
    </row>
    <row r="3" spans="1:19" x14ac:dyDescent="0.45">
      <c r="A3" t="s">
        <v>0</v>
      </c>
      <c r="B3">
        <v>2000</v>
      </c>
      <c r="C3" t="s">
        <v>1</v>
      </c>
      <c r="D3" t="s">
        <v>2</v>
      </c>
      <c r="E3" t="s">
        <v>3</v>
      </c>
      <c r="F3" t="s">
        <v>9</v>
      </c>
      <c r="G3">
        <v>18000</v>
      </c>
      <c r="H3" t="s">
        <v>10</v>
      </c>
      <c r="I3" s="3" t="s">
        <v>11</v>
      </c>
      <c r="J3" s="3">
        <v>1.3546000000000001E-3</v>
      </c>
      <c r="K3" s="5" t="s">
        <v>15</v>
      </c>
      <c r="N3" s="10" t="s">
        <v>22</v>
      </c>
      <c r="O3" s="11">
        <v>1</v>
      </c>
      <c r="P3" s="11">
        <v>2</v>
      </c>
      <c r="Q3" s="11">
        <v>3</v>
      </c>
      <c r="R3" s="11">
        <v>4</v>
      </c>
      <c r="S3" s="12"/>
    </row>
    <row r="4" spans="1:19" x14ac:dyDescent="0.45">
      <c r="I4" s="3" t="s">
        <v>12</v>
      </c>
      <c r="J4" s="3">
        <v>38.531999999999996</v>
      </c>
      <c r="K4" s="5" t="s">
        <v>16</v>
      </c>
      <c r="N4" s="10" t="s">
        <v>26</v>
      </c>
      <c r="O4" s="11">
        <v>5.7469999999999999</v>
      </c>
      <c r="P4" s="11">
        <v>4.9809999999999999</v>
      </c>
      <c r="Q4" s="11">
        <v>4.2144000000000004</v>
      </c>
      <c r="R4" s="11">
        <v>3.4481999999999999</v>
      </c>
      <c r="S4" s="12" t="s">
        <v>10</v>
      </c>
    </row>
    <row r="5" spans="1:19" x14ac:dyDescent="0.45">
      <c r="A5" t="s">
        <v>4</v>
      </c>
      <c r="B5" t="s">
        <v>5</v>
      </c>
      <c r="C5" t="s">
        <v>6</v>
      </c>
      <c r="D5" t="s">
        <v>7</v>
      </c>
      <c r="I5" s="3" t="s">
        <v>13</v>
      </c>
      <c r="J5" s="3">
        <v>4.5975999999999999</v>
      </c>
      <c r="K5" s="5" t="s">
        <v>10</v>
      </c>
      <c r="N5" s="10" t="s">
        <v>12</v>
      </c>
      <c r="O5" s="11">
        <f>O4*0.25*($J$6/2)</f>
        <v>17.241</v>
      </c>
      <c r="P5" s="11">
        <f t="shared" ref="P5:R5" si="0">P4*0.25*($J$6/2)</f>
        <v>14.943</v>
      </c>
      <c r="Q5" s="11">
        <f t="shared" si="0"/>
        <v>12.6432</v>
      </c>
      <c r="R5" s="11">
        <f t="shared" si="0"/>
        <v>10.3446</v>
      </c>
      <c r="S5" s="12" t="s">
        <v>16</v>
      </c>
    </row>
    <row r="6" spans="1:19" x14ac:dyDescent="0.45">
      <c r="D6">
        <v>438</v>
      </c>
      <c r="E6" t="s">
        <v>8</v>
      </c>
      <c r="I6" s="3" t="s">
        <v>14</v>
      </c>
      <c r="J6" s="3">
        <v>24</v>
      </c>
      <c r="K6" s="5" t="s">
        <v>10</v>
      </c>
      <c r="N6" s="13" t="s">
        <v>23</v>
      </c>
      <c r="O6" s="14">
        <f>($J$3*$O$20*O4)/$J$2</f>
        <v>4349098.4357541902</v>
      </c>
      <c r="P6" s="14">
        <f>($J$3*$O$20*P4)/$J$2</f>
        <v>3769420.4469273747</v>
      </c>
      <c r="Q6" s="14">
        <f>($J$3*$O$20*Q4)/$J$2</f>
        <v>3189288.4022346372</v>
      </c>
      <c r="R6" s="14">
        <f>($J$3*$O$20*R4)/$J$2</f>
        <v>2609459.061452514</v>
      </c>
      <c r="S6" s="15"/>
    </row>
    <row r="7" spans="1:19" x14ac:dyDescent="0.45">
      <c r="I7" t="s">
        <v>24</v>
      </c>
      <c r="J7">
        <v>3.0649999999999999</v>
      </c>
      <c r="K7" s="6" t="s">
        <v>10</v>
      </c>
    </row>
    <row r="8" spans="1:19" x14ac:dyDescent="0.45">
      <c r="I8" t="s">
        <v>25</v>
      </c>
      <c r="J8">
        <v>6.13</v>
      </c>
      <c r="K8" s="6" t="s">
        <v>10</v>
      </c>
    </row>
    <row r="9" spans="1:19" x14ac:dyDescent="0.45">
      <c r="I9" s="3" t="s">
        <v>36</v>
      </c>
      <c r="J9" s="3">
        <v>15</v>
      </c>
    </row>
    <row r="10" spans="1:19" x14ac:dyDescent="0.45">
      <c r="A10" s="3" t="s">
        <v>51</v>
      </c>
      <c r="E10" s="3" t="s">
        <v>39</v>
      </c>
    </row>
    <row r="11" spans="1:19" x14ac:dyDescent="0.45">
      <c r="A11" t="s">
        <v>33</v>
      </c>
      <c r="B11">
        <v>0.04</v>
      </c>
      <c r="E11" t="s">
        <v>37</v>
      </c>
      <c r="F11">
        <v>2.7799999999999998E-2</v>
      </c>
      <c r="H11" t="s">
        <v>42</v>
      </c>
      <c r="I11">
        <v>0.12075</v>
      </c>
      <c r="K11" t="s">
        <v>57</v>
      </c>
      <c r="L11">
        <v>0.02</v>
      </c>
    </row>
    <row r="12" spans="1:19" x14ac:dyDescent="0.45">
      <c r="A12" t="s">
        <v>34</v>
      </c>
      <c r="B12">
        <v>0</v>
      </c>
      <c r="E12" t="s">
        <v>38</v>
      </c>
      <c r="F12">
        <v>5.1190000000000003E-3</v>
      </c>
      <c r="H12" s="3" t="s">
        <v>45</v>
      </c>
      <c r="I12" s="3">
        <f>1.05*F14*I11</f>
        <v>0.11410875000000001</v>
      </c>
      <c r="K12" t="s">
        <v>58</v>
      </c>
      <c r="L12">
        <v>0</v>
      </c>
    </row>
    <row r="13" spans="1:19" x14ac:dyDescent="0.45">
      <c r="A13" t="s">
        <v>47</v>
      </c>
      <c r="B13" s="2">
        <f>(1/J9)-(1/(1+J9)^1.7)</f>
        <v>5.7692460768252324E-2</v>
      </c>
      <c r="E13" t="s">
        <v>40</v>
      </c>
      <c r="F13">
        <f>(0.5*(F11-F12))/9</f>
        <v>1.2600555555555555E-3</v>
      </c>
      <c r="H13" t="s">
        <v>43</v>
      </c>
      <c r="I13">
        <v>0</v>
      </c>
    </row>
    <row r="14" spans="1:19" x14ac:dyDescent="0.45">
      <c r="A14" t="s">
        <v>48</v>
      </c>
      <c r="B14" s="2">
        <f>(10 -3*0.5)/7</f>
        <v>1.2142857142857142</v>
      </c>
      <c r="E14" t="s">
        <v>41</v>
      </c>
      <c r="F14">
        <v>0.9</v>
      </c>
      <c r="H14" t="s">
        <v>52</v>
      </c>
      <c r="I14">
        <v>0.1026</v>
      </c>
    </row>
    <row r="15" spans="1:19" x14ac:dyDescent="0.45">
      <c r="A15" t="s">
        <v>49</v>
      </c>
      <c r="B15">
        <v>1.25</v>
      </c>
      <c r="H15" t="s">
        <v>55</v>
      </c>
      <c r="I15">
        <v>2.8163</v>
      </c>
    </row>
    <row r="16" spans="1:19" x14ac:dyDescent="0.45">
      <c r="A16" s="3" t="s">
        <v>50</v>
      </c>
      <c r="B16" s="20">
        <f>4.44*(B13*B14*B15)^1.19</f>
        <v>0.24478196964639271</v>
      </c>
      <c r="H16" t="s">
        <v>56</v>
      </c>
      <c r="I16">
        <v>11.547000000000001</v>
      </c>
    </row>
    <row r="17" spans="1:23" x14ac:dyDescent="0.45">
      <c r="H17" t="s">
        <v>54</v>
      </c>
      <c r="I17">
        <v>4.0999999999999996</v>
      </c>
    </row>
    <row r="20" spans="1:23" x14ac:dyDescent="0.45">
      <c r="A20" t="s">
        <v>17</v>
      </c>
      <c r="B20">
        <v>60</v>
      </c>
      <c r="C20">
        <v>70</v>
      </c>
      <c r="D20">
        <v>80</v>
      </c>
      <c r="E20">
        <v>90</v>
      </c>
      <c r="F20">
        <v>100</v>
      </c>
      <c r="G20">
        <v>110</v>
      </c>
      <c r="H20">
        <v>120</v>
      </c>
      <c r="I20">
        <v>130</v>
      </c>
      <c r="J20">
        <v>140</v>
      </c>
      <c r="K20">
        <v>150</v>
      </c>
      <c r="L20">
        <v>160</v>
      </c>
      <c r="M20">
        <v>170</v>
      </c>
      <c r="N20">
        <v>180</v>
      </c>
      <c r="O20">
        <v>190</v>
      </c>
      <c r="P20">
        <v>200</v>
      </c>
      <c r="Q20">
        <v>210</v>
      </c>
      <c r="R20">
        <v>220</v>
      </c>
      <c r="S20">
        <v>230</v>
      </c>
      <c r="T20">
        <v>240</v>
      </c>
      <c r="U20">
        <v>250</v>
      </c>
      <c r="V20">
        <v>260</v>
      </c>
    </row>
    <row r="21" spans="1:23" x14ac:dyDescent="0.45">
      <c r="A21" t="s">
        <v>18</v>
      </c>
      <c r="B21" s="1">
        <f>B20*1.68780986</f>
        <v>101.26859159999999</v>
      </c>
      <c r="C21" s="1">
        <f>C20*1.68780986</f>
        <v>118.14669019999999</v>
      </c>
      <c r="D21" s="1">
        <f t="shared" ref="D21:G21" si="1">D20*1.68780986</f>
        <v>135.02478880000001</v>
      </c>
      <c r="E21" s="1">
        <f t="shared" si="1"/>
        <v>151.9028874</v>
      </c>
      <c r="F21" s="1">
        <f t="shared" si="1"/>
        <v>168.78098600000001</v>
      </c>
      <c r="G21" s="1">
        <f t="shared" si="1"/>
        <v>185.6590846</v>
      </c>
      <c r="H21" s="1">
        <f>H20*1.68780986</f>
        <v>202.53718319999999</v>
      </c>
      <c r="I21" s="1">
        <f t="shared" ref="I21:V21" si="2">I20*1.68780986</f>
        <v>219.4152818</v>
      </c>
      <c r="J21" s="1">
        <f t="shared" si="2"/>
        <v>236.29338039999999</v>
      </c>
      <c r="K21" s="1">
        <f t="shared" si="2"/>
        <v>253.17147900000001</v>
      </c>
      <c r="L21" s="1">
        <f t="shared" si="2"/>
        <v>270.04957760000002</v>
      </c>
      <c r="M21" s="1">
        <f t="shared" si="2"/>
        <v>286.92767620000001</v>
      </c>
      <c r="N21" s="1">
        <f t="shared" si="2"/>
        <v>303.80577479999999</v>
      </c>
      <c r="O21" s="1">
        <f t="shared" si="2"/>
        <v>320.68387339999998</v>
      </c>
      <c r="P21" s="1">
        <f t="shared" si="2"/>
        <v>337.56197200000003</v>
      </c>
      <c r="Q21" s="1">
        <f t="shared" si="2"/>
        <v>354.44007060000001</v>
      </c>
      <c r="R21" s="1">
        <f t="shared" si="2"/>
        <v>371.3181692</v>
      </c>
      <c r="S21" s="1">
        <f t="shared" si="2"/>
        <v>388.19626779999999</v>
      </c>
      <c r="T21" s="1">
        <f t="shared" si="2"/>
        <v>405.07436639999997</v>
      </c>
      <c r="U21" s="1">
        <f t="shared" si="2"/>
        <v>421.95246500000002</v>
      </c>
      <c r="V21" s="1">
        <f t="shared" si="2"/>
        <v>438.8305636</v>
      </c>
      <c r="W21" s="22"/>
    </row>
    <row r="22" spans="1:23" x14ac:dyDescent="0.45">
      <c r="A22" s="18" t="s">
        <v>46</v>
      </c>
      <c r="B22">
        <v>12.125500000000001</v>
      </c>
      <c r="C22">
        <v>8.9417500000000008</v>
      </c>
      <c r="D22">
        <v>6.0397499999999997</v>
      </c>
      <c r="E22">
        <v>5.5709999999999997</v>
      </c>
      <c r="F22">
        <v>3.07775</v>
      </c>
      <c r="G22">
        <v>2.1127500000000001</v>
      </c>
      <c r="H22">
        <v>1.4067499999999999</v>
      </c>
      <c r="I22">
        <v>1.0002500000000001</v>
      </c>
      <c r="J22">
        <v>0.43325000000000002</v>
      </c>
      <c r="K22">
        <v>8.8749999999999996E-2</v>
      </c>
      <c r="L22">
        <v>-0.1915</v>
      </c>
      <c r="M22">
        <v>-0.42099999999999999</v>
      </c>
      <c r="N22">
        <v>-0.61575000000000002</v>
      </c>
      <c r="O22">
        <v>-0.77875000000000005</v>
      </c>
      <c r="P22">
        <v>-0.91725000000000001</v>
      </c>
      <c r="Q22">
        <v>-1.0369999999999999</v>
      </c>
      <c r="R22">
        <v>-1.14025</v>
      </c>
      <c r="S22">
        <v>-1.2297499999999999</v>
      </c>
      <c r="T22">
        <v>-1.30775</v>
      </c>
      <c r="U22">
        <v>-1.3765000000000001</v>
      </c>
      <c r="V22">
        <v>-1.4377500000000001</v>
      </c>
      <c r="W22" s="23" t="s">
        <v>60</v>
      </c>
    </row>
    <row r="23" spans="1:23" x14ac:dyDescent="0.45">
      <c r="A23" s="16" t="s">
        <v>35</v>
      </c>
      <c r="B23" s="2">
        <v>1.5</v>
      </c>
      <c r="C23" s="2">
        <f t="shared" ref="B23:V23" si="3" xml:space="preserve"> $D$6/(0.5*$J$3*C21^2*$J$4)</f>
        <v>1.2023429575384093</v>
      </c>
      <c r="D23" s="2">
        <f t="shared" si="3"/>
        <v>0.92054382686534431</v>
      </c>
      <c r="E23" s="2">
        <f t="shared" si="3"/>
        <v>0.72734327060965487</v>
      </c>
      <c r="F23" s="2">
        <f t="shared" si="3"/>
        <v>0.58914804919382036</v>
      </c>
      <c r="G23" s="2">
        <f t="shared" si="3"/>
        <v>0.48689921420976895</v>
      </c>
      <c r="H23" s="2">
        <f t="shared" si="3"/>
        <v>0.40913058971793093</v>
      </c>
      <c r="I23" s="2">
        <f t="shared" si="3"/>
        <v>0.34860831313243817</v>
      </c>
      <c r="J23" s="2">
        <f t="shared" si="3"/>
        <v>0.30058573938460231</v>
      </c>
      <c r="K23" s="2">
        <f t="shared" si="3"/>
        <v>0.26184357741947573</v>
      </c>
      <c r="L23" s="2">
        <f t="shared" si="3"/>
        <v>0.23013595671633608</v>
      </c>
      <c r="M23" s="2">
        <f t="shared" si="3"/>
        <v>0.20385745646844994</v>
      </c>
      <c r="N23" s="2">
        <f t="shared" si="3"/>
        <v>0.18183581765241372</v>
      </c>
      <c r="O23" s="2">
        <f t="shared" si="3"/>
        <v>0.16319890559385608</v>
      </c>
      <c r="P23" s="2">
        <f t="shared" si="3"/>
        <v>0.14728701229845509</v>
      </c>
      <c r="Q23" s="2">
        <f t="shared" si="3"/>
        <v>0.13359366194871211</v>
      </c>
      <c r="R23" s="2">
        <f t="shared" si="3"/>
        <v>0.12172480355244224</v>
      </c>
      <c r="S23" s="2">
        <f t="shared" si="3"/>
        <v>0.11137014162454073</v>
      </c>
      <c r="T23" s="2">
        <f t="shared" si="3"/>
        <v>0.10228264742948273</v>
      </c>
      <c r="U23" s="2">
        <f t="shared" si="3"/>
        <v>9.4263687871011262E-2</v>
      </c>
      <c r="V23" s="2">
        <f t="shared" si="3"/>
        <v>8.7152078283109544E-2</v>
      </c>
      <c r="W23" s="23" t="s">
        <v>61</v>
      </c>
    </row>
    <row r="24" spans="1:23" x14ac:dyDescent="0.45">
      <c r="A24" s="19" t="s">
        <v>32</v>
      </c>
      <c r="B24" s="2">
        <f t="shared" ref="B24:V24" si="4">((1+$B$11)*(B23^2))/(PI()*$J$9)</f>
        <v>4.9656342244671345E-2</v>
      </c>
      <c r="C24" s="2">
        <f t="shared" si="4"/>
        <v>3.1904279067411896E-2</v>
      </c>
      <c r="D24" s="2">
        <f t="shared" si="4"/>
        <v>1.8701702646693338E-2</v>
      </c>
      <c r="E24" s="2">
        <f t="shared" si="4"/>
        <v>1.1675380893286992E-2</v>
      </c>
      <c r="F24" s="2">
        <f t="shared" si="4"/>
        <v>7.6602174040855918E-3</v>
      </c>
      <c r="G24" s="2">
        <f t="shared" si="4"/>
        <v>5.2320315580121537E-3</v>
      </c>
      <c r="H24" s="2">
        <f t="shared" si="4"/>
        <v>3.6941634857665879E-3</v>
      </c>
      <c r="I24" s="2">
        <f t="shared" si="4"/>
        <v>2.6820550415201138E-3</v>
      </c>
      <c r="J24" s="2">
        <f t="shared" si="4"/>
        <v>1.9940174417132435E-3</v>
      </c>
      <c r="K24" s="2">
        <f t="shared" si="4"/>
        <v>1.5131293637699937E-3</v>
      </c>
      <c r="L24" s="2">
        <f t="shared" si="4"/>
        <v>1.1688564154183336E-3</v>
      </c>
      <c r="M24" s="2">
        <f t="shared" si="4"/>
        <v>9.1716064272285918E-4</v>
      </c>
      <c r="N24" s="2">
        <f t="shared" si="4"/>
        <v>7.29711305830437E-4</v>
      </c>
      <c r="O24" s="2">
        <f t="shared" si="4"/>
        <v>5.8779608843437324E-4</v>
      </c>
      <c r="P24" s="2">
        <f t="shared" si="4"/>
        <v>4.7876358775534949E-4</v>
      </c>
      <c r="Q24" s="2">
        <f t="shared" si="4"/>
        <v>3.938799884865665E-4</v>
      </c>
      <c r="R24" s="2">
        <f t="shared" si="4"/>
        <v>3.270019723757596E-4</v>
      </c>
      <c r="S24" s="2">
        <f t="shared" si="4"/>
        <v>2.7373463517088613E-4</v>
      </c>
      <c r="T24" s="2">
        <f t="shared" si="4"/>
        <v>2.3088521786041174E-4</v>
      </c>
      <c r="U24" s="2">
        <f t="shared" si="4"/>
        <v>1.961015655445912E-4</v>
      </c>
      <c r="V24" s="2">
        <f t="shared" si="4"/>
        <v>1.6762844009500711E-4</v>
      </c>
      <c r="W24" s="23" t="s">
        <v>59</v>
      </c>
    </row>
    <row r="25" spans="1:23" x14ac:dyDescent="0.45">
      <c r="A25" s="19" t="s">
        <v>19</v>
      </c>
      <c r="B25" s="2">
        <v>2.62996909074374E-2</v>
      </c>
      <c r="C25" s="2">
        <v>1.86289773519932E-2</v>
      </c>
      <c r="D25" s="2">
        <v>1.2843480112571399E-2</v>
      </c>
      <c r="E25" s="2">
        <v>9.8121395203986297E-3</v>
      </c>
      <c r="F25" s="2">
        <v>8.1758070473596806E-3</v>
      </c>
      <c r="G25" s="2">
        <v>7.9749493381566297E-3</v>
      </c>
      <c r="H25" s="2">
        <v>8.0370514870199104E-3</v>
      </c>
      <c r="I25" s="2">
        <v>8.1974836499532893E-3</v>
      </c>
      <c r="J25" s="2">
        <v>8.3653514057388592E-3</v>
      </c>
      <c r="K25" s="2">
        <v>8.4348891474543292E-3</v>
      </c>
      <c r="L25" s="2">
        <v>8.4772608253743907E-3</v>
      </c>
      <c r="M25" s="2">
        <v>8.4973136369636392E-3</v>
      </c>
      <c r="N25" s="2">
        <v>8.51639700905997E-3</v>
      </c>
      <c r="O25" s="2">
        <v>8.5319225462757893E-3</v>
      </c>
      <c r="P25" s="2">
        <v>8.5367745788500898E-3</v>
      </c>
      <c r="Q25" s="2">
        <v>8.5503588195252195E-3</v>
      </c>
      <c r="R25" s="2">
        <v>8.56103232416674E-3</v>
      </c>
      <c r="S25" s="2">
        <v>8.5865842671771896E-3</v>
      </c>
      <c r="T25" s="2">
        <v>8.5901421020576994E-3</v>
      </c>
      <c r="U25" s="2">
        <v>8.6056676392735204E-3</v>
      </c>
      <c r="V25" s="2">
        <v>8.6182824404557306E-3</v>
      </c>
      <c r="W25" s="23" t="s">
        <v>60</v>
      </c>
    </row>
    <row r="26" spans="1:23" x14ac:dyDescent="0.45">
      <c r="A26" s="17" t="s">
        <v>44</v>
      </c>
      <c r="B26" s="2">
        <f t="shared" ref="B26:V26" si="5">$I$12*B22*(1-$B$16)*$I$14</f>
        <v>0.10721074516785122</v>
      </c>
      <c r="C26" s="2">
        <f t="shared" si="5"/>
        <v>7.9060795893335006E-2</v>
      </c>
      <c r="D26" s="2">
        <f t="shared" si="5"/>
        <v>5.340201213372886E-2</v>
      </c>
      <c r="E26" s="2">
        <f t="shared" si="5"/>
        <v>4.925743774113224E-2</v>
      </c>
      <c r="F26" s="2">
        <f t="shared" si="5"/>
        <v>2.7212722851870357E-2</v>
      </c>
      <c r="G26" s="2">
        <f t="shared" si="5"/>
        <v>1.8680425702311463E-2</v>
      </c>
      <c r="H26" s="2">
        <f t="shared" si="5"/>
        <v>1.2438144057141946E-2</v>
      </c>
      <c r="I26" s="2">
        <f t="shared" si="5"/>
        <v>8.843969143882165E-3</v>
      </c>
      <c r="J26" s="2">
        <f t="shared" si="5"/>
        <v>3.8306919585972977E-3</v>
      </c>
      <c r="K26" s="2">
        <f t="shared" si="5"/>
        <v>7.8470608499829229E-4</v>
      </c>
      <c r="L26" s="2">
        <f t="shared" si="5"/>
        <v>-1.6931967918554704E-3</v>
      </c>
      <c r="M26" s="2">
        <f t="shared" si="5"/>
        <v>-3.7223804144707728E-3</v>
      </c>
      <c r="N26" s="2">
        <f t="shared" si="5"/>
        <v>-5.4443129221149128E-3</v>
      </c>
      <c r="O26" s="2">
        <f t="shared" si="5"/>
        <v>-6.8855195909005105E-3</v>
      </c>
      <c r="P26" s="2">
        <f t="shared" si="5"/>
        <v>-8.1101031714330557E-3</v>
      </c>
      <c r="Q26" s="2">
        <f t="shared" si="5"/>
        <v>-9.168903776261738E-3</v>
      </c>
      <c r="R26" s="2">
        <f t="shared" si="5"/>
        <v>-1.0081815362471018E-2</v>
      </c>
      <c r="S26" s="2">
        <f t="shared" si="5"/>
        <v>-1.0873152766497465E-2</v>
      </c>
      <c r="T26" s="2">
        <f t="shared" si="5"/>
        <v>-1.1562809945425542E-2</v>
      </c>
      <c r="U26" s="2">
        <f t="shared" si="5"/>
        <v>-1.2170680856339712E-2</v>
      </c>
      <c r="V26" s="2">
        <f t="shared" si="5"/>
        <v>-1.2712238576972339E-2</v>
      </c>
      <c r="W26" s="23" t="s">
        <v>62</v>
      </c>
    </row>
    <row r="27" spans="1:23" x14ac:dyDescent="0.45">
      <c r="A27" s="19" t="s">
        <v>53</v>
      </c>
      <c r="B27" s="21">
        <f>((1+$L$11)*(B26^2))/(PI()*$I$17)</f>
        <v>9.102130786945075E-4</v>
      </c>
      <c r="C27" s="21">
        <f>((1+$L$11)*(C26^2))/(PI()*$I$17)</f>
        <v>4.949813164342304E-4</v>
      </c>
      <c r="D27" s="21">
        <f t="shared" ref="D27:V27" si="6">((1+$L$11)*(D26^2))/(PI()*$I$17)</f>
        <v>2.2583002602321459E-4</v>
      </c>
      <c r="E27" s="21">
        <f t="shared" si="6"/>
        <v>1.9213658905250746E-4</v>
      </c>
      <c r="F27" s="21">
        <f t="shared" si="6"/>
        <v>5.8642224952432596E-5</v>
      </c>
      <c r="G27" s="21">
        <f t="shared" si="6"/>
        <v>2.7633759933155704E-5</v>
      </c>
      <c r="H27" s="21">
        <f t="shared" si="6"/>
        <v>1.2251171156119612E-5</v>
      </c>
      <c r="I27" s="21">
        <f t="shared" si="6"/>
        <v>6.1938527969972284E-6</v>
      </c>
      <c r="J27" s="21">
        <f t="shared" si="6"/>
        <v>1.162039530909637E-6</v>
      </c>
      <c r="K27" s="21">
        <f t="shared" si="6"/>
        <v>4.8761884681389963E-8</v>
      </c>
      <c r="L27" s="21">
        <f t="shared" si="6"/>
        <v>2.2702898955059437E-7</v>
      </c>
      <c r="M27" s="21">
        <f t="shared" si="6"/>
        <v>1.0972559670305719E-6</v>
      </c>
      <c r="N27" s="21">
        <f t="shared" si="6"/>
        <v>2.3472135339238957E-6</v>
      </c>
      <c r="O27" s="21">
        <f t="shared" si="6"/>
        <v>3.7543942748468985E-6</v>
      </c>
      <c r="P27" s="21">
        <f t="shared" si="6"/>
        <v>5.2085783385320108E-6</v>
      </c>
      <c r="Q27" s="21">
        <f t="shared" si="6"/>
        <v>6.6573481982707112E-6</v>
      </c>
      <c r="R27" s="21">
        <f t="shared" si="6"/>
        <v>8.049036956644549E-6</v>
      </c>
      <c r="S27" s="21">
        <f t="shared" si="6"/>
        <v>9.362189384393714E-6</v>
      </c>
      <c r="T27" s="21">
        <f t="shared" si="6"/>
        <v>1.0587494969865056E-5</v>
      </c>
      <c r="U27" s="21">
        <f t="shared" si="6"/>
        <v>1.1729950814749983E-5</v>
      </c>
      <c r="V27" s="21">
        <f t="shared" si="6"/>
        <v>1.2797069015783988E-5</v>
      </c>
      <c r="W27" s="23" t="s">
        <v>62</v>
      </c>
    </row>
    <row r="28" spans="1:23" x14ac:dyDescent="0.45">
      <c r="A28" s="19" t="s">
        <v>21</v>
      </c>
      <c r="B28" s="2">
        <v>3.0822223606353201E-3</v>
      </c>
      <c r="C28" s="2">
        <v>2.3200506591923601E-3</v>
      </c>
      <c r="D28" s="2">
        <v>2E-3</v>
      </c>
      <c r="E28" s="2">
        <v>1.7926278417938299E-3</v>
      </c>
      <c r="F28" s="2">
        <v>1.7103132980379901E-3</v>
      </c>
      <c r="G28" s="2">
        <v>1.67982642998028E-3</v>
      </c>
      <c r="H28" s="2">
        <v>1.66458299595142E-3</v>
      </c>
      <c r="I28" s="2">
        <v>1.6554369355341E-3</v>
      </c>
      <c r="J28" s="2">
        <v>1.6523882487283299E-3</v>
      </c>
      <c r="K28" s="2">
        <v>1.6523882487283299E-3</v>
      </c>
      <c r="L28" s="2">
        <v>1.6554369355341E-3</v>
      </c>
      <c r="M28" s="2">
        <v>1.6554369355341E-3</v>
      </c>
      <c r="N28" s="2">
        <v>1.6554369355341E-3</v>
      </c>
      <c r="O28" s="2">
        <v>1.6615343091456499E-3</v>
      </c>
      <c r="P28" s="2">
        <v>1.66458299595142E-3</v>
      </c>
      <c r="Q28" s="2">
        <v>1.6676316827571899E-3</v>
      </c>
      <c r="R28" s="2">
        <v>1.6737290563687301E-3</v>
      </c>
      <c r="S28" s="2">
        <v>1.6767777431745E-3</v>
      </c>
      <c r="T28" s="2">
        <v>1.67982642998028E-3</v>
      </c>
      <c r="U28" s="2">
        <v>1.6889724903975899E-3</v>
      </c>
      <c r="V28" s="2">
        <v>1.6889724903975899E-3</v>
      </c>
      <c r="W28" s="23" t="s">
        <v>60</v>
      </c>
    </row>
    <row r="29" spans="1:23" x14ac:dyDescent="0.45">
      <c r="A29" s="19" t="s">
        <v>20</v>
      </c>
      <c r="B29" s="2">
        <v>1.71032388663968E-3</v>
      </c>
      <c r="C29" s="2">
        <v>1.6829933561714899E-3</v>
      </c>
      <c r="D29" s="2">
        <v>1.66646942800789E-3</v>
      </c>
      <c r="E29" s="2">
        <v>1.65707204401536E-3</v>
      </c>
      <c r="F29" s="2">
        <v>1.6508071213536799E-3</v>
      </c>
      <c r="G29" s="2">
        <v>1.6445421986920001E-3</v>
      </c>
      <c r="H29" s="2">
        <v>1.64054811585176E-3</v>
      </c>
      <c r="I29" s="2">
        <v>1.63514481469947E-3</v>
      </c>
      <c r="J29" s="2">
        <v>1.63514481469947E-3</v>
      </c>
      <c r="K29" s="2">
        <v>1.63827727603031E-3</v>
      </c>
      <c r="L29" s="2">
        <v>1.63514481469947E-3</v>
      </c>
      <c r="M29" s="2">
        <v>1.63514481469947E-3</v>
      </c>
      <c r="N29" s="2">
        <v>1.6414097373611499E-3</v>
      </c>
      <c r="O29" s="2">
        <v>1.63827727603031E-3</v>
      </c>
      <c r="P29" s="2">
        <v>1.6422713588705501E-3</v>
      </c>
      <c r="Q29" s="2">
        <v>1.6414097373611499E-3</v>
      </c>
      <c r="R29" s="2">
        <v>1.64767466002284E-3</v>
      </c>
      <c r="S29" s="2">
        <v>1.6445421986920001E-3</v>
      </c>
      <c r="T29" s="2">
        <v>1.6539395826845201E-3</v>
      </c>
      <c r="U29" s="2">
        <v>1.6508071213536799E-3</v>
      </c>
      <c r="V29" s="2">
        <v>1.66020450534621E-3</v>
      </c>
      <c r="W29" s="23" t="s">
        <v>60</v>
      </c>
    </row>
    <row r="30" spans="1:23" x14ac:dyDescent="0.45">
      <c r="A30" s="24"/>
      <c r="W30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EddieH</dc:creator>
  <cp:lastModifiedBy>EddieH</cp:lastModifiedBy>
  <dcterms:created xsi:type="dcterms:W3CDTF">2022-02-11T20:38:39Z</dcterms:created>
  <dcterms:modified xsi:type="dcterms:W3CDTF">2022-02-16T23:02:24Z</dcterms:modified>
</cp:coreProperties>
</file>