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toph\projects\tax-aware-portfolio\"/>
    </mc:Choice>
  </mc:AlternateContent>
  <xr:revisionPtr revIDLastSave="0" documentId="13_ncr:1_{58C315AB-D53E-4530-AE17-F5FC4B9D5274}" xr6:coauthVersionLast="47" xr6:coauthVersionMax="47" xr10:uidLastSave="{00000000-0000-0000-0000-000000000000}"/>
  <bookViews>
    <workbookView xWindow="-108" yWindow="-108" windowWidth="23256" windowHeight="12456" xr2:uid="{479A00DE-E2FA-4AAC-9746-77087B1E4B23}"/>
  </bookViews>
  <sheets>
    <sheet name="Sheet1" sheetId="1" r:id="rId1"/>
  </sheets>
  <definedNames>
    <definedName name="solver_adj" localSheetId="0" hidden="1">Sheet1!$I$4:$I$7,Sheet1!$K$8:$K$9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Sheet1!$I$4:$I$7</definedName>
    <definedName name="solver_lhs2" localSheetId="0" hidden="1">Sheet1!$I$4:$I$7</definedName>
    <definedName name="solver_lhs3" localSheetId="0" hidden="1">Sheet1!$K$11</definedName>
    <definedName name="solver_lhs4" localSheetId="0" hidden="1">Sheet1!$K$8:$K$9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Sheet1!$F$11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6" i="1"/>
  <c r="J4" i="1"/>
  <c r="H5" i="1"/>
  <c r="O5" i="1" s="1"/>
  <c r="H6" i="1"/>
  <c r="O6" i="1" s="1"/>
  <c r="H7" i="1"/>
  <c r="O7" i="1" s="1"/>
  <c r="H4" i="1"/>
  <c r="O4" i="1" s="1"/>
  <c r="G7" i="1"/>
  <c r="F11" i="1"/>
  <c r="K5" i="1"/>
  <c r="K6" i="1"/>
  <c r="K7" i="1"/>
  <c r="K4" i="1"/>
  <c r="G5" i="1"/>
  <c r="G6" i="1"/>
  <c r="G4" i="1"/>
  <c r="E7" i="1"/>
  <c r="E6" i="1"/>
  <c r="E5" i="1"/>
  <c r="E4" i="1"/>
  <c r="N4" i="1" s="1"/>
  <c r="B20" i="1" l="1"/>
  <c r="S3" i="1"/>
  <c r="S4" i="1"/>
  <c r="B21" i="1"/>
  <c r="K11" i="1"/>
  <c r="L9" i="1"/>
  <c r="L8" i="1"/>
  <c r="L7" i="1"/>
  <c r="L6" i="1"/>
  <c r="L4" i="1"/>
  <c r="L5" i="1"/>
  <c r="T3" i="1" l="1"/>
  <c r="U3" i="1" s="1"/>
  <c r="T4" i="1"/>
  <c r="U4" i="1" s="1"/>
  <c r="C20" i="1"/>
  <c r="C21" i="1"/>
  <c r="M14" i="1"/>
  <c r="M15" i="1"/>
  <c r="C13" i="1"/>
  <c r="C14" i="1" l="1"/>
  <c r="C15" i="1"/>
  <c r="C17" i="1" l="1"/>
</calcChain>
</file>

<file path=xl/sharedStrings.xml><?xml version="1.0" encoding="utf-8"?>
<sst xmlns="http://schemas.openxmlformats.org/spreadsheetml/2006/main" count="47" uniqueCount="34">
  <si>
    <t>Ticker</t>
  </si>
  <si>
    <t>AAPL</t>
  </si>
  <si>
    <t>TaxLot</t>
  </si>
  <si>
    <t>MSFT</t>
  </si>
  <si>
    <t>Shares</t>
  </si>
  <si>
    <t>PurchaseP</t>
  </si>
  <si>
    <t>PurchaseD</t>
  </si>
  <si>
    <t>CurrentD</t>
  </si>
  <si>
    <t>cov</t>
  </si>
  <si>
    <t>alpha</t>
  </si>
  <si>
    <t>CurrentP</t>
  </si>
  <si>
    <t>CurrentW</t>
  </si>
  <si>
    <t>SellFraction</t>
  </si>
  <si>
    <t>NewShares</t>
  </si>
  <si>
    <t>NewWeight</t>
  </si>
  <si>
    <t>AAPL - Buys</t>
  </si>
  <si>
    <t>MSFT - Buys</t>
  </si>
  <si>
    <t>return</t>
  </si>
  <si>
    <t>long term</t>
  </si>
  <si>
    <t>short term</t>
  </si>
  <si>
    <t>gain</t>
  </si>
  <si>
    <t>gain/share</t>
  </si>
  <si>
    <t>tax</t>
  </si>
  <si>
    <t>value</t>
  </si>
  <si>
    <t>risk</t>
  </si>
  <si>
    <t>total</t>
  </si>
  <si>
    <t>w</t>
  </si>
  <si>
    <t>OptimizedW</t>
  </si>
  <si>
    <t>gain type</t>
  </si>
  <si>
    <t>Net gain</t>
  </si>
  <si>
    <t>net LT</t>
  </si>
  <si>
    <t>net ST</t>
  </si>
  <si>
    <t>Final gain</t>
  </si>
  <si>
    <t>SellShares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</si>
</sst>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0" fontId="0" fillId="0" borderId="0" xfId="2" applyNumberFormat="1" applyFont="1" applyBorder="1"/>
    <xf numFmtId="0" fontId="0" fillId="3" borderId="0" xfId="0" applyFill="1"/>
    <xf numFmtId="44" fontId="0" fillId="3" borderId="0" xfId="1" applyFont="1" applyFill="1" applyBorder="1"/>
    <xf numFmtId="14" fontId="0" fillId="3" borderId="0" xfId="0" applyNumberFormat="1" applyFill="1"/>
    <xf numFmtId="0" fontId="0" fillId="0" borderId="3" xfId="0" applyBorder="1"/>
    <xf numFmtId="2" fontId="0" fillId="0" borderId="5" xfId="2" applyNumberFormat="1" applyFont="1" applyBorder="1"/>
    <xf numFmtId="0" fontId="0" fillId="3" borderId="7" xfId="0" applyFill="1" applyBorder="1"/>
    <xf numFmtId="44" fontId="0" fillId="3" borderId="7" xfId="1" applyFont="1" applyFill="1" applyBorder="1"/>
    <xf numFmtId="14" fontId="0" fillId="3" borderId="7" xfId="0" applyNumberFormat="1" applyFill="1" applyBorder="1"/>
    <xf numFmtId="10" fontId="0" fillId="0" borderId="7" xfId="2" applyNumberFormat="1" applyFont="1" applyBorder="1"/>
    <xf numFmtId="2" fontId="0" fillId="0" borderId="8" xfId="2" applyNumberFormat="1" applyFont="1" applyBorder="1"/>
    <xf numFmtId="2" fontId="0" fillId="0" borderId="0" xfId="0" applyNumberFormat="1"/>
    <xf numFmtId="2" fontId="0" fillId="2" borderId="0" xfId="0" applyNumberFormat="1" applyFill="1"/>
    <xf numFmtId="164" fontId="0" fillId="3" borderId="0" xfId="2" applyNumberFormat="1" applyFont="1" applyFill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6EE-72B8-43A0-A297-501044A2E4E1}">
  <dimension ref="A1:U23"/>
  <sheetViews>
    <sheetView tabSelected="1" workbookViewId="0">
      <selection activeCell="J7" sqref="J7"/>
    </sheetView>
  </sheetViews>
  <sheetFormatPr defaultRowHeight="14.4" x14ac:dyDescent="0.3"/>
  <cols>
    <col min="3" max="3" width="10" bestFit="1" customWidth="1"/>
    <col min="5" max="5" width="10.5546875" bestFit="1" customWidth="1"/>
    <col min="6" max="6" width="10.5546875" customWidth="1"/>
    <col min="20" max="20" width="9.5546875" bestFit="1" customWidth="1"/>
  </cols>
  <sheetData>
    <row r="1" spans="1:21" x14ac:dyDescent="0.3">
      <c r="A1" t="s">
        <v>7</v>
      </c>
      <c r="B1" s="1">
        <v>45756</v>
      </c>
    </row>
    <row r="2" spans="1:21" ht="15" thickBot="1" x14ac:dyDescent="0.35">
      <c r="S2" t="s">
        <v>29</v>
      </c>
      <c r="T2" t="s">
        <v>32</v>
      </c>
      <c r="U2" t="s">
        <v>22</v>
      </c>
    </row>
    <row r="3" spans="1:21" x14ac:dyDescent="0.3">
      <c r="A3" s="6" t="s">
        <v>0</v>
      </c>
      <c r="B3" s="7" t="s">
        <v>2</v>
      </c>
      <c r="C3" s="7" t="s">
        <v>4</v>
      </c>
      <c r="D3" s="7" t="s">
        <v>5</v>
      </c>
      <c r="E3" s="7" t="s">
        <v>6</v>
      </c>
      <c r="F3" s="7" t="s">
        <v>10</v>
      </c>
      <c r="G3" s="7" t="s">
        <v>11</v>
      </c>
      <c r="H3" s="15" t="s">
        <v>21</v>
      </c>
      <c r="I3" t="s">
        <v>12</v>
      </c>
      <c r="J3" t="s">
        <v>33</v>
      </c>
      <c r="K3" t="s">
        <v>13</v>
      </c>
      <c r="L3" t="s">
        <v>14</v>
      </c>
      <c r="M3" t="s">
        <v>9</v>
      </c>
      <c r="N3" t="s">
        <v>28</v>
      </c>
      <c r="O3" t="s">
        <v>20</v>
      </c>
      <c r="R3" t="s">
        <v>31</v>
      </c>
      <c r="S3">
        <f>SUMIF(N4:N7,"=short term",O4:O7)</f>
        <v>19.298245125612038</v>
      </c>
      <c r="T3" s="22">
        <f>IF(S3*S4&lt;0,IF(S3&gt;-S4,S3+S4,0),S3)</f>
        <v>19.298245125612038</v>
      </c>
      <c r="U3">
        <f>T3*0.35</f>
        <v>6.7543857939642127</v>
      </c>
    </row>
    <row r="4" spans="1:21" x14ac:dyDescent="0.3">
      <c r="A4" s="8" t="s">
        <v>1</v>
      </c>
      <c r="B4">
        <v>1</v>
      </c>
      <c r="C4" s="12">
        <v>10</v>
      </c>
      <c r="D4" s="13">
        <v>190</v>
      </c>
      <c r="E4" s="14">
        <f>$B$1-400</f>
        <v>45356</v>
      </c>
      <c r="F4" s="12">
        <v>200</v>
      </c>
      <c r="G4" s="11">
        <f>C4*F4/SUMPRODUCT($C$4:$C$7,$F$4:$F$7)</f>
        <v>0.33333333333333331</v>
      </c>
      <c r="H4" s="16">
        <f>F4-D4</f>
        <v>10</v>
      </c>
      <c r="I4" s="4">
        <v>0</v>
      </c>
      <c r="J4">
        <f>I4*C4</f>
        <v>0</v>
      </c>
      <c r="K4" s="22">
        <f>(1-I4)*C4</f>
        <v>10</v>
      </c>
      <c r="L4" s="3">
        <f>K4*F4/SUMPRODUCT($K$4:$K$9,$F$4:$F$9)</f>
        <v>0.33333333042740032</v>
      </c>
      <c r="M4" s="24">
        <v>0.08</v>
      </c>
      <c r="N4" t="str">
        <f>IF($B$1-E4&gt;=365,"long term","short term")</f>
        <v>long term</v>
      </c>
      <c r="O4" s="22">
        <f>I4*C4*H4</f>
        <v>0</v>
      </c>
      <c r="R4" t="s">
        <v>30</v>
      </c>
      <c r="S4">
        <f>SUMIF(N4:N7,"=long term",O4:O7)</f>
        <v>0</v>
      </c>
      <c r="T4" s="22">
        <f>IF(S3*S4&lt;0,IF(S3&gt;-S4,0,S3+S4),S4)</f>
        <v>0</v>
      </c>
      <c r="U4">
        <f>T4*0.15</f>
        <v>0</v>
      </c>
    </row>
    <row r="5" spans="1:21" x14ac:dyDescent="0.3">
      <c r="A5" s="8" t="s">
        <v>1</v>
      </c>
      <c r="B5">
        <v>2</v>
      </c>
      <c r="C5" s="12">
        <v>5</v>
      </c>
      <c r="D5" s="13">
        <v>160</v>
      </c>
      <c r="E5" s="14">
        <f>$B$1-200</f>
        <v>45556</v>
      </c>
      <c r="F5" s="12">
        <v>200</v>
      </c>
      <c r="G5" s="11">
        <f t="shared" ref="G5:G7" si="0">C5*F5/SUMPRODUCT($C$4:$C$7,$F$4:$F$7)</f>
        <v>0.16666666666666666</v>
      </c>
      <c r="H5" s="16">
        <f t="shared" ref="H5:H7" si="1">F5-D5</f>
        <v>40</v>
      </c>
      <c r="I5" s="4">
        <v>0</v>
      </c>
      <c r="J5">
        <f t="shared" ref="J5:J7" si="2">I5*C5</f>
        <v>0</v>
      </c>
      <c r="K5" s="22">
        <f t="shared" ref="K5:K7" si="3">(1-I5)*C5</f>
        <v>5</v>
      </c>
      <c r="L5" s="3">
        <f t="shared" ref="L5:L9" si="4">K5*F5/SUMPRODUCT($K$4:$K$9,$F$4:$F$9)</f>
        <v>0.16666666521370016</v>
      </c>
      <c r="M5" s="24">
        <v>0.08</v>
      </c>
      <c r="N5" t="s">
        <v>19</v>
      </c>
      <c r="O5" s="22">
        <f t="shared" ref="O5:O7" si="5">I5*C5*H5</f>
        <v>0</v>
      </c>
    </row>
    <row r="6" spans="1:21" x14ac:dyDescent="0.3">
      <c r="A6" s="8" t="s">
        <v>3</v>
      </c>
      <c r="B6">
        <v>1</v>
      </c>
      <c r="C6" s="12">
        <v>8</v>
      </c>
      <c r="D6" s="13">
        <v>250</v>
      </c>
      <c r="E6" s="14">
        <f>$B$1-500</f>
        <v>45256</v>
      </c>
      <c r="F6" s="12">
        <v>300</v>
      </c>
      <c r="G6" s="11">
        <f t="shared" si="0"/>
        <v>0.4</v>
      </c>
      <c r="H6" s="16">
        <f t="shared" si="1"/>
        <v>50</v>
      </c>
      <c r="I6" s="4">
        <v>0</v>
      </c>
      <c r="J6">
        <f t="shared" si="2"/>
        <v>0</v>
      </c>
      <c r="K6" s="22">
        <f t="shared" si="3"/>
        <v>8</v>
      </c>
      <c r="L6" s="3">
        <f t="shared" si="4"/>
        <v>0.39999999651288037</v>
      </c>
      <c r="M6" s="24">
        <v>0.12</v>
      </c>
      <c r="N6" t="s">
        <v>18</v>
      </c>
      <c r="O6" s="22">
        <f t="shared" si="5"/>
        <v>0</v>
      </c>
    </row>
    <row r="7" spans="1:21" ht="15" thickBot="1" x14ac:dyDescent="0.35">
      <c r="A7" s="9" t="s">
        <v>3</v>
      </c>
      <c r="B7" s="10">
        <v>2</v>
      </c>
      <c r="C7" s="17">
        <v>2</v>
      </c>
      <c r="D7" s="18">
        <v>280</v>
      </c>
      <c r="E7" s="19">
        <f>$B$1-100</f>
        <v>45656</v>
      </c>
      <c r="F7" s="17">
        <v>300</v>
      </c>
      <c r="G7" s="20">
        <f t="shared" si="0"/>
        <v>0.1</v>
      </c>
      <c r="H7" s="21">
        <f t="shared" si="1"/>
        <v>20</v>
      </c>
      <c r="I7" s="4">
        <v>0.48245612814030098</v>
      </c>
      <c r="J7">
        <f t="shared" si="2"/>
        <v>0.96491225628060195</v>
      </c>
      <c r="K7" s="22">
        <f t="shared" si="3"/>
        <v>1.0350877437193979</v>
      </c>
      <c r="L7" s="3">
        <f t="shared" si="4"/>
        <v>5.1754386734785544E-2</v>
      </c>
      <c r="M7" s="24">
        <v>0.12</v>
      </c>
      <c r="N7" t="s">
        <v>19</v>
      </c>
      <c r="O7" s="22">
        <f t="shared" si="5"/>
        <v>19.298245125612038</v>
      </c>
    </row>
    <row r="8" spans="1:21" x14ac:dyDescent="0.3">
      <c r="A8" t="s">
        <v>15</v>
      </c>
      <c r="E8" s="1"/>
      <c r="F8" s="12">
        <v>200</v>
      </c>
      <c r="G8" s="3"/>
      <c r="H8" s="3"/>
      <c r="K8" s="23">
        <v>1.4473685610220886</v>
      </c>
      <c r="L8" s="3">
        <f t="shared" si="4"/>
        <v>4.8245618280140679E-2</v>
      </c>
      <c r="M8" s="24">
        <v>0.08</v>
      </c>
    </row>
    <row r="9" spans="1:21" x14ac:dyDescent="0.3">
      <c r="A9" t="s">
        <v>16</v>
      </c>
      <c r="F9" s="12">
        <v>300</v>
      </c>
      <c r="K9" s="23">
        <v>5.6621855467300016E-8</v>
      </c>
      <c r="L9" s="3">
        <f t="shared" si="4"/>
        <v>2.8310927486841029E-9</v>
      </c>
      <c r="M9" s="24">
        <v>0.12</v>
      </c>
    </row>
    <row r="11" spans="1:21" x14ac:dyDescent="0.3">
      <c r="A11" t="s">
        <v>23</v>
      </c>
      <c r="F11">
        <f>SUMPRODUCT($C$4:$C$9,$F$4:$F$9)</f>
        <v>6000</v>
      </c>
      <c r="K11">
        <f>SUMPRODUCT($F$4:$F$9,$K$4:$K$9)</f>
        <v>6000.0000523067947</v>
      </c>
    </row>
    <row r="12" spans="1:21" x14ac:dyDescent="0.3">
      <c r="L12" s="2"/>
    </row>
    <row r="13" spans="1:21" x14ac:dyDescent="0.3">
      <c r="B13" t="s">
        <v>17</v>
      </c>
      <c r="C13" s="3">
        <f>SUMPRODUCT(L4:L9,M4:M9)</f>
        <v>9.8070175443150345E-2</v>
      </c>
      <c r="M13" t="s">
        <v>26</v>
      </c>
      <c r="O13" t="s">
        <v>8</v>
      </c>
      <c r="P13" t="s">
        <v>1</v>
      </c>
      <c r="Q13" t="s">
        <v>3</v>
      </c>
    </row>
    <row r="14" spans="1:21" x14ac:dyDescent="0.3">
      <c r="B14" t="s">
        <v>22</v>
      </c>
      <c r="C14" s="3">
        <f>(U3+U4)/F11</f>
        <v>1.1257309656607021E-3</v>
      </c>
      <c r="L14" t="s">
        <v>1</v>
      </c>
      <c r="M14">
        <f>L4+L5+L8</f>
        <v>0.54824561392124116</v>
      </c>
      <c r="O14" t="s">
        <v>1</v>
      </c>
      <c r="P14">
        <v>0.1</v>
      </c>
      <c r="Q14">
        <v>0.03</v>
      </c>
    </row>
    <row r="15" spans="1:21" x14ac:dyDescent="0.3">
      <c r="B15" t="s">
        <v>24</v>
      </c>
      <c r="C15" s="3">
        <f>M14*M14*P14+M15*M15*Q15+2*P15*M14*M15</f>
        <v>7.5529970763839036E-2</v>
      </c>
      <c r="L15" t="s">
        <v>3</v>
      </c>
      <c r="M15">
        <f>L6+L7+L9</f>
        <v>0.45175438607875867</v>
      </c>
      <c r="O15" t="s">
        <v>3</v>
      </c>
      <c r="P15">
        <v>0.03</v>
      </c>
      <c r="Q15">
        <v>0.15</v>
      </c>
    </row>
    <row r="17" spans="1:9" x14ac:dyDescent="0.3">
      <c r="B17" t="s">
        <v>25</v>
      </c>
      <c r="C17" s="25">
        <f>C13-C14-2*C15</f>
        <v>-5.4115497050188421E-2</v>
      </c>
    </row>
    <row r="19" spans="1:9" x14ac:dyDescent="0.3">
      <c r="B19" t="s">
        <v>11</v>
      </c>
      <c r="C19" t="s">
        <v>27</v>
      </c>
      <c r="I19" s="3"/>
    </row>
    <row r="20" spans="1:9" x14ac:dyDescent="0.3">
      <c r="A20" t="s">
        <v>1</v>
      </c>
      <c r="B20" s="5">
        <f>G4+G5</f>
        <v>0.5</v>
      </c>
      <c r="C20" s="3">
        <f>L4+L5+L8</f>
        <v>0.54824561392124116</v>
      </c>
      <c r="I20" s="3"/>
    </row>
    <row r="21" spans="1:9" x14ac:dyDescent="0.3">
      <c r="A21" t="s">
        <v>3</v>
      </c>
      <c r="B21" s="5">
        <f>G6+G7</f>
        <v>0.5</v>
      </c>
      <c r="C21" s="3">
        <f>L6+L7+L9</f>
        <v>0.45175438607875867</v>
      </c>
      <c r="I21" s="3"/>
    </row>
    <row r="22" spans="1:9" x14ac:dyDescent="0.3">
      <c r="I22" s="3"/>
    </row>
    <row r="23" spans="1:9" x14ac:dyDescent="0.3">
      <c r="I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Gackstatter</dc:creator>
  <cp:lastModifiedBy>Christoph Gackstatter</cp:lastModifiedBy>
  <dcterms:created xsi:type="dcterms:W3CDTF">2025-04-09T22:39:57Z</dcterms:created>
  <dcterms:modified xsi:type="dcterms:W3CDTF">2025-04-11T02:55:57Z</dcterms:modified>
</cp:coreProperties>
</file>