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hristoph\projects\tax-aware-portfolio\"/>
    </mc:Choice>
  </mc:AlternateContent>
  <xr:revisionPtr revIDLastSave="0" documentId="13_ncr:1_{D98E6082-9B98-4358-A2E8-3D25CEBDFA4C}" xr6:coauthVersionLast="47" xr6:coauthVersionMax="47" xr10:uidLastSave="{00000000-0000-0000-0000-000000000000}"/>
  <bookViews>
    <workbookView xWindow="-108" yWindow="-108" windowWidth="23256" windowHeight="12456" xr2:uid="{479A00DE-E2FA-4AAC-9746-77087B1E4B23}"/>
  </bookViews>
  <sheets>
    <sheet name="Sheet1" sheetId="1" r:id="rId1"/>
  </sheets>
  <definedNames>
    <definedName name="solver_adj" localSheetId="0" hidden="1">Sheet1!$J$11:$J$14,Sheet1!$L$17:$L$18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Sheet1!$J$11:$J$14</definedName>
    <definedName name="solver_lhs2" localSheetId="0" hidden="1">Sheet1!$D$20</definedName>
    <definedName name="solver_lhs3" localSheetId="0" hidden="1">Sheet1!$L$17:$L$18</definedName>
    <definedName name="solver_lhs4" localSheetId="0" hidden="1">Sheet1!$J$11:$J$14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Sheet1!$C$27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el3" localSheetId="0" hidden="1">3</definedName>
    <definedName name="solver_rel4" localSheetId="0" hidden="1">1</definedName>
    <definedName name="solver_rhs1" localSheetId="0" hidden="1">0</definedName>
    <definedName name="solver_rhs2" localSheetId="0" hidden="1">Sheet1!$L$20</definedName>
    <definedName name="solver_rhs3" localSheetId="0" hidden="1">0</definedName>
    <definedName name="solver_rhs4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8" i="1" l="1"/>
  <c r="N17" i="1"/>
  <c r="N12" i="1"/>
  <c r="N13" i="1"/>
  <c r="N14" i="1"/>
  <c r="N11" i="1"/>
  <c r="G12" i="1"/>
  <c r="I12" i="1" s="1"/>
  <c r="P12" i="1" s="1"/>
  <c r="G24" i="1" s="1"/>
  <c r="G13" i="1"/>
  <c r="I13" i="1" s="1"/>
  <c r="P13" i="1" s="1"/>
  <c r="G14" i="1"/>
  <c r="I14" i="1" s="1"/>
  <c r="P14" i="1" s="1"/>
  <c r="G11" i="1"/>
  <c r="D20" i="1" s="1"/>
  <c r="K14" i="1"/>
  <c r="K12" i="1"/>
  <c r="K13" i="1"/>
  <c r="K11" i="1"/>
  <c r="L12" i="1"/>
  <c r="L13" i="1"/>
  <c r="L14" i="1"/>
  <c r="L11" i="1"/>
  <c r="O14" i="1"/>
  <c r="O13" i="1"/>
  <c r="O12" i="1"/>
  <c r="O11" i="1"/>
  <c r="H13" i="1" l="1"/>
  <c r="I11" i="1"/>
  <c r="P11" i="1" s="1"/>
  <c r="G25" i="1" s="1"/>
  <c r="H25" i="1" s="1"/>
  <c r="I25" i="1" s="1"/>
  <c r="H12" i="1"/>
  <c r="H14" i="1"/>
  <c r="H11" i="1"/>
  <c r="L20" i="1"/>
  <c r="M18" i="1"/>
  <c r="M17" i="1"/>
  <c r="M14" i="1"/>
  <c r="M13" i="1"/>
  <c r="M11" i="1"/>
  <c r="M12" i="1"/>
  <c r="H24" i="1" l="1"/>
  <c r="I24" i="1" s="1"/>
  <c r="I27" i="1" s="1"/>
  <c r="C24" i="1" s="1"/>
  <c r="C25" i="1"/>
  <c r="C23" i="1"/>
  <c r="C27" i="1" l="1"/>
</calcChain>
</file>

<file path=xl/sharedStrings.xml><?xml version="1.0" encoding="utf-8"?>
<sst xmlns="http://schemas.openxmlformats.org/spreadsheetml/2006/main" count="62" uniqueCount="48">
  <si>
    <t>Ticker</t>
  </si>
  <si>
    <t>AAPL</t>
  </si>
  <si>
    <t>TaxLot</t>
  </si>
  <si>
    <t>MSFT</t>
  </si>
  <si>
    <t>Shares</t>
  </si>
  <si>
    <t>alpha</t>
  </si>
  <si>
    <t>SellFraction</t>
  </si>
  <si>
    <t>NewShares</t>
  </si>
  <si>
    <t>NewWeight</t>
  </si>
  <si>
    <t>return</t>
  </si>
  <si>
    <t>gain</t>
  </si>
  <si>
    <t>gain/share</t>
  </si>
  <si>
    <t>tax</t>
  </si>
  <si>
    <t>risk</t>
  </si>
  <si>
    <t>total</t>
  </si>
  <si>
    <t>gain type</t>
  </si>
  <si>
    <t>Net gain</t>
  </si>
  <si>
    <t>net LT</t>
  </si>
  <si>
    <t>net ST</t>
  </si>
  <si>
    <t>Final gain</t>
  </si>
  <si>
    <t>SellShares</t>
  </si>
  <si>
    <t>Market Parameters</t>
  </si>
  <si>
    <t>CurrentDate</t>
  </si>
  <si>
    <t>CovMatrix</t>
  </si>
  <si>
    <t>Tax Lots</t>
  </si>
  <si>
    <t>PurchasePrice</t>
  </si>
  <si>
    <t>PurchaseDate</t>
  </si>
  <si>
    <t>CurrentPrice</t>
  </si>
  <si>
    <t>Buys</t>
  </si>
  <si>
    <t>CurrentWeight</t>
  </si>
  <si>
    <t>Portfolio value</t>
  </si>
  <si>
    <t>Example parameters</t>
  </si>
  <si>
    <t>Optimization variables</t>
  </si>
  <si>
    <t>Objective</t>
  </si>
  <si>
    <t>Taxes</t>
  </si>
  <si>
    <t>Tax</t>
  </si>
  <si>
    <t>Total tax liability</t>
  </si>
  <si>
    <t>risk aversion</t>
  </si>
  <si>
    <t>tax aversion</t>
  </si>
  <si>
    <t>Portfolio value w/ old shares</t>
  </si>
  <si>
    <t>==</t>
  </si>
  <si>
    <t>Portfolio value w/ new shares</t>
  </si>
  <si>
    <t>Sell fraction</t>
  </si>
  <si>
    <t>&gt;=</t>
  </si>
  <si>
    <t>&lt;=</t>
  </si>
  <si>
    <t>New shares from Buys</t>
  </si>
  <si>
    <t>Objective (Max)</t>
  </si>
  <si>
    <t>Optimizer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</si>
</sst>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14" fontId="0" fillId="0" borderId="0" xfId="0" applyNumberFormat="1"/>
    <xf numFmtId="9" fontId="0" fillId="0" borderId="0" xfId="2" applyFont="1"/>
    <xf numFmtId="10" fontId="0" fillId="0" borderId="0" xfId="2" applyNumberFormat="1" applyFont="1"/>
    <xf numFmtId="10" fontId="0" fillId="0" borderId="0" xfId="0" applyNumberFormat="1"/>
    <xf numFmtId="2" fontId="0" fillId="0" borderId="0" xfId="0" applyNumberFormat="1"/>
    <xf numFmtId="0" fontId="0" fillId="0" borderId="0" xfId="0" applyFill="1"/>
    <xf numFmtId="44" fontId="0" fillId="0" borderId="0" xfId="1" applyFont="1" applyFill="1" applyBorder="1"/>
    <xf numFmtId="14" fontId="0" fillId="0" borderId="0" xfId="0" applyNumberFormat="1" applyFill="1"/>
    <xf numFmtId="10" fontId="0" fillId="0" borderId="0" xfId="2" applyNumberFormat="1" applyFont="1" applyFill="1" applyBorder="1"/>
    <xf numFmtId="2" fontId="0" fillId="0" borderId="0" xfId="0" applyNumberFormat="1" applyFill="1"/>
    <xf numFmtId="10" fontId="0" fillId="0" borderId="0" xfId="2" applyNumberFormat="1" applyFont="1" applyFill="1"/>
    <xf numFmtId="164" fontId="0" fillId="0" borderId="0" xfId="2" applyNumberFormat="1" applyFont="1" applyFill="1"/>
    <xf numFmtId="0" fontId="2" fillId="0" borderId="0" xfId="0" applyFont="1"/>
    <xf numFmtId="0" fontId="0" fillId="0" borderId="0" xfId="0" applyBorder="1"/>
    <xf numFmtId="14" fontId="0" fillId="2" borderId="0" xfId="0" applyNumberFormat="1" applyFill="1"/>
    <xf numFmtId="9" fontId="0" fillId="2" borderId="0" xfId="0" applyNumberFormat="1" applyFill="1" applyBorder="1"/>
    <xf numFmtId="0" fontId="0" fillId="2" borderId="0" xfId="0" applyFill="1"/>
    <xf numFmtId="44" fontId="0" fillId="2" borderId="0" xfId="1" applyFont="1" applyFill="1" applyBorder="1"/>
    <xf numFmtId="0" fontId="0" fillId="2" borderId="0" xfId="0" applyFill="1" applyBorder="1"/>
    <xf numFmtId="14" fontId="0" fillId="2" borderId="0" xfId="0" applyNumberFormat="1" applyFill="1" applyBorder="1"/>
    <xf numFmtId="0" fontId="0" fillId="0" borderId="0" xfId="0" applyFill="1" applyBorder="1"/>
    <xf numFmtId="2" fontId="0" fillId="0" borderId="0" xfId="2" applyNumberFormat="1" applyFont="1" applyFill="1" applyBorder="1"/>
    <xf numFmtId="14" fontId="0" fillId="0" borderId="0" xfId="0" applyNumberFormat="1" applyFill="1" applyBorder="1"/>
    <xf numFmtId="0" fontId="2" fillId="0" borderId="0" xfId="0" applyFont="1" applyFill="1" applyBorder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44" fontId="0" fillId="2" borderId="0" xfId="1" applyFont="1" applyFill="1"/>
    <xf numFmtId="44" fontId="0" fillId="0" borderId="0" xfId="1" applyFont="1"/>
    <xf numFmtId="44" fontId="0" fillId="0" borderId="0" xfId="1" applyFont="1" applyFill="1"/>
    <xf numFmtId="10" fontId="0" fillId="4" borderId="0" xfId="2" applyNumberFormat="1" applyFont="1" applyFill="1"/>
    <xf numFmtId="0" fontId="0" fillId="0" borderId="0" xfId="0" quotePrefix="1"/>
    <xf numFmtId="0" fontId="0" fillId="0" borderId="0" xfId="0" applyBorder="1" applyAlignment="1"/>
    <xf numFmtId="0" fontId="0" fillId="0" borderId="0" xfId="0" applyAlignment="1"/>
    <xf numFmtId="2" fontId="0" fillId="0" borderId="0" xfId="0" applyNumberFormat="1" applyAlignme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66EE-72B8-43A0-A297-501044A2E4E1}">
  <dimension ref="B2:V33"/>
  <sheetViews>
    <sheetView tabSelected="1" zoomScale="80" zoomScaleNormal="80" workbookViewId="0">
      <selection activeCell="E20" sqref="E20"/>
    </sheetView>
  </sheetViews>
  <sheetFormatPr defaultRowHeight="14.4" x14ac:dyDescent="0.3"/>
  <cols>
    <col min="1" max="1" width="4" customWidth="1"/>
    <col min="4" max="4" width="10" bestFit="1" customWidth="1"/>
    <col min="5" max="5" width="11.5546875" customWidth="1"/>
    <col min="6" max="6" width="12.88671875" customWidth="1"/>
    <col min="7" max="7" width="11.77734375" bestFit="1" customWidth="1"/>
    <col min="8" max="8" width="13.88671875" bestFit="1" customWidth="1"/>
    <col min="9" max="9" width="10.109375" bestFit="1" customWidth="1"/>
    <col min="10" max="10" width="11.109375" bestFit="1" customWidth="1"/>
    <col min="11" max="11" width="11.6640625" customWidth="1"/>
    <col min="12" max="12" width="10.6640625" bestFit="1" customWidth="1"/>
    <col min="13" max="13" width="11.44140625" customWidth="1"/>
    <col min="15" max="15" width="10" bestFit="1" customWidth="1"/>
    <col min="21" max="21" width="9.5546875" bestFit="1" customWidth="1"/>
  </cols>
  <sheetData>
    <row r="2" spans="2:22" x14ac:dyDescent="0.3">
      <c r="B2" t="s">
        <v>22</v>
      </c>
      <c r="C2" s="15">
        <v>45756</v>
      </c>
      <c r="L2" s="13"/>
      <c r="M2" s="17" t="s">
        <v>31</v>
      </c>
      <c r="N2" s="17"/>
    </row>
    <row r="3" spans="2:22" x14ac:dyDescent="0.3">
      <c r="C3" s="1"/>
      <c r="M3" s="25" t="s">
        <v>32</v>
      </c>
      <c r="N3" s="25"/>
    </row>
    <row r="4" spans="2:22" x14ac:dyDescent="0.3">
      <c r="B4" s="13" t="s">
        <v>21</v>
      </c>
      <c r="M4" s="27" t="s">
        <v>46</v>
      </c>
      <c r="N4" s="27"/>
    </row>
    <row r="5" spans="2:22" x14ac:dyDescent="0.3">
      <c r="B5" s="14"/>
      <c r="C5" s="14" t="s">
        <v>5</v>
      </c>
      <c r="D5" t="s">
        <v>27</v>
      </c>
      <c r="G5" s="14" t="s">
        <v>23</v>
      </c>
      <c r="H5" s="14" t="s">
        <v>1</v>
      </c>
      <c r="I5" s="14" t="s">
        <v>3</v>
      </c>
      <c r="R5" s="13" t="s">
        <v>47</v>
      </c>
    </row>
    <row r="6" spans="2:22" x14ac:dyDescent="0.3">
      <c r="B6" s="14" t="s">
        <v>1</v>
      </c>
      <c r="C6" s="16">
        <v>0.08</v>
      </c>
      <c r="D6" s="28">
        <v>200</v>
      </c>
      <c r="G6" s="14" t="s">
        <v>1</v>
      </c>
      <c r="H6" s="19">
        <v>0.1</v>
      </c>
      <c r="I6" s="19">
        <v>0.03</v>
      </c>
      <c r="K6" t="s">
        <v>37</v>
      </c>
      <c r="L6" s="17">
        <v>2</v>
      </c>
      <c r="R6" t="s">
        <v>39</v>
      </c>
      <c r="U6" s="32" t="s">
        <v>40</v>
      </c>
      <c r="V6" t="s">
        <v>41</v>
      </c>
    </row>
    <row r="7" spans="2:22" x14ac:dyDescent="0.3">
      <c r="B7" s="14" t="s">
        <v>3</v>
      </c>
      <c r="C7" s="16">
        <v>0.12</v>
      </c>
      <c r="D7" s="28">
        <v>300</v>
      </c>
      <c r="G7" s="14" t="s">
        <v>3</v>
      </c>
      <c r="H7" s="19">
        <v>0.03</v>
      </c>
      <c r="I7" s="19">
        <v>0.15</v>
      </c>
      <c r="K7" t="s">
        <v>38</v>
      </c>
      <c r="L7" s="17">
        <v>1</v>
      </c>
      <c r="R7" t="s">
        <v>42</v>
      </c>
      <c r="U7" t="s">
        <v>43</v>
      </c>
      <c r="V7">
        <v>0</v>
      </c>
    </row>
    <row r="8" spans="2:22" x14ac:dyDescent="0.3">
      <c r="R8" t="s">
        <v>42</v>
      </c>
      <c r="U8" t="s">
        <v>44</v>
      </c>
      <c r="V8">
        <v>1</v>
      </c>
    </row>
    <row r="9" spans="2:22" x14ac:dyDescent="0.3">
      <c r="B9" s="13" t="s">
        <v>24</v>
      </c>
      <c r="R9" t="s">
        <v>45</v>
      </c>
      <c r="U9" t="s">
        <v>43</v>
      </c>
      <c r="V9">
        <v>0</v>
      </c>
    </row>
    <row r="10" spans="2:22" s="34" customFormat="1" x14ac:dyDescent="0.3">
      <c r="B10" s="33" t="s">
        <v>0</v>
      </c>
      <c r="C10" s="33" t="s">
        <v>2</v>
      </c>
      <c r="D10" s="33" t="s">
        <v>4</v>
      </c>
      <c r="E10" s="33" t="s">
        <v>25</v>
      </c>
      <c r="F10" s="33" t="s">
        <v>26</v>
      </c>
      <c r="G10" s="33" t="s">
        <v>27</v>
      </c>
      <c r="H10" s="33" t="s">
        <v>29</v>
      </c>
      <c r="I10" s="33" t="s">
        <v>11</v>
      </c>
      <c r="J10" s="34" t="s">
        <v>6</v>
      </c>
      <c r="K10" s="34" t="s">
        <v>20</v>
      </c>
      <c r="L10" s="34" t="s">
        <v>7</v>
      </c>
      <c r="M10" s="34" t="s">
        <v>8</v>
      </c>
      <c r="N10" s="34" t="s">
        <v>5</v>
      </c>
      <c r="O10" s="34" t="s">
        <v>15</v>
      </c>
      <c r="P10" s="34" t="s">
        <v>10</v>
      </c>
      <c r="U10" s="35"/>
    </row>
    <row r="11" spans="2:22" x14ac:dyDescent="0.3">
      <c r="B11" s="14" t="s">
        <v>1</v>
      </c>
      <c r="C11" s="14">
        <v>1</v>
      </c>
      <c r="D11" s="19">
        <v>10</v>
      </c>
      <c r="E11" s="18">
        <v>180</v>
      </c>
      <c r="F11" s="20">
        <v>45356</v>
      </c>
      <c r="G11" s="7">
        <f>VLOOKUP(B11,$B$5:$D$7,3,FALSE)</f>
        <v>200</v>
      </c>
      <c r="H11" s="9">
        <f>D11*G11/SUMPRODUCT($D$11:$D$14,$G$11:$G$14)</f>
        <v>0.33333333333333331</v>
      </c>
      <c r="I11" s="7">
        <f>G11-E11</f>
        <v>20</v>
      </c>
      <c r="J11" s="25">
        <v>0</v>
      </c>
      <c r="K11" s="6">
        <f>J11*D11</f>
        <v>0</v>
      </c>
      <c r="L11" s="10">
        <f>(1-J11)*D11</f>
        <v>10</v>
      </c>
      <c r="M11" s="11">
        <f>L11*G11/SUMPRODUCT($L$11:$L$18,$G$11:$G$18)</f>
        <v>0.33333333333333331</v>
      </c>
      <c r="N11" s="12">
        <f>VLOOKUP(B11,$B$5:$D$7,2,FALSE)</f>
        <v>0.08</v>
      </c>
      <c r="O11" t="str">
        <f>IF($C$2-F11&gt;=365,"long term","short term")</f>
        <v>long term</v>
      </c>
      <c r="P11" s="29">
        <f>J11*D11*I11</f>
        <v>0</v>
      </c>
      <c r="U11" s="5"/>
    </row>
    <row r="12" spans="2:22" x14ac:dyDescent="0.3">
      <c r="B12" s="14" t="s">
        <v>1</v>
      </c>
      <c r="C12" s="14">
        <v>2</v>
      </c>
      <c r="D12" s="19">
        <v>5</v>
      </c>
      <c r="E12" s="18">
        <v>160</v>
      </c>
      <c r="F12" s="20">
        <v>45556</v>
      </c>
      <c r="G12" s="7">
        <f t="shared" ref="G12:G16" si="0">VLOOKUP(B12,$B$5:$D$7,3,FALSE)</f>
        <v>200</v>
      </c>
      <c r="H12" s="9">
        <f t="shared" ref="H12:H14" si="1">D12*G12/SUMPRODUCT($D$11:$D$14,$G$11:$G$14)</f>
        <v>0.16666666666666666</v>
      </c>
      <c r="I12" s="7">
        <f t="shared" ref="I12:I14" si="2">G12-E12</f>
        <v>40</v>
      </c>
      <c r="J12" s="25">
        <v>0</v>
      </c>
      <c r="K12" s="6">
        <f t="shared" ref="K12:K14" si="3">J12*D12</f>
        <v>0</v>
      </c>
      <c r="L12" s="10">
        <f t="shared" ref="L12:L14" si="4">(1-J12)*D12</f>
        <v>5</v>
      </c>
      <c r="M12" s="11">
        <f t="shared" ref="M12:M18" si="5">L12*G12/SUMPRODUCT($L$11:$L$18,$G$11:$G$18)</f>
        <v>0.16666666666666666</v>
      </c>
      <c r="N12" s="12">
        <f t="shared" ref="N12:N18" si="6">VLOOKUP(B12,$B$5:$D$7,2,FALSE)</f>
        <v>0.08</v>
      </c>
      <c r="O12" t="str">
        <f t="shared" ref="O12:O14" si="7">IF($C$2-F12&gt;=365,"long term","short term")</f>
        <v>short term</v>
      </c>
      <c r="P12" s="29">
        <f t="shared" ref="P12:P14" si="8">J12*D12*I12</f>
        <v>0</v>
      </c>
    </row>
    <row r="13" spans="2:22" x14ac:dyDescent="0.3">
      <c r="B13" s="14" t="s">
        <v>3</v>
      </c>
      <c r="C13" s="14">
        <v>1</v>
      </c>
      <c r="D13" s="19">
        <v>8</v>
      </c>
      <c r="E13" s="18">
        <v>250</v>
      </c>
      <c r="F13" s="20">
        <v>45256</v>
      </c>
      <c r="G13" s="7">
        <f t="shared" si="0"/>
        <v>300</v>
      </c>
      <c r="H13" s="9">
        <f t="shared" si="1"/>
        <v>0.4</v>
      </c>
      <c r="I13" s="7">
        <f t="shared" si="2"/>
        <v>50</v>
      </c>
      <c r="J13" s="25">
        <v>0</v>
      </c>
      <c r="K13" s="6">
        <f t="shared" si="3"/>
        <v>0</v>
      </c>
      <c r="L13" s="10">
        <f t="shared" si="4"/>
        <v>8</v>
      </c>
      <c r="M13" s="11">
        <f t="shared" si="5"/>
        <v>0.4</v>
      </c>
      <c r="N13" s="12">
        <f t="shared" si="6"/>
        <v>0.12</v>
      </c>
      <c r="O13" t="str">
        <f t="shared" si="7"/>
        <v>long term</v>
      </c>
      <c r="P13" s="29">
        <f t="shared" si="8"/>
        <v>0</v>
      </c>
    </row>
    <row r="14" spans="2:22" x14ac:dyDescent="0.3">
      <c r="B14" s="14" t="s">
        <v>3</v>
      </c>
      <c r="C14" s="14">
        <v>2</v>
      </c>
      <c r="D14" s="19">
        <v>2</v>
      </c>
      <c r="E14" s="18">
        <v>280</v>
      </c>
      <c r="F14" s="20">
        <v>45656</v>
      </c>
      <c r="G14" s="7">
        <f t="shared" si="0"/>
        <v>300</v>
      </c>
      <c r="H14" s="9">
        <f t="shared" si="1"/>
        <v>0.1</v>
      </c>
      <c r="I14" s="7">
        <f t="shared" si="2"/>
        <v>20</v>
      </c>
      <c r="J14" s="25">
        <v>0.48245614035078133</v>
      </c>
      <c r="K14" s="6">
        <f t="shared" si="3"/>
        <v>0.96491228070156265</v>
      </c>
      <c r="L14" s="10">
        <f t="shared" si="4"/>
        <v>1.0350877192984373</v>
      </c>
      <c r="M14" s="11">
        <f t="shared" si="5"/>
        <v>5.1754385964921872E-2</v>
      </c>
      <c r="N14" s="12">
        <f t="shared" si="6"/>
        <v>0.12</v>
      </c>
      <c r="O14" t="str">
        <f t="shared" si="7"/>
        <v>short term</v>
      </c>
      <c r="P14" s="29">
        <f t="shared" si="8"/>
        <v>19.298245614031252</v>
      </c>
    </row>
    <row r="15" spans="2:22" x14ac:dyDescent="0.3">
      <c r="B15" s="14"/>
      <c r="C15" s="14"/>
      <c r="D15" s="21"/>
      <c r="E15" s="7"/>
      <c r="F15" s="23"/>
      <c r="G15" s="21"/>
      <c r="H15" s="9"/>
      <c r="I15" s="22"/>
      <c r="J15" s="6"/>
      <c r="K15" s="6"/>
      <c r="L15" s="10"/>
      <c r="M15" s="11"/>
      <c r="N15" s="12"/>
      <c r="P15" s="5"/>
    </row>
    <row r="16" spans="2:22" x14ac:dyDescent="0.3">
      <c r="B16" s="24" t="s">
        <v>28</v>
      </c>
      <c r="C16" s="14"/>
      <c r="D16" s="21"/>
      <c r="E16" s="7"/>
      <c r="F16" s="23"/>
      <c r="G16" s="21"/>
      <c r="H16" s="9"/>
      <c r="I16" s="22"/>
      <c r="J16" s="6"/>
      <c r="K16" s="6"/>
      <c r="L16" s="10"/>
      <c r="M16" s="11"/>
      <c r="N16" s="12"/>
      <c r="P16" s="5"/>
    </row>
    <row r="17" spans="2:14" x14ac:dyDescent="0.3">
      <c r="B17" t="s">
        <v>1</v>
      </c>
      <c r="D17" s="6"/>
      <c r="E17" s="6"/>
      <c r="F17" s="8"/>
      <c r="G17" s="30">
        <v>200</v>
      </c>
      <c r="H17" s="11"/>
      <c r="I17" s="11"/>
      <c r="J17" s="6"/>
      <c r="K17" s="6"/>
      <c r="L17" s="26">
        <v>1.4473684210523436</v>
      </c>
      <c r="M17" s="11">
        <f t="shared" si="5"/>
        <v>4.824561403507812E-2</v>
      </c>
      <c r="N17" s="12">
        <f t="shared" si="6"/>
        <v>0.08</v>
      </c>
    </row>
    <row r="18" spans="2:14" x14ac:dyDescent="0.3">
      <c r="B18" t="s">
        <v>3</v>
      </c>
      <c r="D18" s="6"/>
      <c r="E18" s="6"/>
      <c r="F18" s="6"/>
      <c r="G18" s="30">
        <v>300</v>
      </c>
      <c r="H18" s="6"/>
      <c r="I18" s="6"/>
      <c r="J18" s="6"/>
      <c r="K18" s="6"/>
      <c r="L18" s="26">
        <v>0</v>
      </c>
      <c r="M18" s="11">
        <f t="shared" si="5"/>
        <v>0</v>
      </c>
      <c r="N18" s="12">
        <f t="shared" si="6"/>
        <v>0.12</v>
      </c>
    </row>
    <row r="20" spans="2:14" x14ac:dyDescent="0.3">
      <c r="B20" s="13" t="s">
        <v>30</v>
      </c>
      <c r="D20" s="29">
        <f>SUMPRODUCT($D$11:$D$18,$G$11:$G$18)</f>
        <v>6000</v>
      </c>
      <c r="L20" s="29">
        <f>SUMPRODUCT($G$11:$G$18,$L$11:$L$18)</f>
        <v>6000</v>
      </c>
    </row>
    <row r="21" spans="2:14" x14ac:dyDescent="0.3">
      <c r="B21" s="13"/>
    </row>
    <row r="22" spans="2:14" x14ac:dyDescent="0.3">
      <c r="B22" s="13" t="s">
        <v>33</v>
      </c>
      <c r="F22" s="13" t="s">
        <v>34</v>
      </c>
      <c r="L22" s="2"/>
    </row>
    <row r="23" spans="2:14" x14ac:dyDescent="0.3">
      <c r="B23" t="s">
        <v>9</v>
      </c>
      <c r="C23" s="3">
        <f>SUMPRODUCT(M11:M18,N11:N18)</f>
        <v>9.8070175438596863E-2</v>
      </c>
      <c r="G23" t="s">
        <v>16</v>
      </c>
      <c r="H23" t="s">
        <v>19</v>
      </c>
      <c r="I23" t="s">
        <v>35</v>
      </c>
    </row>
    <row r="24" spans="2:14" x14ac:dyDescent="0.3">
      <c r="B24" t="s">
        <v>12</v>
      </c>
      <c r="C24" s="3">
        <f>I27/D20</f>
        <v>1.1257309941518231E-3</v>
      </c>
      <c r="F24" t="s">
        <v>18</v>
      </c>
      <c r="G24" s="29">
        <f>SUMIF(O11:O14,"=short term",P11:P14)</f>
        <v>19.298245614031252</v>
      </c>
      <c r="H24" s="29">
        <f>IF(G24*G25&lt;0,IF(G24&gt;-G25,G24+G25,0),G24)</f>
        <v>19.298245614031252</v>
      </c>
      <c r="I24" s="29">
        <f>H24*0.35</f>
        <v>6.7543859649109379</v>
      </c>
    </row>
    <row r="25" spans="2:14" x14ac:dyDescent="0.3">
      <c r="B25" t="s">
        <v>13</v>
      </c>
      <c r="C25" s="3">
        <f>(M11+M12+M17)^2*H6+(M13+M14+M18)^2*I7+2*(M11+M12+M17)*(M13+M14+M18)*H7</f>
        <v>7.5529970760234225E-2</v>
      </c>
      <c r="F25" t="s">
        <v>17</v>
      </c>
      <c r="G25" s="29">
        <f>SUMIF(O11:O14,"=long term",P11:P14)</f>
        <v>0</v>
      </c>
      <c r="H25" s="29">
        <f>IF(G24*G25&lt;0,IF(G24&gt;-G25,0,G24+G25),G25)</f>
        <v>0</v>
      </c>
      <c r="I25" s="29">
        <f>H25*0.15</f>
        <v>0</v>
      </c>
    </row>
    <row r="27" spans="2:14" x14ac:dyDescent="0.3">
      <c r="B27" t="s">
        <v>14</v>
      </c>
      <c r="C27" s="31">
        <f>C23-L7*C24-L6*C25</f>
        <v>-5.4115497076023408E-2</v>
      </c>
      <c r="F27" t="s">
        <v>36</v>
      </c>
      <c r="I27" s="29">
        <f>SUM(I24:I25)</f>
        <v>6.7543859649109379</v>
      </c>
    </row>
    <row r="29" spans="2:14" x14ac:dyDescent="0.3">
      <c r="J29" s="3"/>
    </row>
    <row r="30" spans="2:14" x14ac:dyDescent="0.3">
      <c r="C30" s="4"/>
      <c r="D30" s="3"/>
      <c r="J30" s="3"/>
    </row>
    <row r="31" spans="2:14" x14ac:dyDescent="0.3">
      <c r="C31" s="4"/>
      <c r="D31" s="3"/>
      <c r="J31" s="3"/>
    </row>
    <row r="32" spans="2:14" x14ac:dyDescent="0.3">
      <c r="J32" s="3"/>
    </row>
    <row r="33" spans="10:10" x14ac:dyDescent="0.3">
      <c r="J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Gackstatter</dc:creator>
  <cp:lastModifiedBy>Christoph Gackstatter</cp:lastModifiedBy>
  <dcterms:created xsi:type="dcterms:W3CDTF">2025-04-09T22:39:57Z</dcterms:created>
  <dcterms:modified xsi:type="dcterms:W3CDTF">2025-04-11T21:08:48Z</dcterms:modified>
</cp:coreProperties>
</file>