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2.xml" ContentType="application/vnd.openxmlformats-officedocument.drawing+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drawings/drawing5.xml" ContentType="application/vnd.openxmlformats-officedocument.drawing+xml"/>
  <Override PartName="/xl/comments12.xml" ContentType="application/vnd.openxmlformats-officedocument.spreadsheetml.comments+xml"/>
  <Override PartName="/xl/drawings/drawing6.xml" ContentType="application/vnd.openxmlformats-officedocument.drawing+xml"/>
  <Override PartName="/xl/comments13.xml" ContentType="application/vnd.openxmlformats-officedocument.spreadsheetml.comments+xml"/>
  <Override PartName="/xl/drawings/drawing7.xml" ContentType="application/vnd.openxmlformats-officedocument.drawing+xml"/>
  <Override PartName="/xl/tables/table1.xml" ContentType="application/vnd.openxmlformats-officedocument.spreadsheetml.table+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drawings/drawing8.xml" ContentType="application/vnd.openxmlformats-officedocument.drawing+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showInkAnnotation="0" codeName="ThisWorkbook"/>
  <mc:AlternateContent xmlns:mc="http://schemas.openxmlformats.org/markup-compatibility/2006">
    <mc:Choice Requires="x15">
      <x15ac:absPath xmlns:x15ac="http://schemas.microsoft.com/office/spreadsheetml/2010/11/ac" url="https://adminliveunc-my.sharepoint.com/personal/dayt_ad_unc_edu/Documents/Documents/Class/Notes/"/>
    </mc:Choice>
  </mc:AlternateContent>
  <xr:revisionPtr revIDLastSave="5976" documentId="8_{1435127C-0F99-4898-AFEB-6B8D8B060F46}" xr6:coauthVersionLast="47" xr6:coauthVersionMax="47" xr10:uidLastSave="{AFA753A9-4B88-48C3-85D4-F30C42C25875}"/>
  <bookViews>
    <workbookView xWindow="28680" yWindow="-120" windowWidth="29040" windowHeight="15720" tabRatio="890" xr2:uid="{00000000-000D-0000-FFFF-FFFF00000000}"/>
  </bookViews>
  <sheets>
    <sheet name="Documentation" sheetId="40" r:id="rId1"/>
    <sheet name="Functions" sheetId="76" r:id="rId2"/>
    <sheet name="_Nested IF" sheetId="66" r:id="rId3"/>
    <sheet name="with_=" sheetId="41" r:id="rId4"/>
    <sheet name="with_=_IFS" sheetId="77" r:id="rId5"/>
    <sheet name="with_&gt;=" sheetId="42" r:id="rId6"/>
    <sheet name="with_&gt;=_IFS" sheetId="78" r:id="rId7"/>
    <sheet name="_VLOOKUP" sheetId="67" r:id="rId8"/>
    <sheet name="Lookups" sheetId="1" r:id="rId9"/>
    <sheet name="Arguments" sheetId="22" r:id="rId10"/>
    <sheet name="Exact_Match" sheetId="18" r:id="rId11"/>
    <sheet name="Closest_Match" sheetId="17" r:id="rId12"/>
    <sheet name="Algorithm_Book" sheetId="20" r:id="rId13"/>
    <sheet name="Algorithm_Travis" sheetId="21" r:id="rId14"/>
    <sheet name="Algorithm_Travis_3-step" sheetId="28" r:id="rId15"/>
    <sheet name="Rules_Exact_Match" sheetId="25" r:id="rId16"/>
    <sheet name="Rules_Closest_Match" sheetId="24" r:id="rId17"/>
    <sheet name="Clear_Tables" sheetId="26" r:id="rId18"/>
    <sheet name="Flexible_Arrays" sheetId="84" r:id="rId19"/>
    <sheet name="_Other_Lookups" sheetId="69" r:id="rId20"/>
    <sheet name="HLOOKUP" sheetId="19" r:id="rId21"/>
    <sheet name="LOOKUP" sheetId="51" r:id="rId22"/>
    <sheet name="COLUMNS" sheetId="27" r:id="rId23"/>
    <sheet name="MATCH" sheetId="55" r:id="rId24"/>
    <sheet name="_INDEX_MATCH" sheetId="70" r:id="rId25"/>
    <sheet name="INDEX_MATCH_1D" sheetId="56" r:id="rId26"/>
    <sheet name="INDEX_MATCH_2D" sheetId="74" r:id="rId27"/>
    <sheet name="INDEX_MATCH_2D_Array_Result" sheetId="85" r:id="rId28"/>
    <sheet name="VLOOKUP_vs" sheetId="60" r:id="rId29"/>
    <sheet name="INDEX-MATCH_vs" sheetId="52" r:id="rId30"/>
    <sheet name="Row_num_OR_Col_num" sheetId="73" r:id="rId31"/>
    <sheet name="Swapped_Columns" sheetId="63" r:id="rId32"/>
    <sheet name="Descending_Order" sheetId="62" r:id="rId33"/>
    <sheet name="Flexible_INDEX_MATCH" sheetId="71" r:id="rId34"/>
    <sheet name="Same_Size_Arrays" sheetId="72" r:id="rId35"/>
    <sheet name="2D_INDEX" sheetId="64" r:id="rId36"/>
    <sheet name="2D_INDEX_Examples" sheetId="53" r:id="rId37"/>
    <sheet name="XLOOKUP" sheetId="79" r:id="rId38"/>
    <sheet name="2D_XLOOKUP" sheetId="82" r:id="rId39"/>
    <sheet name="2D_XLOOKUP_2" sheetId="83" r:id="rId40"/>
    <sheet name="Key" sheetId="65" r:id="rId41"/>
    <sheet name="_Supplemental" sheetId="43" state="hidden" r:id="rId42"/>
    <sheet name="2-Tennis_Balls" sheetId="2" state="hidden" r:id="rId43"/>
    <sheet name="2-Costs" sheetId="3" state="hidden" r:id="rId44"/>
    <sheet name="2-Orders" sheetId="4" state="hidden" r:id="rId45"/>
    <sheet name="2-Discount" sheetId="5" state="hidden" r:id="rId46"/>
    <sheet name="2-ShipByRegion" sheetId="6" state="hidden" r:id="rId47"/>
    <sheet name="3-Products" sheetId="7" state="hidden" r:id="rId48"/>
    <sheet name="3-Orders" sheetId="8" state="hidden" r:id="rId49"/>
    <sheet name="3-Orders_2" sheetId="58" state="hidden" r:id="rId50"/>
    <sheet name="3-Pricing_Schedule_1" sheetId="9" state="hidden" r:id="rId51"/>
    <sheet name="3-Pricing Schedule_2" sheetId="10" state="hidden" r:id="rId52"/>
    <sheet name="3-Discount" sheetId="11" state="hidden" r:id="rId53"/>
    <sheet name="3-Shipping" sheetId="12" state="hidden" r:id="rId54"/>
    <sheet name="3-States" sheetId="13" state="hidden" r:id="rId55"/>
  </sheets>
  <definedNames>
    <definedName name="_1" localSheetId="40">Key!$I$1</definedName>
    <definedName name="_xlnm._FilterDatabase" localSheetId="0" hidden="1">Documentation!$A$10:$I$66</definedName>
    <definedName name="_xlnm._FilterDatabase" localSheetId="40" hidden="1">Key!$A$1:$I$101</definedName>
    <definedName name="_xlnm._FilterDatabase" localSheetId="15" hidden="1">Rules_Exact_Match!$A$17:$J$24</definedName>
    <definedName name="anscount" hidden="1">1</definedName>
    <definedName name="BigNum" comment="Biggest # Excel recognizes">9.99999999999999E+307</definedName>
    <definedName name="Customer_Table">'3-Shipping'!$A$29:$B$31</definedName>
    <definedName name="DDFileRows1011201092123AM" localSheetId="1" hidden="1">#REF!</definedName>
    <definedName name="DDFileRows1011201092123AM" localSheetId="40" hidden="1">#REF!</definedName>
    <definedName name="DDFileRows1011201092123AM" hidden="1">#REF!</definedName>
    <definedName name="DDFileRows101201073822PM" localSheetId="1" hidden="1">#REF!</definedName>
    <definedName name="DDFileRows101201073822PM" localSheetId="40" hidden="1">#REF!</definedName>
    <definedName name="DDFileRows101201073822PM" hidden="1">#REF!</definedName>
    <definedName name="DDFileRows101201075817PM" localSheetId="1" hidden="1">#REF!</definedName>
    <definedName name="DDFileRows101201075817PM" localSheetId="40" hidden="1">#REF!</definedName>
    <definedName name="DDFileRows101201075817PM" hidden="1">#REF!</definedName>
    <definedName name="DDFileRows1025201084604PM" localSheetId="1" hidden="1">#REF!</definedName>
    <definedName name="DDFileRows1025201084604PM" localSheetId="40" hidden="1">#REF!</definedName>
    <definedName name="DDFileRows1025201084604PM" hidden="1">#REF!</definedName>
    <definedName name="DDFileRows104201064449AM" localSheetId="1" hidden="1">#REF!</definedName>
    <definedName name="DDFileRows104201064449AM" localSheetId="40" hidden="1">#REF!</definedName>
    <definedName name="DDFileRows104201064449AM" hidden="1">#REF!</definedName>
    <definedName name="Disable_Video_Hyperlinks">FALSE</definedName>
    <definedName name="Discounts2">'2-Discount'!$A$7:$A$10</definedName>
    <definedName name="Discounts3">'3-Discount'!$B$3:$E$4</definedName>
    <definedName name="element_designator">Documentation!$D$9</definedName>
    <definedName name="ErrorMsg">"ERR"</definedName>
    <definedName name="Freight_Customer_Types">'3-Shipping'!$A$29:$A$31</definedName>
    <definedName name="ItemPrice">'2-Costs'!$A$7:$C$21</definedName>
    <definedName name="Last_Modified">Documentation!$B$6</definedName>
    <definedName name="Most_preferred">'3-Shipping'!$B$21:$E$25</definedName>
    <definedName name="Preferred">'3-Shipping'!$B$13:$E$17</definedName>
    <definedName name="Price1">'3-Pricing_Schedule_1'!$A$4:$B$17</definedName>
    <definedName name="Price2">'3-Pricing Schedule_2'!$A$4:$B$7</definedName>
    <definedName name="Pricing">'2-Costs'!$A$7:$C$21</definedName>
    <definedName name="Products">'3-Products'!$A$5:$D$20</definedName>
    <definedName name="Regular">'3-Shipping'!$B$5:$E$9</definedName>
    <definedName name="Schedule1">'2-ShipByRegion'!$B$5:$E$9</definedName>
    <definedName name="Schedule2">'2-ShipByRegion'!$B$13:$E$17</definedName>
    <definedName name="Schedule3">'2-ShipByRegion'!$B$21:$E$25</definedName>
    <definedName name="segment_designator">"_"</definedName>
    <definedName name="Ship1">'3-Shipping'!$B$5:$E$9</definedName>
    <definedName name="Ship2">'3-Shipping'!$B$13:$E$17</definedName>
    <definedName name="Ship3">'3-Shipping'!$B$21:$E$25</definedName>
    <definedName name="Shipping_Discounts">Row_num_OR_Col_num!$J$12:$L$12</definedName>
    <definedName name="Shipping_Methods">'3-Shipping'!$B$4:$E$4</definedName>
    <definedName name="States">'3-States'!$B$4:$D$54</definedName>
    <definedName name="TOC">Documentation!$A$10</definedName>
    <definedName name="TotOrderVol">'2-Discount'!$B$7:$B$10</definedName>
    <definedName name="Video_Lengths_Description">"Length of video clips in this segment: "</definedName>
    <definedName name="Video_website">"https://public.kenan-flagler.unc.edu/faculty/dayt/class/video/"</definedName>
    <definedName name="Z_008EBCEB_327A_EE4C_A6B5_9F5F7DE4FAB7_.wvu.Cols" localSheetId="40" hidden="1">Key!$A:$G,Key!#REF!,Key!#REF!,Key!#REF!,Key!#REF!,Key!#REF!,Key!#REF!</definedName>
    <definedName name="Z_008EBCEB_327A_EE4C_A6B5_9F5F7DE4FAB7_.wvu.FilterData" localSheetId="40" hidden="1">Key!$G$1:$I$101</definedName>
    <definedName name="Z_008EBCEB_327A_EE4C_A6B5_9F5F7DE4FAB7_.wvu.Rows" localSheetId="40" hidden="1">Key!#REF!,Key!#REF!,Key!#REF!,Key!#REF!,Key!#REF!,Key!#REF!,Key!#REF!,Key!#REF!,Key!#REF!,Key!#REF!,Key!#REF!,Key!#REF!,Key!#REF!,Key!#REF!,Key!#REF!,Key!#REF!,Key!#REF!,Key!#REF!,Key!#REF!,Key!#REF!,Key!#REF!</definedName>
    <definedName name="Z_015EDA8F_8A5D_41E8_9495_F781E3639FAA_.wvu.FilterData" localSheetId="40" hidden="1">Key!$G$1:$I$100</definedName>
    <definedName name="Z_042461A4_31C2_4084_A717_2E9CFC3B597E_.wvu.FilterData" localSheetId="40" hidden="1">Key!$G$1:$I$100</definedName>
    <definedName name="Z_047D62AC_0543_4328_8EFB_416C4E08E51D_.wvu.Cols" localSheetId="40" hidden="1">Key!#REF!</definedName>
    <definedName name="Z_047D62AC_0543_4328_8EFB_416C4E08E51D_.wvu.FilterData" localSheetId="40" hidden="1">Key!$G$1:$I$101</definedName>
    <definedName name="Z_06B0DE77_A869_4F17_8253_6BF6B8DD4025_.wvu.FilterData" localSheetId="40" hidden="1">Key!$G$1:$I$125</definedName>
    <definedName name="Z_06D0E8C4_0D0E_4AD1_98E7_8E365EC8B929_.wvu.FilterData" localSheetId="40" hidden="1">Key!$G$1:$I$100</definedName>
    <definedName name="Z_07DAF1AB_E203_4B97_BFD5_49D7E7CD45C7_.wvu.Cols" localSheetId="40" hidden="1">Key!#REF!</definedName>
    <definedName name="Z_07DAF1AB_E203_4B97_BFD5_49D7E7CD45C7_.wvu.FilterData" localSheetId="40" hidden="1">Key!$G$1:$I$293</definedName>
    <definedName name="Z_09E241F4_A229_4587_B708_C7ED5C41CACD_.wvu.Cols" localSheetId="40" hidden="1">Key!$A:$G,Key!#REF!,Key!#REF!,Key!#REF!,Key!#REF!,Key!#REF!,Key!#REF!</definedName>
    <definedName name="Z_09E241F4_A229_4587_B708_C7ED5C41CACD_.wvu.FilterData" localSheetId="40" hidden="1">Key!$G$1:$I$101</definedName>
    <definedName name="Z_09E241F4_A229_4587_B708_C7ED5C41CACD_.wvu.Rows" localSheetId="40" hidden="1">Key!#REF!,Key!#REF!,Key!#REF!,Key!#REF!,Key!#REF!,Key!#REF!,Key!#REF!,Key!#REF!,Key!#REF!,Key!#REF!,Key!#REF!,Key!#REF!,Key!#REF!,Key!#REF!,Key!#REF!,Key!#REF!,Key!#REF!,Key!#REF!,Key!#REF!,Key!#REF!,Key!#REF!</definedName>
    <definedName name="Z_09F24002_6535_4921_BA97_FECB7F273AAD_.wvu.FilterData" localSheetId="40" hidden="1">Key!$G$1:$I$125</definedName>
    <definedName name="Z_0AF88E4A_26DD_415E_9864_8C9DF5B50DAB_.wvu.FilterData" localSheetId="40" hidden="1">Key!$G$1:$I$293</definedName>
    <definedName name="Z_107746A4_F417_A348_9AEF_86A42DDD41F0_.wvu.Cols" localSheetId="40" hidden="1">Key!$A:$G,Key!#REF!,Key!#REF!,Key!#REF!,Key!#REF!,Key!#REF!,Key!#REF!</definedName>
    <definedName name="Z_107746A4_F417_A348_9AEF_86A42DDD41F0_.wvu.FilterData" localSheetId="40" hidden="1">Key!$G$1:$I$101</definedName>
    <definedName name="Z_107746A4_F417_A348_9AEF_86A42DDD41F0_.wvu.Rows" localSheetId="40" hidden="1">Key!#REF!,Key!#REF!,Key!#REF!,Key!#REF!,Key!#REF!,Key!#REF!,Key!#REF!,Key!#REF!,Key!#REF!,Key!#REF!,Key!#REF!,Key!#REF!,Key!#REF!,Key!#REF!,Key!#REF!,Key!#REF!,Key!#REF!,Key!#REF!,Key!#REF!,Key!#REF!,Key!#REF!</definedName>
    <definedName name="Z_10B2607E_1864_40A1_A080_ED5651D2241A_.wvu.Cols" localSheetId="40" hidden="1">Key!$A:$G,Key!#REF!,Key!#REF!,Key!#REF!,Key!#REF!</definedName>
    <definedName name="Z_10B2607E_1864_40A1_A080_ED5651D2241A_.wvu.FilterData" localSheetId="40" hidden="1">Key!$A$1:$I$101</definedName>
    <definedName name="Z_10B2607E_1864_40A1_A080_ED5651D2241A_.wvu.Rows" localSheetId="40" hidden="1">Key!#REF!,Key!#REF!,Key!#REF!,Key!#REF!,Key!#REF!,Key!#REF!,Key!#REF!,Key!#REF!,Key!#REF!,Key!#REF!,Key!#REF!,Key!#REF!,Key!#REF!,Key!#REF!,Key!#REF!,Key!#REF!,Key!#REF!,Key!#REF!,Key!#REF!,Key!#REF!,Key!#REF!,Key!#REF!,Key!#REF!,Key!#REF!,Key!#REF!,Key!#REF!,Key!#REF!,Key!#REF!,Key!#REF!,Key!$7:$100,Key!#REF!</definedName>
    <definedName name="Z_11876ADF_1C41_407D_8A75_FE1501148D95_.wvu.FilterData" localSheetId="40" hidden="1">Key!$G$1:$I$100</definedName>
    <definedName name="Z_1322B75C_FA11_4B31_9B95_DEB9F03E7462_.wvu.FilterData" localSheetId="40" hidden="1">Key!$G$1:$I$125</definedName>
    <definedName name="Z_155D9E7A_E895_49D6_B5D6_D2ABBB72AAA7_.wvu.FilterData" localSheetId="40" hidden="1">Key!$G$1:$I$125</definedName>
    <definedName name="Z_15D920EC_2CA1_431D_9FF1_84708E3A06C7_.wvu.FilterData" localSheetId="40" hidden="1">Key!$I$1:$I$289</definedName>
    <definedName name="Z_17D05EA4_B5F3_4441_BA48_52C8811B24FD_.wvu.FilterData" localSheetId="40" hidden="1">Key!$1:$100</definedName>
    <definedName name="Z_18B0CDE8_1963_46F8_99ED_B01DC94B3605_.wvu.FilterData" localSheetId="40" hidden="1">Key!$G$1:$I$101</definedName>
    <definedName name="Z_1B776497_E6EA_406E_AA3E_7EF3234FB537_.wvu.Cols" localSheetId="40" hidden="1">Key!$A:$G,Key!#REF!,Key!#REF!,Key!#REF!,Key!#REF!</definedName>
    <definedName name="Z_1B776497_E6EA_406E_AA3E_7EF3234FB537_.wvu.FilterData" localSheetId="40" hidden="1">Key!$A$1:$I$101</definedName>
    <definedName name="Z_1DB68BF3_62F8_49F8_8439_1BFDF5FAEBEA_.wvu.FilterData" localSheetId="40" hidden="1">Key!$G$1:$I$100</definedName>
    <definedName name="Z_1E232A5F_A27C_4885_9C0D_D35380CB92DC_.wvu.FilterData" localSheetId="40" hidden="1">Key!$G$1:$I$101</definedName>
    <definedName name="Z_1E34777C_0ADB_4827_972D_2C1EF6E078FD_.wvu.FilterData" localSheetId="40" hidden="1">Key!$G$1:$I$100</definedName>
    <definedName name="Z_1EF3B01D_7A17_48DB_BDDB_222717754C7D_.wvu.FilterData" localSheetId="40" hidden="1">Key!$G$1:$I$100</definedName>
    <definedName name="Z_1F6FEC0B_74F7_4DFB_8E33_8FFF36673FA6_.wvu.FilterData" localSheetId="40" hidden="1">Key!$G$1:$I$101</definedName>
    <definedName name="Z_1F804BF3_7148_11D3_A82B_00C04FBFA16C_.wvu.FilterData" localSheetId="40" hidden="1">Key!#REF!</definedName>
    <definedName name="Z_206F538E_C141_49DE_A5ED_CE14257557B1_.wvu.FilterData" localSheetId="40" hidden="1">Key!$G$1:$I$125</definedName>
    <definedName name="Z_208595B0_2698_4988_996F_309C29EF36CB_.wvu.FilterData" localSheetId="40" hidden="1">Key!$G$1:$I$608</definedName>
    <definedName name="Z_209C57E6_2467_470B_9555_428FBB24EFD0_.wvu.Cols" localSheetId="40" hidden="1">Key!#REF!</definedName>
    <definedName name="Z_209C57E6_2467_470B_9555_428FBB24EFD0_.wvu.FilterData" localSheetId="40" hidden="1">Key!$G$1:$I$275</definedName>
    <definedName name="Z_20DBDB6C_2F87_4ABE_B966_B6B8E07987C7_.wvu.FilterData" localSheetId="40" hidden="1">Key!$G$1:$I$101</definedName>
    <definedName name="Z_210DE0CB_01EB_4A8C_9F25_2CBA226A8BE1_.wvu.FilterData" localSheetId="40" hidden="1">Key!$G$1:$I$100</definedName>
    <definedName name="Z_2254804A_6AE8_4D09_AAB5_8C8B7F0AFF7F_.wvu.FilterData" localSheetId="40" hidden="1">Key!$G$1:$I$101</definedName>
    <definedName name="Z_23E30F02_BC10_4FD7_9974_9B445AD056C7_.wvu.FilterData" localSheetId="40" hidden="1">Key!$G$1:$I$125</definedName>
    <definedName name="Z_256D754E_6F2E_4F71_8BD2_FFFA141239AB_.wvu.FilterData" localSheetId="40" hidden="1">Key!$G$1:$I$101</definedName>
    <definedName name="Z_26C7BB21_70FD_4B71_9B2E_F2478C2D0F27_.wvu.FilterData" localSheetId="40" hidden="1">Key!$G$1:$I$100</definedName>
    <definedName name="Z_27F45B48_F9AD_4ED6_AD92_BC6E3649A983_.wvu.FilterData" localSheetId="40" hidden="1">Key!$G$1:$I$100</definedName>
    <definedName name="Z_28071020_B6D3_4499_92F3_4A02471505DC_.wvu.Cols" localSheetId="40" hidden="1">Key!$A:$G,Key!#REF!,Key!#REF!,Key!#REF!,Key!#REF!</definedName>
    <definedName name="Z_28071020_B6D3_4499_92F3_4A02471505DC_.wvu.FilterData" localSheetId="40" hidden="1">Key!$A$1:$I$101</definedName>
    <definedName name="Z_28071020_B6D3_4499_92F3_4A02471505DC_.wvu.Rows" localSheetId="40" hidden="1">Key!#REF!,Key!#REF!,Key!#REF!,Key!#REF!,Key!#REF!,Key!#REF!,Key!#REF!,Key!#REF!,Key!#REF!,Key!#REF!,Key!#REF!,Key!#REF!,Key!#REF!,Key!#REF!,Key!#REF!,Key!#REF!,Key!#REF!,Key!#REF!,Key!#REF!,Key!#REF!,Key!#REF!,Key!#REF!,Key!#REF!,Key!#REF!,Key!#REF!,Key!#REF!,Key!#REF!,Key!#REF!,Key!#REF!,Key!$7:$100,Key!#REF!</definedName>
    <definedName name="Z_29452934_1D6B_44E7_AC7B_F1DE21953405_.wvu.FilterData" localSheetId="40" hidden="1">Key!$G$1:$I$101</definedName>
    <definedName name="Z_2A082521_3D10_47C9_9D50_DA685BAB9481_.wvu.FilterData" localSheetId="40" hidden="1">Key!$G$1:$I$101</definedName>
    <definedName name="Z_2A09270D_D158_4189_8A07_8BFECEB8DB24_.wvu.FilterData" localSheetId="40" hidden="1">Key!$G$1:$I$100</definedName>
    <definedName name="Z_2A6B8F49_5BD1_40E8_8C5D_5438BB857558_.wvu.FilterData" localSheetId="40" hidden="1">Key!$G$1:$I$101</definedName>
    <definedName name="Z_2AA231E1_C348_11D2_9C16_C0B9E269D206_.wvu.FilterData" localSheetId="40" hidden="1">Key!#REF!</definedName>
    <definedName name="Z_2AA231E1_C348_11D2_9C16_C0B9E269D206_.wvu.PrintArea" localSheetId="40" hidden="1">Key!$I$1:$I$55</definedName>
    <definedName name="Z_2AA231E1_C348_11D2_9C16_C0B9E269D206_.wvu.PrintTitles" localSheetId="40" hidden="1">Key!$I:$I</definedName>
    <definedName name="Z_2BAD0B19_8690_44CF_AC15_A336317058ED_.wvu.FilterData" localSheetId="40" hidden="1">Key!$G$1:$I$101</definedName>
    <definedName name="Z_2C83F13B_8ABD_4BB5_B3EE_B7DE9F21C6A9_.wvu.Cols" localSheetId="40" hidden="1">Key!$A:$G,Key!#REF!,Key!#REF!,Key!#REF!,Key!#REF!,Key!#REF!,Key!#REF!</definedName>
    <definedName name="Z_2C83F13B_8ABD_4BB5_B3EE_B7DE9F21C6A9_.wvu.FilterData" localSheetId="40" hidden="1">Key!$G$1:$I$101</definedName>
    <definedName name="Z_2C83F13B_8ABD_4BB5_B3EE_B7DE9F21C6A9_.wvu.Rows" localSheetId="40" hidden="1">Key!#REF!,Key!#REF!,Key!#REF!,Key!#REF!,Key!#REF!,Key!#REF!,Key!#REF!,Key!#REF!,Key!#REF!,Key!#REF!,Key!#REF!,Key!#REF!,Key!#REF!,Key!#REF!,Key!#REF!,Key!#REF!,Key!#REF!,Key!#REF!,Key!#REF!,Key!#REF!,Key!#REF!</definedName>
    <definedName name="Z_2CBF6927_9A31_4BA4_A145_6A979699472E_.wvu.FilterData" localSheetId="40" hidden="1">Key!$G$1:$I$100</definedName>
    <definedName name="Z_2D3C6AD6_7167_4114_AAAB_AD263A2457AC_.wvu.FilterData" localSheetId="40" hidden="1">Key!$G$1:$I$125</definedName>
    <definedName name="Z_2D52D3C9_709B_4021_83E4_A853D9F06FF2_.wvu.Cols" localSheetId="40" hidden="1">Key!#REF!</definedName>
    <definedName name="Z_2D52D3C9_709B_4021_83E4_A853D9F06FF2_.wvu.FilterData" localSheetId="40" hidden="1">Key!$G$1:$I$306</definedName>
    <definedName name="Z_2E810D4D_5F75_4EDE_87B0_F3460DD3188B_.wvu.Cols" localSheetId="40" hidden="1">Key!$A:$G,Key!#REF!,Key!#REF!,Key!#REF!,Key!#REF!</definedName>
    <definedName name="Z_2E810D4D_5F75_4EDE_87B0_F3460DD3188B_.wvu.FilterData" localSheetId="40" hidden="1">Key!$A$1:$I$101</definedName>
    <definedName name="Z_2E810D4D_5F75_4EDE_87B0_F3460DD3188B_.wvu.Rows" localSheetId="40" hidden="1">Key!#REF!,Key!#REF!,Key!#REF!,Key!#REF!,Key!#REF!,Key!#REF!,Key!#REF!,Key!#REF!,Key!#REF!,Key!#REF!,Key!#REF!,Key!#REF!,Key!#REF!,Key!#REF!,Key!#REF!,Key!#REF!,Key!#REF!,Key!#REF!,Key!#REF!,Key!#REF!,Key!#REF!,Key!#REF!,Key!#REF!,Key!#REF!,Key!#REF!,Key!#REF!,Key!#REF!,Key!#REF!,Key!#REF!,Key!$7:$100,Key!#REF!</definedName>
    <definedName name="Z_2FEE3CAC_A6E2_4630_A388_16D9CECE16A4_.wvu.FilterData" localSheetId="40" hidden="1">Key!$G$1:$I$101</definedName>
    <definedName name="Z_30318476_E7A3_42E8_BD34_162C70C0418B_.wvu.FilterData" localSheetId="40" hidden="1">Key!$I$1:$I$254</definedName>
    <definedName name="Z_315FC76A_6C03_4D6E_B6F8_3CEBDCFEB5A9_.wvu.FilterData" localSheetId="40" hidden="1">Key!$G$1:$I$275</definedName>
    <definedName name="Z_31F3F734_3009_44D0_9ADA_C3AA8C36B7A8_.wvu.FilterData" localSheetId="40" hidden="1">Key!$G$1:$I$101</definedName>
    <definedName name="Z_3409DB5B_24E7_4EA7_BA48_CB8CB0BF4953_.wvu.FilterData" localSheetId="40" hidden="1">Key!$G$1:$I$275</definedName>
    <definedName name="Z_342F6559_ABA3_4FFD_ADBF_82D035E6783C_.wvu.FilterData" localSheetId="40" hidden="1">Key!$G$1:$I$101</definedName>
    <definedName name="Z_34541978_0B44_4A27_B65D_2F86ACFF109E_.wvu.FilterData" localSheetId="40" hidden="1">Key!$G$1:$I$293</definedName>
    <definedName name="Z_35648BEF_B40C_4519_AE9E_250EE2842D2A_.wvu.Cols" localSheetId="40" hidden="1">Key!#REF!</definedName>
    <definedName name="Z_35648BEF_B40C_4519_AE9E_250EE2842D2A_.wvu.FilterData" localSheetId="40" hidden="1">Key!$G$1:$I$306</definedName>
    <definedName name="Z_35648BEF_B40C_4519_AE9E_250EE2842D2A_.wvu.Rows" localSheetId="40" hidden="1">Key!#REF!</definedName>
    <definedName name="Z_35BE6354_12FD_496F_92F7_08D55790FE26_.wvu.FilterData" localSheetId="40" hidden="1">Key!$G$1:$I$100</definedName>
    <definedName name="Z_379F08D1_E393_4167_B729_1FEAE1336309_.wvu.Cols" localSheetId="40" hidden="1">Key!#REF!</definedName>
    <definedName name="Z_379F08D1_E393_4167_B729_1FEAE1336309_.wvu.FilterData" localSheetId="40" hidden="1">Key!$G$1:$I$275</definedName>
    <definedName name="Z_37C89220_4441_4FF8_B6AE_FD99CD0626B7_.wvu.FilterData" localSheetId="40" hidden="1">Key!$G$1:$I$101</definedName>
    <definedName name="Z_3906E051_B6DC_44EC_8C6F_FA210D5D5356_.wvu.FilterData" localSheetId="40" hidden="1">Key!$1:$100</definedName>
    <definedName name="Z_39152E38_CB2E_4162_9523_BF3296205A45_.wvu.FilterData" localSheetId="40" hidden="1">Key!$1:$100</definedName>
    <definedName name="Z_3972A90D_DB84_451C_BE37_9672CF9F4989_.wvu.FilterData" localSheetId="40" hidden="1">Key!$G$1:$I$125</definedName>
    <definedName name="Z_3972A90D_DB84_451C_BE37_9672CF9F4989_.wvu.Rows" localSheetId="40" hidden="1">Key!#REF!,Key!#REF!,Key!#REF!,Key!#REF!,Key!#REF!,Key!#REF!,Key!#REF!,Key!#REF!,Key!#REF!,Key!#REF!,Key!#REF!,Key!#REF!</definedName>
    <definedName name="Z_3A7105F0_94D1_4886_8260_CCB840CBDD28_.wvu.FilterData" localSheetId="40" hidden="1">Key!$G$1:$I$293</definedName>
    <definedName name="Z_3B4594DE_01FE_4DF1_846C_A6E00D9A3C82_.wvu.FilterData" localSheetId="40" hidden="1">Key!$G$1:$I$106</definedName>
    <definedName name="Z_3B73F011_47CA_4DE2_B8A5_0A892907001C_.wvu.FilterData" localSheetId="40" hidden="1">Key!$G$1:$I$101</definedName>
    <definedName name="Z_3B9CB385_0F08_4868_B7AC_BA6C8AD79C70_.wvu.FilterData" localSheetId="40" hidden="1">Key!$G$1:$I$306</definedName>
    <definedName name="Z_3BD08C3A_E757_403C_A484_69662E47A39A_.wvu.Cols" localSheetId="40" hidden="1">Key!#REF!</definedName>
    <definedName name="Z_3BD08C3A_E757_403C_A484_69662E47A39A_.wvu.FilterData" localSheetId="40" hidden="1">Key!$G$1:$I$275</definedName>
    <definedName name="Z_3BE54570_D892_4CB2_848B_41E02B765749_.wvu.FilterData" localSheetId="40" hidden="1">Key!$1:$100</definedName>
    <definedName name="Z_3D8276D6_2267_11D3_800F_00C04FBFF82D_.wvu.FilterData" localSheetId="40" hidden="1">Key!$G$1:$I$100</definedName>
    <definedName name="Z_3DA2B443_771B_4A65_BE00_9982CC56B453_.wvu.Cols" localSheetId="40" hidden="1">Key!#REF!</definedName>
    <definedName name="Z_3DA2B443_771B_4A65_BE00_9982CC56B453_.wvu.FilterData" localSheetId="40" hidden="1">Key!$G$1:$I$306</definedName>
    <definedName name="Z_3DF9D10F_FD07_4171_AF5E_B3D5F8869287_.wvu.FilterData" localSheetId="40" hidden="1">Key!$G$1:$I$125</definedName>
    <definedName name="Z_3E7E289C_E090_4BE9_8528_84637850B615_.wvu.Cols" localSheetId="40" hidden="1">Key!$A:$G,Key!#REF!,Key!#REF!,Key!#REF!,Key!#REF!,Key!#REF!,Key!#REF!</definedName>
    <definedName name="Z_3E7E289C_E090_4BE9_8528_84637850B615_.wvu.FilterData" localSheetId="40" hidden="1">Key!$G$1:$I$101</definedName>
    <definedName name="Z_3E7E289C_E090_4BE9_8528_84637850B615_.wvu.Rows" localSheetId="40" hidden="1">Key!#REF!,Key!#REF!,Key!#REF!,Key!#REF!,Key!#REF!,Key!#REF!,Key!#REF!,Key!#REF!,Key!#REF!,Key!#REF!,Key!#REF!,Key!#REF!,Key!#REF!,Key!#REF!,Key!#REF!,Key!#REF!,Key!#REF!,Key!#REF!,Key!#REF!,Key!#REF!,Key!#REF!</definedName>
    <definedName name="Z_3EDC2117_DE28_48FB_AFB2_6D25DF710684_.wvu.FilterData" localSheetId="40" hidden="1">Key!$1:$100</definedName>
    <definedName name="Z_3F26A89C_9F1B_4923_927A_E39397375B93_.wvu.FilterData" localSheetId="40" hidden="1">Key!$G$1:$I$101</definedName>
    <definedName name="Z_3F96EDCA_E0B1_492B_A857_75A0148F75D9_.wvu.FilterData" localSheetId="40" hidden="1">Key!$G$1:$I$125</definedName>
    <definedName name="Z_3F9848BF_7B5D_4195_9983_2917E1D5B234_.wvu.FilterData" localSheetId="40" hidden="1">Key!$G$1:$I$101</definedName>
    <definedName name="Z_40491276_E0DD_45FB_B583_B0679AB54B05_.wvu.FilterData" localSheetId="40" hidden="1">Key!$G$1:$I$101</definedName>
    <definedName name="Z_4055A212_C954_4AA7_AEB5_504F4430A794_.wvu.FilterData" localSheetId="40" hidden="1">Key!$G$1:$I$101</definedName>
    <definedName name="Z_408DF980_84BE_4F17_867C_8412E4012065_.wvu.FilterData" localSheetId="40" hidden="1">Key!$G$1:$I$101</definedName>
    <definedName name="Z_41AD497B_5529_4568_8574_4074D7AE7BC1_.wvu.FilterData" localSheetId="40" hidden="1">Key!$G$1:$I$101</definedName>
    <definedName name="Z_436FBF85_5F32_452F_A98E_139DB941DFEF_.wvu.FilterData" localSheetId="40" hidden="1">Key!$G$1:$I$125</definedName>
    <definedName name="Z_45185589_E714_440D_8BEA_FA66F7985183_.wvu.FilterData" localSheetId="40" hidden="1">Key!$G$1:$I$101</definedName>
    <definedName name="Z_45F4F4D9_E457_42D5_873B_99D43241BBBD_.wvu.FilterData" localSheetId="40" hidden="1">Key!$G$1:$I$101</definedName>
    <definedName name="Z_47F9C232_3843_4B09_AEBA_FD95F6C6A9E8_.wvu.FilterData" localSheetId="40" hidden="1">Key!$G$1:$I$100</definedName>
    <definedName name="Z_48059B89_7DFC_46A0_8D7D_18300484924B_.wvu.FilterData" localSheetId="40" hidden="1">Key!$G$1:$I$100</definedName>
    <definedName name="Z_48422418_5CC1_4A35_97B8_98C60EC9A1D0_.wvu.FilterData" localSheetId="40" hidden="1">Key!$G$1:$I$100</definedName>
    <definedName name="Z_4869FD7A_FE77_4587_A21A_44C9189889F6_.wvu.FilterData" localSheetId="40" hidden="1">Key!$G$1:$I$101</definedName>
    <definedName name="Z_48BDF627_5D67_4EA9_8FD2_347341FFDED2_.wvu.FilterData" localSheetId="40" hidden="1">Key!$G$1:$I$125</definedName>
    <definedName name="Z_49ACDA4A_DEAB_4EE0_BBE0_DC5483D66E18_.wvu.FilterData" localSheetId="40" hidden="1">Key!$1:$100</definedName>
    <definedName name="Z_4A1D30DF_132F_4845_B77F_69007A922342_.wvu.FilterData" localSheetId="40" hidden="1">Key!$G$1:$I$101</definedName>
    <definedName name="Z_4B0E308F_D46E_4D37_B158_0123C73916BE_.wvu.FilterData" localSheetId="40" hidden="1">Key!$G$1:$I$101</definedName>
    <definedName name="Z_4B2689C9_EF23_44C2_B896_D67F4DD5798E_.wvu.FilterData" localSheetId="40" hidden="1">Key!$G$1:$I$100</definedName>
    <definedName name="Z_4D4D3070_FA11_466F_B38F_AFBAD983FD71_.wvu.Cols" localSheetId="40" hidden="1">Key!#REF!</definedName>
    <definedName name="Z_4D4D3070_FA11_466F_B38F_AFBAD983FD71_.wvu.FilterData" localSheetId="40" hidden="1">Key!$G$1:$I$306</definedName>
    <definedName name="Z_4E500DA3_75C8_4386_9FAF_D9AA0A23E334_.wvu.FilterData" localSheetId="40" hidden="1">Key!$G$1:$I$100</definedName>
    <definedName name="Z_4E500DA3_75C8_4386_9FAF_D9AA0A23E334_.wvu.Rows" localSheetId="40" hidden="1">Key!#REF!,Key!#REF!,Key!#REF!,Key!#REF!,Key!#REF!,Key!#REF!,Key!#REF!,Key!#REF!,Key!#REF!</definedName>
    <definedName name="Z_51006727_CA44_40B8_A4C3_8435AA5BFBD6_.wvu.FilterData" localSheetId="40" hidden="1">Key!$G$1:$I$101</definedName>
    <definedName name="Z_52235EDC_6B6C_4D69_9148_452BA956AA80_.wvu.FilterData" localSheetId="40" hidden="1">Key!$G$1:$I$100</definedName>
    <definedName name="Z_52D5950C_9324_4E4F_B6D8_DB868B409D63_.wvu.FilterData" localSheetId="40" hidden="1">Key!$G$1:$I$275</definedName>
    <definedName name="Z_533F1A64_454D_4403_B912_ED4F716CA63C_.wvu.Cols" localSheetId="40" hidden="1">Key!$A:$G,Key!#REF!,Key!#REF!,Key!#REF!,Key!#REF!</definedName>
    <definedName name="Z_533F1A64_454D_4403_B912_ED4F716CA63C_.wvu.FilterData" localSheetId="40" hidden="1">Key!$G$1:$I$101</definedName>
    <definedName name="Z_533F1A64_454D_4403_B912_ED4F716CA63C_.wvu.Rows" localSheetId="40" hidden="1">Key!#REF!,Key!#REF!,Key!#REF!,Key!#REF!,Key!#REF!,Key!#REF!,Key!#REF!,Key!#REF!,Key!#REF!,Key!#REF!,Key!#REF!,Key!#REF!,Key!#REF!,Key!#REF!,Key!#REF!,Key!#REF!</definedName>
    <definedName name="Z_54C5FD72_81BB_4E2B_AE5D_0201173BB1A0_.wvu.FilterData" localSheetId="40" hidden="1">Key!$G$1:$I$101</definedName>
    <definedName name="Z_54D840C8_B28A_4BD5_90B1_44F7C7893992_.wvu.FilterData" localSheetId="40" hidden="1">Key!$G$1:$I$293</definedName>
    <definedName name="Z_55758A42_4597_415D_8239_8A4142B5ABA4_.wvu.Cols" localSheetId="40" hidden="1">Key!#REF!</definedName>
    <definedName name="Z_55758A42_4597_415D_8239_8A4142B5ABA4_.wvu.FilterData" localSheetId="40" hidden="1">Key!$G$1:$I$101</definedName>
    <definedName name="Z_55758A42_4597_415D_8239_8A4142B5ABA4_.wvu.Rows" localSheetId="40" hidden="1">Key!#REF!,Key!#REF!,Key!#REF!,Key!#REF!,Key!#REF!,Key!#REF!,Key!#REF!,Key!#REF!,Key!#REF!</definedName>
    <definedName name="Z_58442288_2F27_42A2_B2E0_4EB7A7EA01C3_.wvu.Cols" localSheetId="40" hidden="1">Key!$A:$G,Key!#REF!,Key!#REF!,Key!#REF!,Key!#REF!</definedName>
    <definedName name="Z_58442288_2F27_42A2_B2E0_4EB7A7EA01C3_.wvu.FilterData" localSheetId="40" hidden="1">Key!$A$1:$I$101</definedName>
    <definedName name="Z_591C0C0D_CD6C_4900_92D0_1D3B135C543D_.wvu.FilterData" localSheetId="40" hidden="1">Key!$G$1:$I$101</definedName>
    <definedName name="Z_59342437_9DF3_41F2_99D9_EF01AC200633_.wvu.FilterData" localSheetId="40" hidden="1">Key!$G$1:$I$100</definedName>
    <definedName name="Z_59A77F73_AD73_4EC8_9726_5711EB8C0E62_.wvu.FilterData" localSheetId="40" hidden="1">Key!$G$1:$I$101</definedName>
    <definedName name="Z_5DE9ECE1_CCCD_4846_9F02_C84DCCEF3BCE_.wvu.FilterData" localSheetId="40" hidden="1">Key!$G$1:$I$101</definedName>
    <definedName name="Z_5EE7A28D_BC8E_4D88_98A9_3A2898D6A186_.wvu.FilterData" localSheetId="40" hidden="1">Key!$G$1:$I$100</definedName>
    <definedName name="Z_602530D4_B1E4_4724_93E9_62DB0E09B726_.wvu.Cols" localSheetId="40" hidden="1">Key!$A:$G,Key!#REF!,Key!#REF!,Key!#REF!,Key!#REF!</definedName>
    <definedName name="Z_602530D4_B1E4_4724_93E9_62DB0E09B726_.wvu.FilterData" localSheetId="40" hidden="1">Key!$A$1:$I$101</definedName>
    <definedName name="Z_6079385F_6A81_4582_ACFE_93AAC21BB591_.wvu.FilterData" localSheetId="40" hidden="1">Key!$1:$100</definedName>
    <definedName name="Z_6098F948_224A_44FB_9AAB_5158B9634079_.wvu.FilterData" localSheetId="40" hidden="1">Key!$G$1:$I$101</definedName>
    <definedName name="Z_6180B910_8969_4E02_B4F9_6F88D8CF57A4_.wvu.Cols" localSheetId="40" hidden="1">Key!#REF!,Key!#REF!,Key!#REF!</definedName>
    <definedName name="Z_6180B910_8969_4E02_B4F9_6F88D8CF57A4_.wvu.FilterData" localSheetId="40" hidden="1">Key!$G$1:$I$101</definedName>
    <definedName name="Z_621B929A_C401_45FA_A19D_53858DE3F7E3_.wvu.FilterData" localSheetId="40" hidden="1">Key!$G$1:$I$101</definedName>
    <definedName name="Z_632E75DF_6ADE_4084_BFCA_D3A0376F4308_.wvu.FilterData" localSheetId="40" hidden="1">Key!$G$1:$I$101</definedName>
    <definedName name="Z_645FEB4A_042A_470C_BA8A_9D602E18E617_.wvu.Cols" localSheetId="40" hidden="1">Key!#REF!</definedName>
    <definedName name="Z_645FEB4A_042A_470C_BA8A_9D602E18E617_.wvu.FilterData" localSheetId="40" hidden="1">Key!$G$1:$I$275</definedName>
    <definedName name="Z_6480124D_E00B_471F_B4C2_F1123D9C842D_.wvu.FilterData" localSheetId="40" hidden="1">Key!$G$1:$I$100</definedName>
    <definedName name="Z_648F148B_CBA2_41FB_9858_8C40FB29444F_.wvu.Cols" localSheetId="40" hidden="1">Key!$A:$G,Key!#REF!,Key!#REF!,Key!#REF!,Key!#REF!,Key!#REF!,Key!#REF!</definedName>
    <definedName name="Z_648F148B_CBA2_41FB_9858_8C40FB29444F_.wvu.FilterData" localSheetId="40" hidden="1">Key!$G$1:$I$101</definedName>
    <definedName name="Z_648F148B_CBA2_41FB_9858_8C40FB29444F_.wvu.Rows" localSheetId="40" hidden="1">Key!#REF!,Key!#REF!,Key!#REF!,Key!#REF!,Key!#REF!,Key!#REF!,Key!#REF!,Key!#REF!,Key!#REF!,Key!#REF!,Key!#REF!,Key!#REF!,Key!#REF!,Key!#REF!,Key!#REF!,Key!#REF!,Key!#REF!,Key!#REF!,Key!#REF!,Key!#REF!,Key!#REF!</definedName>
    <definedName name="Z_64EEFB2A_CF37_46A7_A9CC_38779E69749E_.wvu.FilterData" localSheetId="40" hidden="1">Key!$G$1:$I$306</definedName>
    <definedName name="Z_655C3DE8_16B8_453B_9015_77762F140252_.wvu.FilterData" localSheetId="40" hidden="1">Key!$G$1:$I$101</definedName>
    <definedName name="Z_65D6C394_D652_4A1E_BC30_ACA351DC15B1_.wvu.FilterData" localSheetId="40" hidden="1">Key!$G$1:$I$100</definedName>
    <definedName name="Z_65F9CD72_765A_4872_828B_F5F9ABDF54D8_.wvu.FilterData" localSheetId="40" hidden="1">Key!$1:$100</definedName>
    <definedName name="Z_66265259_E1DC_4C4D_8249_9300DD9A81B6_.wvu.FilterData" localSheetId="40" hidden="1">Key!$G$1:$I$101</definedName>
    <definedName name="Z_697C3761_B7A8_4B09_845C_BBAE535A98DC_.wvu.FilterData" localSheetId="40" hidden="1">Key!$1:$100</definedName>
    <definedName name="Z_6991838C_AEC0_4108_9C46_045854250409_.wvu.FilterData" localSheetId="40" hidden="1">Key!$G$1:$I$101</definedName>
    <definedName name="Z_69C70A14_AFC0_4E15_B12E_D37FFE3B19E3_.wvu.FilterData" localSheetId="40" hidden="1">Key!$G$1:$I$101</definedName>
    <definedName name="Z_6AB9B7BA_20CC_4F5C_AB7C_748B329AE12A_.wvu.FilterData" localSheetId="40" hidden="1">Key!$G$1:$I$100</definedName>
    <definedName name="Z_6ADF07DB_0A60_4A0C_A52C_899D4DFE5905_.wvu.FilterData" localSheetId="40" hidden="1">Key!$G$1:$I$100</definedName>
    <definedName name="Z_6B76076E_3271_4A30_9AB9_C1550769BFBF_.wvu.FilterData" localSheetId="40" hidden="1">Key!$1:$254</definedName>
    <definedName name="Z_6C18AAE7_3B97_4942_BCC8_A0FDD6ABD245_.wvu.Cols" localSheetId="40" hidden="1">Key!$A:$G,Key!#REF!,Key!#REF!,Key!#REF!,Key!#REF!</definedName>
    <definedName name="Z_6C18AAE7_3B97_4942_BCC8_A0FDD6ABD245_.wvu.FilterData" localSheetId="40" hidden="1">Key!$A$1:$I$101</definedName>
    <definedName name="Z_6C18AAE7_3B97_4942_BCC8_A0FDD6ABD245_.wvu.Rows" localSheetId="40" hidden="1">Key!#REF!,Key!#REF!,Key!#REF!,Key!#REF!,Key!#REF!,Key!#REF!,Key!#REF!,Key!#REF!,Key!#REF!,Key!#REF!,Key!#REF!,Key!#REF!,Key!#REF!,Key!#REF!,Key!#REF!,Key!#REF!,Key!#REF!,Key!#REF!,Key!#REF!,Key!#REF!,Key!#REF!,Key!#REF!,Key!#REF!,Key!#REF!,Key!#REF!,Key!#REF!,Key!#REF!,Key!#REF!,Key!#REF!,Key!#REF!,Key!#REF!,Key!#REF!,Key!#REF!,Key!#REF!,Key!$10:$29,Key!$32:$52,Key!$55:$100,Key!#REF!,Key!#REF!,Key!#REF!,Key!#REF!,Key!#REF!,Key!#REF!</definedName>
    <definedName name="Z_6D47BC45_3941_4382_B566_BE7E283317CA_.wvu.Cols" localSheetId="40" hidden="1">Key!$A:$G,Key!#REF!,Key!#REF!,Key!#REF!,Key!#REF!</definedName>
    <definedName name="Z_6D47BC45_3941_4382_B566_BE7E283317CA_.wvu.FilterData" localSheetId="40" hidden="1">Key!$A$1:$I$101</definedName>
    <definedName name="Z_6DD8DE2B_881C_4209_84FF_E24B760E64BD_.wvu.FilterData" localSheetId="40" hidden="1">Key!$G$1:$I$125</definedName>
    <definedName name="Z_6E876161_EC4C_48DB_A929_770937D04E16_.wvu.FilterData" localSheetId="40" hidden="1">Key!$G$1:$I$100</definedName>
    <definedName name="Z_6F11A635_0249_41C4_A801_50F2468A899E_.wvu.FilterData" localSheetId="40" hidden="1">Key!$G$1:$I$101</definedName>
    <definedName name="Z_6FBD87AF_3618_43DB_B914_7AEE87FAF706_.wvu.FilterData" localSheetId="40" hidden="1">Key!$G$1:$I$125</definedName>
    <definedName name="Z_702F6A20_8275_45CA_941F_A6389733CCBD_.wvu.FilterData" localSheetId="40" hidden="1">Key!$G$1:$I$125</definedName>
    <definedName name="Z_71A62A17_2FD9_41F8_8BA9_D060EF719FF8_.wvu.FilterData" localSheetId="40" hidden="1">Key!$I$1:$I$272</definedName>
    <definedName name="Z_71C74DF4_97C3_4BC5_92CE_70471DF9AFE5_.wvu.FilterData" localSheetId="40" hidden="1">Key!$G$1:$I$275</definedName>
    <definedName name="Z_725B6AE4_5EC5_47A4_9569_248D872259E8_.wvu.Cols" localSheetId="40" hidden="1">Key!#REF!</definedName>
    <definedName name="Z_725B6AE4_5EC5_47A4_9569_248D872259E8_.wvu.FilterData" localSheetId="40" hidden="1">Key!$G$1:$I$101</definedName>
    <definedName name="Z_736B2E07_1722_44A5_96DF_85435422D0DC_.wvu.FilterData" localSheetId="40" hidden="1">Key!$G$1:$I$101</definedName>
    <definedName name="Z_73B13036_5E8D_45E2_B5F2_6A4980FF3FF8_.wvu.FilterData" localSheetId="40" hidden="1">Key!$G$1:$I$101</definedName>
    <definedName name="Z_75622436_AD07_4678_8FE7_E2EFF2310810_.wvu.Cols" localSheetId="40" hidden="1">Key!#REF!</definedName>
    <definedName name="Z_75622436_AD07_4678_8FE7_E2EFF2310810_.wvu.FilterData" localSheetId="40" hidden="1">Key!$G$1:$I$275</definedName>
    <definedName name="Z_76D098B9_4AD8_43E1_962B_408E78F2E877_.wvu.FilterData" localSheetId="40" hidden="1">Key!$G$1:$I$100</definedName>
    <definedName name="Z_76E4FED8_8268_4871_A5A7_B30092D7DC69_.wvu.FilterData" localSheetId="40" hidden="1">Key!$G$1:$I$100</definedName>
    <definedName name="Z_7941158A_88FF_4E6A_9031_31DF20F7B32D_.wvu.FilterData" localSheetId="40" hidden="1">Key!$G$1:$I$101</definedName>
    <definedName name="Z_79C06098_7726_445D_8F7F_33AF2DFCF177_.wvu.FilterData" localSheetId="40" hidden="1">Key!$G$1:$I$100</definedName>
    <definedName name="Z_7BBA038F_4871_405F_9F97_56071AAC0148_.wvu.FilterData" localSheetId="40" hidden="1">Key!$G$1:$I$275</definedName>
    <definedName name="Z_7D36ABCC_C911_49DF_BAC8_51F51FBCEDAE_.wvu.FilterData" localSheetId="40" hidden="1">Key!$G$1:$I$101</definedName>
    <definedName name="Z_7DCDEC50_F543_4E6D_9B82_970E847939D1_.wvu.FilterData" localSheetId="40" hidden="1">Key!$G$1:$I$100</definedName>
    <definedName name="Z_7E2E4360_887B_4A42_A56F_58018503D889_.wvu.FilterData" localSheetId="40" hidden="1">Key!$I$1:$I$254</definedName>
    <definedName name="Z_7E30ABA8_3F62_468D_8134_70716A3AF23F_.wvu.Cols" localSheetId="40" hidden="1">Key!$A:$G,Key!#REF!,Key!#REF!,Key!#REF!,Key!#REF!,Key!#REF!,Key!#REF!</definedName>
    <definedName name="Z_7E30ABA8_3F62_468D_8134_70716A3AF23F_.wvu.FilterData" localSheetId="40" hidden="1">Key!$G$1:$I$101</definedName>
    <definedName name="Z_7E30ABA8_3F62_468D_8134_70716A3AF23F_.wvu.Rows" localSheetId="40" hidden="1">Key!#REF!,Key!#REF!,Key!#REF!,Key!#REF!,Key!#REF!,Key!#REF!,Key!#REF!,Key!#REF!,Key!#REF!,Key!#REF!,Key!#REF!,Key!#REF!,Key!#REF!,Key!#REF!,Key!#REF!,Key!#REF!,Key!#REF!,Key!#REF!,Key!#REF!,Key!#REF!,Key!#REF!</definedName>
    <definedName name="Z_7E3A8331_4C53_4EC4_AFF2_8CAEA1B4DFA0_.wvu.FilterData" localSheetId="40" hidden="1">Key!$G$1:$I$101</definedName>
    <definedName name="Z_7F32A77F_1527_4CF6_8A43_38BB28BBE252_.wvu.FilterData" localSheetId="40" hidden="1">Key!$G$1:$I$100</definedName>
    <definedName name="Z_7F7F1BFB_33BF_4409_956A_F4CC22BE7C27_.wvu.FilterData" localSheetId="40" hidden="1">Key!$G$1:$I$101</definedName>
    <definedName name="Z_802055E9_5F93_46AB_92A6_D1385AF83491_.wvu.FilterData" localSheetId="40" hidden="1">Key!$G$1:$I$125</definedName>
    <definedName name="Z_802B74C9_1A93_40FD_A7CC_DDECFF606B9F_.wvu.FilterData" localSheetId="40" hidden="1">Key!$G$1:$I$100</definedName>
    <definedName name="Z_803D7872_77FB_4062_A80F_3ACDC2906333_.wvu.Cols" localSheetId="40" hidden="1">Key!#REF!</definedName>
    <definedName name="Z_803D7872_77FB_4062_A80F_3ACDC2906333_.wvu.FilterData" localSheetId="40" hidden="1">Key!$G$1:$I$275</definedName>
    <definedName name="Z_8105752D_38E8_4F09_A584_269BDA67CA2E_.wvu.Cols" localSheetId="40" hidden="1">Key!#REF!</definedName>
    <definedName name="Z_8105752D_38E8_4F09_A584_269BDA67CA2E_.wvu.FilterData" localSheetId="40" hidden="1">Key!$G$1:$I$306</definedName>
    <definedName name="Z_8105752D_38E8_4F09_A584_269BDA67CA2E_.wvu.Rows" localSheetId="40" hidden="1">Key!#REF!</definedName>
    <definedName name="Z_815EC301_A651_4E3B_B038_4E76D11A5A8C_.wvu.FilterData" localSheetId="40" hidden="1">Key!$G$1:$I$101</definedName>
    <definedName name="Z_84D61A1E_35A6_11D4_A862_00C04FBFA006_.wvu.FilterData" localSheetId="40" hidden="1">Key!$I$1:$I$289</definedName>
    <definedName name="Z_85013D19_8641_4A60_9087_9F40D3A59A53_.wvu.FilterData" localSheetId="40" hidden="1">Key!$G$1:$I$101</definedName>
    <definedName name="Z_85AD429C_19A8_4FB8_B8EB_56467A1792E6_.wvu.FilterData" localSheetId="40" hidden="1">Key!$G$1:$I$101</definedName>
    <definedName name="Z_88443895_9309_4360_85A2_3516017608BA_.wvu.FilterData" localSheetId="40" hidden="1">Key!$G$1:$I$101</definedName>
    <definedName name="Z_898E4708_0351_4A97_97DE_2B8FECB4E02B_.wvu.FilterData" localSheetId="40" hidden="1">Key!$G$1:$I$101</definedName>
    <definedName name="Z_8B30F88F_9225_472C_9516_2756DDA6B144_.wvu.FilterData" localSheetId="40" hidden="1">Key!$G$1:$I$101</definedName>
    <definedName name="Z_8F2166CC_19FC_4025_912C_C4103684922D_.wvu.FilterData" localSheetId="40" hidden="1">Key!$G$1:$I$101</definedName>
    <definedName name="Z_8FF91C7E_5322_4EB5_B001_8608A5FB5C95_.wvu.Cols" localSheetId="40" hidden="1">Key!#REF!</definedName>
    <definedName name="Z_8FF91C7E_5322_4EB5_B001_8608A5FB5C95_.wvu.FilterData" localSheetId="40" hidden="1">Key!$G$1:$I$101</definedName>
    <definedName name="Z_911813FC_4C4C_4214_BD24_1BEE8CD9EBB0_.wvu.FilterData" localSheetId="40" hidden="1">Key!$G$1:$I$101</definedName>
    <definedName name="Z_912029BB_3A19_4397_BA48_8A3B75FC607C_.wvu.Cols" localSheetId="40" hidden="1">Key!$A:$G,Key!#REF!,Key!#REF!,Key!#REF!,Key!#REF!</definedName>
    <definedName name="Z_912029BB_3A19_4397_BA48_8A3B75FC607C_.wvu.FilterData" localSheetId="40" hidden="1">Key!$A$1:$I$101</definedName>
    <definedName name="Z_92AF3B79_4A12_4D92_B4EC_758E42821135_.wvu.FilterData" localSheetId="40" hidden="1">Key!$I$1:$I$272</definedName>
    <definedName name="Z_93633F6C_994D_4BE5_ABF8_FFB3C44DA7EB_.wvu.FilterData" localSheetId="40" hidden="1">Key!$G$1:$I$125</definedName>
    <definedName name="Z_95D09342_4C82_43D4_B157_85C54FD4DFCD_.wvu.FilterData" localSheetId="40" hidden="1">Key!$G$1:$I$101</definedName>
    <definedName name="Z_95D14C85_85F2_4268_A0B2_8AD8C69C3B5E_.wvu.FilterData" localSheetId="40" hidden="1">Key!$G$1:$I$101</definedName>
    <definedName name="Z_96E5EA79_4C23_48F6_BE1F_ACA126BBBD76_.wvu.Cols" localSheetId="40" hidden="1">Key!#REF!</definedName>
    <definedName name="Z_96E5EA79_4C23_48F6_BE1F_ACA126BBBD76_.wvu.FilterData" localSheetId="40" hidden="1">Key!$G$1:$I$306</definedName>
    <definedName name="Z_9917BE03_2AC7_4EED_B57F_B8CDA791A6A0_.wvu.FilterData" localSheetId="40" hidden="1">Key!$G$1:$I$100</definedName>
    <definedName name="Z_99FC6B59_8232_4AEB_8D15_EFE85C8CB8BD_.wvu.FilterData" localSheetId="40" hidden="1">Key!$G$1:$I$106</definedName>
    <definedName name="Z_9A2526FC_7756_4781_A49D_1D63BEF6B460_.wvu.FilterData" localSheetId="40" hidden="1">Key!$G$1:$I$100</definedName>
    <definedName name="Z_9AC6A9B9_2541_40AB_A0BC_545C860F04A9_.wvu.Cols" localSheetId="40" hidden="1">Key!#REF!</definedName>
    <definedName name="Z_9AC6A9B9_2541_40AB_A0BC_545C860F04A9_.wvu.FilterData" localSheetId="40" hidden="1">Key!$G$1:$I$101</definedName>
    <definedName name="Z_9BAD7D22_92B8_4B22_A282_5CD189B50313_.wvu.FilterData" localSheetId="40" hidden="1">Key!$G$1:$I$100</definedName>
    <definedName name="Z_9C23389F_AAFA_4E9A_9C32_D5EBCDD1A7D5_.wvu.FilterData" localSheetId="40" hidden="1">Key!$G$1:$I$100</definedName>
    <definedName name="Z_9D5EC6E8_1F7A_4547_B323_CC31F714C6C3_.wvu.Cols" localSheetId="40" hidden="1">Key!$A:$G,Key!#REF!,Key!#REF!,Key!#REF!,Key!#REF!</definedName>
    <definedName name="Z_9D5EC6E8_1F7A_4547_B323_CC31F714C6C3_.wvu.FilterData" localSheetId="40" hidden="1">Key!$A$1:$I$101</definedName>
    <definedName name="Z_9D5EC6E8_1F7A_4547_B323_CC31F714C6C3_.wvu.Rows" localSheetId="40" hidden="1">Key!#REF!,Key!#REF!,Key!#REF!,Key!#REF!,Key!#REF!,Key!#REF!,Key!#REF!,Key!#REF!,Key!#REF!,Key!#REF!,Key!#REF!,Key!#REF!,Key!#REF!,Key!#REF!,Key!#REF!,Key!#REF!,Key!#REF!,Key!#REF!,Key!#REF!,Key!#REF!,Key!#REF!,Key!#REF!,Key!#REF!,Key!#REF!,Key!#REF!,Key!#REF!,Key!#REF!,Key!#REF!,Key!#REF!,Key!#REF!,Key!#REF!,Key!#REF!,Key!#REF!,Key!#REF!,Key!#REF!,Key!$7:$100,Key!#REF!</definedName>
    <definedName name="Z_9D64E109_5A5D_467F_89A1_2A13E9345260_.wvu.FilterData" localSheetId="40" hidden="1">Key!$G$1:$I$275</definedName>
    <definedName name="Z_9DBCC7F9_D6BC_4308_826B_3006234C2181_.wvu.FilterData" localSheetId="40" hidden="1">Key!$G$1:$I$100</definedName>
    <definedName name="Z_9FC8495C_AAA4_4626_B850_7101EF409329_.wvu.FilterData" localSheetId="40" hidden="1">Key!$G$1:$I$101</definedName>
    <definedName name="Z_9FD9CBCD_ACDB_44E0_ACF9_4BAA7027335E_.wvu.FilterData" localSheetId="40" hidden="1">Key!$G$1:$I$100</definedName>
    <definedName name="Z_9FDC585B_0933_4FDE_8236_905F5D251C75_.wvu.FilterData" localSheetId="40" hidden="1">Key!$G$1:$I$100</definedName>
    <definedName name="Z_A0241BD6_6351_4B91_A3A4_0AE295A759DC_.wvu.FilterData" localSheetId="40" hidden="1">Key!$G$1:$I$100</definedName>
    <definedName name="Z_A024D894_8A9F_4AEC_8C10_A462403927C9_.wvu.FilterData" localSheetId="40" hidden="1">Key!$G$1:$I$100</definedName>
    <definedName name="Z_A05D27F5_68A4_4ED7_9EB4_8CF4015E2341_.wvu.FilterData" localSheetId="40" hidden="1">Key!$G$1:$I$306</definedName>
    <definedName name="Z_A202E9FF_77A8_4DAB_B9B3_1213E3EACDFD_.wvu.FilterData" localSheetId="40" hidden="1">Key!$G$1:$I$101</definedName>
    <definedName name="Z_A2750B9A_32BC_4CB0_988F_3DCBB272908E_.wvu.Cols" localSheetId="40" hidden="1">Key!$A:$G,Key!#REF!,Key!#REF!,Key!#REF!,Key!#REF!,Key!#REF!,Key!#REF!</definedName>
    <definedName name="Z_A2750B9A_32BC_4CB0_988F_3DCBB272908E_.wvu.FilterData" localSheetId="40" hidden="1">Key!$G$1:$I$101</definedName>
    <definedName name="Z_A2750B9A_32BC_4CB0_988F_3DCBB272908E_.wvu.Rows" localSheetId="40" hidden="1">Key!#REF!,Key!#REF!,Key!#REF!,Key!#REF!,Key!#REF!,Key!#REF!,Key!#REF!,Key!#REF!,Key!#REF!,Key!#REF!,Key!#REF!,Key!#REF!,Key!#REF!,Key!#REF!,Key!#REF!,Key!#REF!,Key!#REF!,Key!#REF!,Key!#REF!,Key!#REF!,Key!#REF!</definedName>
    <definedName name="Z_A2E73F2D_0938_4825_941E_ABC295C275F6_.wvu.FilterData" localSheetId="40" hidden="1">Key!$G$1:$I$101</definedName>
    <definedName name="Z_A2F1D8BE_6E21_46BC_ADA6_79F5BD0B415F_.wvu.FilterData" localSheetId="40" hidden="1">Key!$G$1:$I$100</definedName>
    <definedName name="Z_A30BBD02_0ECE_4846_8983_05E8DD87989E_.wvu.FilterData" localSheetId="40" hidden="1">Key!$G$1:$I$125</definedName>
    <definedName name="Z_A3C65DE1_DA4E_4C3A_87BA_3CE3487FD1E9_.wvu.FilterData" localSheetId="40" hidden="1">Key!$G$1:$I$608</definedName>
    <definedName name="Z_A45AC257_7185_4612_98B5_40B0C15BAF01_.wvu.FilterData" localSheetId="40" hidden="1">Key!$G$1:$I$101</definedName>
    <definedName name="Z_A6FBAE14_AD54_4983_9D8D_664A321FEABB_.wvu.FilterData" localSheetId="40" hidden="1">Key!$G$1:$I$306</definedName>
    <definedName name="Z_A728C4DF_570A_4275_A5BF_95189EF7CC99_.wvu.FilterData" localSheetId="40" hidden="1">Key!$G$1:$I$101</definedName>
    <definedName name="Z_A7293C41_B481_4994_9BBE_C9A6887C5C95_.wvu.FilterData" localSheetId="40" hidden="1">Key!$G$1:$I$125</definedName>
    <definedName name="Z_A7F222D3_0B7A_49FA_A2F0_728F856A203A_.wvu.FilterData" localSheetId="40" hidden="1">Key!$G$1:$I$101</definedName>
    <definedName name="Z_A9A4DA7A_AB0C_4FDE_8B36_C75C426412BA_.wvu.Cols" localSheetId="40" hidden="1">Key!#REF!</definedName>
    <definedName name="Z_A9A4DA7A_AB0C_4FDE_8B36_C75C426412BA_.wvu.FilterData" localSheetId="40" hidden="1">Key!$G$1:$I$100</definedName>
    <definedName name="Z_A9E5DE0F_9D54_46D8_A19B_902C757A7A10_.wvu.FilterData" localSheetId="40" hidden="1">Key!$G$1:$I$100</definedName>
    <definedName name="Z_A9F2BAD1_78B7_4F12_BDE0_F7673F010248_.wvu.FilterData" localSheetId="40" hidden="1">Key!$G$1:$I$101</definedName>
    <definedName name="Z_ABC70C91_D2F5_4C60_88B3_77AA13DC3580_.wvu.FilterData" localSheetId="40" hidden="1">Key!$G$1:$I$100</definedName>
    <definedName name="Z_ABF20861_0A1B_4008_96F6_F7B2F02B376C_.wvu.Cols" localSheetId="40" hidden="1">Key!#REF!</definedName>
    <definedName name="Z_ABF20861_0A1B_4008_96F6_F7B2F02B376C_.wvu.FilterData" localSheetId="40" hidden="1">Key!$G$1:$I$275</definedName>
    <definedName name="Z_AC2C9478_5775_413F_800B_C23D3DD1A26D_.wvu.FilterData" localSheetId="40" hidden="1">Key!$G$1:$I$100</definedName>
    <definedName name="Z_AC2C9478_5775_413F_800B_C23D3DD1A26D_.wvu.Rows" localSheetId="40" hidden="1">Key!#REF!</definedName>
    <definedName name="Z_AC886593_1F0E_4534_A2A3_968932D906BD_.wvu.FilterData" localSheetId="40" hidden="1">Key!$G$1:$I$125</definedName>
    <definedName name="Z_AD7A0971_4926_4758_9D99_885533426E9E_.wvu.Cols" localSheetId="40" hidden="1">Key!$A:$G,Key!#REF!,Key!#REF!,Key!#REF!,Key!#REF!</definedName>
    <definedName name="Z_AD7A0971_4926_4758_9D99_885533426E9E_.wvu.FilterData" localSheetId="40" hidden="1">Key!$A$1:$I$101</definedName>
    <definedName name="Z_AE00DA2D_DE66_496F_B947_065168EC8F27_.wvu.FilterData" localSheetId="40" hidden="1">Key!$G$1:$I$100</definedName>
    <definedName name="Z_AE6AF418_1C75_4FF9_94FD_9DA6A170FB7E_.wvu.FilterData" localSheetId="40" hidden="1">Key!$G$1:$I$125</definedName>
    <definedName name="Z_B11FECF9_CE59_4A58_AEB2_0301C84408FA_.wvu.FilterData" localSheetId="40" hidden="1">Key!$G$1:$I$100</definedName>
    <definedName name="Z_B14511D6_C653_4C5F_97D6_2F708F2B9E0D_.wvu.FilterData" localSheetId="40" hidden="1">Key!$G$1:$I$101</definedName>
    <definedName name="Z_B2005B5A_F603_4FA1_93A1_EB20E86E88B4_.wvu.FilterData" localSheetId="40" hidden="1">Key!$1:$100</definedName>
    <definedName name="Z_B3463580_2924_4EA3_A9B2_53EB0D4DFEF1_.wvu.FilterData" localSheetId="40" hidden="1">Key!$G$1:$I$101</definedName>
    <definedName name="Z_B43B69F9_DCB2_454B_8D6B_0F0735BB4872_.wvu.FilterData" localSheetId="40" hidden="1">Key!$G$1:$I$101</definedName>
    <definedName name="Z_B573DC3F_1BDE_47F1_A412_6A773AC3D0F3_.wvu.FilterData" localSheetId="40" hidden="1">Key!$G$1:$I$101</definedName>
    <definedName name="Z_B5757F8B_7E11_4637_8CE7_94B99ECFB398_.wvu.FilterData" localSheetId="40" hidden="1">Key!$1:$100</definedName>
    <definedName name="Z_B5E0A154_6F85_11D3_88A6_00C04F934B2C_.wvu.Cols" localSheetId="40" hidden="1">Key!#REF!</definedName>
    <definedName name="Z_B5E0A154_6F85_11D3_88A6_00C04F934B2C_.wvu.FilterData" localSheetId="40" hidden="1">Key!$4:$55</definedName>
    <definedName name="Z_B70ED3EE_66CF_44BA_9B49_43E999F2DCF6_.wvu.Cols" localSheetId="40" hidden="1">Key!$A:$G,Key!#REF!,Key!#REF!,Key!#REF!,Key!#REF!,Key!#REF!,Key!#REF!</definedName>
    <definedName name="Z_B70ED3EE_66CF_44BA_9B49_43E999F2DCF6_.wvu.FilterData" localSheetId="40" hidden="1">Key!$G$1:$I$101</definedName>
    <definedName name="Z_B7D30362_55F5_461B_B5FC_979EB27EE94A_.wvu.FilterData" localSheetId="40" hidden="1">Key!$G$1:$I$101</definedName>
    <definedName name="Z_B8B54BF7_28E5_4DF0_BE22_46763A45A97B_.wvu.FilterData" localSheetId="40" hidden="1">Key!$G$1:$I$125</definedName>
    <definedName name="Z_B93DA45F_E566_4F58_A6F3_1FC719797F2A_.wvu.Cols" localSheetId="40" hidden="1">Key!$A:$G,Key!#REF!,Key!#REF!,Key!#REF!,Key!#REF!,Key!#REF!,Key!#REF!</definedName>
    <definedName name="Z_B93DA45F_E566_4F58_A6F3_1FC719797F2A_.wvu.FilterData" localSheetId="40" hidden="1">Key!$G$1:$I$101</definedName>
    <definedName name="Z_B93DA45F_E566_4F58_A6F3_1FC719797F2A_.wvu.Rows" localSheetId="40" hidden="1">Key!#REF!,Key!#REF!,Key!#REF!,Key!#REF!,Key!#REF!,Key!#REF!,Key!#REF!,Key!#REF!,Key!#REF!,Key!#REF!,Key!#REF!,Key!#REF!,Key!#REF!,Key!#REF!,Key!#REF!,Key!#REF!,Key!#REF!,Key!#REF!,Key!#REF!,Key!#REF!,Key!#REF!</definedName>
    <definedName name="Z_B95631AA_8A18_4FD8_9E8F_5472CE20269D_.wvu.FilterData" localSheetId="40" hidden="1">Key!$G$1:$I$101</definedName>
    <definedName name="Z_B9FFBE9C_8780_427F_81A5_61EEBB149439_.wvu.FilterData" localSheetId="40" hidden="1">Key!$G$1:$I$100</definedName>
    <definedName name="Z_BB4191C5_A3C2_4E60_94DF_52D623E7F89B_.wvu.FilterData" localSheetId="40" hidden="1">Key!$G$1:$I$125</definedName>
    <definedName name="Z_BBB786B1_76E2_42D1_BDA1_2F9D9B1528D5_.wvu.FilterData" localSheetId="40" hidden="1">Key!$G$1:$I$101</definedName>
    <definedName name="Z_BC08F117_209F_493E_8C61_418CE232BA45_.wvu.FilterData" localSheetId="40" hidden="1">Key!$G$1:$I$100</definedName>
    <definedName name="Z_BCDAE331_1D28_415F_8CAC_046C84E468AE_.wvu.FilterData" localSheetId="40" hidden="1">Key!$G$1:$I$101</definedName>
    <definedName name="Z_BCE123B1_A1A6_47F2_A84E_79133A1C2C2A_.wvu.FilterData" localSheetId="40" hidden="1">Key!$G$1:$I$608</definedName>
    <definedName name="Z_BCF355B6_9EB0_46E3_8479_33470240C27B_.wvu.FilterData" localSheetId="40" hidden="1">Key!$1:$100</definedName>
    <definedName name="Z_BFD4A104_D706_47F7_8348_AB2A1D6637B7_.wvu.FilterData" localSheetId="40" hidden="1">Key!$G$1:$I$100</definedName>
    <definedName name="Z_BFF4C2FD_4B58_4BD8_AE4C_906D6F3A4B6A_.wvu.FilterData" localSheetId="40" hidden="1">Key!$G$1:$I$125</definedName>
    <definedName name="Z_C061BC6F_9230_433F_8392_D965B6B939EE_.wvu.FilterData" localSheetId="40" hidden="1">Key!$G$1:$I$100</definedName>
    <definedName name="Z_C31515A4_13BC_40B8_86F3_C7B019472DCA_.wvu.FilterData" localSheetId="40" hidden="1">Key!$G$1:$I$101</definedName>
    <definedName name="Z_C369E2AC_E536_44C7_9737_2224618D959B_.wvu.FilterData" localSheetId="40" hidden="1">Key!$G$1:$I$101</definedName>
    <definedName name="Z_C422498C_4639_4426_97CA_5609982FC437_.wvu.FilterData" localSheetId="40" hidden="1">Key!$G$1:$I$101</definedName>
    <definedName name="Z_C4AC21F2_35D4_49FA_8ED3_FC8A2A9DDFBF_.wvu.Cols" localSheetId="40" hidden="1">Key!$A:$G,Key!#REF!,Key!#REF!,Key!#REF!,Key!#REF!,Key!#REF!,Key!#REF!</definedName>
    <definedName name="Z_C4AC21F2_35D4_49FA_8ED3_FC8A2A9DDFBF_.wvu.FilterData" localSheetId="40" hidden="1">Key!$G$1:$I$101</definedName>
    <definedName name="Z_C4AC21F2_35D4_49FA_8ED3_FC8A2A9DDFBF_.wvu.Rows" localSheetId="40" hidden="1">Key!#REF!,Key!#REF!,Key!#REF!,Key!#REF!,Key!#REF!,Key!#REF!,Key!#REF!,Key!#REF!,Key!#REF!,Key!#REF!,Key!#REF!,Key!#REF!,Key!#REF!,Key!#REF!,Key!#REF!,Key!#REF!,Key!#REF!,Key!#REF!,Key!#REF!,Key!#REF!,Key!#REF!</definedName>
    <definedName name="Z_C621DE81_9A68_4577_A401_B874ACAD2F74_.wvu.FilterData" localSheetId="40" hidden="1">Key!$1:$100</definedName>
    <definedName name="Z_C68B57CB_4F5A_4D1B_974D_F61260FBC54B_.wvu.FilterData" localSheetId="40" hidden="1">Key!$G$1:$I$100</definedName>
    <definedName name="Z_C71B07A2_706C_11D3_A81E_0060080D6EAB_.wvu.FilterData" localSheetId="40" hidden="1">Key!#REF!</definedName>
    <definedName name="Z_C766F5DB_ABDA_46AF_BD0E_F739BB04D1EB_.wvu.FilterData" localSheetId="40" hidden="1">Key!$G$1:$I$100</definedName>
    <definedName name="Z_C830538B_31B6_4569_A3F1_EB67570330C5_.wvu.FilterData" localSheetId="40" hidden="1">Key!$G$1:$I$101</definedName>
    <definedName name="Z_C848B20A_4C13_4711_BB50_EF822815CB75_.wvu.FilterData" localSheetId="40" hidden="1">Key!$G$1:$I$101</definedName>
    <definedName name="Z_C8B6E103_BAE7_4C62_8FFE_B496133E7A22_.wvu.FilterData" localSheetId="40" hidden="1">Key!$I$1:$I$272</definedName>
    <definedName name="Z_CA45B2F8_8476_49D9_82C1_49639D4501B5_.wvu.FilterData" localSheetId="40" hidden="1">Key!$G$1:$I$125</definedName>
    <definedName name="Z_CA499F66_B31E_4CC9_8B43_287A4E8A03E4_.wvu.Cols" localSheetId="40" hidden="1">Key!#REF!</definedName>
    <definedName name="Z_CA499F66_B31E_4CC9_8B43_287A4E8A03E4_.wvu.FilterData" localSheetId="40" hidden="1">Key!$G$1:$I$306</definedName>
    <definedName name="Z_CCA4A373_9FB9_4F75_ABD3_0A85D5DF1AAF_.wvu.FilterData" localSheetId="40" hidden="1">Key!$G$1:$I$101</definedName>
    <definedName name="Z_CDFDB191_A4F5_4A7A_A103_148EB7D11A9A_.wvu.FilterData" localSheetId="40" hidden="1">Key!$G$1:$I$101</definedName>
    <definedName name="Z_CED82747_151F_49E7_BB61_F51280D427FF_.wvu.Cols" localSheetId="40" hidden="1">Key!#REF!</definedName>
    <definedName name="Z_CED82747_151F_49E7_BB61_F51280D427FF_.wvu.FilterData" localSheetId="40" hidden="1">Key!$G$1:$I$101</definedName>
    <definedName name="Z_D022D780_87EC_4279_9E65_1B4D352CCFE3_.wvu.Cols" localSheetId="40" hidden="1">Key!$A:$G,Key!#REF!,Key!#REF!,Key!#REF!,Key!#REF!,Key!#REF!,Key!#REF!</definedName>
    <definedName name="Z_D022D780_87EC_4279_9E65_1B4D352CCFE3_.wvu.FilterData" localSheetId="40" hidden="1">Key!$G$1:$I$101</definedName>
    <definedName name="Z_D2C62F48_6312_4958_AE83_74CE35493B14_.wvu.FilterData" localSheetId="40" hidden="1">Key!$1:$100</definedName>
    <definedName name="Z_D3FD8E50_84A9_4BA0_830E_9FD0DCD02EB0_.wvu.FilterData" localSheetId="40" hidden="1">Key!$G$1:$I$101</definedName>
    <definedName name="Z_D523C52C_3A2A_4E2D_8ED5_969ECF5D542C_.wvu.FilterData" localSheetId="40" hidden="1">Key!$G$1:$I$306</definedName>
    <definedName name="Z_D61665AA_B33E_4DE7_BA3B_A5C8ACF69F1A_.wvu.Cols" localSheetId="40" hidden="1">Key!#REF!</definedName>
    <definedName name="Z_D61665AA_B33E_4DE7_BA3B_A5C8ACF69F1A_.wvu.FilterData" localSheetId="40" hidden="1">Key!$G$1:$I$100</definedName>
    <definedName name="Z_D61665AA_B33E_4DE7_BA3B_A5C8ACF69F1A_.wvu.Rows" localSheetId="40" hidden="1">Key!#REF!,Key!#REF!,Key!#REF!,Key!#REF!,Key!#REF!,Key!#REF!,Key!#REF!,Key!#REF!,Key!#REF!,Key!#REF!,Key!#REF!,Key!#REF!,Key!#REF!,Key!#REF!,Key!#REF!,Key!#REF!,Key!#REF!,Key!#REF!,Key!#REF!,Key!#REF!</definedName>
    <definedName name="Z_D692EF48_912A_4A82_A063_C53D2278A3B1_.wvu.FilterData" localSheetId="40" hidden="1">Key!$G$1:$I$100</definedName>
    <definedName name="Z_D740DC20_7D5E_45F3_B81C_A1A598DF72C5_.wvu.Cols" localSheetId="40" hidden="1">Key!#REF!</definedName>
    <definedName name="Z_D740DC20_7D5E_45F3_B81C_A1A598DF72C5_.wvu.FilterData" localSheetId="40" hidden="1">Key!$G$1:$I$125</definedName>
    <definedName name="Z_D74B1EF7_1FA6_4D14_BE37_57BAA8E33EBD_.wvu.Cols" localSheetId="40" hidden="1">Key!#REF!</definedName>
    <definedName name="Z_D74B1EF7_1FA6_4D14_BE37_57BAA8E33EBD_.wvu.FilterData" localSheetId="40" hidden="1">Key!$G$1:$I$100</definedName>
    <definedName name="Z_D7EFF34F_E7F1_43A4_A003_47CF8DF20298_.wvu.Cols" localSheetId="40" hidden="1">Key!#REF!,Key!#REF!,Key!#REF!</definedName>
    <definedName name="Z_D7EFF34F_E7F1_43A4_A003_47CF8DF20298_.wvu.FilterData" localSheetId="40" hidden="1">Key!$G$1:$I$101</definedName>
    <definedName name="Z_D7FB96B3_FB34_42F0_959B_B4FB44B5FDB0_.wvu.FilterData" localSheetId="40" hidden="1">Key!$G$1:$I$101</definedName>
    <definedName name="Z_D9EE4074_E504_4121_965C_03AD6F3B70DD_.wvu.Cols" localSheetId="40" hidden="1">Key!#REF!</definedName>
    <definedName name="Z_D9EE4074_E504_4121_965C_03AD6F3B70DD_.wvu.FilterData" localSheetId="40" hidden="1">Key!$G$1:$I$275</definedName>
    <definedName name="Z_D9F47EF6_73EC_427B_9246_DDB9D9F5D7B7_.wvu.Cols" localSheetId="40" hidden="1">Key!$A:$G,Key!#REF!,Key!#REF!,Key!#REF!,Key!#REF!,Key!#REF!,Key!#REF!</definedName>
    <definedName name="Z_D9F47EF6_73EC_427B_9246_DDB9D9F5D7B7_.wvu.FilterData" localSheetId="40" hidden="1">Key!$G$1:$I$101</definedName>
    <definedName name="Z_D9F47EF6_73EC_427B_9246_DDB9D9F5D7B7_.wvu.Rows" localSheetId="40" hidden="1">Key!#REF!,Key!#REF!,Key!#REF!,Key!#REF!,Key!#REF!,Key!#REF!,Key!#REF!,Key!#REF!,Key!#REF!,Key!#REF!,Key!#REF!,Key!#REF!,Key!#REF!,Key!#REF!,Key!#REF!,Key!#REF!,Key!#REF!,Key!#REF!,Key!#REF!,Key!#REF!,Key!#REF!</definedName>
    <definedName name="Z_DA1C9CE4_1D61_4395_AB39_77782BFD9202_.wvu.Cols" localSheetId="40" hidden="1">Key!$A:$G,Key!#REF!,Key!#REF!,Key!#REF!,Key!#REF!</definedName>
    <definedName name="Z_DA1C9CE4_1D61_4395_AB39_77782BFD9202_.wvu.FilterData" localSheetId="40" hidden="1">Key!$A$1:$I$101</definedName>
    <definedName name="Z_DA8F550D_E556_4E27_8329_B4786911A59F_.wvu.FilterData" localSheetId="40" hidden="1">Key!$G$1:$I$125</definedName>
    <definedName name="Z_DA8F550D_E556_4E27_8329_B4786911A59F_.wvu.Rows" localSheetId="40" hidden="1">Key!#REF!</definedName>
    <definedName name="Z_DC7EA51F_0C0F_4C84_A428_61A1B9BA2C4B_.wvu.FilterData" localSheetId="40" hidden="1">Key!$I$1:$I$272</definedName>
    <definedName name="Z_DD9CE2B2_87D3_4E84_A9D6_D1D077711577_.wvu.FilterData" localSheetId="40" hidden="1">Key!$1:$100</definedName>
    <definedName name="Z_DEE8E46A_2792_4A15_94DD_F0ED5FE9103B_.wvu.FilterData" localSheetId="40" hidden="1">Key!$G$1:$I$101</definedName>
    <definedName name="Z_E0972C04_0C01_416D_B3DD_D8C55B0B660F_.wvu.FilterData" localSheetId="40" hidden="1">Key!$G$1:$I$101</definedName>
    <definedName name="Z_E1344AD6_335C_47A2_BBE1_F2BAF27ACB30_.wvu.FilterData" localSheetId="40" hidden="1">Key!$G$1:$I$101</definedName>
    <definedName name="Z_E21E0FE1_6801_4305_A17F_8C048579ED62_.wvu.FilterData" localSheetId="40" hidden="1">Key!$G$1:$I$125</definedName>
    <definedName name="Z_E367ED3B_33A0_47CB_B746_BB66D2991DA1_.wvu.FilterData" localSheetId="40" hidden="1">Key!$G$1:$I$125</definedName>
    <definedName name="Z_E40A92F6_2066_4C18_BDB2_6684965D8042_.wvu.FilterData" localSheetId="40" hidden="1">Key!$G$1:$I$101</definedName>
    <definedName name="Z_E51A12AA_9BEB_4550_B97F_003ACBDDF61C_.wvu.FilterData" localSheetId="40" hidden="1">Key!$G$1:$I$101</definedName>
    <definedName name="Z_E5EFBA8D_1519_4468_9CD6_7A67289B6E9D_.wvu.FilterData" localSheetId="40" hidden="1">Key!$G$1:$I$101</definedName>
    <definedName name="Z_E68D3C3B_1742_4DB5_B43A_63E16FA13CA1_.wvu.Cols" localSheetId="40" hidden="1">Key!#REF!</definedName>
    <definedName name="Z_E68D3C3B_1742_4DB5_B43A_63E16FA13CA1_.wvu.FilterData" localSheetId="40" hidden="1">Key!$G$1:$I$100</definedName>
    <definedName name="Z_E8492AB1_D727_4807_A730_0178061A0569_.wvu.FilterData" localSheetId="40" hidden="1">Key!$G$1:$I$101</definedName>
    <definedName name="Z_E9315FC1_D86B_448A_BA14_5EC3246A3EBC_.wvu.Cols" localSheetId="40" hidden="1">Key!#REF!</definedName>
    <definedName name="Z_E9315FC1_D86B_448A_BA14_5EC3246A3EBC_.wvu.FilterData" localSheetId="40" hidden="1">Key!$G$1:$I$306</definedName>
    <definedName name="Z_E9DF6CAE_2133_4600_8954_4200E3F876AE_.wvu.FilterData" localSheetId="40" hidden="1">Key!$G$1:$I$101</definedName>
    <definedName name="Z_EA477A00_619C_4601_9DC5_64D53C7F3D12_.wvu.FilterData" localSheetId="40" hidden="1">Key!$G$1:$I$100</definedName>
    <definedName name="Z_EA522EDD_CC44_401F_BDAA_7865D7B1D611_.wvu.FilterData" localSheetId="40" hidden="1">Key!$G$1:$I$100</definedName>
    <definedName name="Z_EA8455AC_E1EC_4876_A94A_3F1E6BFF02E3_.wvu.Cols" localSheetId="40" hidden="1">Key!$A:$G,Key!#REF!,Key!#REF!,Key!#REF!,Key!#REF!,Key!#REF!,Key!#REF!</definedName>
    <definedName name="Z_EA8455AC_E1EC_4876_A94A_3F1E6BFF02E3_.wvu.FilterData" localSheetId="40" hidden="1">Key!$G$1:$I$101</definedName>
    <definedName name="Z_EA8455AC_E1EC_4876_A94A_3F1E6BFF02E3_.wvu.Rows" localSheetId="40" hidden="1">Key!#REF!,Key!#REF!,Key!#REF!,Key!#REF!,Key!#REF!,Key!#REF!,Key!#REF!,Key!#REF!,Key!#REF!,Key!#REF!,Key!#REF!,Key!#REF!,Key!#REF!,Key!#REF!,Key!#REF!,Key!#REF!,Key!#REF!,Key!#REF!,Key!#REF!,Key!#REF!,Key!#REF!</definedName>
    <definedName name="Z_EAB0D6C8_0F37_4AA6_95B3_CE6F0544ED1C_.wvu.FilterData" localSheetId="40" hidden="1">Key!$G$1:$I$101</definedName>
    <definedName name="Z_EACB8847_DFFB_4574_B152_D38EBF1078F3_.wvu.FilterData" localSheetId="40" hidden="1">Key!$G$1:$I$100</definedName>
    <definedName name="Z_EADAEB91_95B5_4A4D_82D2_D5291E985850_.wvu.FilterData" localSheetId="40" hidden="1">Key!$G$1:$I$101</definedName>
    <definedName name="Z_ECE0C4DE_813F_48F8_A00F_4442146E93E0_.wvu.FilterData" localSheetId="40" hidden="1">Key!$1:$100</definedName>
    <definedName name="Z_EE8C9E57_0142_4F4F_AB41_BB50FDF30DFD_.wvu.FilterData" localSheetId="40" hidden="1">Key!$G$1:$I$106</definedName>
    <definedName name="Z_EF86BBB9_1D0F_4F53_8BB6_852503523069_.wvu.FilterData" localSheetId="40" hidden="1">Key!$G$1:$I$101</definedName>
    <definedName name="Z_F024FD28_623A_417E_AA4B_3A0508D86B3A_.wvu.FilterData" localSheetId="40" hidden="1">Key!$G$1:$I$101</definedName>
    <definedName name="Z_F14C88D5_5933_4A33_B392_2D9E18BD7043_.wvu.FilterData" localSheetId="40" hidden="1">Key!$G$1:$I$101</definedName>
    <definedName name="Z_F245E5A2_BC1C_4DCA_B1A7_56DB35DBC8EB_.wvu.FilterData" localSheetId="40" hidden="1">Key!$G$1:$I$100</definedName>
    <definedName name="Z_F245E5A2_BC1C_4DCA_B1A7_56DB35DBC8EB_.wvu.Rows" localSheetId="40" hidden="1">Key!#REF!,Key!#REF!,Key!#REF!,Key!#REF!,Key!#REF!</definedName>
    <definedName name="Z_F277B9E1_7B8A_11D3_A835_00C04FBFA16C_.wvu.FilterData" localSheetId="40" hidden="1">Key!#REF!</definedName>
    <definedName name="Z_F2B9B051_91B2_41C9_B012_01F05168A608_.wvu.Cols" localSheetId="40" hidden="1">Key!$A:$G,Key!#REF!,Key!#REF!,Key!#REF!,Key!#REF!</definedName>
    <definedName name="Z_F2B9B051_91B2_41C9_B012_01F05168A608_.wvu.FilterData" localSheetId="40" hidden="1">Key!$A$1:$I$101</definedName>
    <definedName name="Z_F4000027_552D_49A5_874A_ADC4B8A7F8AE_.wvu.Cols" localSheetId="40" hidden="1">Key!#REF!</definedName>
    <definedName name="Z_F4000027_552D_49A5_874A_ADC4B8A7F8AE_.wvu.FilterData" localSheetId="40" hidden="1">Key!$G$1:$I$101</definedName>
    <definedName name="Z_F443ED95_9AA5_4AB9_AC27_773EB2327FC6_.wvu.FilterData" localSheetId="40" hidden="1">Key!$G$1:$I$100</definedName>
    <definedName name="Z_F48A5741_5BD0_4230_B596_01A46F0545A9_.wvu.FilterData" localSheetId="40" hidden="1">Key!$G$1:$I$101</definedName>
    <definedName name="Z_F5EE6B61_767C_445A_B0E4_AFE8992EDB9B_.wvu.FilterData" localSheetId="40" hidden="1">Key!$1:$100</definedName>
    <definedName name="Z_F6886558_AF9B_4F82_8A1D_02410F036C46_.wvu.FilterData" localSheetId="40" hidden="1">Key!$I$1:$I$272</definedName>
    <definedName name="Z_FA2FE202_230F_11D3_9C16_006008D2C181_.wvu.Cols" localSheetId="40" hidden="1">Key!#REF!</definedName>
    <definedName name="Z_FA2FE202_230F_11D3_9C16_006008D2C181_.wvu.FilterData" localSheetId="40" hidden="1">Key!#REF!</definedName>
    <definedName name="Z_FA2FE202_230F_11D3_9C16_006008D2C181_.wvu.PrintArea" localSheetId="40" hidden="1">Key!$I$1:$I$55</definedName>
    <definedName name="Z_FA2FE202_230F_11D3_9C16_006008D2C181_.wvu.PrintTitles" localSheetId="40" hidden="1">Key!$I:$I</definedName>
    <definedName name="Z_FA4C5153_DB42_439F_804A_4A217730C057_.wvu.FilterData" localSheetId="40" hidden="1">Key!$G$1:$I$100</definedName>
    <definedName name="Z_FAE621E1_6156_4FF3_9519_3507DC08D007_.wvu.Cols" localSheetId="40" hidden="1">Key!$A:$G,Key!#REF!,Key!#REF!,Key!#REF!,Key!#REF!,Key!#REF!,Key!#REF!</definedName>
    <definedName name="Z_FAE621E1_6156_4FF3_9519_3507DC08D007_.wvu.FilterData" localSheetId="40" hidden="1">Key!$G$1:$I$101</definedName>
    <definedName name="Z_FAE621E1_6156_4FF3_9519_3507DC08D007_.wvu.Rows" localSheetId="40" hidden="1">Key!#REF!,Key!#REF!,Key!#REF!,Key!#REF!,Key!#REF!,Key!#REF!,Key!#REF!,Key!#REF!,Key!#REF!,Key!#REF!,Key!#REF!,Key!#REF!,Key!#REF!,Key!#REF!,Key!#REF!,Key!#REF!,Key!#REF!,Key!#REF!,Key!#REF!,Key!#REF!,Key!#REF!</definedName>
    <definedName name="Z_FAE7DBC1_8382_4F68_9269_38C09AD50AFA_.wvu.FilterData" localSheetId="40" hidden="1">Key!$1:$100</definedName>
    <definedName name="Z_FC479814_EBA7_4395_83C3_7B0CC2B4259A_.wvu.Cols" localSheetId="40" hidden="1">Key!$A:$G,Key!#REF!,Key!#REF!,Key!#REF!,Key!#REF!</definedName>
    <definedName name="Z_FC479814_EBA7_4395_83C3_7B0CC2B4259A_.wvu.FilterData" localSheetId="40" hidden="1">Key!$A$1:$I$101</definedName>
    <definedName name="Z_FC479814_EBA7_4395_83C3_7B0CC2B4259A_.wvu.Rows" localSheetId="40" hidden="1">Key!#REF!,Key!#REF!,Key!#REF!,Key!#REF!,Key!#REF!,Key!#REF!,Key!#REF!,Key!#REF!,Key!#REF!,Key!#REF!,Key!#REF!,Key!#REF!,Key!#REF!,Key!#REF!,Key!#REF!,Key!#REF!,Key!#REF!,Key!#REF!,Key!#REF!,Key!#REF!,Key!#REF!,Key!#REF!,Key!#REF!,Key!#REF!,Key!#REF!,Key!#REF!,Key!#REF!,Key!#REF!,Key!#REF!,Key!$7:$100,Key!#REF!</definedName>
    <definedName name="Z_FC65B236_425B_46D0_BA3B_22781C495705_.wvu.FilterData" localSheetId="40" hidden="1">Key!$G$1:$I$101</definedName>
    <definedName name="Z_FC79DB6C_4702_4C97_BB41_9D4E0358DE54_.wvu.FilterData" localSheetId="40" hidden="1">Key!$G$1:$I$275</definedName>
    <definedName name="Z_FD477546_0BEB_407E_BFC5_7365B20652B1_.wvu.FilterData" localSheetId="40" hidden="1">Key!$G$1:$I$100</definedName>
    <definedName name="Z_FD493890_C672_4F99_AB90_0978AFF4398B_.wvu.FilterData" localSheetId="40" hidden="1">Key!$G$1:$I$101</definedName>
    <definedName name="Z_FE007459_D511_4808_B05B_810537C6D03F_.wvu.FilterData" localSheetId="40" hidden="1">Key!$G$1:$I$125</definedName>
    <definedName name="Z_FF52D610_833E_4A35_A55B_B7198906A920_.wvu.FilterData" localSheetId="40" hidden="1">Key!$G$1:$I$101</definedName>
    <definedName name="Z_FF7EB61F_8306_45DF_9F9E_09BD47C70526_.wvu.FilterData" localSheetId="40" hidden="1">Key!$G$1:$I$275</definedName>
    <definedName name="Z_FFBB0ED2_E458_4727_A7A4_C77C02D60CFC_.wvu.FilterData" localSheetId="40" hidden="1">Key!$G$1:$I$125</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8" i="24" l="1"/>
  <c r="E26" i="26" l="1"/>
  <c r="E25" i="26"/>
  <c r="E24" i="26"/>
  <c r="E23" i="26"/>
  <c r="E22" i="26"/>
  <c r="E21" i="26"/>
  <c r="E20" i="26"/>
  <c r="E19" i="26"/>
  <c r="R12" i="26"/>
  <c r="D65" i="40"/>
  <c r="C65" i="40"/>
  <c r="B65" i="40"/>
  <c r="D64" i="40"/>
  <c r="C64" i="40"/>
  <c r="B64" i="40"/>
  <c r="D63" i="40"/>
  <c r="C63" i="40"/>
  <c r="B63" i="40"/>
  <c r="D62" i="40"/>
  <c r="C62" i="40"/>
  <c r="B62" i="40"/>
  <c r="D61" i="40"/>
  <c r="C61" i="40"/>
  <c r="B61" i="40"/>
  <c r="D60" i="40"/>
  <c r="C60" i="40"/>
  <c r="B60" i="40"/>
  <c r="D59" i="40"/>
  <c r="C59" i="40"/>
  <c r="B59" i="40"/>
  <c r="D58" i="40"/>
  <c r="C58" i="40"/>
  <c r="B58" i="40"/>
  <c r="D57" i="40"/>
  <c r="C57" i="40"/>
  <c r="B57" i="40"/>
  <c r="D56" i="40"/>
  <c r="C56" i="40"/>
  <c r="B56" i="40"/>
  <c r="D55" i="40"/>
  <c r="C55" i="40"/>
  <c r="B55" i="40"/>
  <c r="D54" i="40"/>
  <c r="C54" i="40"/>
  <c r="B54" i="40"/>
  <c r="D53" i="40"/>
  <c r="C53" i="40"/>
  <c r="B53" i="40"/>
  <c r="D52" i="40"/>
  <c r="C52" i="40"/>
  <c r="B52" i="40"/>
  <c r="D51" i="40"/>
  <c r="C51" i="40"/>
  <c r="D50" i="40"/>
  <c r="C50" i="40"/>
  <c r="B50" i="40"/>
  <c r="D49" i="40"/>
  <c r="C49" i="40"/>
  <c r="B49" i="40"/>
  <c r="D48" i="40"/>
  <c r="C48" i="40"/>
  <c r="B48" i="40"/>
  <c r="D47" i="40"/>
  <c r="C47" i="40"/>
  <c r="B47" i="40"/>
  <c r="D46" i="40"/>
  <c r="C46" i="40"/>
  <c r="B46" i="40"/>
  <c r="D45" i="40"/>
  <c r="C45" i="40"/>
  <c r="B45" i="40"/>
  <c r="D44" i="40"/>
  <c r="C44" i="40"/>
  <c r="B44" i="40"/>
  <c r="D43" i="40"/>
  <c r="C43" i="40"/>
  <c r="B43" i="40"/>
  <c r="D42" i="40"/>
  <c r="C42" i="40"/>
  <c r="B42" i="40"/>
  <c r="D41" i="40"/>
  <c r="C41" i="40"/>
  <c r="B41" i="40"/>
  <c r="D40" i="40"/>
  <c r="C40" i="40"/>
  <c r="B40" i="40"/>
  <c r="D39" i="40"/>
  <c r="C39" i="40"/>
  <c r="B39" i="40"/>
  <c r="D38" i="40"/>
  <c r="C38" i="40"/>
  <c r="B38" i="40"/>
  <c r="D37" i="40"/>
  <c r="C37" i="40"/>
  <c r="B37" i="40"/>
  <c r="D36" i="40"/>
  <c r="C36" i="40"/>
  <c r="B36" i="40"/>
  <c r="D35" i="40"/>
  <c r="C35" i="40"/>
  <c r="B35" i="40"/>
  <c r="D34" i="40"/>
  <c r="C34" i="40"/>
  <c r="B34" i="40"/>
  <c r="D33" i="40"/>
  <c r="C33" i="40"/>
  <c r="B33" i="40"/>
  <c r="D32" i="40"/>
  <c r="C32" i="40"/>
  <c r="B32" i="40"/>
  <c r="D31" i="40"/>
  <c r="C31" i="40"/>
  <c r="B31" i="40"/>
  <c r="D30" i="40"/>
  <c r="C30" i="40"/>
  <c r="B30" i="40"/>
  <c r="D29" i="40"/>
  <c r="C29" i="40"/>
  <c r="B29" i="40"/>
  <c r="D28" i="40"/>
  <c r="C28" i="40"/>
  <c r="B28" i="40"/>
  <c r="D27" i="40"/>
  <c r="C27" i="40"/>
  <c r="B27" i="40"/>
  <c r="D26" i="40"/>
  <c r="C26" i="40"/>
  <c r="B26" i="40"/>
  <c r="D25" i="40"/>
  <c r="C25" i="40"/>
  <c r="B25" i="40"/>
  <c r="D24" i="40"/>
  <c r="C24" i="40"/>
  <c r="B24" i="40"/>
  <c r="D23" i="40"/>
  <c r="C23" i="40"/>
  <c r="B23" i="40"/>
  <c r="D22" i="40"/>
  <c r="C22" i="40"/>
  <c r="B22" i="40"/>
  <c r="D21" i="40"/>
  <c r="C21" i="40"/>
  <c r="B21" i="40"/>
  <c r="D20" i="40"/>
  <c r="C20" i="40"/>
  <c r="B20" i="40"/>
  <c r="D19" i="40"/>
  <c r="C19" i="40"/>
  <c r="B19" i="40"/>
  <c r="D18" i="40"/>
  <c r="B18" i="40"/>
  <c r="D17" i="40"/>
  <c r="C17" i="40"/>
  <c r="B17" i="40"/>
  <c r="D16" i="40"/>
  <c r="C16" i="40"/>
  <c r="B16" i="40"/>
  <c r="D15" i="40"/>
  <c r="C15" i="40"/>
  <c r="B15" i="40"/>
  <c r="D14" i="40"/>
  <c r="C14" i="40"/>
  <c r="B14" i="40"/>
  <c r="D13" i="40"/>
  <c r="C13" i="40"/>
  <c r="B13" i="40"/>
  <c r="D12" i="40"/>
  <c r="C12" i="40"/>
  <c r="B12" i="40"/>
  <c r="D11" i="40"/>
  <c r="C11" i="40"/>
  <c r="A11" i="40"/>
  <c r="F11" i="40" s="1"/>
  <c r="E10" i="40"/>
  <c r="A40" i="40"/>
  <c r="A36" i="40"/>
  <c r="A65" i="40"/>
  <c r="A57" i="40"/>
  <c r="A61" i="40"/>
  <c r="A31" i="40"/>
  <c r="A29" i="40"/>
  <c r="A44" i="40"/>
  <c r="A45" i="40"/>
  <c r="A14" i="40"/>
  <c r="A53" i="40"/>
  <c r="A35" i="40"/>
  <c r="A64" i="40"/>
  <c r="A25" i="40"/>
  <c r="A60" i="40"/>
  <c r="A21" i="40"/>
  <c r="A16" i="40"/>
  <c r="A63" i="40"/>
  <c r="A13" i="40"/>
  <c r="A55" i="40"/>
  <c r="A43" i="40"/>
  <c r="A19" i="40"/>
  <c r="A58" i="40"/>
  <c r="A62" i="40"/>
  <c r="A30" i="40"/>
  <c r="A52" i="40"/>
  <c r="A54" i="40"/>
  <c r="A47" i="40"/>
  <c r="A38" i="40"/>
  <c r="A37" i="40"/>
  <c r="A12" i="40"/>
  <c r="A48" i="40"/>
  <c r="A51" i="40"/>
  <c r="A27" i="40"/>
  <c r="A59" i="40"/>
  <c r="A46" i="40"/>
  <c r="A18" i="40"/>
  <c r="A49" i="40"/>
  <c r="A24" i="40"/>
  <c r="A28" i="40"/>
  <c r="A17" i="40"/>
  <c r="A23" i="40"/>
  <c r="A41" i="40"/>
  <c r="A50" i="40"/>
  <c r="A39" i="40"/>
  <c r="A22" i="40"/>
  <c r="A33" i="40"/>
  <c r="A42" i="40"/>
  <c r="A56" i="40"/>
  <c r="A20" i="40"/>
  <c r="A34" i="40"/>
  <c r="A26" i="40"/>
  <c r="A15" i="40"/>
  <c r="A32" i="40"/>
  <c r="F15" i="40" l="1"/>
  <c r="F23" i="40"/>
  <c r="F31" i="40"/>
  <c r="F39" i="40"/>
  <c r="F47" i="40"/>
  <c r="F55" i="40"/>
  <c r="F63" i="40"/>
  <c r="F34" i="40"/>
  <c r="F12" i="40"/>
  <c r="F41" i="40"/>
  <c r="F49" i="40"/>
  <c r="F57" i="40"/>
  <c r="F65" i="40"/>
  <c r="F14" i="40"/>
  <c r="F22" i="40"/>
  <c r="F30" i="40"/>
  <c r="F38" i="40"/>
  <c r="F46" i="40"/>
  <c r="F54" i="40"/>
  <c r="F62" i="40"/>
  <c r="F18" i="40"/>
  <c r="F28" i="40"/>
  <c r="F36" i="40"/>
  <c r="F17" i="40"/>
  <c r="F19" i="40"/>
  <c r="F27" i="40"/>
  <c r="F35" i="40"/>
  <c r="F43" i="40"/>
  <c r="F51" i="40"/>
  <c r="F59" i="40"/>
  <c r="F26" i="40"/>
  <c r="F42" i="40"/>
  <c r="F50" i="40"/>
  <c r="F58" i="40"/>
  <c r="F44" i="40"/>
  <c r="F16" i="40"/>
  <c r="F40" i="40"/>
  <c r="F48" i="40"/>
  <c r="F56" i="40"/>
  <c r="F64" i="40"/>
  <c r="F20" i="40"/>
  <c r="F52" i="40"/>
  <c r="F60" i="40"/>
  <c r="F25" i="40"/>
  <c r="F33" i="40"/>
  <c r="F24" i="40"/>
  <c r="F32" i="40"/>
  <c r="F13" i="40"/>
  <c r="F21" i="40"/>
  <c r="F29" i="40"/>
  <c r="F37" i="40"/>
  <c r="F45" i="40"/>
  <c r="F53" i="40"/>
  <c r="F61" i="40"/>
  <c r="G23" i="71" l="1"/>
  <c r="G22" i="71"/>
  <c r="G21" i="71"/>
  <c r="G20" i="71"/>
  <c r="G19" i="71"/>
  <c r="G18" i="71"/>
  <c r="E23" i="53"/>
  <c r="E22" i="53"/>
  <c r="E21" i="53"/>
  <c r="E20" i="53"/>
  <c r="E19" i="53"/>
  <c r="E18" i="53"/>
  <c r="G23" i="53"/>
  <c r="G22" i="53"/>
  <c r="G21" i="53"/>
  <c r="G20" i="53"/>
  <c r="G19" i="53"/>
  <c r="G18" i="53"/>
  <c r="K23" i="64" a="1"/>
  <c r="K23" i="64" s="1"/>
  <c r="K22" i="64" a="1"/>
  <c r="K22" i="64" s="1"/>
  <c r="K21" i="64" a="1"/>
  <c r="K21" i="64" s="1"/>
  <c r="K20" i="64" a="1"/>
  <c r="K20" i="64" s="1"/>
  <c r="K19" i="64" a="1"/>
  <c r="K19" i="64" s="1"/>
  <c r="K18" i="64" a="1"/>
  <c r="K18" i="64" s="1"/>
  <c r="O23" i="64"/>
  <c r="O22" i="64"/>
  <c r="O21" i="64"/>
  <c r="O20" i="64"/>
  <c r="O19" i="64"/>
  <c r="O18" i="64"/>
  <c r="M23" i="64"/>
  <c r="M22" i="64"/>
  <c r="M21" i="64"/>
  <c r="M20" i="64"/>
  <c r="M19" i="64"/>
  <c r="M18" i="64"/>
  <c r="I18" i="64" a="1"/>
  <c r="I18" i="64" s="1"/>
  <c r="I23" i="64" a="1"/>
  <c r="I23" i="64" s="1"/>
  <c r="I22" i="64" a="1"/>
  <c r="I22" i="64" s="1"/>
  <c r="I21" i="64" a="1"/>
  <c r="I21" i="64" s="1"/>
  <c r="I20" i="64" a="1"/>
  <c r="I20" i="64" s="1"/>
  <c r="I19" i="64" a="1"/>
  <c r="I19" i="64" s="1"/>
  <c r="G23" i="64" a="1"/>
  <c r="G23" i="64" s="1"/>
  <c r="G22" i="64" a="1"/>
  <c r="G22" i="64" s="1"/>
  <c r="G21" i="64" a="1"/>
  <c r="G21" i="64" s="1"/>
  <c r="G20" i="64" a="1"/>
  <c r="G20" i="64" s="1"/>
  <c r="G19" i="64" a="1"/>
  <c r="G19" i="64" s="1"/>
  <c r="G18" i="64" a="1"/>
  <c r="G18" i="64" s="1"/>
  <c r="E23" i="72"/>
  <c r="E22" i="72"/>
  <c r="E21" i="72"/>
  <c r="E20" i="72"/>
  <c r="E19" i="72"/>
  <c r="E18" i="72"/>
  <c r="G23" i="72"/>
  <c r="G22" i="72"/>
  <c r="G21" i="72"/>
  <c r="G20" i="72"/>
  <c r="G19" i="72"/>
  <c r="G18" i="72"/>
  <c r="T38" i="85" a="1"/>
  <c r="T38" i="85" s="1"/>
  <c r="R38" i="85" a="1"/>
  <c r="R38" i="85" s="1"/>
  <c r="R33" i="85"/>
  <c r="R28" i="85"/>
  <c r="R21" i="85" a="1"/>
  <c r="R21" i="85" s="1"/>
  <c r="S16" i="85"/>
  <c r="S16" i="85" a="1"/>
  <c r="R16" i="85" a="1"/>
  <c r="R16" i="85" s="1"/>
  <c r="R11" i="85"/>
  <c r="R11" i="85" a="1"/>
  <c r="A4" i="85"/>
  <c r="A3" i="85"/>
  <c r="R38" i="74"/>
  <c r="G23" i="84"/>
  <c r="H23" i="84" s="1"/>
  <c r="E23" i="84"/>
  <c r="F23" i="84" s="1"/>
  <c r="H22" i="84"/>
  <c r="G22" i="84"/>
  <c r="E22" i="84"/>
  <c r="F22" i="84" s="1"/>
  <c r="G21" i="84"/>
  <c r="H21" i="84" s="1"/>
  <c r="I21" i="84" s="1"/>
  <c r="F21" i="84"/>
  <c r="E21" i="84"/>
  <c r="G20" i="84"/>
  <c r="H20" i="84" s="1"/>
  <c r="E20" i="84"/>
  <c r="F20" i="84" s="1"/>
  <c r="G19" i="84"/>
  <c r="H19" i="84" s="1"/>
  <c r="E19" i="84"/>
  <c r="F19" i="84" s="1"/>
  <c r="G18" i="84"/>
  <c r="H18" i="84" s="1"/>
  <c r="E18" i="84"/>
  <c r="F18" i="84" s="1"/>
  <c r="A4" i="84"/>
  <c r="A3" i="84"/>
  <c r="E23" i="64"/>
  <c r="E22" i="64"/>
  <c r="E21" i="64"/>
  <c r="E20" i="64"/>
  <c r="E19" i="64"/>
  <c r="E18" i="64"/>
  <c r="H23" i="71"/>
  <c r="E23" i="71"/>
  <c r="F23" i="71" s="1"/>
  <c r="H22" i="71"/>
  <c r="E22" i="71"/>
  <c r="F22" i="71" s="1"/>
  <c r="H21" i="71"/>
  <c r="E21" i="71"/>
  <c r="F21" i="71" s="1"/>
  <c r="H20" i="71"/>
  <c r="E20" i="71"/>
  <c r="F20" i="71" s="1"/>
  <c r="H19" i="71"/>
  <c r="E19" i="71"/>
  <c r="F19" i="71" s="1"/>
  <c r="E18" i="71"/>
  <c r="G23" i="1"/>
  <c r="H23" i="1" s="1"/>
  <c r="I23" i="1" s="1"/>
  <c r="E23" i="1"/>
  <c r="F23" i="1" s="1"/>
  <c r="G22" i="1"/>
  <c r="H22" i="1" s="1"/>
  <c r="E22" i="1"/>
  <c r="F22" i="1" s="1"/>
  <c r="G21" i="1"/>
  <c r="H21" i="1" s="1"/>
  <c r="E21" i="1"/>
  <c r="F21" i="1" s="1"/>
  <c r="G20" i="1"/>
  <c r="H20" i="1" s="1"/>
  <c r="E20" i="1"/>
  <c r="F20" i="1" s="1"/>
  <c r="G19" i="1"/>
  <c r="H19" i="1" s="1"/>
  <c r="I19" i="1" s="1"/>
  <c r="E19" i="1"/>
  <c r="F19" i="1" s="1"/>
  <c r="E18" i="1"/>
  <c r="F18" i="1"/>
  <c r="G18" i="1"/>
  <c r="H18" i="1" s="1"/>
  <c r="J21" i="84" l="1"/>
  <c r="I18" i="84"/>
  <c r="J18" i="84" s="1"/>
  <c r="I22" i="84"/>
  <c r="J22" i="84"/>
  <c r="I19" i="84"/>
  <c r="J19" i="84" s="1"/>
  <c r="J20" i="84"/>
  <c r="I20" i="84"/>
  <c r="I23" i="84"/>
  <c r="J23" i="84" s="1"/>
  <c r="I20" i="71"/>
  <c r="J20" i="71" s="1"/>
  <c r="I21" i="71"/>
  <c r="J21" i="71" s="1"/>
  <c r="I22" i="71"/>
  <c r="J22" i="71" s="1"/>
  <c r="I19" i="71"/>
  <c r="J19" i="71" s="1"/>
  <c r="I23" i="71"/>
  <c r="J23" i="71" s="1"/>
  <c r="I20" i="1"/>
  <c r="J20" i="1" s="1"/>
  <c r="I21" i="1"/>
  <c r="J21" i="1" s="1"/>
  <c r="I22" i="1"/>
  <c r="J22" i="1" s="1"/>
  <c r="J19" i="1"/>
  <c r="J23" i="1"/>
  <c r="I18" i="1"/>
  <c r="J18" i="1" s="1"/>
  <c r="R13" i="26" l="1"/>
  <c r="R14" i="26"/>
  <c r="R15" i="26"/>
  <c r="C8" i="40" l="1"/>
  <c r="R41" i="83" a="1"/>
  <c r="R41" i="83" s="1"/>
  <c r="R40" i="83" a="1"/>
  <c r="R40" i="83" s="1"/>
  <c r="R33" i="83"/>
  <c r="R28" i="83"/>
  <c r="R11" i="83" a="1"/>
  <c r="R11" i="83" s="1"/>
  <c r="A3" i="79"/>
  <c r="R21" i="83" a="1"/>
  <c r="R21" i="83" s="1"/>
  <c r="S16" i="83" a="1"/>
  <c r="S16" i="83" s="1"/>
  <c r="R16" i="83" a="1"/>
  <c r="R16" i="83" s="1"/>
  <c r="A4" i="83"/>
  <c r="A3" i="83"/>
  <c r="R25" i="82"/>
  <c r="O25" i="82"/>
  <c r="O26" i="82" s="1" a="1"/>
  <c r="O26" i="82" s="1"/>
  <c r="P25" i="82"/>
  <c r="P26" i="82" s="1" a="1"/>
  <c r="P26" i="82" s="1"/>
  <c r="Q25" i="82"/>
  <c r="Q26" i="82" s="1" a="1"/>
  <c r="Q26" i="82" s="1"/>
  <c r="N25" i="82"/>
  <c r="N26" i="82" a="1"/>
  <c r="N26" i="82" s="1"/>
  <c r="O22" i="82"/>
  <c r="N17" i="82" l="1" a="1"/>
  <c r="N17" i="82" s="1"/>
  <c r="N18" i="82" a="1"/>
  <c r="N18" i="82" s="1"/>
  <c r="O15" i="82"/>
  <c r="G23" i="82" l="1"/>
  <c r="G22" i="82"/>
  <c r="G21" i="82"/>
  <c r="G20" i="82"/>
  <c r="H20" i="82" s="1"/>
  <c r="G19" i="82"/>
  <c r="H19" i="82" s="1"/>
  <c r="G18" i="82"/>
  <c r="H18" i="82" s="1"/>
  <c r="E23" i="82" a="1"/>
  <c r="E23" i="82" s="1"/>
  <c r="F23" i="82" s="1"/>
  <c r="I23" i="82" s="1" a="1"/>
  <c r="I23" i="82" s="1"/>
  <c r="E22" i="82" a="1"/>
  <c r="E22" i="82" s="1"/>
  <c r="F22" i="82" s="1"/>
  <c r="I22" i="82" s="1" a="1"/>
  <c r="I22" i="82" s="1"/>
  <c r="E21" i="82" a="1"/>
  <c r="E21" i="82" s="1"/>
  <c r="F21" i="82" s="1"/>
  <c r="I21" i="82" s="1" a="1"/>
  <c r="I21" i="82" s="1"/>
  <c r="E20" i="82" a="1"/>
  <c r="E20" i="82" s="1"/>
  <c r="F20" i="82" s="1"/>
  <c r="E19" i="82" a="1"/>
  <c r="E19" i="82" s="1"/>
  <c r="F19" i="82" s="1"/>
  <c r="I19" i="82" s="1" a="1"/>
  <c r="I19" i="82" s="1"/>
  <c r="E18" i="82" a="1"/>
  <c r="E18" i="82" s="1"/>
  <c r="F18" i="82" s="1"/>
  <c r="H23" i="82"/>
  <c r="H22" i="82"/>
  <c r="H21" i="82"/>
  <c r="B14" i="82" a="1"/>
  <c r="B14" i="82" s="1"/>
  <c r="B13" i="82" a="1"/>
  <c r="B13" i="82" s="1"/>
  <c r="B12" i="82" a="1"/>
  <c r="B12" i="82" s="1"/>
  <c r="B11" i="82" a="1"/>
  <c r="B11" i="82" s="1"/>
  <c r="A4" i="82"/>
  <c r="A3" i="82"/>
  <c r="G23" i="79"/>
  <c r="H23" i="79" s="1"/>
  <c r="G22" i="79"/>
  <c r="H22" i="79" s="1"/>
  <c r="G21" i="79"/>
  <c r="H21" i="79" s="1"/>
  <c r="G20" i="79"/>
  <c r="H20" i="79" s="1"/>
  <c r="G19" i="79"/>
  <c r="H19" i="79" s="1"/>
  <c r="G18" i="79"/>
  <c r="H18" i="79" s="1"/>
  <c r="E23" i="79"/>
  <c r="F23" i="79" s="1"/>
  <c r="E22" i="79"/>
  <c r="F22" i="79" s="1"/>
  <c r="E21" i="79"/>
  <c r="F21" i="79" s="1"/>
  <c r="E20" i="79"/>
  <c r="F20" i="79" s="1"/>
  <c r="E19" i="79"/>
  <c r="F19" i="79" s="1"/>
  <c r="E18" i="79"/>
  <c r="F18" i="79" s="1"/>
  <c r="B13" i="79"/>
  <c r="B12" i="79"/>
  <c r="B11" i="79"/>
  <c r="A4" i="79"/>
  <c r="I20" i="82" l="1" a="1"/>
  <c r="I20" i="82" s="1"/>
  <c r="I18" i="79"/>
  <c r="J18" i="79" s="1"/>
  <c r="I19" i="79"/>
  <c r="J19" i="79" s="1"/>
  <c r="I21" i="79"/>
  <c r="I22" i="79"/>
  <c r="I23" i="79"/>
  <c r="I20" i="79"/>
  <c r="J20" i="79" s="1"/>
  <c r="I18" i="82" a="1"/>
  <c r="I18" i="82" s="1"/>
  <c r="J18" i="82" s="1"/>
  <c r="J20" i="82"/>
  <c r="J21" i="82"/>
  <c r="R26" i="82" s="1" a="1"/>
  <c r="R26" i="82" s="1"/>
  <c r="J22" i="82"/>
  <c r="J19" i="82"/>
  <c r="J23" i="82"/>
  <c r="J22" i="79"/>
  <c r="J23" i="79"/>
  <c r="J21" i="79"/>
  <c r="B2" i="67" l="1"/>
  <c r="C18" i="40" s="1"/>
  <c r="B2" i="69"/>
  <c r="A3" i="69"/>
  <c r="A3" i="70"/>
  <c r="B2" i="70"/>
  <c r="A3" i="18" a="1"/>
  <c r="A3" i="18" s="1"/>
  <c r="A3" i="67"/>
  <c r="A4" i="66" l="1"/>
  <c r="A4" i="41"/>
  <c r="A4" i="77"/>
  <c r="A4" i="42"/>
  <c r="A4" i="78"/>
  <c r="A4" i="1"/>
  <c r="A4" i="22"/>
  <c r="A4" i="18"/>
  <c r="A4" i="17"/>
  <c r="A4" i="20"/>
  <c r="A4" i="21"/>
  <c r="A4" i="28"/>
  <c r="A4" i="25"/>
  <c r="A4" i="24"/>
  <c r="A4" i="26"/>
  <c r="A4" i="69"/>
  <c r="A4" i="19"/>
  <c r="A4" i="51"/>
  <c r="A4" i="27"/>
  <c r="A4" i="55"/>
  <c r="A4" i="70"/>
  <c r="A4" i="56"/>
  <c r="A4" i="74"/>
  <c r="A4" i="60"/>
  <c r="A4" i="52"/>
  <c r="A4" i="73"/>
  <c r="A4" i="63"/>
  <c r="A4" i="62"/>
  <c r="A4" i="71"/>
  <c r="A4" i="72"/>
  <c r="A4" i="64"/>
  <c r="A4" i="53"/>
  <c r="A4" i="76"/>
  <c r="A4" i="67" l="1"/>
  <c r="B14" i="53" a="1"/>
  <c r="B14" i="53" s="1"/>
  <c r="B13" i="53" a="1"/>
  <c r="B13" i="53" s="1"/>
  <c r="B12" i="53" a="1"/>
  <c r="B12" i="53" s="1"/>
  <c r="B11" i="53" a="1"/>
  <c r="B11" i="53" s="1"/>
  <c r="B14" i="64" a="1"/>
  <c r="B14" i="64" s="1"/>
  <c r="B13" i="64" a="1"/>
  <c r="B13" i="64" s="1"/>
  <c r="B12" i="64" a="1"/>
  <c r="B12" i="64" s="1"/>
  <c r="B11" i="64" a="1"/>
  <c r="B11" i="64" s="1"/>
  <c r="B14" i="72" a="1"/>
  <c r="B14" i="72" s="1"/>
  <c r="B13" i="72" a="1"/>
  <c r="B13" i="72" s="1"/>
  <c r="B12" i="72" a="1"/>
  <c r="B12" i="72" s="1"/>
  <c r="B11" i="72" a="1"/>
  <c r="B11" i="72" s="1"/>
  <c r="B14" i="71" a="1"/>
  <c r="B14" i="71" s="1"/>
  <c r="B13" i="71" a="1"/>
  <c r="B13" i="71" s="1"/>
  <c r="B12" i="71" a="1"/>
  <c r="B12" i="71" s="1"/>
  <c r="B11" i="71" a="1"/>
  <c r="B11" i="71" s="1"/>
  <c r="C13" i="63"/>
  <c r="C12" i="63"/>
  <c r="C11" i="63"/>
  <c r="B13" i="73"/>
  <c r="B12" i="73"/>
  <c r="B11" i="73"/>
  <c r="B13" i="52"/>
  <c r="B12" i="52"/>
  <c r="B11" i="52"/>
  <c r="B13" i="60"/>
  <c r="B12" i="60"/>
  <c r="B11" i="60"/>
  <c r="D13" i="55"/>
  <c r="D12" i="55"/>
  <c r="D11" i="55"/>
  <c r="K12" i="26"/>
  <c r="K13" i="26"/>
  <c r="K14" i="26"/>
  <c r="B13" i="78"/>
  <c r="B12" i="78"/>
  <c r="B11" i="78"/>
  <c r="E18" i="17"/>
  <c r="E23" i="78" a="1"/>
  <c r="E23" i="78" s="1"/>
  <c r="E22" i="78" a="1"/>
  <c r="E22" i="78" s="1"/>
  <c r="E21" i="78" a="1"/>
  <c r="E21" i="78" s="1"/>
  <c r="E20" i="78" a="1"/>
  <c r="E20" i="78" s="1"/>
  <c r="E19" i="78" a="1"/>
  <c r="E19" i="78" s="1"/>
  <c r="E18" i="78" a="1"/>
  <c r="E18" i="78" s="1"/>
  <c r="A3" i="78"/>
  <c r="G23" i="77" a="1"/>
  <c r="G23" i="77" s="1"/>
  <c r="G22" i="77" a="1"/>
  <c r="G22" i="77" s="1"/>
  <c r="G21" i="77" a="1"/>
  <c r="G21" i="77" s="1"/>
  <c r="G20" i="77" a="1"/>
  <c r="G20" i="77" s="1"/>
  <c r="G19" i="77" a="1"/>
  <c r="G19" i="77" s="1"/>
  <c r="G18" i="77" a="1"/>
  <c r="G18" i="77" s="1"/>
  <c r="A3" i="77"/>
  <c r="A3" i="76"/>
  <c r="H23" i="53" l="1"/>
  <c r="F23" i="53"/>
  <c r="H22" i="53"/>
  <c r="F22" i="53"/>
  <c r="H21" i="53"/>
  <c r="F21" i="53"/>
  <c r="H20" i="53"/>
  <c r="F20" i="53"/>
  <c r="H19" i="53"/>
  <c r="F19" i="53"/>
  <c r="H18" i="53"/>
  <c r="F18" i="53"/>
  <c r="H23" i="72"/>
  <c r="F23" i="72"/>
  <c r="H22" i="72"/>
  <c r="F22" i="72"/>
  <c r="H21" i="72"/>
  <c r="F21" i="72"/>
  <c r="H20" i="72"/>
  <c r="F20" i="72"/>
  <c r="H19" i="72"/>
  <c r="F19" i="72"/>
  <c r="H18" i="72"/>
  <c r="F18" i="72"/>
  <c r="I18" i="72" s="1"/>
  <c r="J18" i="72" s="1"/>
  <c r="H18" i="71"/>
  <c r="F18" i="71"/>
  <c r="G23" i="62"/>
  <c r="H23" i="62" s="1"/>
  <c r="E23" i="62"/>
  <c r="F23" i="62" s="1"/>
  <c r="G22" i="62"/>
  <c r="H22" i="62" s="1"/>
  <c r="E22" i="62"/>
  <c r="F22" i="62" s="1"/>
  <c r="G21" i="62"/>
  <c r="H21" i="62" s="1"/>
  <c r="E21" i="62"/>
  <c r="F21" i="62" s="1"/>
  <c r="G20" i="62"/>
  <c r="H20" i="62" s="1"/>
  <c r="E20" i="62"/>
  <c r="F20" i="62" s="1"/>
  <c r="G19" i="62"/>
  <c r="H19" i="62" s="1"/>
  <c r="E19" i="62"/>
  <c r="F19" i="62" s="1"/>
  <c r="G18" i="62"/>
  <c r="H18" i="62" s="1"/>
  <c r="E18" i="62"/>
  <c r="F18" i="62" s="1"/>
  <c r="G23" i="63"/>
  <c r="H23" i="63" s="1"/>
  <c r="E23" i="63"/>
  <c r="F23" i="63" s="1"/>
  <c r="G22" i="63"/>
  <c r="H22" i="63" s="1"/>
  <c r="E22" i="63"/>
  <c r="F22" i="63" s="1"/>
  <c r="G21" i="63"/>
  <c r="H21" i="63" s="1"/>
  <c r="E21" i="63"/>
  <c r="F21" i="63" s="1"/>
  <c r="G20" i="63"/>
  <c r="H20" i="63" s="1"/>
  <c r="E20" i="63"/>
  <c r="F20" i="63" s="1"/>
  <c r="G19" i="63"/>
  <c r="H19" i="63" s="1"/>
  <c r="E19" i="63"/>
  <c r="F19" i="63" s="1"/>
  <c r="G18" i="63"/>
  <c r="H18" i="63" s="1"/>
  <c r="F18" i="63"/>
  <c r="E18" i="63"/>
  <c r="G23" i="73"/>
  <c r="H23" i="73" s="1"/>
  <c r="E23" i="73"/>
  <c r="F23" i="73" s="1"/>
  <c r="G22" i="73"/>
  <c r="H22" i="73" s="1"/>
  <c r="E22" i="73"/>
  <c r="F22" i="73" s="1"/>
  <c r="G21" i="73"/>
  <c r="H21" i="73" s="1"/>
  <c r="E21" i="73"/>
  <c r="F21" i="73" s="1"/>
  <c r="G20" i="73"/>
  <c r="H20" i="73" s="1"/>
  <c r="E20" i="73"/>
  <c r="F20" i="73" s="1"/>
  <c r="G19" i="73"/>
  <c r="H19" i="73" s="1"/>
  <c r="E19" i="73"/>
  <c r="F19" i="73" s="1"/>
  <c r="G18" i="73"/>
  <c r="H18" i="73" s="1"/>
  <c r="I18" i="73" s="1" a="1"/>
  <c r="I18" i="73" s="1"/>
  <c r="F18" i="73"/>
  <c r="E18" i="73"/>
  <c r="R33" i="74"/>
  <c r="R28" i="74"/>
  <c r="R33" i="56"/>
  <c r="R28" i="56"/>
  <c r="R11" i="74" a="1"/>
  <c r="R11" i="74" s="1"/>
  <c r="S16" i="74" a="1"/>
  <c r="S16" i="74" s="1"/>
  <c r="R16" i="74" a="1"/>
  <c r="R16" i="74" s="1"/>
  <c r="R11" i="56" a="1"/>
  <c r="R11" i="56" s="1"/>
  <c r="S16" i="56" a="1"/>
  <c r="S16" i="56" s="1"/>
  <c r="R16" i="56" a="1"/>
  <c r="R16" i="56" s="1"/>
  <c r="R21" i="74" a="1"/>
  <c r="R21" i="74" s="1"/>
  <c r="R21" i="56" a="1"/>
  <c r="R21" i="56" s="1"/>
  <c r="R38" i="56"/>
  <c r="E23" i="52"/>
  <c r="F23" i="52" s="1"/>
  <c r="E22" i="52"/>
  <c r="E21" i="52"/>
  <c r="F21" i="52" s="1"/>
  <c r="E20" i="52"/>
  <c r="F20" i="52" s="1"/>
  <c r="I20" i="52" s="1" a="1"/>
  <c r="I20" i="52" s="1"/>
  <c r="E19" i="52"/>
  <c r="E18" i="52"/>
  <c r="F18" i="52" s="1"/>
  <c r="F22" i="52"/>
  <c r="F19" i="52"/>
  <c r="G23" i="52"/>
  <c r="G22" i="52"/>
  <c r="H22" i="52" s="1"/>
  <c r="G21" i="52"/>
  <c r="H21" i="52" s="1"/>
  <c r="G20" i="52"/>
  <c r="G19" i="52"/>
  <c r="H19" i="52" s="1"/>
  <c r="G18" i="52"/>
  <c r="H18" i="52" s="1"/>
  <c r="H23" i="52"/>
  <c r="H20" i="52"/>
  <c r="I18" i="53" l="1"/>
  <c r="J18" i="53" s="1"/>
  <c r="I18" i="71"/>
  <c r="I22" i="52" a="1"/>
  <c r="I22" i="52" s="1"/>
  <c r="J22" i="52" s="1"/>
  <c r="J18" i="73"/>
  <c r="I18" i="63"/>
  <c r="J18" i="63" s="1"/>
  <c r="I21" i="52" a="1"/>
  <c r="I21" i="52" s="1"/>
  <c r="J21" i="52" s="1"/>
  <c r="I23" i="52" a="1"/>
  <c r="I23" i="52" s="1"/>
  <c r="J18" i="71"/>
  <c r="I18" i="62"/>
  <c r="J18" i="62" s="1"/>
  <c r="I20" i="53"/>
  <c r="J20" i="53" s="1"/>
  <c r="I21" i="53"/>
  <c r="J21" i="53" s="1"/>
  <c r="I22" i="53"/>
  <c r="J22" i="53" s="1"/>
  <c r="I19" i="53"/>
  <c r="J19" i="53" s="1"/>
  <c r="I23" i="53"/>
  <c r="J23" i="53" s="1"/>
  <c r="I20" i="72"/>
  <c r="J20" i="72" s="1"/>
  <c r="I21" i="72"/>
  <c r="J21" i="72" s="1"/>
  <c r="I22" i="72"/>
  <c r="J22" i="72" s="1"/>
  <c r="I19" i="72"/>
  <c r="J19" i="72" s="1"/>
  <c r="I23" i="72"/>
  <c r="J23" i="72" s="1"/>
  <c r="I21" i="62"/>
  <c r="J21" i="62" s="1"/>
  <c r="I22" i="62"/>
  <c r="J22" i="62" s="1"/>
  <c r="I20" i="62"/>
  <c r="J20" i="62" s="1"/>
  <c r="I19" i="62"/>
  <c r="J19" i="62" s="1"/>
  <c r="I23" i="62"/>
  <c r="J23" i="62" s="1"/>
  <c r="I20" i="63"/>
  <c r="J20" i="63" s="1"/>
  <c r="I21" i="63"/>
  <c r="J21" i="63" s="1"/>
  <c r="I22" i="63"/>
  <c r="J22" i="63" s="1"/>
  <c r="I19" i="63"/>
  <c r="J19" i="63" s="1"/>
  <c r="I23" i="63"/>
  <c r="J23" i="63" s="1"/>
  <c r="I20" i="73" a="1"/>
  <c r="I20" i="73" s="1"/>
  <c r="J20" i="73" s="1"/>
  <c r="I21" i="73" a="1"/>
  <c r="I21" i="73" s="1"/>
  <c r="J21" i="73" s="1"/>
  <c r="I22" i="73" a="1"/>
  <c r="I22" i="73" s="1"/>
  <c r="J22" i="73" s="1"/>
  <c r="I19" i="73" a="1"/>
  <c r="I19" i="73" s="1"/>
  <c r="J19" i="73" s="1"/>
  <c r="I23" i="73" a="1"/>
  <c r="I23" i="73" s="1"/>
  <c r="J23" i="73" s="1"/>
  <c r="J23" i="52"/>
  <c r="I19" i="52" a="1"/>
  <c r="I19" i="52" s="1"/>
  <c r="J19" i="52" s="1"/>
  <c r="J20" i="52"/>
  <c r="I18" i="52" a="1"/>
  <c r="I18" i="52" s="1"/>
  <c r="J18" i="52" s="1"/>
  <c r="A3" i="74" l="1"/>
  <c r="A3" i="66"/>
  <c r="A3" i="41"/>
  <c r="A3" i="42"/>
  <c r="A3" i="1"/>
  <c r="A3" i="22"/>
  <c r="A3" i="17"/>
  <c r="A3" i="20"/>
  <c r="A3" i="21"/>
  <c r="A3" i="28"/>
  <c r="A3" i="25"/>
  <c r="A3" i="24"/>
  <c r="A3" i="26"/>
  <c r="A3" i="19"/>
  <c r="A3" i="51"/>
  <c r="A3" i="27"/>
  <c r="A3" i="55"/>
  <c r="A3" i="56"/>
  <c r="A3" i="60"/>
  <c r="A3" i="52"/>
  <c r="A3" i="73"/>
  <c r="A3" i="63"/>
  <c r="A3" i="62"/>
  <c r="A3" i="71"/>
  <c r="A3" i="72"/>
  <c r="A3" i="64"/>
  <c r="A3" i="53"/>
  <c r="A3" i="65"/>
  <c r="A3" i="40"/>
  <c r="A1" i="65" l="1"/>
  <c r="B51" i="40" s="1"/>
  <c r="O13" i="26" l="1"/>
  <c r="O14" i="26"/>
  <c r="O12" i="26"/>
  <c r="E19" i="17" l="1"/>
  <c r="E20" i="17"/>
  <c r="E21" i="17"/>
  <c r="E22" i="17"/>
  <c r="E23" i="17"/>
  <c r="G19" i="18"/>
  <c r="G20" i="18"/>
  <c r="G21" i="18"/>
  <c r="G22" i="18"/>
  <c r="G23" i="18"/>
  <c r="G18" i="18"/>
  <c r="E19" i="60" l="1"/>
  <c r="F19" i="60" s="1"/>
  <c r="E20" i="60"/>
  <c r="F20" i="60" s="1"/>
  <c r="E21" i="60"/>
  <c r="F21" i="60" s="1"/>
  <c r="E22" i="60"/>
  <c r="F22" i="60" s="1"/>
  <c r="E23" i="60"/>
  <c r="F23" i="60" s="1"/>
  <c r="E18" i="60"/>
  <c r="F18" i="60" s="1"/>
  <c r="G23" i="60"/>
  <c r="H23" i="60"/>
  <c r="G22" i="60"/>
  <c r="H22" i="60" s="1"/>
  <c r="G21" i="60"/>
  <c r="H21" i="60" s="1"/>
  <c r="G20" i="60"/>
  <c r="H20" i="60" s="1"/>
  <c r="G19" i="60"/>
  <c r="H19" i="60" s="1"/>
  <c r="G18" i="60"/>
  <c r="H18" i="60" s="1"/>
  <c r="E23" i="28"/>
  <c r="E22" i="28"/>
  <c r="E21" i="28"/>
  <c r="E20" i="28"/>
  <c r="E19" i="28"/>
  <c r="E18" i="28"/>
  <c r="G20" i="51"/>
  <c r="H20" i="51" s="1"/>
  <c r="G21" i="51"/>
  <c r="G22" i="51"/>
  <c r="H22" i="51" s="1"/>
  <c r="G23" i="51"/>
  <c r="H23" i="51" s="1"/>
  <c r="G19" i="51"/>
  <c r="H19" i="51" s="1"/>
  <c r="K19" i="55"/>
  <c r="K20" i="55"/>
  <c r="K21" i="55"/>
  <c r="K22" i="55"/>
  <c r="K23" i="55"/>
  <c r="F14" i="58"/>
  <c r="E14" i="58"/>
  <c r="D14" i="58"/>
  <c r="B14" i="58"/>
  <c r="F13" i="58"/>
  <c r="E13" i="58"/>
  <c r="D13" i="58"/>
  <c r="B13" i="58"/>
  <c r="E12" i="58"/>
  <c r="F12" i="58" s="1"/>
  <c r="D12" i="58"/>
  <c r="B12" i="58"/>
  <c r="E11" i="58"/>
  <c r="F11" i="58" s="1"/>
  <c r="D11" i="58"/>
  <c r="B11" i="58"/>
  <c r="E10" i="58"/>
  <c r="F10" i="58" s="1"/>
  <c r="D10" i="58"/>
  <c r="B10" i="58"/>
  <c r="E9" i="58"/>
  <c r="F9" i="58" s="1"/>
  <c r="D9" i="58"/>
  <c r="B9" i="58"/>
  <c r="E19" i="51"/>
  <c r="F19" i="51" s="1"/>
  <c r="E20" i="51"/>
  <c r="E21" i="51"/>
  <c r="F21" i="51" s="1"/>
  <c r="I21" i="51" s="1"/>
  <c r="J21" i="51" s="1"/>
  <c r="E22" i="51"/>
  <c r="E23" i="51"/>
  <c r="F23" i="51" s="1"/>
  <c r="E18" i="51"/>
  <c r="F18" i="51" s="1"/>
  <c r="E23" i="27"/>
  <c r="E22" i="27"/>
  <c r="E21" i="27"/>
  <c r="E20" i="27"/>
  <c r="E19" i="27"/>
  <c r="E18" i="27"/>
  <c r="H19" i="27"/>
  <c r="H20" i="27"/>
  <c r="H21" i="27"/>
  <c r="H22" i="27"/>
  <c r="H23" i="27"/>
  <c r="H18" i="27"/>
  <c r="H23" i="55"/>
  <c r="E23" i="55"/>
  <c r="H22" i="55"/>
  <c r="E22" i="55"/>
  <c r="H21" i="55"/>
  <c r="E21" i="55"/>
  <c r="H20" i="55"/>
  <c r="E20" i="55"/>
  <c r="H19" i="55"/>
  <c r="E19" i="55"/>
  <c r="K18" i="55"/>
  <c r="H18" i="55"/>
  <c r="E18" i="55"/>
  <c r="A1" i="40"/>
  <c r="B11" i="40" s="1"/>
  <c r="E19" i="42"/>
  <c r="F20" i="51"/>
  <c r="F22" i="51"/>
  <c r="H21" i="51"/>
  <c r="G18" i="51"/>
  <c r="H18" i="51" s="1"/>
  <c r="E23" i="42"/>
  <c r="E22" i="42"/>
  <c r="E21" i="42"/>
  <c r="E20" i="42"/>
  <c r="E18" i="42"/>
  <c r="G18" i="41"/>
  <c r="G18" i="25"/>
  <c r="G19" i="25"/>
  <c r="G20" i="25"/>
  <c r="G21" i="25"/>
  <c r="G22" i="25"/>
  <c r="G23" i="25"/>
  <c r="E23" i="24"/>
  <c r="E22" i="24"/>
  <c r="E21" i="24"/>
  <c r="E20" i="24"/>
  <c r="E19" i="24"/>
  <c r="E18" i="24"/>
  <c r="M23" i="24"/>
  <c r="M22" i="24"/>
  <c r="M21" i="24"/>
  <c r="M20" i="24"/>
  <c r="M19" i="24"/>
  <c r="B13" i="42"/>
  <c r="B12" i="42"/>
  <c r="B11" i="42"/>
  <c r="G23" i="41"/>
  <c r="G22" i="41"/>
  <c r="G21" i="41"/>
  <c r="G20" i="41"/>
  <c r="G19" i="41"/>
  <c r="E23" i="19"/>
  <c r="F23" i="19" s="1"/>
  <c r="G23" i="19"/>
  <c r="H23" i="19" s="1"/>
  <c r="E22" i="19"/>
  <c r="F22" i="19" s="1"/>
  <c r="G22" i="19"/>
  <c r="H22" i="19" s="1"/>
  <c r="E21" i="19"/>
  <c r="F21" i="19" s="1"/>
  <c r="G21" i="19"/>
  <c r="H21" i="19" s="1"/>
  <c r="E20" i="19"/>
  <c r="F20" i="19" s="1"/>
  <c r="G20" i="19"/>
  <c r="H20" i="19" s="1"/>
  <c r="E19" i="19"/>
  <c r="F19" i="19" s="1"/>
  <c r="G19" i="19"/>
  <c r="H19" i="19" s="1"/>
  <c r="E18" i="19"/>
  <c r="F18" i="19" s="1"/>
  <c r="G18" i="19"/>
  <c r="H18" i="19" s="1"/>
  <c r="D13" i="27"/>
  <c r="D12" i="27"/>
  <c r="D11" i="27"/>
  <c r="J20" i="26"/>
  <c r="J21" i="26"/>
  <c r="J22" i="26"/>
  <c r="J23" i="26"/>
  <c r="J24" i="26"/>
  <c r="J19" i="26"/>
  <c r="H19" i="26"/>
  <c r="H20" i="26"/>
  <c r="H21" i="26"/>
  <c r="H22" i="26"/>
  <c r="H23" i="26"/>
  <c r="H24" i="26"/>
  <c r="G23" i="24"/>
  <c r="G22" i="24"/>
  <c r="G21" i="24"/>
  <c r="G20" i="24"/>
  <c r="G18" i="24"/>
  <c r="I18" i="24"/>
  <c r="I19" i="24"/>
  <c r="I20" i="24"/>
  <c r="I22" i="24"/>
  <c r="I23" i="24"/>
  <c r="K18" i="24"/>
  <c r="K19" i="24"/>
  <c r="K20" i="24"/>
  <c r="K21" i="24"/>
  <c r="K22" i="24"/>
  <c r="K23" i="24"/>
  <c r="I21" i="24"/>
  <c r="G19" i="24"/>
  <c r="E23" i="20"/>
  <c r="E23" i="21"/>
  <c r="E22" i="21"/>
  <c r="E21" i="21"/>
  <c r="E19" i="21"/>
  <c r="E18" i="21"/>
  <c r="E19" i="20"/>
  <c r="E20" i="20"/>
  <c r="E21" i="20"/>
  <c r="E22" i="20"/>
  <c r="E20" i="21"/>
  <c r="E18" i="20"/>
  <c r="E14" i="2"/>
  <c r="F14" i="2"/>
  <c r="G14" i="2"/>
  <c r="H14" i="2"/>
  <c r="E15" i="2"/>
  <c r="F15" i="2"/>
  <c r="G15" i="2"/>
  <c r="H15" i="2"/>
  <c r="E16" i="2"/>
  <c r="F16" i="2"/>
  <c r="G16" i="2"/>
  <c r="H16" i="2"/>
  <c r="E17" i="2"/>
  <c r="F17" i="2"/>
  <c r="G17" i="2"/>
  <c r="H17" i="2"/>
  <c r="E18" i="2"/>
  <c r="F18" i="2"/>
  <c r="G18" i="2"/>
  <c r="H18" i="2"/>
  <c r="E19" i="2"/>
  <c r="F19" i="2"/>
  <c r="G19" i="2"/>
  <c r="H19" i="2"/>
  <c r="D19" i="4"/>
  <c r="C11" i="4"/>
  <c r="D11" i="4"/>
  <c r="C12" i="4"/>
  <c r="D12" i="4"/>
  <c r="C13" i="4"/>
  <c r="D13" i="4"/>
  <c r="C14" i="4"/>
  <c r="D14" i="4"/>
  <c r="C15" i="4"/>
  <c r="D15" i="4"/>
  <c r="E9" i="8"/>
  <c r="F9" i="8" s="1"/>
  <c r="E10" i="8"/>
  <c r="F10" i="8" s="1"/>
  <c r="E11" i="8"/>
  <c r="F11" i="8" s="1"/>
  <c r="E12" i="8"/>
  <c r="F12" i="8" s="1"/>
  <c r="F13" i="8"/>
  <c r="F14" i="8"/>
  <c r="D9" i="8"/>
  <c r="D10" i="8"/>
  <c r="D11" i="8"/>
  <c r="D12" i="8"/>
  <c r="D13" i="8"/>
  <c r="D14" i="8"/>
  <c r="E13" i="8"/>
  <c r="E14" i="8"/>
  <c r="B10" i="8"/>
  <c r="B11" i="8"/>
  <c r="B12" i="8"/>
  <c r="B13" i="8"/>
  <c r="B14" i="8"/>
  <c r="B9" i="8"/>
  <c r="I18" i="2"/>
  <c r="J18" i="2"/>
  <c r="I16" i="2"/>
  <c r="J16" i="2"/>
  <c r="I19" i="2"/>
  <c r="J19" i="2"/>
  <c r="I17" i="2"/>
  <c r="J17" i="2"/>
  <c r="I15" i="2"/>
  <c r="J15" i="2"/>
  <c r="I14" i="2"/>
  <c r="J14" i="2"/>
  <c r="I22" i="51" l="1"/>
  <c r="J22" i="51" s="1"/>
  <c r="I18" i="51"/>
  <c r="J18" i="51" s="1"/>
  <c r="I20" i="51"/>
  <c r="J20" i="51" s="1"/>
  <c r="I19" i="51"/>
  <c r="J19" i="51" s="1"/>
  <c r="I23" i="51"/>
  <c r="J23" i="51" s="1"/>
  <c r="I22" i="60"/>
  <c r="J22" i="60" s="1"/>
  <c r="I19" i="19"/>
  <c r="J19" i="19" s="1"/>
  <c r="I23" i="19"/>
  <c r="J23" i="19" s="1"/>
  <c r="I18" i="60"/>
  <c r="J18" i="60" s="1"/>
  <c r="I20" i="60"/>
  <c r="J20" i="60" s="1"/>
  <c r="I23" i="60"/>
  <c r="J23" i="60" s="1"/>
  <c r="I19" i="60"/>
  <c r="J19" i="60" s="1"/>
  <c r="I21" i="60"/>
  <c r="J21" i="60" s="1"/>
  <c r="I21" i="19"/>
  <c r="J21" i="19" s="1"/>
  <c r="I18" i="19"/>
  <c r="J18" i="19" s="1"/>
  <c r="I20" i="19"/>
  <c r="J20" i="19" s="1"/>
  <c r="I22" i="19"/>
  <c r="J22" i="19" s="1"/>
  <c r="D16" i="58"/>
  <c r="F22" i="58" s="1"/>
  <c r="F16" i="8"/>
  <c r="F17" i="8" s="1"/>
  <c r="F16" i="58"/>
  <c r="F17" i="58" s="1"/>
  <c r="D16" i="8"/>
  <c r="F18" i="8" s="1"/>
  <c r="D17" i="4"/>
  <c r="D18" i="4" s="1"/>
  <c r="F18" i="58"/>
  <c r="F31" i="58"/>
  <c r="F28" i="58"/>
  <c r="F20" i="58" l="1"/>
  <c r="F20" i="8"/>
  <c r="F25" i="58"/>
  <c r="D2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D11" authorId="0" shapeId="0" xr:uid="{00000000-0006-0000-0100-000001000000}">
      <text>
        <r>
          <rPr>
            <sz val="9"/>
            <color indexed="81"/>
            <rFont val="Tahoma"/>
            <family val="2"/>
          </rPr>
          <t xml:space="preserve">First column contains the data to be looked up (the key data)
</t>
        </r>
      </text>
    </comment>
    <comment ref="E11" authorId="0" shapeId="0" xr:uid="{00000000-0006-0000-0100-000002000000}">
      <text>
        <r>
          <rPr>
            <sz val="9"/>
            <color indexed="81"/>
            <rFont val="Tahoma"/>
            <family val="2"/>
          </rPr>
          <t>Shipping Costs lookup table</t>
        </r>
      </text>
    </comment>
    <comment ref="C18" authorId="0" shapeId="0" xr:uid="{00000000-0006-0000-0100-000003000000}">
      <text>
        <r>
          <rPr>
            <sz val="9"/>
            <color indexed="81"/>
            <rFont val="Tahoma"/>
            <family val="2"/>
          </rPr>
          <t>The Shipping Method determines the Shipping Cost</t>
        </r>
      </text>
    </comment>
    <comment ref="G18" authorId="0" shapeId="0" xr:uid="{00000000-0006-0000-0100-000004000000}">
      <text>
        <r>
          <rPr>
            <sz val="9"/>
            <color indexed="81"/>
            <rFont val="Tahoma"/>
            <family val="2"/>
          </rPr>
          <t>Nested IF can determine which Shipping Cost to use.  Unit Shipping Costs for Items in this column are based on corresponding Shipping Methods in column 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D11" authorId="0" shapeId="0" xr:uid="{1A041044-B82F-4DD4-ADAC-8BBEB1CC107A}">
      <text>
        <r>
          <rPr>
            <sz val="9"/>
            <color indexed="81"/>
            <rFont val="Tahoma"/>
            <family val="2"/>
          </rPr>
          <t xml:space="preserve">First column contains the data to be looked up (the key data)
</t>
        </r>
      </text>
    </comment>
    <comment ref="E11" authorId="0" shapeId="0" xr:uid="{5EA5DE9E-A4EE-4B10-B214-852A4C059A25}">
      <text>
        <r>
          <rPr>
            <sz val="9"/>
            <color indexed="81"/>
            <rFont val="Tahoma"/>
            <family val="2"/>
          </rPr>
          <t>Shipping Costs lookup table</t>
        </r>
      </text>
    </comment>
    <comment ref="C18" authorId="0" shapeId="0" xr:uid="{65A7913B-6753-443E-A9A2-15E82059130B}">
      <text>
        <r>
          <rPr>
            <sz val="9"/>
            <color indexed="81"/>
            <rFont val="Tahoma"/>
            <family val="2"/>
          </rPr>
          <t>The Shipping Method determines the Shipping Cost</t>
        </r>
      </text>
    </comment>
    <comment ref="G18" authorId="0" shapeId="0" xr:uid="{94BCC564-21EE-4D86-B02F-A59F589EA2E2}">
      <text>
        <r>
          <rPr>
            <sz val="9"/>
            <color indexed="81"/>
            <rFont val="Tahoma"/>
            <family val="2"/>
          </rPr>
          <t>IFS can determine which Shipping Cost to use.  Unit Shipping Costs for Items in this column are based on corresponding Shipping Methods in column 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C11" authorId="0" shapeId="0" xr:uid="{00000000-0006-0000-0200-000002000000}">
      <text>
        <r>
          <rPr>
            <sz val="9"/>
            <color indexed="81"/>
            <rFont val="Tahoma"/>
            <family val="2"/>
          </rPr>
          <t>Unit Pricing lookup table_array</t>
        </r>
      </text>
    </comment>
    <comment ref="D18" authorId="0" shapeId="0" xr:uid="{00000000-0006-0000-0200-000003000000}">
      <text>
        <r>
          <rPr>
            <sz val="9"/>
            <color indexed="81"/>
            <rFont val="Tahoma"/>
            <family val="2"/>
          </rPr>
          <t>The Quantity determines the Unit Pricing</t>
        </r>
      </text>
    </comment>
    <comment ref="E18" authorId="0" shapeId="0" xr:uid="{00000000-0006-0000-0200-000004000000}">
      <text>
        <r>
          <rPr>
            <sz val="9"/>
            <color indexed="81"/>
            <rFont val="Tahoma"/>
            <family val="2"/>
          </rPr>
          <t>Nested IF's can determine which Unit Price to use, based on Quantity in column to the left, as assigned by the Unit Pricing Table above.</t>
        </r>
      </text>
    </comment>
    <comment ref="E23" authorId="0" shapeId="0" xr:uid="{00000000-0006-0000-0200-000005000000}">
      <text>
        <r>
          <rPr>
            <b/>
            <sz val="9"/>
            <color indexed="81"/>
            <rFont val="Tahoma"/>
            <family val="2"/>
          </rPr>
          <t>Nested IF</t>
        </r>
        <r>
          <rPr>
            <sz val="9"/>
            <color indexed="81"/>
            <rFont val="Tahoma"/>
            <family val="2"/>
          </rPr>
          <t xml:space="preserve">
If the quantity ordered is greater than or equal to 0 (but less than 60), charge $2.45 per unit
 If the quantity ordered is greater than or equal to 60 (but less than 120), charge $2.27 per unit
  If the quantity ordered is greater than or equal to 120 (but less than 240), charge $2.12 per unit
   If the quantity ordered is greater than or equal to 240, charge $2.00 per unit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C11" authorId="0" shapeId="0" xr:uid="{8BF84C09-A157-445F-9B5A-AA2C3C75439E}">
      <text>
        <r>
          <rPr>
            <sz val="9"/>
            <color indexed="81"/>
            <rFont val="Tahoma"/>
            <family val="2"/>
          </rPr>
          <t>Unit Pricing lookup table_array</t>
        </r>
      </text>
    </comment>
    <comment ref="D18" authorId="0" shapeId="0" xr:uid="{554F50D7-5DBC-4802-93BA-0E4DDD356C8D}">
      <text>
        <r>
          <rPr>
            <sz val="9"/>
            <color indexed="81"/>
            <rFont val="Tahoma"/>
            <family val="2"/>
          </rPr>
          <t>The Quantity determines the Unit Pricing</t>
        </r>
      </text>
    </comment>
    <comment ref="E18" authorId="0" shapeId="0" xr:uid="{8691DEBA-8C71-4C3A-AFAB-0F3ADB9A563E}">
      <text>
        <r>
          <rPr>
            <sz val="9"/>
            <color indexed="81"/>
            <rFont val="Tahoma"/>
            <family val="2"/>
          </rPr>
          <t>Nested IF's can determine which Unit Price to use, based on Quantity in column to the left, as assigned by the Unit Pricing Table above.</t>
        </r>
      </text>
    </comment>
    <comment ref="E23" authorId="0" shapeId="0" xr:uid="{D7FDB225-8A73-4199-94EB-5C3C752A905C}">
      <text>
        <r>
          <rPr>
            <b/>
            <sz val="9"/>
            <color indexed="81"/>
            <rFont val="Tahoma"/>
            <family val="2"/>
          </rPr>
          <t>Nested IF</t>
        </r>
        <r>
          <rPr>
            <sz val="9"/>
            <color indexed="81"/>
            <rFont val="Tahoma"/>
            <family val="2"/>
          </rPr>
          <t xml:space="preserve">
If the quantity ordered is greater than or equal to 0 (but less than 60), charge $2.45 per unit
 If the quantity ordered is greater than or equal to 60 (but less than 120), charge $2.27 per unit
  If the quantity ordered is greater than or equal to 120 (but less than 240), charge $2.12 per unit
   If the quantity ordered is greater than or equal to 240, charge $2.00 per unit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K8" authorId="0" shapeId="0" xr:uid="{00000000-0006-0000-0300-000001000000}">
      <text>
        <r>
          <rPr>
            <sz val="9"/>
            <color indexed="81"/>
            <rFont val="Tahoma"/>
            <family val="2"/>
          </rPr>
          <t>The terms</t>
        </r>
        <r>
          <rPr>
            <b/>
            <sz val="9"/>
            <color indexed="81"/>
            <rFont val="Tahoma"/>
            <family val="2"/>
          </rPr>
          <t xml:space="preserve"> Lookup table</t>
        </r>
        <r>
          <rPr>
            <sz val="9"/>
            <color indexed="81"/>
            <rFont val="Tahoma"/>
            <family val="2"/>
          </rPr>
          <t xml:space="preserve"> and </t>
        </r>
        <r>
          <rPr>
            <b/>
            <sz val="9"/>
            <color indexed="81"/>
            <rFont val="Tahoma"/>
            <family val="2"/>
          </rPr>
          <t>reference table</t>
        </r>
        <r>
          <rPr>
            <sz val="9"/>
            <color indexed="81"/>
            <rFont val="Tahoma"/>
            <family val="2"/>
          </rPr>
          <t xml:space="preserve"> can be used interchangably.</t>
        </r>
      </text>
    </comment>
    <comment ref="A11" authorId="0" shapeId="0" xr:uid="{00000000-0006-0000-0300-000002000000}">
      <text>
        <r>
          <rPr>
            <sz val="9"/>
            <color indexed="81"/>
            <rFont val="Tahoma"/>
            <family val="2"/>
          </rPr>
          <t>First column contains the data to be loooked up (the key data)</t>
        </r>
      </text>
    </comment>
    <comment ref="B11" authorId="0" shapeId="0" xr:uid="{00000000-0006-0000-0300-000003000000}">
      <text>
        <r>
          <rPr>
            <sz val="9"/>
            <color indexed="81"/>
            <rFont val="Tahoma"/>
            <family val="2"/>
          </rPr>
          <t>Unit Pricing lookup table</t>
        </r>
      </text>
    </comment>
    <comment ref="E11" authorId="0" shapeId="0" xr:uid="{00000000-0006-0000-0300-000004000000}">
      <text>
        <r>
          <rPr>
            <sz val="9"/>
            <color indexed="81"/>
            <rFont val="Tahoma"/>
            <family val="2"/>
          </rPr>
          <t>Shipping Costs lookup table</t>
        </r>
      </text>
    </comment>
    <comment ref="E17" authorId="0" shapeId="0" xr:uid="{00000000-0006-0000-0300-000005000000}">
      <text>
        <r>
          <rPr>
            <sz val="9"/>
            <color indexed="81"/>
            <rFont val="Tahoma"/>
            <family val="2"/>
          </rPr>
          <t>Closest Match Vlookup</t>
        </r>
      </text>
    </comment>
    <comment ref="G17" authorId="0" shapeId="0" xr:uid="{00000000-0006-0000-0300-000006000000}">
      <text>
        <r>
          <rPr>
            <sz val="9"/>
            <color indexed="81"/>
            <rFont val="Tahoma"/>
            <family val="2"/>
          </rPr>
          <t>Exact Match Vlookup</t>
        </r>
      </text>
    </comment>
    <comment ref="I17" authorId="0" shapeId="0" xr:uid="{00000000-0006-0000-0300-000007000000}">
      <text>
        <r>
          <rPr>
            <sz val="9"/>
            <color indexed="81"/>
            <rFont val="Tahoma"/>
            <family val="2"/>
          </rPr>
          <t>Closest Match Vlookup</t>
        </r>
      </text>
    </comment>
    <comment ref="D23" authorId="0" shapeId="0" xr:uid="{00000000-0006-0000-0300-000008000000}">
      <text>
        <r>
          <rPr>
            <sz val="9"/>
            <color indexed="81"/>
            <rFont val="Tahoma"/>
            <family val="2"/>
          </rPr>
          <t>VLOOKUP will calculate the unit price by looking up the quantity in this column.</t>
        </r>
      </text>
    </comment>
    <comment ref="E23" authorId="0" shapeId="0" xr:uid="{00000000-0006-0000-0300-000009000000}">
      <text>
        <r>
          <rPr>
            <sz val="9"/>
            <color indexed="81"/>
            <rFont val="Tahoma"/>
            <family val="2"/>
          </rPr>
          <t>VLOOKUP formula will be entered in this column</t>
        </r>
      </text>
    </comment>
    <comment ref="F23" authorId="0" shapeId="0" xr:uid="{00000000-0006-0000-0300-00000A000000}">
      <text>
        <r>
          <rPr>
            <sz val="9"/>
            <color indexed="81"/>
            <rFont val="Tahoma"/>
            <family val="2"/>
          </rPr>
          <t>HLOOKUP will calculate the Shipping Discount by looking up the Total Price in this column.</t>
        </r>
      </text>
    </comment>
    <comment ref="I23" authorId="0" shapeId="0" xr:uid="{00000000-0006-0000-0300-00000B000000}">
      <text>
        <r>
          <rPr>
            <sz val="9"/>
            <color indexed="81"/>
            <rFont val="Tahoma"/>
            <family val="2"/>
          </rPr>
          <t>HLOOKUP formula will be entered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O18" authorId="0" shapeId="0" xr:uid="{00000000-0006-0000-0400-000001000000}">
      <text>
        <r>
          <rPr>
            <sz val="9"/>
            <color indexed="81"/>
            <rFont val="Tahoma"/>
            <family val="2"/>
          </rPr>
          <t>In the table shown above, the textbook neglected to list one additional item that can be used within the Lookup_value argument....   The Lookup_value argument can also contain a Formula.  The following are a couple examples of formulas that could be used:
A1+A5
MAX(A1:A5)
Notice that when used within function arguments, formulas should NOT include an = sign in front  of the formula.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D11" authorId="0" shapeId="0" xr:uid="{00000000-0006-0000-0500-000001000000}">
      <text>
        <r>
          <rPr>
            <b/>
            <sz val="9"/>
            <color indexed="81"/>
            <rFont val="Tahoma"/>
            <family val="2"/>
          </rPr>
          <t>range_lookup = FALSE</t>
        </r>
        <r>
          <rPr>
            <sz val="9"/>
            <color indexed="81"/>
            <rFont val="Tahoma"/>
            <family val="2"/>
          </rPr>
          <t xml:space="preserve">
(</t>
        </r>
        <r>
          <rPr>
            <b/>
            <sz val="9"/>
            <color indexed="81"/>
            <rFont val="Tahoma"/>
            <family val="2"/>
          </rPr>
          <t>Exact match</t>
        </r>
        <r>
          <rPr>
            <sz val="9"/>
            <color indexed="81"/>
            <rFont val="Tahoma"/>
            <family val="2"/>
          </rPr>
          <t xml:space="preserve"> lookup)
First column contains the data to be looked up (the key data).  When looking up text, use Exact Match as the lookup type</t>
        </r>
      </text>
    </comment>
    <comment ref="E11" authorId="0" shapeId="0" xr:uid="{00000000-0006-0000-0500-000002000000}">
      <text>
        <r>
          <rPr>
            <b/>
            <sz val="9"/>
            <color indexed="81"/>
            <rFont val="Tahoma"/>
            <family val="2"/>
          </rPr>
          <t>table_array</t>
        </r>
        <r>
          <rPr>
            <sz val="9"/>
            <color indexed="81"/>
            <rFont val="Tahoma"/>
            <family val="2"/>
          </rPr>
          <t xml:space="preserve">  Shipping Costs lookup table 
In the vlookup formula, the table_array should almost always be locked down with absolute cell references</t>
        </r>
      </text>
    </comment>
    <comment ref="E14" authorId="0" shapeId="0" xr:uid="{00000000-0006-0000-0500-000003000000}">
      <text>
        <r>
          <rPr>
            <b/>
            <sz val="9"/>
            <color indexed="81"/>
            <rFont val="Tahoma"/>
            <family val="2"/>
          </rPr>
          <t>col_index_num = 2</t>
        </r>
        <r>
          <rPr>
            <sz val="9"/>
            <color indexed="81"/>
            <rFont val="Tahoma"/>
            <family val="2"/>
          </rPr>
          <t xml:space="preserve">
Since the value to be returned is in column 2 of the table_array</t>
        </r>
      </text>
    </comment>
    <comment ref="C18" authorId="0" shapeId="0" xr:uid="{00000000-0006-0000-0500-000004000000}">
      <text>
        <r>
          <rPr>
            <b/>
            <sz val="9"/>
            <color indexed="81"/>
            <rFont val="Tahoma"/>
            <family val="2"/>
          </rPr>
          <t>lookup_value</t>
        </r>
        <r>
          <rPr>
            <sz val="9"/>
            <color indexed="81"/>
            <rFont val="Tahoma"/>
            <family val="2"/>
          </rPr>
          <t xml:space="preserve">
Vlookup will look up the unit shipping cost based on the value entered here</t>
        </r>
      </text>
    </comment>
    <comment ref="G23" authorId="0" shapeId="0" xr:uid="{00000000-0006-0000-0500-000005000000}">
      <text>
        <r>
          <rPr>
            <b/>
            <sz val="9"/>
            <color indexed="81"/>
            <rFont val="Tahoma"/>
            <family val="2"/>
          </rPr>
          <t>=vlookup(lookup_value, table_array, col_index_num, range_lookup)</t>
        </r>
        <r>
          <rPr>
            <sz val="9"/>
            <color indexed="81"/>
            <rFont val="Tahoma"/>
            <family val="2"/>
          </rPr>
          <t xml:space="preserve">
Exact Match VLOOKUP formula entered here
VLOOKUP's Exact Match works as follows:
To find the Unit Shipping cost for Order #1, the VLOOKUP function first looks up the Shipping method for Order #1 (which is "Rail").  It takes the lookup_value and compares it to the Shipping Costs table_array.  
Starting at the top of the table, it takes the lookup_value (Rail), and asks Is it = Truck? no  Is it = Rail?  yes Therefore the Shipping Cost = $0.20.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A11" authorId="0" shapeId="0" xr:uid="{00000000-0006-0000-0600-000001000000}">
      <text>
        <r>
          <rPr>
            <b/>
            <sz val="9"/>
            <color indexed="81"/>
            <rFont val="Tahoma"/>
            <family val="2"/>
          </rPr>
          <t>range_lookup = TRUE</t>
        </r>
        <r>
          <rPr>
            <sz val="9"/>
            <color indexed="81"/>
            <rFont val="Tahoma"/>
            <family val="2"/>
          </rPr>
          <t xml:space="preserve"> (</t>
        </r>
        <r>
          <rPr>
            <b/>
            <sz val="9"/>
            <color indexed="81"/>
            <rFont val="Tahoma"/>
            <family val="2"/>
          </rPr>
          <t>Closest match</t>
        </r>
        <r>
          <rPr>
            <sz val="9"/>
            <color indexed="81"/>
            <rFont val="Tahoma"/>
            <family val="2"/>
          </rPr>
          <t xml:space="preserve"> lookup)
First column contains the data to be looked up (the key data).  When looking up numbers that can fall within a range of values, use Closest Match as the lookup type</t>
        </r>
      </text>
    </comment>
    <comment ref="B11" authorId="0" shapeId="0" xr:uid="{00000000-0006-0000-0600-000002000000}">
      <text>
        <r>
          <rPr>
            <b/>
            <sz val="9"/>
            <color indexed="81"/>
            <rFont val="Tahoma"/>
            <family val="2"/>
          </rPr>
          <t>table_array</t>
        </r>
        <r>
          <rPr>
            <sz val="9"/>
            <color indexed="81"/>
            <rFont val="Tahoma"/>
            <family val="2"/>
          </rPr>
          <t xml:space="preserve"> Unit Pricing lookup table
In vlookup formulas, the table_array is almost always locked down with absolute references</t>
        </r>
      </text>
    </comment>
    <comment ref="B14" authorId="0" shapeId="0" xr:uid="{00000000-0006-0000-0600-000003000000}">
      <text>
        <r>
          <rPr>
            <b/>
            <sz val="9"/>
            <color indexed="81"/>
            <rFont val="Tahoma"/>
            <family val="2"/>
          </rPr>
          <t>col_index_num = 2</t>
        </r>
        <r>
          <rPr>
            <sz val="9"/>
            <color indexed="81"/>
            <rFont val="Tahoma"/>
            <family val="2"/>
          </rPr>
          <t xml:space="preserve">
Since the value to be returned is in column 2 of the table_array</t>
        </r>
      </text>
    </comment>
    <comment ref="D18" authorId="0" shapeId="0" xr:uid="{00000000-0006-0000-0600-000004000000}">
      <text>
        <r>
          <rPr>
            <b/>
            <sz val="9"/>
            <color indexed="81"/>
            <rFont val="Tahoma"/>
            <family val="2"/>
          </rPr>
          <t>lookup_value</t>
        </r>
        <r>
          <rPr>
            <sz val="9"/>
            <color indexed="81"/>
            <rFont val="Tahoma"/>
            <family val="2"/>
          </rPr>
          <t xml:space="preserve">
Vlookup will look up the unit price based on the quantity entered here</t>
        </r>
      </text>
    </comment>
    <comment ref="E18" authorId="0" shapeId="0" xr:uid="{00000000-0006-0000-0600-000005000000}">
      <text>
        <r>
          <rPr>
            <b/>
            <sz val="9"/>
            <color indexed="81"/>
            <rFont val="Tahoma"/>
            <family val="2"/>
          </rPr>
          <t>=vlookup(lookup_value, table_array, col_index_num, range_lookup)</t>
        </r>
        <r>
          <rPr>
            <sz val="9"/>
            <color indexed="81"/>
            <rFont val="Tahoma"/>
            <family val="2"/>
          </rPr>
          <t xml:space="preserve">
Closest Match VLOOKUP formula entered here
</t>
        </r>
      </text>
    </comment>
    <comment ref="K19" authorId="0" shapeId="0" xr:uid="{00000000-0006-0000-0600-000006000000}">
      <text>
        <r>
          <rPr>
            <sz val="9"/>
            <color indexed="81"/>
            <rFont val="Tahoma"/>
            <family val="2"/>
          </rPr>
          <t>Please remember that "Closest Match" lookups should only be used when looking up values that can fall within a range of values.  Closest Match lookups should not be used when looking up text.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E18" authorId="0" shapeId="0" xr:uid="{00000000-0006-0000-0700-000001000000}">
      <text>
        <r>
          <rPr>
            <sz val="9"/>
            <color indexed="81"/>
            <rFont val="Tahoma"/>
            <family val="2"/>
          </rPr>
          <t>If VLOOKUP didn't exist, and I had to create a formula using only IF functions, here's how I'd have to do it. 
Nested IF functions were used here to simulate the way Excel's Vlookup "thinks" using the textbook's explanation of the vlookup algorithm.</t>
        </r>
      </text>
    </comment>
    <comment ref="E23" authorId="0" shapeId="0" xr:uid="{00000000-0006-0000-0700-000002000000}">
      <text>
        <r>
          <rPr>
            <sz val="9"/>
            <color indexed="81"/>
            <rFont val="Tahoma"/>
            <family val="2"/>
          </rPr>
          <t xml:space="preserve">Actual Vlookup function used </t>
        </r>
      </text>
    </comment>
    <comment ref="A26" authorId="0" shapeId="0" xr:uid="{00000000-0006-0000-0700-000003000000}">
      <text>
        <r>
          <rPr>
            <b/>
            <sz val="9"/>
            <color indexed="81"/>
            <rFont val="Tahoma"/>
            <family val="2"/>
          </rPr>
          <t>NOTE:</t>
        </r>
        <r>
          <rPr>
            <sz val="9"/>
            <color indexed="81"/>
            <rFont val="Tahoma"/>
            <family val="2"/>
          </rPr>
          <t xml:space="preserve">  I think the textbook's explanation of vlookup is a bit more complicated than it needs to be.  You can skip this sheet and move on to the explanation on the next sheet, if you'd prefer to.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B11" authorId="0" shapeId="0" xr:uid="{00000000-0006-0000-0800-000001000000}">
      <text>
        <r>
          <rPr>
            <sz val="9"/>
            <color indexed="81"/>
            <rFont val="Tahoma"/>
            <family val="2"/>
          </rPr>
          <t>Unit Pricing lookup table</t>
        </r>
      </text>
    </comment>
    <comment ref="N12" authorId="0" shapeId="0" xr:uid="{00000000-0006-0000-0800-000002000000}">
      <text>
        <r>
          <rPr>
            <sz val="9"/>
            <color indexed="81"/>
            <rFont val="Tahoma"/>
            <family val="2"/>
          </rPr>
          <t>Below is Travis' explanation of the VLOOKUP "TRUE" algorithm.  This is a simpler way of describing the way the VLOOKUP algorithm operates than what the textbook describes.</t>
        </r>
      </text>
    </comment>
    <comment ref="D18" authorId="0" shapeId="0" xr:uid="{00000000-0006-0000-0800-000003000000}">
      <text>
        <r>
          <rPr>
            <sz val="9"/>
            <color indexed="81"/>
            <rFont val="Tahoma"/>
            <family val="2"/>
          </rPr>
          <t>The Quantity determines the Unit Pricing</t>
        </r>
      </text>
    </comment>
    <comment ref="E18" authorId="0" shapeId="0" xr:uid="{00000000-0006-0000-0800-000004000000}">
      <text>
        <r>
          <rPr>
            <sz val="9"/>
            <color indexed="81"/>
            <rFont val="Tahoma"/>
            <family val="2"/>
          </rPr>
          <t>Nested IF functions were used here to simulate the way Excel's Vlookup "thinks" using the textbook's explanation of the vlookup algorithm.</t>
        </r>
      </text>
    </comment>
    <comment ref="D23" authorId="0" shapeId="0" xr:uid="{00000000-0006-0000-0800-000005000000}">
      <text>
        <r>
          <rPr>
            <sz val="9"/>
            <color indexed="81"/>
            <rFont val="Tahoma"/>
            <family val="2"/>
          </rPr>
          <t>The Quantity determines the Unit Price, therefore the Quantity is the lookup_value.  Take the 240 and compare it to the Unit Pricing lookup table (table_array).  Is 240 &gt;=0? yes  Is 240 &gt;= 60? yes  Is 240 &gt;= 120? yes  Is 240&gt;=240?  yes  Are there any more values in the table to compare 240 to?  no.  Then the Unit Price is $2.00.
Take Order #2, with a Quanitity of 30.  Is 30 &gt;= 0?  yes  Is 30 &gt;= 60?  no  30 is &gt;= 0, but it is NOT &gt;= 60, therefore the Unit Price is $2.45 (the last Unit Price where 30 was &gt;= to the Quantity in the table).</t>
        </r>
      </text>
    </comment>
    <comment ref="E23" authorId="0" shapeId="0" xr:uid="{00000000-0006-0000-0800-000006000000}">
      <text>
        <r>
          <rPr>
            <sz val="9"/>
            <color indexed="81"/>
            <rFont val="Tahoma"/>
            <family val="2"/>
          </rPr>
          <t>VLOOKUP Function used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N8" authorId="0" shapeId="0" xr:uid="{00000000-0006-0000-0900-000001000000}">
      <text>
        <r>
          <rPr>
            <sz val="9"/>
            <color indexed="81"/>
            <rFont val="Tahoma"/>
            <family val="2"/>
          </rPr>
          <t>The "2-step" explanation of the VLOOKUP "TRUE" algorithm on the previous sheet is simpler, but here's another way of describing the way the VLOOKUP algorithm operates.</t>
        </r>
      </text>
    </comment>
    <comment ref="B11" authorId="0" shapeId="0" xr:uid="{00000000-0006-0000-0900-000002000000}">
      <text>
        <r>
          <rPr>
            <sz val="9"/>
            <color indexed="81"/>
            <rFont val="Tahoma"/>
            <family val="2"/>
          </rPr>
          <t>Unit Pricing lookup table</t>
        </r>
      </text>
    </comment>
    <comment ref="D18" authorId="0" shapeId="0" xr:uid="{00000000-0006-0000-0900-000003000000}">
      <text>
        <r>
          <rPr>
            <sz val="9"/>
            <color indexed="81"/>
            <rFont val="Tahoma"/>
            <family val="2"/>
          </rPr>
          <t>The Quantity determines the Unit Pricing</t>
        </r>
      </text>
    </comment>
    <comment ref="E18" authorId="0" shapeId="0" xr:uid="{00000000-0006-0000-0900-000004000000}">
      <text>
        <r>
          <rPr>
            <sz val="9"/>
            <color indexed="81"/>
            <rFont val="Tahoma"/>
            <family val="2"/>
          </rPr>
          <t>Nested IF functions were used here to simulate the way Excel's Vlookup "thinks" using the textbook's explanation of the vlookup algorithm.</t>
        </r>
      </text>
    </comment>
    <comment ref="D23" authorId="0" shapeId="0" xr:uid="{00000000-0006-0000-0900-000005000000}">
      <text>
        <r>
          <rPr>
            <sz val="9"/>
            <color indexed="81"/>
            <rFont val="Tahoma"/>
            <family val="2"/>
          </rPr>
          <t>The Quantity determines the Unit Price, therefore the Quantity is the lookup_value.  Take the 240 and compare it to the Unit Pricing lookup table (table_array).  Is 240 &gt;=0? yes  Is 240 &gt;= 60? yes  Is 240 &gt;= 120? yes  Is 240&gt;=240?  yes  Are there any more values in the table to compare 240 to?  no.  Then the Unit Price is $2.00.
Take Order #2, with a Quanitity of 30.  Is 30 &gt;= 0?  yes  Is 30 &gt;= 60?  no  30 is &gt;= 0, but it is NOT &gt;= 60, therefore the Unit Price is $2.45 (the last Unit Price where 30 was &gt;= to the Quantity in the table).</t>
        </r>
      </text>
    </comment>
    <comment ref="E23" authorId="0" shapeId="0" xr:uid="{00000000-0006-0000-0900-000006000000}">
      <text>
        <r>
          <rPr>
            <sz val="9"/>
            <color indexed="81"/>
            <rFont val="Tahoma"/>
            <family val="2"/>
          </rPr>
          <t>VLOOKUP Function used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D11" authorId="0" shapeId="0" xr:uid="{00000000-0006-0000-0A00-000001000000}">
      <text>
        <r>
          <rPr>
            <b/>
            <sz val="9"/>
            <color indexed="81"/>
            <rFont val="Tahoma"/>
            <family val="2"/>
          </rPr>
          <t>range_lookup = false</t>
        </r>
        <r>
          <rPr>
            <sz val="9"/>
            <color indexed="81"/>
            <rFont val="Tahoma"/>
            <family val="2"/>
          </rPr>
          <t xml:space="preserve">
(</t>
        </r>
        <r>
          <rPr>
            <b/>
            <sz val="9"/>
            <color indexed="81"/>
            <rFont val="Tahoma"/>
            <family val="2"/>
          </rPr>
          <t>Exact match</t>
        </r>
        <r>
          <rPr>
            <sz val="9"/>
            <color indexed="81"/>
            <rFont val="Tahoma"/>
            <family val="2"/>
          </rPr>
          <t xml:space="preserve"> lookup)
First column contains the data to be looked up (the key data). </t>
        </r>
      </text>
    </comment>
    <comment ref="H11" authorId="0" shapeId="0" xr:uid="{00000000-0006-0000-0A00-000002000000}">
      <text>
        <r>
          <rPr>
            <b/>
            <sz val="9"/>
            <color indexed="81"/>
            <rFont val="Tahoma"/>
            <family val="2"/>
          </rPr>
          <t>Creating an Exact Match vloookup table</t>
        </r>
        <r>
          <rPr>
            <sz val="9"/>
            <color indexed="81"/>
            <rFont val="Tahoma"/>
            <family val="2"/>
          </rPr>
          <t xml:space="preserve">
Rule #1:  The thing you're looking up goes in the first column of the table_array  (This table wouldn't work because the columns are backwards.) 
Rule #2:  Your Lookup_values must exactly match the key data in column 1 of your table_array.  Ensure you do not have any misspellings or extra spaces in your text.</t>
        </r>
      </text>
    </comment>
    <comment ref="J16" authorId="0" shapeId="0" xr:uid="{00000000-0006-0000-0A00-000003000000}">
      <text>
        <r>
          <rPr>
            <sz val="9"/>
            <color indexed="81"/>
            <rFont val="Tahoma"/>
            <family val="2"/>
          </rPr>
          <t xml:space="preserve">When looking up text, you may sometimes be tempted to change the range_lookup to TRUE, so vlookup won't require an exact match...but this WILL NOT WORK RELIABLY!
When looking up text, be sure to always use an Exact Match vlookup (range_lookup = false)
The key data (in the first column) of an exact match vlookup table can be in any order.
</t>
        </r>
        <r>
          <rPr>
            <b/>
            <sz val="9"/>
            <color indexed="81"/>
            <rFont val="Tahoma"/>
            <family val="2"/>
          </rPr>
          <t>Wildcards!</t>
        </r>
        <r>
          <rPr>
            <sz val="9"/>
            <color indexed="81"/>
            <rFont val="Tahoma"/>
            <family val="2"/>
          </rPr>
          <t xml:space="preserve">
The MATCH, VLOOKUP, and HLOOKUP functions allow you to use the wildcard characters ? (any single character) and * (no character or any number of characters) on alphabetical exact matches. Sometimes you can use this method to avoid multiple matches.</t>
        </r>
      </text>
    </comment>
    <comment ref="C18" authorId="0" shapeId="0" xr:uid="{C675CCCD-29E6-4AF5-8ECE-D2FC77A99D3D}">
      <text>
        <r>
          <rPr>
            <b/>
            <sz val="9"/>
            <color indexed="81"/>
            <rFont val="Tahoma"/>
            <family val="2"/>
          </rPr>
          <t>lookup_value</t>
        </r>
        <r>
          <rPr>
            <sz val="9"/>
            <color indexed="81"/>
            <rFont val="Tahoma"/>
            <family val="2"/>
          </rPr>
          <t xml:space="preserve">
VLOOKUP always takes the lookup_value at matches it up with the values in the FIRST column of the table_array.  When creating the table_array, since we're looking up the Shipping Method, then the Shipping Method values must go in the first column of the table_array.</t>
        </r>
      </text>
    </comment>
    <comment ref="C19" authorId="0" shapeId="0" xr:uid="{00000000-0006-0000-0A00-000004000000}">
      <text>
        <r>
          <rPr>
            <sz val="9"/>
            <color indexed="81"/>
            <rFont val="Tahoma"/>
            <family val="2"/>
          </rPr>
          <t>Changing this value to Rail would fix the error.</t>
        </r>
      </text>
    </comment>
    <comment ref="G19" authorId="0" shapeId="0" xr:uid="{00000000-0006-0000-0A00-000005000000}">
      <text>
        <r>
          <rPr>
            <sz val="9"/>
            <color indexed="81"/>
            <rFont val="Tahoma"/>
            <family val="2"/>
          </rPr>
          <t>Your vlookup table should be able to accommodate all possible values.</t>
        </r>
      </text>
    </comment>
    <comment ref="C21" authorId="0" shapeId="0" xr:uid="{00000000-0006-0000-0A00-000006000000}">
      <text>
        <r>
          <rPr>
            <sz val="9"/>
            <color indexed="81"/>
            <rFont val="Tahoma"/>
            <family val="2"/>
          </rPr>
          <t>Spelling errors will cause vlookup to return a #N/A.</t>
        </r>
      </text>
    </comment>
    <comment ref="C22" authorId="0" shapeId="0" xr:uid="{00000000-0006-0000-0A00-000007000000}">
      <text>
        <r>
          <rPr>
            <sz val="9"/>
            <color indexed="81"/>
            <rFont val="Tahoma"/>
            <family val="2"/>
          </rPr>
          <t>Extra spaces at the end of a word can also cause errors.  An extra space is considered a spelling error, just like any other misplaced character.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M14" authorId="0" shapeId="0" xr:uid="{00000000-0006-0000-0B00-000001000000}">
      <text>
        <r>
          <rPr>
            <sz val="9"/>
            <color indexed="81"/>
            <rFont val="Tahoma"/>
            <family val="2"/>
          </rPr>
          <t xml:space="preserve">Filling in the arguments of the VLOOKUP function usually isn't the hard part.  Often, the tricky part of using VLOOKUP is creating the VLOOKUP table_array.  
</t>
        </r>
        <r>
          <rPr>
            <b/>
            <sz val="9"/>
            <color indexed="81"/>
            <rFont val="Tahoma"/>
            <family val="2"/>
          </rPr>
          <t>Rule #1)</t>
        </r>
        <r>
          <rPr>
            <sz val="9"/>
            <color indexed="81"/>
            <rFont val="Tahoma"/>
            <family val="2"/>
          </rPr>
          <t xml:space="preserve"> Lookup values (the items you're looking up) need to be in the first column of your vlookup table.
</t>
        </r>
        <r>
          <rPr>
            <b/>
            <sz val="9"/>
            <color indexed="81"/>
            <rFont val="Tahoma"/>
            <family val="2"/>
          </rPr>
          <t>Rule #2)</t>
        </r>
        <r>
          <rPr>
            <sz val="9"/>
            <color indexed="81"/>
            <rFont val="Tahoma"/>
            <family val="2"/>
          </rPr>
          <t xml:space="preserve"> For the closest-match vlookup table, use the minimum values of each range in the first column of the table.  (Do not include &lt;, &gt;, -, or the max value within the same cells as the min values...however, using the custom number format will allow you to make characters such as "&gt;" display in the cells.)
</t>
        </r>
        <r>
          <rPr>
            <b/>
            <sz val="9"/>
            <color indexed="81"/>
            <rFont val="Tahoma"/>
            <family val="2"/>
          </rPr>
          <t>Rule #3)</t>
        </r>
        <r>
          <rPr>
            <sz val="9"/>
            <color indexed="81"/>
            <rFont val="Tahoma"/>
            <family val="2"/>
          </rPr>
          <t xml:space="preserve"> The breakpoints (minimum values) in a closest-match vlookup table need to be in ascending order (with the smallest # at the top).  The key data (in the first column) of an exact match vlookup table can be in any order.</t>
        </r>
      </text>
    </comment>
    <comment ref="E18" authorId="0" shapeId="0" xr:uid="{00000000-0006-0000-0B00-000002000000}">
      <text>
        <r>
          <rPr>
            <sz val="9"/>
            <color indexed="81"/>
            <rFont val="Tahoma"/>
            <family val="2"/>
          </rPr>
          <t>Incorrect results (using Info Provided table)</t>
        </r>
      </text>
    </comment>
    <comment ref="G18" authorId="0" shapeId="0" xr:uid="{00000000-0006-0000-0B00-000003000000}">
      <text>
        <r>
          <rPr>
            <sz val="9"/>
            <color indexed="81"/>
            <rFont val="Tahoma"/>
            <family val="2"/>
          </rPr>
          <t>Broken Rule #1</t>
        </r>
      </text>
    </comment>
    <comment ref="I18" authorId="0" shapeId="0" xr:uid="{00000000-0006-0000-0B00-000004000000}">
      <text>
        <r>
          <rPr>
            <sz val="9"/>
            <color indexed="81"/>
            <rFont val="Tahoma"/>
            <family val="2"/>
          </rPr>
          <t>Broken Rule #2</t>
        </r>
      </text>
    </comment>
    <comment ref="K18" authorId="0" shapeId="0" xr:uid="{00000000-0006-0000-0B00-000005000000}">
      <text>
        <r>
          <rPr>
            <sz val="9"/>
            <color indexed="81"/>
            <rFont val="Tahoma"/>
            <family val="2"/>
          </rPr>
          <t>Broken Rule #3</t>
        </r>
      </text>
    </comment>
    <comment ref="M18" authorId="0" shapeId="0" xr:uid="{00000000-0006-0000-0B00-000006000000}">
      <text>
        <r>
          <rPr>
            <sz val="9"/>
            <color indexed="81"/>
            <rFont val="Tahoma"/>
            <family val="2"/>
          </rPr>
          <t>Correct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G12" authorId="0" shapeId="0" xr:uid="{B3DA3BD2-C854-4A2E-9D64-1913492D282A}">
      <text>
        <r>
          <rPr>
            <sz val="9"/>
            <color indexed="81"/>
            <rFont val="Tahoma"/>
            <family val="2"/>
          </rPr>
          <t>You cannot type the &gt;= sign directly into the cell, but you can use a Custom # format to make the vlookup table more clear.</t>
        </r>
      </text>
    </comment>
    <comment ref="K12" authorId="0" shapeId="0" xr:uid="{8169DCB2-2746-4BA1-8594-C6A65CFC1333}">
      <text>
        <r>
          <rPr>
            <sz val="9"/>
            <color indexed="81"/>
            <rFont val="Tahoma"/>
            <family val="2"/>
          </rPr>
          <t>To show the actual range of numbers used to assign the Unit Pricing, the max value of each range can be inserted in an additional column to the right of the min values.  Formulas can be used that reference the min values, and custom number formatting can be used to add the preceding "to " or "&lt; " in front of the max #.  
NOTE:  The second example using the "to" (with "next value - 1" as the max values) only works if your data is restricted to whole numbers.  If your lookup values are NOT integers, then you should use the third option (with "&lt; next value" as the max values).
The col_index_num for the above table is 3 rather than 2.</t>
        </r>
      </text>
    </comment>
    <comment ref="D13" authorId="0" shapeId="0" xr:uid="{DD3C2760-7FA1-476D-A914-97ABC26AA3D1}">
      <text>
        <r>
          <rPr>
            <sz val="9"/>
            <color indexed="81"/>
            <rFont val="Tahoma"/>
            <family val="2"/>
          </rPr>
          <t>This vlookup table works, but it isn't clear to most users of the spreadsheet how Unit Pricing is assigned.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Travis Day</author>
    <author>Day, Travis</author>
  </authors>
  <commentList>
    <comment ref="L10" authorId="0" shapeId="0" xr:uid="{0B07A535-E22F-421C-A67D-6DAA4121EDE3}">
      <text>
        <r>
          <rPr>
            <b/>
            <sz val="9"/>
            <color indexed="81"/>
            <rFont val="Tahoma"/>
            <family val="2"/>
          </rPr>
          <t>Travis Day:</t>
        </r>
        <r>
          <rPr>
            <sz val="9"/>
            <color indexed="81"/>
            <rFont val="Tahoma"/>
            <family val="2"/>
          </rPr>
          <t xml:space="preserve">
For HLOOKUP tables, an extra column can also be included within the table_array.  (Although this may not be as common.)</t>
        </r>
      </text>
    </comment>
    <comment ref="B15" authorId="1" shapeId="0" xr:uid="{1DB94F92-D5F4-43E0-BAF2-93B9F9C5CB13}">
      <text>
        <r>
          <rPr>
            <b/>
            <sz val="9"/>
            <color indexed="81"/>
            <rFont val="Tahoma"/>
            <family val="2"/>
          </rPr>
          <t>Travis Day:</t>
        </r>
        <r>
          <rPr>
            <sz val="9"/>
            <color indexed="81"/>
            <rFont val="Tahoma"/>
            <family val="2"/>
          </rPr>
          <t xml:space="preserve">
Within function array ranges, include an extra row below table_arrays in order to make your formulas flexible. 
(Make the additional row a different color so that users will not try to enter new data in that row.  Instead, they would insert a new row above that last "dummy row.")</t>
        </r>
      </text>
    </comment>
    <comment ref="E18" authorId="0" shapeId="0" xr:uid="{39ABDFB3-4371-49B0-90EE-2EE78ED1D988}">
      <text>
        <r>
          <rPr>
            <b/>
            <sz val="9"/>
            <color indexed="81"/>
            <rFont val="Tahoma"/>
            <family val="2"/>
          </rPr>
          <t>Travis Day:</t>
        </r>
        <r>
          <rPr>
            <sz val="9"/>
            <color indexed="81"/>
            <rFont val="Tahoma"/>
            <family val="2"/>
          </rPr>
          <t xml:space="preserve">
Includes blank Row 15 within the "Table_array" argument.</t>
        </r>
      </text>
    </comment>
    <comment ref="G18" authorId="0" shapeId="0" xr:uid="{35B63C4D-58B3-460F-9649-32D5913E983B}">
      <text>
        <r>
          <rPr>
            <b/>
            <sz val="9"/>
            <color indexed="81"/>
            <rFont val="Tahoma"/>
            <family val="2"/>
          </rPr>
          <t>Travis Day:</t>
        </r>
        <r>
          <rPr>
            <sz val="9"/>
            <color indexed="81"/>
            <rFont val="Tahoma"/>
            <family val="2"/>
          </rPr>
          <t xml:space="preserve">
Includes blank Row 15 within the "Table_array" argument.</t>
        </r>
      </text>
    </comment>
    <comment ref="I18" authorId="0" shapeId="0" xr:uid="{8C14E95C-7B37-44D9-A5FC-7D06E2D49E33}">
      <text>
        <r>
          <rPr>
            <b/>
            <sz val="9"/>
            <color indexed="81"/>
            <rFont val="Tahoma"/>
            <family val="2"/>
          </rPr>
          <t>Travis Day:</t>
        </r>
        <r>
          <rPr>
            <sz val="9"/>
            <color indexed="81"/>
            <rFont val="Tahoma"/>
            <family val="2"/>
          </rPr>
          <t xml:space="preserve">
Includes blank column L within the Table_array.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I11" authorId="0" shapeId="0" xr:uid="{00000000-0006-0000-0F00-000001000000}">
      <text>
        <r>
          <rPr>
            <sz val="9"/>
            <color indexed="81"/>
            <rFont val="Tahoma"/>
            <family val="2"/>
          </rPr>
          <t xml:space="preserve">Enter the </t>
        </r>
        <r>
          <rPr>
            <b/>
            <sz val="9"/>
            <color indexed="81"/>
            <rFont val="Tahoma"/>
            <family val="2"/>
          </rPr>
          <t xml:space="preserve">minimum value </t>
        </r>
        <r>
          <rPr>
            <sz val="9"/>
            <color indexed="81"/>
            <rFont val="Tahoma"/>
            <family val="2"/>
          </rPr>
          <t>of the range in this row.  Do NOT  enter "&gt;=" into the cell...it will be shown automtaically using a custom number format.</t>
        </r>
      </text>
    </comment>
    <comment ref="J11" authorId="0" shapeId="0" xr:uid="{00000000-0006-0000-0F00-000002000000}">
      <text>
        <r>
          <rPr>
            <b/>
            <sz val="9"/>
            <color indexed="81"/>
            <rFont val="Tahoma"/>
            <family val="2"/>
          </rPr>
          <t>range_lookup = true</t>
        </r>
        <r>
          <rPr>
            <sz val="9"/>
            <color indexed="81"/>
            <rFont val="Tahoma"/>
            <family val="2"/>
          </rPr>
          <t xml:space="preserve">
Since the lookup_value can fall within a range of values, use a closest match hlookup (true)</t>
        </r>
      </text>
    </comment>
    <comment ref="K11" authorId="0" shapeId="0" xr:uid="{00000000-0006-0000-0F00-000003000000}">
      <text>
        <r>
          <rPr>
            <b/>
            <sz val="9"/>
            <color indexed="81"/>
            <rFont val="Tahoma"/>
            <family val="2"/>
          </rPr>
          <t>table_array</t>
        </r>
        <r>
          <rPr>
            <sz val="9"/>
            <color indexed="81"/>
            <rFont val="Tahoma"/>
            <family val="2"/>
          </rPr>
          <t xml:space="preserve">
the range you want to search to find the lookup value
NOTE:  The values listed here are plain numbers, with a custom number format used to show the "&gt;=".  You CANNOT type the "&gt;=" into the cells or else the lookup functions will NOT work.</t>
        </r>
      </text>
    </comment>
    <comment ref="K13" authorId="0" shapeId="0" xr:uid="{00000000-0006-0000-0F00-000004000000}">
      <text>
        <r>
          <rPr>
            <b/>
            <sz val="9"/>
            <color indexed="81"/>
            <rFont val="Tahoma"/>
            <family val="2"/>
          </rPr>
          <t>row_index_num = 3</t>
        </r>
        <r>
          <rPr>
            <sz val="9"/>
            <color indexed="81"/>
            <rFont val="Tahoma"/>
            <family val="2"/>
          </rPr>
          <t xml:space="preserve">
But since you want the option of switching back &amp; forth between discounts, don't hard-code the 3 into the row_index_num of your hlookup function</t>
        </r>
      </text>
    </comment>
    <comment ref="I16" authorId="0" shapeId="0" xr:uid="{00000000-0006-0000-0F00-000005000000}">
      <text>
        <r>
          <rPr>
            <sz val="9"/>
            <color indexed="81"/>
            <rFont val="Tahoma"/>
            <family val="2"/>
          </rPr>
          <t>Enter the Shipping Discount # here to apply that discount</t>
        </r>
      </text>
    </comment>
    <comment ref="F18" authorId="0" shapeId="0" xr:uid="{00000000-0006-0000-0F00-000006000000}">
      <text>
        <r>
          <rPr>
            <b/>
            <sz val="9"/>
            <color indexed="81"/>
            <rFont val="Tahoma"/>
            <family val="2"/>
          </rPr>
          <t>lookup_value</t>
        </r>
        <r>
          <rPr>
            <sz val="9"/>
            <color indexed="81"/>
            <rFont val="Tahoma"/>
            <family val="2"/>
          </rPr>
          <t xml:space="preserve">
the data you want to look up</t>
        </r>
      </text>
    </comment>
    <comment ref="I18" authorId="0" shapeId="0" xr:uid="{00000000-0006-0000-0F00-000007000000}">
      <text>
        <r>
          <rPr>
            <b/>
            <sz val="9"/>
            <color indexed="81"/>
            <rFont val="Tahoma"/>
            <family val="2"/>
          </rPr>
          <t xml:space="preserve">=hlookup(lookup_value, table_array, row_index_num, range_lookup)
</t>
        </r>
        <r>
          <rPr>
            <sz val="9"/>
            <color indexed="81"/>
            <rFont val="Tahoma"/>
            <family val="2"/>
          </rPr>
          <t xml:space="preserve">
In this case, the result of the hlookup function is being multiplied by the Total Shipping cost in order to calculate the actual Shipping Discount.
To bring up the Function Arguments window (to help you troubleshoot), you'd typically just highlight the cell containing the function and then click the fx button (to the left of the formula bar).  But if the cell contains more than a single cell, such as in this case, you'd need to first click inside the hlookup function within the formulas in order for the Function Arguments window to appear.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G21" authorId="0" shapeId="0" xr:uid="{00000000-0006-0000-1000-000001000000}">
      <text>
        <r>
          <rPr>
            <sz val="9"/>
            <color indexed="81"/>
            <rFont val="Tahoma"/>
            <family val="2"/>
          </rPr>
          <t>LOOKUP yields incorrect results here.</t>
        </r>
      </text>
    </comment>
    <comment ref="E23" authorId="0" shapeId="0" xr:uid="{00000000-0006-0000-1000-000002000000}">
      <text>
        <r>
          <rPr>
            <b/>
            <sz val="9"/>
            <color indexed="81"/>
            <rFont val="Tahoma"/>
            <family val="2"/>
          </rPr>
          <t>LOOKUP</t>
        </r>
        <r>
          <rPr>
            <sz val="9"/>
            <color indexed="81"/>
            <rFont val="Tahoma"/>
            <family val="2"/>
          </rPr>
          <t xml:space="preserve"> is an older function that is provided in Excel only to maintain backwards compatibility with older versions of Excel.  It was replaced by the VLOOKUP and HLOOKUP functions. 
Unlike VLOOKUP and HLOOKUP, plain LOOKUP cannot allow for exact match lookups.  It does have one benefit in that the key data (used for lookup values) does not have to be in the first column of the lookup table_array.  But this can be accomplished instead by using INDEX/MATCH.</t>
        </r>
      </text>
    </comment>
    <comment ref="G23" authorId="0" shapeId="0" xr:uid="{00000000-0006-0000-1000-000003000000}">
      <text>
        <r>
          <rPr>
            <sz val="9"/>
            <color indexed="81"/>
            <rFont val="Tahoma"/>
            <family val="2"/>
          </rPr>
          <t>LOOKUP causes an error here.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E18" authorId="0" shapeId="0" xr:uid="{00000000-0006-0000-0D00-000001000000}">
      <text>
        <r>
          <rPr>
            <sz val="9"/>
            <color indexed="81"/>
            <rFont val="Tahoma"/>
            <family val="2"/>
          </rPr>
          <t>Vlookup with hard-coded col_index_num</t>
        </r>
      </text>
    </comment>
    <comment ref="H18" authorId="0" shapeId="0" xr:uid="{00000000-0006-0000-0D00-000002000000}">
      <text>
        <r>
          <rPr>
            <sz val="9"/>
            <color indexed="81"/>
            <rFont val="Tahoma"/>
            <family val="2"/>
          </rPr>
          <t>Vlookup with the COLUMNS(...) function used to determine the col_index_num.  Unlike the hard-coded col_index_num, this method is flexible because it allows columns to be inserted into or deleted from within the vlookup table without needing to edit the VLOOKUP formula.  The col_index_num adjusts automatically to yield the correct vlookup answer.
However, it does not allow you to easily choose different columns without editing your formulas.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H16" authorId="0" shapeId="0" xr:uid="{00000000-0006-0000-0E00-000001000000}">
      <text>
        <r>
          <rPr>
            <sz val="9"/>
            <color indexed="81"/>
            <rFont val="Tahoma"/>
            <family val="2"/>
          </rPr>
          <t>Enter 3 to return the summer Unit Price for tennis balls or enter 4 for the non-summer price</t>
        </r>
      </text>
    </comment>
    <comment ref="K16" authorId="0" shapeId="0" xr:uid="{00000000-0006-0000-0E00-000002000000}">
      <text>
        <r>
          <rPr>
            <sz val="9"/>
            <color indexed="81"/>
            <rFont val="Tahoma"/>
            <family val="2"/>
          </rPr>
          <t>Even better, enter "summer" to return the summer Unit Price for tennis balls or enter "non-summer" for the non-summer price.</t>
        </r>
      </text>
    </comment>
    <comment ref="E23" authorId="0" shapeId="0" xr:uid="{00000000-0006-0000-0E00-000003000000}">
      <text>
        <r>
          <rPr>
            <sz val="9"/>
            <color indexed="81"/>
            <rFont val="Tahoma"/>
            <family val="2"/>
          </rPr>
          <t>Vlookup with hard-coded col_index_num</t>
        </r>
      </text>
    </comment>
    <comment ref="H23" authorId="0" shapeId="0" xr:uid="{00000000-0006-0000-0E00-000004000000}">
      <text>
        <r>
          <rPr>
            <sz val="9"/>
            <color indexed="81"/>
            <rFont val="Tahoma"/>
            <family val="2"/>
          </rPr>
          <t>Vlookup with a cell reference for the col_index_num</t>
        </r>
      </text>
    </comment>
    <comment ref="K23" authorId="0" shapeId="0" xr:uid="{00000000-0006-0000-0E00-000005000000}">
      <text>
        <r>
          <rPr>
            <sz val="9"/>
            <color indexed="81"/>
            <rFont val="Tahoma"/>
            <family val="2"/>
          </rPr>
          <t>Vlookup with the MATCH(...) function used to determine the col_index_num.  Unlike the hard-coded col_index_num, this method is flexible because it allows columns to be inserted into or deleted from within the vlookup table without needing to edit the VLOOKUP formula.  
The col_index_num adjusts automatically to yield the correct vlookup answer.  And it allows you to be able to flexibly choose which column you wnat to pull matching values from. Using MATCH is even more flexible than using COLUMNS.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S16" authorId="0" shapeId="0" xr:uid="{00000000-0006-0000-1100-000001000000}">
      <text>
        <r>
          <rPr>
            <b/>
            <sz val="9"/>
            <color indexed="81"/>
            <rFont val="Tahoma"/>
            <family val="2"/>
          </rPr>
          <t>Day, Travis:</t>
        </r>
        <r>
          <rPr>
            <sz val="9"/>
            <color indexed="81"/>
            <rFont val="Tahoma"/>
            <family val="2"/>
          </rPr>
          <t xml:space="preserve">
Works, even though it is columns instead of rows.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S16" authorId="0" shapeId="0" xr:uid="{36A4FB7A-DB74-4F60-8F72-B807C793381C}">
      <text>
        <r>
          <rPr>
            <b/>
            <sz val="9"/>
            <color indexed="81"/>
            <rFont val="Tahoma"/>
            <family val="2"/>
          </rPr>
          <t>Day, Travis:</t>
        </r>
        <r>
          <rPr>
            <sz val="9"/>
            <color indexed="81"/>
            <rFont val="Tahoma"/>
            <family val="2"/>
          </rPr>
          <t xml:space="preserve">
Works, even though it is columns instead of rows.</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S16" authorId="0" shapeId="0" xr:uid="{E7DDCC03-A7E0-4145-841D-EB84F167D118}">
      <text>
        <r>
          <rPr>
            <b/>
            <sz val="9"/>
            <color indexed="81"/>
            <rFont val="Tahoma"/>
            <family val="2"/>
          </rPr>
          <t>Day, Travis:</t>
        </r>
        <r>
          <rPr>
            <sz val="9"/>
            <color indexed="81"/>
            <rFont val="Tahoma"/>
            <family val="2"/>
          </rPr>
          <t xml:space="preserve">
Works, even though it is columns instead of rows.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K8" authorId="0" shapeId="0" xr:uid="{00000000-0006-0000-1200-000001000000}">
      <text>
        <r>
          <rPr>
            <sz val="9"/>
            <color indexed="81"/>
            <rFont val="Tahoma"/>
            <family val="2"/>
          </rPr>
          <t>The terms</t>
        </r>
        <r>
          <rPr>
            <b/>
            <sz val="9"/>
            <color indexed="81"/>
            <rFont val="Tahoma"/>
            <family val="2"/>
          </rPr>
          <t xml:space="preserve"> Lookup table</t>
        </r>
        <r>
          <rPr>
            <sz val="9"/>
            <color indexed="81"/>
            <rFont val="Tahoma"/>
            <family val="2"/>
          </rPr>
          <t xml:space="preserve"> and </t>
        </r>
        <r>
          <rPr>
            <b/>
            <sz val="9"/>
            <color indexed="81"/>
            <rFont val="Tahoma"/>
            <family val="2"/>
          </rPr>
          <t>reference table</t>
        </r>
        <r>
          <rPr>
            <sz val="9"/>
            <color indexed="81"/>
            <rFont val="Tahoma"/>
            <family val="2"/>
          </rPr>
          <t xml:space="preserve"> can be used interchangably.</t>
        </r>
      </text>
    </comment>
    <comment ref="A11" authorId="0" shapeId="0" xr:uid="{00000000-0006-0000-1200-000002000000}">
      <text>
        <r>
          <rPr>
            <sz val="9"/>
            <color indexed="81"/>
            <rFont val="Tahoma"/>
            <family val="2"/>
          </rPr>
          <t>First column contains the data to be loooked up (the key data)</t>
        </r>
      </text>
    </comment>
    <comment ref="C11" authorId="0" shapeId="0" xr:uid="{00000000-0006-0000-1200-000003000000}">
      <text>
        <r>
          <rPr>
            <sz val="9"/>
            <color indexed="81"/>
            <rFont val="Tahoma"/>
            <family val="2"/>
          </rPr>
          <t>Unit Pricing lookup table</t>
        </r>
      </text>
    </comment>
    <comment ref="F11" authorId="0" shapeId="0" xr:uid="{00000000-0006-0000-1200-000004000000}">
      <text>
        <r>
          <rPr>
            <sz val="9"/>
            <color indexed="81"/>
            <rFont val="Tahoma"/>
            <family val="2"/>
          </rPr>
          <t>Shipping Costs lookup table</t>
        </r>
      </text>
    </comment>
    <comment ref="E17" authorId="0" shapeId="0" xr:uid="{00000000-0006-0000-1200-000005000000}">
      <text>
        <r>
          <rPr>
            <sz val="9"/>
            <color indexed="81"/>
            <rFont val="Tahoma"/>
            <family val="2"/>
          </rPr>
          <t>Closest Match Vlookup</t>
        </r>
      </text>
    </comment>
    <comment ref="G17" authorId="0" shapeId="0" xr:uid="{00000000-0006-0000-1200-000006000000}">
      <text>
        <r>
          <rPr>
            <sz val="9"/>
            <color indexed="81"/>
            <rFont val="Tahoma"/>
            <family val="2"/>
          </rPr>
          <t>Exact Match Vlookup</t>
        </r>
      </text>
    </comment>
    <comment ref="I17" authorId="0" shapeId="0" xr:uid="{00000000-0006-0000-1200-000007000000}">
      <text>
        <r>
          <rPr>
            <sz val="9"/>
            <color indexed="81"/>
            <rFont val="Tahoma"/>
            <family val="2"/>
          </rPr>
          <t>Closest Match Vlookup</t>
        </r>
      </text>
    </comment>
    <comment ref="E23" authorId="0" shapeId="0" xr:uid="{00000000-0006-0000-1200-000009000000}">
      <text>
        <r>
          <rPr>
            <sz val="9"/>
            <color indexed="81"/>
            <rFont val="Tahoma"/>
            <family val="2"/>
          </rPr>
          <t>VLOOKUP will calculate the Unit Price by looking up the Quantity in the column to the left.</t>
        </r>
      </text>
    </comment>
    <comment ref="I23" authorId="0" shapeId="0" xr:uid="{00000000-0006-0000-1200-00000B000000}">
      <text>
        <r>
          <rPr>
            <sz val="9"/>
            <color indexed="81"/>
            <rFont val="Tahoma"/>
            <family val="2"/>
          </rPr>
          <t>HLOOKUP will calculate the Shipping Discount by looking up the Total Price (three columns to the right).</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A11" authorId="0" shapeId="0" xr:uid="{00000000-0006-0000-1300-000001000000}">
      <text>
        <r>
          <rPr>
            <sz val="9"/>
            <color indexed="81"/>
            <rFont val="Tahoma"/>
            <family val="2"/>
          </rPr>
          <t>First column contains the data to be loooked up (the key data)</t>
        </r>
      </text>
    </comment>
    <comment ref="I18" authorId="0" shapeId="0" xr:uid="{00000000-0006-0000-1300-000003000000}">
      <text>
        <r>
          <rPr>
            <sz val="9"/>
            <color indexed="81"/>
            <rFont val="Tahoma"/>
            <family val="2"/>
          </rPr>
          <t xml:space="preserve">INDEX-MATCH instead of closest match HLOOKUP
</t>
        </r>
      </text>
    </comment>
    <comment ref="G22" authorId="0" shapeId="0" xr:uid="{00000000-0006-0000-1300-000004000000}">
      <text>
        <r>
          <rPr>
            <sz val="9"/>
            <color indexed="81"/>
            <rFont val="Tahoma"/>
            <family val="2"/>
          </rPr>
          <t>INDEX-MATCH instead of exact match VLOOKUP</t>
        </r>
      </text>
    </comment>
    <comment ref="E23" authorId="0" shapeId="0" xr:uid="{00000000-0006-0000-1300-000005000000}">
      <text>
        <r>
          <rPr>
            <sz val="9"/>
            <color indexed="81"/>
            <rFont val="Tahoma"/>
            <family val="2"/>
          </rPr>
          <t xml:space="preserve">INDEX-MATCH instead of closest match VLOOKUP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I18" authorId="0" shapeId="0" xr:uid="{1134D98A-D7B6-4D1C-92AF-A3D3DE5BCD1D}">
      <text>
        <r>
          <rPr>
            <sz val="9"/>
            <color indexed="81"/>
            <rFont val="Tahoma"/>
            <family val="2"/>
          </rPr>
          <t>INDEX-MATCH instead of closest match HLOOKUP.  
When calculating the Shipping Discount, because the Total Price breakpoints are arranged horizontally, the MATCH function is calculating the Column_num rather than the Row_num.</t>
        </r>
      </text>
    </comment>
    <comment ref="I23" authorId="0" shapeId="0" xr:uid="{62A2B321-BD9F-44D6-8E5D-C24B8936F81C}">
      <text>
        <r>
          <rPr>
            <sz val="9"/>
            <color indexed="81"/>
            <rFont val="Tahoma"/>
            <family val="2"/>
          </rPr>
          <t>With 1-dimension arrays, INDEX will still work if the MATCH is instead entered as the Row_num argument.</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A10" authorId="0" shapeId="0" xr:uid="{461940A8-C80C-4AAD-898D-F590A17AFE6E}">
      <text>
        <r>
          <rPr>
            <sz val="9"/>
            <color indexed="81"/>
            <rFont val="Tahoma"/>
            <family val="2"/>
          </rPr>
          <t>The Unit Price and Quantity columns can be swapped and INDEX &amp; MATCH formulas will still work.</t>
        </r>
      </text>
    </comment>
    <comment ref="E10" authorId="0" shapeId="0" xr:uid="{50AD90BE-C91B-4E56-AE0A-C852A7F32C29}">
      <text>
        <r>
          <rPr>
            <sz val="9"/>
            <color indexed="81"/>
            <rFont val="Tahoma"/>
            <family val="2"/>
          </rPr>
          <t>The Unit Shipping Cost and Shipping Method columns can be swapped and INDEX &amp; MATCH formulas will still work.</t>
        </r>
      </text>
    </comment>
    <comment ref="H12" authorId="0" shapeId="0" xr:uid="{D5E577F6-9E8B-4E99-9DA4-159D54DFD885}">
      <text>
        <r>
          <rPr>
            <sz val="9"/>
            <color indexed="81"/>
            <rFont val="Tahoma"/>
            <family val="2"/>
          </rPr>
          <t>The Shipping Discount and Total Price rows can be swapped and INDEX &amp; MATCH formulas will still work.</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B11" authorId="0" shapeId="0" xr:uid="{F4EE3E1E-918C-4BBD-9409-206FF8F887DC}">
      <text>
        <r>
          <rPr>
            <b/>
            <sz val="9"/>
            <color indexed="81"/>
            <rFont val="Tahoma"/>
            <family val="2"/>
          </rPr>
          <t>Travis Day:</t>
        </r>
        <r>
          <rPr>
            <sz val="9"/>
            <color indexed="81"/>
            <rFont val="Tahoma"/>
            <family val="2"/>
          </rPr>
          <t xml:space="preserve">
NOTE:  With -1 as the match type, you unfortunately cannot use "&amp; above" in your table. </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Day, Travis</author>
    <author>Travis Day</author>
  </authors>
  <commentList>
    <comment ref="F10" authorId="0" shapeId="0" xr:uid="{C8CA972B-731B-482C-BE6B-DF5A1F86AAF6}">
      <text>
        <r>
          <rPr>
            <b/>
            <sz val="9"/>
            <color indexed="81"/>
            <rFont val="Tahoma"/>
            <family val="2"/>
          </rPr>
          <t>Day, Travis:</t>
        </r>
        <r>
          <rPr>
            <sz val="9"/>
            <color indexed="81"/>
            <rFont val="Tahoma"/>
            <family val="2"/>
          </rPr>
          <t xml:space="preserve">
Within function array ranges, in addition to including an extra row below table arrays in order to make your formulas flexible, you COULD also include the column headings (if you thought you might need to insert additional shipping methods directly below the column headings, rather than at the bottom).</t>
        </r>
      </text>
    </comment>
    <comment ref="B11" authorId="1" shapeId="0" xr:uid="{AB7F2A12-4CD5-4DD4-8D68-17961DF2AD9E}">
      <text>
        <r>
          <rPr>
            <b/>
            <sz val="9"/>
            <color indexed="81"/>
            <rFont val="Tahoma"/>
            <family val="2"/>
          </rPr>
          <t>Travis Day:</t>
        </r>
        <r>
          <rPr>
            <sz val="9"/>
            <color indexed="81"/>
            <rFont val="Tahoma"/>
            <family val="2"/>
          </rPr>
          <t xml:space="preserve">
IFS formula makes the table more flexible.</t>
        </r>
      </text>
    </comment>
    <comment ref="C15" authorId="0" shapeId="0" xr:uid="{11C17CF8-2CF3-4C77-9A58-44DB95AA26A1}">
      <text>
        <r>
          <rPr>
            <b/>
            <sz val="9"/>
            <color indexed="81"/>
            <rFont val="Tahoma"/>
            <family val="2"/>
          </rPr>
          <t>Day, Travis:</t>
        </r>
        <r>
          <rPr>
            <sz val="9"/>
            <color indexed="81"/>
            <rFont val="Tahoma"/>
            <family val="2"/>
          </rPr>
          <t xml:space="preserve">
Within function array ranges, include an extra row below table arrays in order to make your formulas flexible.</t>
        </r>
      </text>
    </comment>
    <comment ref="F15" authorId="0" shapeId="0" xr:uid="{6B093A49-FA59-4A43-B6B4-F1C371D6C22C}">
      <text>
        <r>
          <rPr>
            <b/>
            <sz val="9"/>
            <color indexed="81"/>
            <rFont val="Tahoma"/>
            <family val="2"/>
          </rPr>
          <t>Day, Travis:</t>
        </r>
        <r>
          <rPr>
            <sz val="9"/>
            <color indexed="81"/>
            <rFont val="Tahoma"/>
            <family val="2"/>
          </rPr>
          <t xml:space="preserve">
Within function array ranges, in addition to including an extra row below table arrays in order to make your formulas flexible, you COULD also include the column headings (if you thought you might need to insert additional shipping methods directly below the column headings, rather than at the bottom).</t>
        </r>
      </text>
    </comment>
    <comment ref="E18" authorId="0" shapeId="0" xr:uid="{07C2094C-4203-436D-9AD6-0FB2CE4346EC}">
      <text>
        <r>
          <rPr>
            <b/>
            <sz val="9"/>
            <color indexed="81"/>
            <rFont val="Tahoma"/>
            <family val="2"/>
          </rPr>
          <t>Day, Travis:</t>
        </r>
        <r>
          <rPr>
            <sz val="9"/>
            <color indexed="81"/>
            <rFont val="Tahoma"/>
            <family val="2"/>
          </rPr>
          <t xml:space="preserve">
Within function array ranges, include an extra row below table arrays in order to make your formulas flexible.</t>
        </r>
      </text>
    </comment>
    <comment ref="G18" authorId="0" shapeId="0" xr:uid="{3CAF1635-0C3D-40A1-8F6B-E30A5BD2F46A}">
      <text>
        <r>
          <rPr>
            <b/>
            <sz val="9"/>
            <color indexed="81"/>
            <rFont val="Tahoma"/>
            <family val="2"/>
          </rPr>
          <t>Day, Travis:</t>
        </r>
        <r>
          <rPr>
            <sz val="9"/>
            <color indexed="81"/>
            <rFont val="Tahoma"/>
            <family val="2"/>
          </rPr>
          <t xml:space="preserve">
Within function array ranges, in addition to including an extra row below table arrays in order to make your formulas flexible, you COULD also include the column headings (if you thought you might need to insert additional shipping methods directly below the column headings, rather than at the bottom).</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E18" authorId="0" shapeId="0" xr:uid="{2625A991-801C-4FA6-86C3-3AD0A22336A0}">
      <text>
        <r>
          <rPr>
            <b/>
            <sz val="9"/>
            <color indexed="81"/>
            <rFont val="Tahoma"/>
            <family val="2"/>
          </rPr>
          <t>Day, Travis:</t>
        </r>
        <r>
          <rPr>
            <sz val="9"/>
            <color indexed="81"/>
            <rFont val="Tahoma"/>
            <family val="2"/>
          </rPr>
          <t xml:space="preserve">
INDEX &amp; MATCH yield invalid results when their arrays are not the same size or properly aligned.</t>
        </r>
      </text>
    </comment>
    <comment ref="G18" authorId="0" shapeId="0" xr:uid="{EB14D76E-444B-4E3A-8BC9-71059E27F54B}">
      <text>
        <r>
          <rPr>
            <b/>
            <sz val="9"/>
            <color indexed="81"/>
            <rFont val="Tahoma"/>
            <family val="2"/>
          </rPr>
          <t>Day, Travis:</t>
        </r>
        <r>
          <rPr>
            <sz val="9"/>
            <color indexed="81"/>
            <rFont val="Tahoma"/>
            <family val="2"/>
          </rPr>
          <t xml:space="preserve">
INDEX &amp; MATCH yield invalid results when their arrays are not the same size or properly aligned.</t>
        </r>
      </text>
    </comment>
    <comment ref="I18" authorId="0" shapeId="0" xr:uid="{9851FB25-6A41-4058-9484-0E88036107FC}">
      <text>
        <r>
          <rPr>
            <b/>
            <sz val="9"/>
            <color indexed="81"/>
            <rFont val="Tahoma"/>
            <family val="2"/>
          </rPr>
          <t>Day, Travis:</t>
        </r>
        <r>
          <rPr>
            <sz val="9"/>
            <color indexed="81"/>
            <rFont val="Tahoma"/>
            <family val="2"/>
          </rPr>
          <t xml:space="preserve">
INDEX &amp; MATCH yield invalid results when their arrays are not the same size or properly aligned.</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G16" authorId="0" shapeId="0" xr:uid="{9E84799F-C036-4C6F-AB2F-7065EFD45440}">
      <text>
        <r>
          <rPr>
            <sz val="9"/>
            <color indexed="81"/>
            <rFont val="Tahoma"/>
            <family val="2"/>
          </rPr>
          <t>If columns C through D are specified as the INDEX array, then enter 1 to return the summer Unit Price or enter 2 for the non-summer price.  (This formula is simpler.)</t>
        </r>
      </text>
    </comment>
    <comment ref="I16" authorId="0" shapeId="0" xr:uid="{71026821-CC88-49E4-9435-86C4B3EBFE3C}">
      <text>
        <r>
          <rPr>
            <sz val="9"/>
            <color indexed="81"/>
            <rFont val="Tahoma"/>
            <family val="2"/>
          </rPr>
          <t>If columns A through D are specified as the INDEX array, then enter 3 to return the summer Unit Price or enter 4 for the non-summer price. (This formula is a litte more flexible.)</t>
        </r>
      </text>
    </comment>
    <comment ref="K16" authorId="0" shapeId="0" xr:uid="{7E4D2730-89BC-4B80-894A-9F0B73549ECA}">
      <text>
        <r>
          <rPr>
            <sz val="9"/>
            <color indexed="81"/>
            <rFont val="Tahoma"/>
            <family val="2"/>
          </rPr>
          <t>If columns A through D AND the column headings are specified as the INDEX array, this is a little bit more flexible than the previous example (if you thought you might enter additional rows directly below the column headings).</t>
        </r>
      </text>
    </comment>
    <comment ref="M16" authorId="0" shapeId="0" xr:uid="{17269656-B681-4829-B096-339C05AE739D}">
      <text>
        <r>
          <rPr>
            <sz val="9"/>
            <color indexed="81"/>
            <rFont val="Tahoma"/>
            <family val="2"/>
          </rPr>
          <t>Even better, enter "summer" to return the summer Unit Price for tennis balls or enter "non-summer" for the non-summer price.</t>
        </r>
      </text>
    </comment>
    <comment ref="O16" authorId="0" shapeId="0" xr:uid="{3292FCED-A3A7-4E69-AD74-ED7B16C8FF70}">
      <text>
        <r>
          <rPr>
            <sz val="9"/>
            <color indexed="81"/>
            <rFont val="Tahoma"/>
            <family val="2"/>
          </rPr>
          <t>This example is similar to the one to the left, but the arrays are larger.  Although larger, all arrays still match up.  (The previous example may be simpler.)</t>
        </r>
      </text>
    </comment>
    <comment ref="E23" authorId="0" shapeId="0" xr:uid="{90BB5DCB-005E-4B71-B5C6-ADA303D10D19}">
      <text>
        <r>
          <rPr>
            <sz val="9"/>
            <color indexed="81"/>
            <rFont val="Tahoma"/>
            <family val="2"/>
          </rPr>
          <t>INDEX with MATCH to determine the Row_num and the column specified by selecting the range containing the summer pricing</t>
        </r>
      </text>
    </comment>
    <comment ref="G23" authorId="0" shapeId="0" xr:uid="{193C7542-E6A0-47A5-8B40-7621A20C329C}">
      <text>
        <r>
          <rPr>
            <sz val="9"/>
            <color indexed="81"/>
            <rFont val="Tahoma"/>
            <family val="2"/>
          </rPr>
          <t>INDEX with MATCH to determine the Row_num and a cell reference to determine the column_num</t>
        </r>
      </text>
    </comment>
    <comment ref="I23" authorId="0" shapeId="0" xr:uid="{886B73DD-92FE-4EC7-9812-54DD3E66C09C}">
      <text>
        <r>
          <rPr>
            <sz val="9"/>
            <color indexed="81"/>
            <rFont val="Tahoma"/>
            <family val="2"/>
          </rPr>
          <t>INDEX with MATCH to determine the Row_num and a cell reference to determine the column_num</t>
        </r>
      </text>
    </comment>
    <comment ref="K23" authorId="0" shapeId="0" xr:uid="{30CB475B-2AF1-4264-BA1C-107C1E66BCDB}">
      <text>
        <r>
          <rPr>
            <sz val="9"/>
            <color indexed="81"/>
            <rFont val="Tahoma"/>
            <family val="2"/>
          </rPr>
          <t>INDEX with MATCH to determine the Row_num and a cell reference to determine the column_num</t>
        </r>
      </text>
    </comment>
    <comment ref="M23" authorId="0" shapeId="0" xr:uid="{CDD63F4D-C491-483C-9265-3D96F06149DB}">
      <text>
        <r>
          <rPr>
            <sz val="9"/>
            <color indexed="81"/>
            <rFont val="Tahoma"/>
            <family val="2"/>
          </rPr>
          <t>INDEX with MATCH to determine the Row_num and another MATCH to determine the column_num</t>
        </r>
      </text>
    </comment>
    <comment ref="O23" authorId="0" shapeId="0" xr:uid="{98243EAC-46A7-4031-B810-73D82BE461BB}">
      <text>
        <r>
          <rPr>
            <sz val="9"/>
            <color indexed="81"/>
            <rFont val="Tahoma"/>
            <family val="2"/>
          </rPr>
          <t>INDEX with MATCH to determine the Row_num and another MATCH to determine the column_num</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Travis Day</author>
    <author>Day, Travis</author>
  </authors>
  <commentList>
    <comment ref="B11" authorId="0" shapeId="0" xr:uid="{B61164A9-EB6F-427E-8E31-4FE21CDD7AAC}">
      <text>
        <r>
          <rPr>
            <b/>
            <sz val="9"/>
            <color indexed="81"/>
            <rFont val="Tahoma"/>
            <family val="2"/>
          </rPr>
          <t>Travis Day:</t>
        </r>
        <r>
          <rPr>
            <sz val="9"/>
            <color indexed="81"/>
            <rFont val="Tahoma"/>
            <family val="2"/>
          </rPr>
          <t xml:space="preserve">
IFS formula makes the table more flexible.</t>
        </r>
      </text>
    </comment>
    <comment ref="E17" authorId="1" shapeId="0" xr:uid="{54988E44-F2BA-4BF3-A5B8-0DB64713D2D1}">
      <text>
        <r>
          <rPr>
            <sz val="9"/>
            <color indexed="81"/>
            <rFont val="Tahoma"/>
            <family val="2"/>
          </rPr>
          <t xml:space="preserve">Enter the Tennis Balls Pricing </t>
        </r>
        <r>
          <rPr>
            <b/>
            <i/>
            <sz val="9"/>
            <color indexed="81"/>
            <rFont val="Tahoma"/>
            <family val="2"/>
          </rPr>
          <t>season</t>
        </r>
        <r>
          <rPr>
            <sz val="9"/>
            <color indexed="81"/>
            <rFont val="Tahoma"/>
            <family val="2"/>
          </rPr>
          <t xml:space="preserve"> here to apply that pricing</t>
        </r>
      </text>
    </comment>
    <comment ref="G17" authorId="0" shapeId="0" xr:uid="{43F1886D-CCE0-4295-8EE3-FB0629677383}">
      <text>
        <r>
          <rPr>
            <sz val="9"/>
            <color indexed="81"/>
            <rFont val="Tahoma"/>
            <family val="2"/>
          </rPr>
          <t>Select Seasonal Unit Shipping Cost</t>
        </r>
      </text>
    </comment>
    <comment ref="I17" authorId="1" shapeId="0" xr:uid="{00000000-0006-0000-1600-000001000000}">
      <text>
        <r>
          <rPr>
            <sz val="9"/>
            <color indexed="81"/>
            <rFont val="Tahoma"/>
            <family val="2"/>
          </rPr>
          <t>Select the Shipping Discount # here to apply that discount</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A11" authorId="0" shapeId="0" xr:uid="{E9EC8A7E-68D5-47A4-8866-5AE82A887C5F}">
      <text>
        <r>
          <rPr>
            <sz val="9"/>
            <color indexed="81"/>
            <rFont val="Tahoma"/>
            <family val="2"/>
          </rPr>
          <t>First column contains the data to be loooked up (the key data)</t>
        </r>
      </text>
    </comment>
    <comment ref="I18" authorId="0" shapeId="0" xr:uid="{6744A3F3-5F84-48CE-950E-A3552C493EA6}">
      <text>
        <r>
          <rPr>
            <sz val="9"/>
            <color indexed="81"/>
            <rFont val="Tahoma"/>
            <family val="2"/>
          </rPr>
          <t>XLOOKUP is even more flexible and can be used instead of VLOOKUP, HLOOKUP, or INDEX &amp; MATCH.  However, be aware that XLOOKUP is only available in Excel 365 &amp; Excel 2021 (or later versions of Excel).  So if you share your workbook with others who have an older version of Excel, they may receive a NAME! error anywhere the XLOOKUP is used.
Note: XLOOKUP uses a lookup array and a return array, whereas VLOOKUP uses a single table array followed by a column index number.</t>
        </r>
      </text>
    </comment>
    <comment ref="I21" authorId="0" shapeId="0" xr:uid="{3ECB653E-E4EE-441C-ABE2-F07B075EDB3B}">
      <text>
        <r>
          <rPr>
            <sz val="9"/>
            <color indexed="81"/>
            <rFont val="Tahoma"/>
            <family val="2"/>
          </rPr>
          <t>XLOOKUP instead of closest match HLOOKUP or INDEX-MATCH</t>
        </r>
      </text>
    </comment>
    <comment ref="G22" authorId="0" shapeId="0" xr:uid="{83607AA4-C08F-44E7-833F-6B063E31C638}">
      <text>
        <r>
          <rPr>
            <sz val="9"/>
            <color indexed="81"/>
            <rFont val="Tahoma"/>
            <family val="2"/>
          </rPr>
          <t>XLOOKUP instead of exact match VLOOKUP or INDEX-MATCH</t>
        </r>
      </text>
    </comment>
    <comment ref="E23" authorId="0" shapeId="0" xr:uid="{F28D9A77-F7D9-4ABA-8DD9-0EAC0D4DCE69}">
      <text>
        <r>
          <rPr>
            <sz val="9"/>
            <color indexed="81"/>
            <rFont val="Tahoma"/>
            <family val="2"/>
          </rPr>
          <t>XLOOKUP instead of closest match VLOOKUP or INDEX-MATCH</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Travis Day</author>
    <author>Day, Travis</author>
  </authors>
  <commentList>
    <comment ref="O16" authorId="0" shapeId="0" xr:uid="{4D7C84E5-8F00-491D-8A8D-31568EB25516}">
      <text>
        <r>
          <rPr>
            <sz val="9"/>
            <color indexed="81"/>
            <rFont val="Tahoma"/>
            <family val="2"/>
          </rPr>
          <t>XLOOKUP Wildcard Lookup</t>
        </r>
      </text>
    </comment>
    <comment ref="E17" authorId="1" shapeId="0" xr:uid="{C9E2AD5D-D67A-40E5-A494-6C53C76509D0}">
      <text>
        <r>
          <rPr>
            <sz val="9"/>
            <color indexed="81"/>
            <rFont val="Tahoma"/>
            <family val="2"/>
          </rPr>
          <t xml:space="preserve">Enter the Tennis Balls Pricing </t>
        </r>
        <r>
          <rPr>
            <b/>
            <i/>
            <sz val="9"/>
            <color indexed="81"/>
            <rFont val="Tahoma"/>
            <family val="2"/>
          </rPr>
          <t>season</t>
        </r>
        <r>
          <rPr>
            <sz val="9"/>
            <color indexed="81"/>
            <rFont val="Tahoma"/>
            <family val="2"/>
          </rPr>
          <t xml:space="preserve"> here to apply that pricing</t>
        </r>
      </text>
    </comment>
    <comment ref="I17" authorId="1" shapeId="0" xr:uid="{74D2AE59-ED2D-4255-BF4C-CE7F1E2809B9}">
      <text>
        <r>
          <rPr>
            <sz val="9"/>
            <color indexed="81"/>
            <rFont val="Tahoma"/>
            <family val="2"/>
          </rPr>
          <t>Enter the Shipping Discount here to apply that discount</t>
        </r>
      </text>
    </comment>
    <comment ref="I18" authorId="1" shapeId="0" xr:uid="{BE682E15-5F14-4518-B745-8553B50B6A89}">
      <text>
        <r>
          <rPr>
            <sz val="9"/>
            <color indexed="81"/>
            <rFont val="Tahoma"/>
            <family val="2"/>
          </rPr>
          <t>=XLOOKUP(….XLOOKUP(...)) instead of INDEX(…MATCH(...),MATCH(…))</t>
        </r>
      </text>
    </comment>
    <comment ref="N18" authorId="0" shapeId="0" xr:uid="{9B767E24-9564-41F9-B66E-2209BE2FD584}">
      <text>
        <r>
          <rPr>
            <sz val="9"/>
            <color indexed="81"/>
            <rFont val="Tahoma"/>
            <family val="2"/>
          </rPr>
          <t>XLOOKUP spilled array result</t>
        </r>
      </text>
    </comment>
    <comment ref="G22" authorId="1" shapeId="0" xr:uid="{0075E52A-3EC6-46F6-8958-515149C0F082}">
      <text>
        <r>
          <rPr>
            <sz val="9"/>
            <color indexed="81"/>
            <rFont val="Tahoma"/>
            <family val="2"/>
          </rPr>
          <t>XLOOKUP instead of exact match INDEX-MATCH</t>
        </r>
      </text>
    </comment>
    <comment ref="E23" authorId="1" shapeId="0" xr:uid="{3560452A-6989-4EEE-9168-4CF9AE54912E}">
      <text>
        <r>
          <rPr>
            <sz val="9"/>
            <color indexed="81"/>
            <rFont val="Tahoma"/>
            <family val="2"/>
          </rPr>
          <t>=XLOOKUP(….XLOOKUP(...)) instead of INDEX(…MATCH(...),MATCH(…))</t>
        </r>
      </text>
    </comment>
    <comment ref="O23" authorId="0" shapeId="0" xr:uid="{AC8F54C6-CCD7-4463-A4DE-C876C64C1740}">
      <text>
        <r>
          <rPr>
            <sz val="9"/>
            <color indexed="81"/>
            <rFont val="Tahoma"/>
            <family val="2"/>
          </rPr>
          <t>XLOOKUP Wildcard Lookup</t>
        </r>
      </text>
    </comment>
    <comment ref="N26" authorId="0" shapeId="0" xr:uid="{84FFF845-EB6D-4C97-A0DB-136BF4D58EC0}">
      <text>
        <r>
          <rPr>
            <sz val="9"/>
            <color indexed="81"/>
            <rFont val="Tahoma"/>
            <family val="2"/>
          </rPr>
          <t>2D XLOOKUP referring to column headings above.</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S16" authorId="0" shapeId="0" xr:uid="{37456993-A056-411D-B7F9-345EE3F933A0}">
      <text>
        <r>
          <rPr>
            <b/>
            <sz val="9"/>
            <color indexed="81"/>
            <rFont val="Tahoma"/>
            <family val="2"/>
          </rPr>
          <t>Day, Travis:</t>
        </r>
        <r>
          <rPr>
            <sz val="9"/>
            <color indexed="81"/>
            <rFont val="Tahoma"/>
            <family val="2"/>
          </rPr>
          <t xml:space="preserve">
Works, even though it is columns instead of rows.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<sst xmlns="http://schemas.openxmlformats.org/spreadsheetml/2006/main" count="1645" uniqueCount="431">
  <si>
    <t>Pricing Information for Tennis Balls</t>
  </si>
  <si>
    <t>TheZone Equipment Division</t>
  </si>
  <si>
    <t>Unit Pricing 
Tennis Balls</t>
  </si>
  <si>
    <t>Shipping Costs</t>
  </si>
  <si>
    <t>Qty</t>
  </si>
  <si>
    <t>$/each</t>
  </si>
  <si>
    <t>Method</t>
  </si>
  <si>
    <t>Shipping Discount</t>
  </si>
  <si>
    <t>Truck</t>
  </si>
  <si>
    <t>Total Price:</t>
  </si>
  <si>
    <t>Rail</t>
  </si>
  <si>
    <t>Shipping Discount 1</t>
  </si>
  <si>
    <t>Ship</t>
  </si>
  <si>
    <t>Shipping Discount 2</t>
  </si>
  <si>
    <t>Customer</t>
  </si>
  <si>
    <t>Order #</t>
  </si>
  <si>
    <t>Cust ID</t>
  </si>
  <si>
    <t>Shipping</t>
  </si>
  <si>
    <t>Quantity</t>
  </si>
  <si>
    <t>Unit 
Price</t>
  </si>
  <si>
    <t>Total Price</t>
  </si>
  <si>
    <t>Unit Shipping</t>
  </si>
  <si>
    <t>Total Shipping</t>
  </si>
  <si>
    <t>Grand Total</t>
  </si>
  <si>
    <t>A0243</t>
  </si>
  <si>
    <t>MH394</t>
  </si>
  <si>
    <t>R903</t>
  </si>
  <si>
    <t>X271</t>
  </si>
  <si>
    <t>N271</t>
  </si>
  <si>
    <t>CD031</t>
  </si>
  <si>
    <t>TheZone Pricing Equipment Division</t>
  </si>
  <si>
    <t>Additional Discount</t>
  </si>
  <si>
    <t>Item#</t>
  </si>
  <si>
    <t>Description</t>
  </si>
  <si>
    <t>Price/item</t>
  </si>
  <si>
    <t>FlexPro Backpack - One Size</t>
  </si>
  <si>
    <t>Alpha Stringing Machine</t>
  </si>
  <si>
    <t>Grommet Set</t>
  </si>
  <si>
    <t>ExoRacket Graphite - Oversize</t>
  </si>
  <si>
    <t>ExoRacket Graphite - Mid+, Plus Length</t>
  </si>
  <si>
    <t>ExoRacket Graphite - Mid+, Regular Length</t>
  </si>
  <si>
    <t>ExoRacket Graphite - Junior Size</t>
  </si>
  <si>
    <t>FlexPro Racket - Junior Pro</t>
  </si>
  <si>
    <t>FlexPro Racket - Standard</t>
  </si>
  <si>
    <t>FlexPro Racket - Oversize</t>
  </si>
  <si>
    <t>Racket Bag - One Size</t>
  </si>
  <si>
    <t>Touring Bag - One Size</t>
  </si>
  <si>
    <t>String Pack - Synthetic</t>
  </si>
  <si>
    <t>String Pack - Gut</t>
  </si>
  <si>
    <t>String Reel - Gut Bulk</t>
  </si>
  <si>
    <t>Tennis Products Order Form</t>
  </si>
  <si>
    <t>Shipping weight</t>
  </si>
  <si>
    <t xml:space="preserve">Region number </t>
  </si>
  <si>
    <t>Shipping method</t>
  </si>
  <si>
    <t>Customer type</t>
  </si>
  <si>
    <t>Total</t>
  </si>
  <si>
    <t>Total Order</t>
  </si>
  <si>
    <t>Discount</t>
  </si>
  <si>
    <t xml:space="preserve">                            </t>
  </si>
  <si>
    <t>Total Order Value</t>
  </si>
  <si>
    <t>Less than $5000, no discount</t>
  </si>
  <si>
    <t>At least $5000 but less than $10,000, $150 discount</t>
  </si>
  <si>
    <t>At least $10,000 but less than $25,000, $400 discount</t>
  </si>
  <si>
    <t>$25,000 or more, $1000 discount</t>
  </si>
  <si>
    <t xml:space="preserve">Shipping Method - Standard  </t>
  </si>
  <si>
    <t>Region</t>
  </si>
  <si>
    <t>NA</t>
  </si>
  <si>
    <t xml:space="preserve">Shipping Method - Preferred </t>
  </si>
  <si>
    <t xml:space="preserve">Shipping Method - Most Preferred </t>
  </si>
  <si>
    <t>Product Information for Tennis Equipment</t>
  </si>
  <si>
    <t>TheZone Equipment Division December</t>
  </si>
  <si>
    <t>Price Schedule</t>
  </si>
  <si>
    <t>Ship Weight</t>
  </si>
  <si>
    <t>Tennis Balls - Bulk</t>
  </si>
  <si>
    <t>TheZone Sports Equipment
Order Form</t>
  </si>
  <si>
    <t>Customer Name:</t>
  </si>
  <si>
    <t>Ship to State Abbreviation</t>
  </si>
  <si>
    <t>CO</t>
  </si>
  <si>
    <t>Shipping Method (truck, rail, air, boat)</t>
  </si>
  <si>
    <t>Preferred</t>
  </si>
  <si>
    <t>Ship Wt. (lbs.)</t>
  </si>
  <si>
    <t>Unit Price</t>
  </si>
  <si>
    <t>Price List for Tennis Products
Fixed-Price Items</t>
  </si>
  <si>
    <t>Price List for Tennis Balls
Variable-Priced Items</t>
  </si>
  <si>
    <t>Shipping Charges
by Customer Type, Region, and Method</t>
  </si>
  <si>
    <t>Air</t>
  </si>
  <si>
    <t>Boat</t>
  </si>
  <si>
    <t>Name</t>
  </si>
  <si>
    <t>Abbreviation</t>
  </si>
  <si>
    <t>Region#</t>
  </si>
  <si>
    <t>Alabama</t>
  </si>
  <si>
    <t>AL</t>
  </si>
  <si>
    <t>SE</t>
  </si>
  <si>
    <t>Alaska</t>
  </si>
  <si>
    <t>AK</t>
  </si>
  <si>
    <t>W</t>
  </si>
  <si>
    <t xml:space="preserve">Arizona </t>
  </si>
  <si>
    <t>AZ</t>
  </si>
  <si>
    <t>SW</t>
  </si>
  <si>
    <t>Arkansas</t>
  </si>
  <si>
    <t>AR</t>
  </si>
  <si>
    <t xml:space="preserve">California </t>
  </si>
  <si>
    <t>CA</t>
  </si>
  <si>
    <t xml:space="preserve">Colorado </t>
  </si>
  <si>
    <t>Connecticut</t>
  </si>
  <si>
    <t>CT</t>
  </si>
  <si>
    <t>NE</t>
  </si>
  <si>
    <t>Delaware</t>
  </si>
  <si>
    <t>DE</t>
  </si>
  <si>
    <t>District of Columbia</t>
  </si>
  <si>
    <t>DC</t>
  </si>
  <si>
    <t>Florida</t>
  </si>
  <si>
    <t>FL</t>
  </si>
  <si>
    <t>Georgia</t>
  </si>
  <si>
    <t>GA</t>
  </si>
  <si>
    <t>Hawaii</t>
  </si>
  <si>
    <t>HI</t>
  </si>
  <si>
    <t>Idaho</t>
  </si>
  <si>
    <t>ID</t>
  </si>
  <si>
    <t>Illinois</t>
  </si>
  <si>
    <t>IL</t>
  </si>
  <si>
    <t>MW</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</si>
  <si>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</si>
  <si>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</si>
  <si>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</si>
  <si>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</si>
  <si>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</si>
  <si>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</si>
  <si>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</si>
  <si>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</si>
  <si>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</si>
  <si>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</si>
  <si>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</si>
  <si>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</si>
  <si>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</si>
  <si>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</si>
  <si>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</si>
  <si>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</si>
  <si>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</si>
  <si>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</si>
  <si>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</si>
  <si>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</si>
  <si>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</si>
  <si>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</si>
  <si>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</si>
  <si>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</si>
  <si>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</si>
  <si>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</si>
  <si>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</si>
  <si>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</si>
  <si>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</si>
  <si>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</si>
  <si>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</si>
  <si>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</si>
  <si>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</si>
  <si>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</si>
  <si>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</si>
  <si>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</si>
  <si>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</si>
  <si>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</si>
  <si>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</si>
  <si>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</si>
  <si>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</si>
  <si>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</si>
  <si>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</si>
  <si>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</si>
  <si>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</si>
  <si>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</si>
  <si>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</si>
  <si>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</si>
  <si>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</si>
  <si>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</si>
  <si>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</si>
  <si>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</si>
  <si>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</si>
  <si>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</si>
  <si>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</si>
  <si>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</si>
  <si>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</si>
  <si>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</si>
  <si>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</si>
  <si>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</si>
  <si>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</si>
  <si>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</si>
  <si>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</si>
  <si>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 xml:space="preserve">Virginia </t>
  </si>
  <si>
    <t>VA</t>
  </si>
  <si>
    <t>Washington</t>
  </si>
  <si>
    <t>WA</t>
  </si>
  <si>
    <t>West Virginia</t>
  </si>
  <si>
    <t>WV</t>
  </si>
  <si>
    <t>Wisconsin</t>
  </si>
  <si>
    <t>WI</t>
  </si>
  <si>
    <t>Wyoming</t>
  </si>
  <si>
    <t>WY</t>
  </si>
  <si>
    <r>
      <t>Freight Customer Type (</t>
    </r>
    <r>
      <rPr>
        <sz val="8"/>
        <rFont val="Arial"/>
        <family val="2"/>
      </rPr>
      <t>regular, preferred, most preferred</t>
    </r>
    <r>
      <rPr>
        <sz val="10"/>
        <rFont val="Arial"/>
        <family val="2"/>
      </rPr>
      <t xml:space="preserve">) </t>
    </r>
  </si>
  <si>
    <t>3-</t>
  </si>
  <si>
    <t>Worksheet Name</t>
  </si>
  <si>
    <t>Working with Lookup Tables</t>
  </si>
  <si>
    <t>Retrieving Data From a Closest Match Vertical Lookup Table</t>
  </si>
  <si>
    <t>Retrieving Data From an Exact Match Vertical Lookup Table</t>
  </si>
  <si>
    <t>Retrieving Data From a Vertical Lookup Table: Function Arguments</t>
  </si>
  <si>
    <t>VLOOKUP</t>
  </si>
  <si>
    <t>.</t>
  </si>
  <si>
    <t>Creating the Table</t>
  </si>
  <si>
    <t>Create the vlookup table array first, before using the Vlookup function.</t>
  </si>
  <si>
    <t xml:space="preserve">The lookup_value should be single cell reference, not a range of cells. </t>
  </si>
  <si>
    <t>Examining the VLOOKUP "True" Algorithm Using the Textbook Explanation</t>
  </si>
  <si>
    <t>Examining the VLOOKUP "True" Algorithm Using Travis' Explanation</t>
  </si>
  <si>
    <t>Train</t>
  </si>
  <si>
    <t>60 - 119</t>
  </si>
  <si>
    <t>20 - 239</t>
  </si>
  <si>
    <t xml:space="preserve"> &gt;= 240</t>
  </si>
  <si>
    <t>&lt; 60</t>
  </si>
  <si>
    <t xml:space="preserve">Truck </t>
  </si>
  <si>
    <t>Truk</t>
  </si>
  <si>
    <t>Creating an Effective &amp; Clear Vertical Lookup Table</t>
  </si>
  <si>
    <t>Correct, but Unclear</t>
  </si>
  <si>
    <t>&amp; above</t>
  </si>
  <si>
    <t>summer</t>
  </si>
  <si>
    <t>non-summer</t>
  </si>
  <si>
    <t>Retrieving Data from a Horizontal Lookup Table</t>
  </si>
  <si>
    <t>Ship By Region</t>
  </si>
  <si>
    <t>Shipping Discount 3</t>
  </si>
  <si>
    <t>Created by</t>
  </si>
  <si>
    <t>Travis Day</t>
  </si>
  <si>
    <t>Last Modified</t>
  </si>
  <si>
    <t>Workbook Description</t>
  </si>
  <si>
    <t>When inserting columns in a worksheet, be careful not to accidentally insert an extra column within your Vlookup Table range (or else the Col_Index_Num in the vlookup function will have to be changed).  ((Using the COLUMNS or MATCH function can allow you to avoid this problem by having a "flexible" col_index_num.))</t>
  </si>
  <si>
    <t>Working with Lookup Tables: Nested IF's with =</t>
  </si>
  <si>
    <t>Working with Lookup Tables:  Nested IF's with &gt;= (or &lt;)</t>
  </si>
  <si>
    <t>or more</t>
  </si>
  <si>
    <t>Examining the VLOOKUP "True" Algorithm Using Travis' Explanation: 3-step Approach</t>
  </si>
  <si>
    <t>Correct Lookup Table</t>
  </si>
  <si>
    <t>Info Provided</t>
  </si>
  <si>
    <t>Rules for Creating a Closest Match Vertical Lookup Table</t>
  </si>
  <si>
    <t>Rules for Creating an Exact Match Vertical Lookup Table</t>
  </si>
  <si>
    <t>Shipping Method</t>
  </si>
  <si>
    <t>Unit Shipping Cost</t>
  </si>
  <si>
    <t>Using INDEX &amp; MATCH instead of VLOOKUP, HLOOKUP</t>
  </si>
  <si>
    <t>=INDEX(answer_array, MATCH(lookup_value,lookup_array,match_type))</t>
  </si>
  <si>
    <t>Quanitity</t>
  </si>
  <si>
    <t>Shipping Disc 2</t>
  </si>
  <si>
    <t>Shipping Disc 1</t>
  </si>
  <si>
    <t>Shipping Price</t>
  </si>
  <si>
    <t>Using COLUMNS to create a flexible Col_index_num</t>
  </si>
  <si>
    <t>Using MATCH  to create a flexible Col_index_num</t>
  </si>
  <si>
    <t>regular</t>
  </si>
  <si>
    <t>preferred</t>
  </si>
  <si>
    <t>Freight Customer Type</t>
  </si>
  <si>
    <t>=index(array,row_num,column_num)</t>
  </si>
  <si>
    <t>=index(reference,row_num,column_num,area_num)</t>
  </si>
  <si>
    <t>Ship1</t>
  </si>
  <si>
    <t>Ship2</t>
  </si>
  <si>
    <t>Ship3</t>
  </si>
  <si>
    <t>Shipping Tables</t>
  </si>
  <si>
    <t>=index(indirect(vlookup(…)),row_num,column_num)</t>
  </si>
  <si>
    <t>ugly</t>
  </si>
  <si>
    <t>but you must manually input either Ship1, Ship2 or Ship3 depending on the Freight Customer Type</t>
  </si>
  <si>
    <t>This use of INDEX is simpler than =index(reference,row_num,column_num,area_num),</t>
  </si>
  <si>
    <t>still ugly</t>
  </si>
  <si>
    <t>=index(if(if(…)),row_num,column_num)</t>
  </si>
  <si>
    <t>most_preferred</t>
  </si>
  <si>
    <t>Shipping Method - Regular</t>
  </si>
  <si>
    <t>okay alternative</t>
  </si>
  <si>
    <t>But using =index(reference,row_num,column_num,area_num) is still easier and more flexible.</t>
  </si>
  <si>
    <t>Order Value Discounts</t>
  </si>
  <si>
    <t>States Table</t>
  </si>
  <si>
    <t>Using INDEX &amp; MATCH</t>
  </si>
  <si>
    <t>Col Head</t>
  </si>
  <si>
    <t>Row Head</t>
  </si>
  <si>
    <t>Row_Num</t>
  </si>
  <si>
    <t>Column_num</t>
  </si>
  <si>
    <t>Row heading value using 1-D INDEX</t>
  </si>
  <si>
    <t>Column heading value using 1-D INDEX</t>
  </si>
  <si>
    <t>Row/Col Intersection value using 2-D INDEX</t>
  </si>
  <si>
    <t>INDEX</t>
  </si>
  <si>
    <t>Row_Num (Index Number) using MATCH</t>
  </si>
  <si>
    <t>Column_Num (Index Number) using MATCH</t>
  </si>
  <si>
    <t>Row/Col Intersection value using 2-D INDEX and 2 MATCH's</t>
  </si>
  <si>
    <t>MATCH</t>
  </si>
  <si>
    <t>MATCH searches for a specified item in a range of cells and returns the relative positiion of that item in the range.</t>
  </si>
  <si>
    <t>INDEX (Array form) returns the value in a table/array, selected by the row and column number indexes.</t>
  </si>
  <si>
    <t xml:space="preserve"> Requires the function to find an exact match or display the error #N/A</t>
  </si>
  <si>
    <t xml:space="preserve"> Finds a match that returns the greatest value that is less than or equal to the lookup value.</t>
  </si>
  <si>
    <t xml:space="preserve"> Finds a match that returns the smallest value that is greater than or equal to the lookup value.</t>
  </si>
  <si>
    <t>INDEX takes an index # (row/column #) and returns a value.</t>
  </si>
  <si>
    <t>MATCH takes a value and returns an index # (row/column #)</t>
  </si>
  <si>
    <t>Total Shipping Cost</t>
  </si>
  <si>
    <t>-</t>
  </si>
  <si>
    <r>
      <t>Use vlookup</t>
    </r>
    <r>
      <rPr>
        <sz val="10"/>
        <rFont val="Arial"/>
        <family val="2"/>
      </rPr>
      <t xml:space="preserve"> when you have two are more choices to choose from in a list of data (arranged vertically).</t>
    </r>
  </si>
  <si>
    <r>
      <t xml:space="preserve">Although using </t>
    </r>
    <r>
      <rPr>
        <sz val="10"/>
        <color indexed="10"/>
        <rFont val="Arial"/>
        <family val="2"/>
      </rPr>
      <t>nested IF</t>
    </r>
    <r>
      <rPr>
        <sz val="10"/>
        <rFont val="Arial"/>
        <family val="2"/>
      </rPr>
      <t xml:space="preserve"> statements will often work when you have a simple list of matching values, VLOOKUP is simpler and more flexible.</t>
    </r>
  </si>
  <si>
    <r>
      <t>#1)</t>
    </r>
    <r>
      <rPr>
        <sz val="10"/>
        <rFont val="Arial"/>
        <family val="2"/>
      </rPr>
      <t xml:space="preserve"> </t>
    </r>
    <r>
      <rPr>
        <sz val="10"/>
        <color indexed="10"/>
        <rFont val="Arial"/>
        <family val="2"/>
      </rPr>
      <t>Lookup values</t>
    </r>
    <r>
      <rPr>
        <sz val="10"/>
        <rFont val="Arial"/>
        <family val="2"/>
      </rPr>
      <t xml:space="preserve"> (the items you're looking up) need to be </t>
    </r>
    <r>
      <rPr>
        <sz val="10"/>
        <color indexed="10"/>
        <rFont val="Arial"/>
        <family val="2"/>
      </rPr>
      <t>in</t>
    </r>
    <r>
      <rPr>
        <sz val="10"/>
        <rFont val="Arial"/>
        <family val="2"/>
      </rPr>
      <t xml:space="preserve"> the </t>
    </r>
    <r>
      <rPr>
        <sz val="10"/>
        <color indexed="10"/>
        <rFont val="Arial"/>
        <family val="2"/>
      </rPr>
      <t>first column</t>
    </r>
    <r>
      <rPr>
        <sz val="10"/>
        <rFont val="Arial"/>
        <family val="2"/>
      </rPr>
      <t xml:space="preserve"> of your vlookup table.</t>
    </r>
  </si>
  <si>
    <r>
      <t>#3)</t>
    </r>
    <r>
      <rPr>
        <sz val="10"/>
        <rFont val="Arial"/>
        <family val="2"/>
      </rPr>
      <t xml:space="preserve"> The </t>
    </r>
    <r>
      <rPr>
        <sz val="10"/>
        <color indexed="10"/>
        <rFont val="Arial"/>
        <family val="2"/>
      </rPr>
      <t>breakpoints</t>
    </r>
    <r>
      <rPr>
        <sz val="10"/>
        <rFont val="Arial"/>
        <family val="2"/>
      </rPr>
      <t xml:space="preserve"> (minimum values) in a closest-match vlookup table need to be in </t>
    </r>
    <r>
      <rPr>
        <sz val="10"/>
        <color indexed="10"/>
        <rFont val="Arial"/>
        <family val="2"/>
      </rPr>
      <t xml:space="preserve">ascending order </t>
    </r>
    <r>
      <rPr>
        <sz val="10"/>
        <rFont val="Arial"/>
        <family val="2"/>
      </rPr>
      <t>(with the smallest # at the top).  The minimum values of an exact match vlookup table can be in any order.</t>
    </r>
  </si>
  <si>
    <r>
      <t xml:space="preserve">The vlookup table should be able to </t>
    </r>
    <r>
      <rPr>
        <sz val="10"/>
        <color indexed="10"/>
        <rFont val="Arial"/>
        <family val="2"/>
      </rPr>
      <t>accommodate all</t>
    </r>
    <r>
      <rPr>
        <sz val="10"/>
        <rFont val="Arial"/>
        <family val="2"/>
      </rPr>
      <t xml:space="preserve"> possible </t>
    </r>
    <r>
      <rPr>
        <sz val="10"/>
        <color indexed="10"/>
        <rFont val="Arial"/>
        <family val="2"/>
      </rPr>
      <t xml:space="preserve">values </t>
    </r>
    <r>
      <rPr>
        <sz val="10"/>
        <rFont val="Arial"/>
        <family val="2"/>
      </rPr>
      <t>without giving errors.</t>
    </r>
  </si>
  <si>
    <r>
      <t>If there is no max value for the highest range, enter something like "</t>
    </r>
    <r>
      <rPr>
        <sz val="10"/>
        <color rgb="FFFF0000"/>
        <rFont val="Arial"/>
        <family val="2"/>
      </rPr>
      <t>&amp; above</t>
    </r>
    <r>
      <rPr>
        <sz val="10"/>
        <rFont val="Arial"/>
        <family val="2"/>
      </rPr>
      <t>" rather than just leaving it blank.</t>
    </r>
  </si>
  <si>
    <r>
      <t xml:space="preserve">Check </t>
    </r>
    <r>
      <rPr>
        <sz val="10"/>
        <color indexed="10"/>
        <rFont val="Arial"/>
        <family val="2"/>
      </rPr>
      <t>spelling</t>
    </r>
    <r>
      <rPr>
        <sz val="10"/>
        <rFont val="Arial"/>
        <family val="2"/>
      </rPr>
      <t>/</t>
    </r>
    <r>
      <rPr>
        <sz val="10"/>
        <color indexed="10"/>
        <rFont val="Arial"/>
        <family val="2"/>
      </rPr>
      <t>accuracy</t>
    </r>
    <r>
      <rPr>
        <sz val="10"/>
        <rFont val="Arial"/>
        <family val="2"/>
      </rPr>
      <t xml:space="preserve"> and do not include </t>
    </r>
    <r>
      <rPr>
        <sz val="10"/>
        <color indexed="10"/>
        <rFont val="Arial"/>
        <family val="2"/>
      </rPr>
      <t>extra spaces</t>
    </r>
    <r>
      <rPr>
        <sz val="10"/>
        <rFont val="Arial"/>
        <family val="2"/>
      </rPr>
      <t xml:space="preserve"> before or after any words or letters within the vlookup table or within the data that would cause the items do not properly match up.</t>
    </r>
  </si>
  <si>
    <t>VLOOKUP Arguments</t>
  </si>
  <si>
    <r>
      <t>Lookup_value</t>
    </r>
    <r>
      <rPr>
        <sz val="10"/>
        <rFont val="Arial"/>
        <family val="2"/>
      </rPr>
      <t xml:space="preserve"> is the cell reference for a value you want to match. </t>
    </r>
  </si>
  <si>
    <r>
      <t>Table_array</t>
    </r>
    <r>
      <rPr>
        <sz val="10"/>
        <rFont val="Arial"/>
        <family val="2"/>
      </rPr>
      <t xml:space="preserve"> is the table that contains the lookup values, and their matching values.</t>
    </r>
  </si>
  <si>
    <r>
      <t xml:space="preserve">The vlookup table should </t>
    </r>
    <r>
      <rPr>
        <sz val="10"/>
        <color indexed="10"/>
        <rFont val="Arial"/>
        <family val="2"/>
      </rPr>
      <t>not include headings</t>
    </r>
    <r>
      <rPr>
        <sz val="10"/>
        <rFont val="Arial"/>
        <family val="2"/>
      </rPr>
      <t xml:space="preserve"> or titles.</t>
    </r>
  </si>
  <si>
    <r>
      <t xml:space="preserve">Normally use </t>
    </r>
    <r>
      <rPr>
        <sz val="10"/>
        <color indexed="10"/>
        <rFont val="Arial"/>
        <family val="2"/>
      </rPr>
      <t>absolute references</t>
    </r>
    <r>
      <rPr>
        <sz val="10"/>
        <rFont val="Arial"/>
        <family val="2"/>
      </rPr>
      <t xml:space="preserve"> for the vlookup Table_array.</t>
    </r>
  </si>
  <si>
    <r>
      <t>To maintain flexibility, the range for the</t>
    </r>
    <r>
      <rPr>
        <sz val="10"/>
        <color rgb="FFFF0000"/>
        <rFont val="Arial"/>
        <family val="2"/>
      </rPr>
      <t xml:space="preserve"> Table_array should include an extra row</t>
    </r>
    <r>
      <rPr>
        <sz val="10"/>
        <rFont val="Arial"/>
        <family val="2"/>
      </rPr>
      <t>, so that additional rows can easily be added in the table (without having to edit and copy your formula).</t>
    </r>
  </si>
  <si>
    <r>
      <t>Col_index_num</t>
    </r>
    <r>
      <rPr>
        <sz val="10"/>
        <rFont val="Arial"/>
        <family val="2"/>
      </rPr>
      <t xml:space="preserve"> is the column number (in the vlookup table_array) that contains the matching values. (If the vlookup table has two columns, and the answers are in the second column, enter "2".)</t>
    </r>
  </si>
  <si>
    <r>
      <t xml:space="preserve">Use the </t>
    </r>
    <r>
      <rPr>
        <sz val="10"/>
        <color rgb="FFFF5050"/>
        <rFont val="Arial"/>
        <family val="2"/>
      </rPr>
      <t>COLUMNS or MATCH</t>
    </r>
    <r>
      <rPr>
        <sz val="10"/>
        <rFont val="Arial"/>
        <family val="2"/>
      </rPr>
      <t xml:space="preserve"> function </t>
    </r>
    <r>
      <rPr>
        <sz val="10"/>
        <color rgb="FFFF5050"/>
        <rFont val="Arial"/>
        <family val="2"/>
      </rPr>
      <t>within VLOIOKUP</t>
    </r>
    <r>
      <rPr>
        <sz val="10"/>
        <rFont val="Arial"/>
        <family val="2"/>
      </rPr>
      <t xml:space="preserve"> to provide a "flexible" col_index_num.)</t>
    </r>
  </si>
  <si>
    <r>
      <t>Range_lookup</t>
    </r>
    <r>
      <rPr>
        <sz val="10"/>
        <rFont val="Arial"/>
        <family val="2"/>
      </rPr>
      <t xml:space="preserve"> value should be True (for closest match) or False (for exact match)</t>
    </r>
  </si>
  <si>
    <r>
      <t xml:space="preserve">Specify a "Closest Match" vlookup by using a Range_lookup of </t>
    </r>
    <r>
      <rPr>
        <sz val="10"/>
        <color indexed="10"/>
        <rFont val="Arial"/>
        <family val="2"/>
      </rPr>
      <t>True</t>
    </r>
    <r>
      <rPr>
        <sz val="10"/>
        <rFont val="Arial"/>
        <family val="2"/>
      </rPr>
      <t xml:space="preserve"> (or leave it blank) for ranges of numbers, when the lookup value can fall within a certain range of numbers.</t>
    </r>
  </si>
  <si>
    <r>
      <t xml:space="preserve">Specify an "Exact Match" vlookup by using a Range_lookup of </t>
    </r>
    <r>
      <rPr>
        <sz val="10"/>
        <color indexed="10"/>
        <rFont val="Arial"/>
        <family val="2"/>
      </rPr>
      <t>False</t>
    </r>
    <r>
      <rPr>
        <sz val="10"/>
        <rFont val="Arial"/>
        <family val="2"/>
      </rPr>
      <t xml:space="preserve"> when evaluating text (or anything other than values falling with a range of #'s)</t>
    </r>
  </si>
  <si>
    <r>
      <t xml:space="preserve">Arranging </t>
    </r>
    <r>
      <rPr>
        <sz val="10"/>
        <color indexed="10"/>
        <rFont val="Arial"/>
        <family val="2"/>
      </rPr>
      <t xml:space="preserve">Exact Match </t>
    </r>
    <r>
      <rPr>
        <sz val="10"/>
        <rFont val="Arial"/>
        <family val="2"/>
      </rPr>
      <t>vlookup table values in a certain way (</t>
    </r>
    <r>
      <rPr>
        <sz val="10"/>
        <color indexed="10"/>
        <rFont val="Arial"/>
        <family val="2"/>
      </rPr>
      <t>without using FALSE</t>
    </r>
    <r>
      <rPr>
        <sz val="10"/>
        <rFont val="Arial"/>
        <family val="2"/>
      </rPr>
      <t>) can often work, but in order to avoid potential problems, and to maintain flexibility, FALSE should be used as the Range_lookup type.</t>
    </r>
  </si>
  <si>
    <t>Min Values &amp; Max Values</t>
  </si>
  <si>
    <t>Custom # Format</t>
  </si>
  <si>
    <t>(&gt;= on min values)</t>
  </si>
  <si>
    <t xml:space="preserve">Remaining worksheets are textbook examples from Levels 2 and 3.
</t>
  </si>
  <si>
    <t>Worksheet Title</t>
  </si>
  <si>
    <t>(custom # format "&lt; " on max values)</t>
  </si>
  <si>
    <t>Nested IF</t>
  </si>
  <si>
    <t>Other Lookup Functions &amp; Concepts</t>
  </si>
  <si>
    <t>INDEX &amp; MATCH</t>
  </si>
  <si>
    <t>Using INDEX &amp; MATCH with Swapped Columns</t>
  </si>
  <si>
    <t>Using INDEX &amp; MATCH With Breakpoints in Descending Order</t>
  </si>
  <si>
    <t>Visibility</t>
  </si>
  <si>
    <t>Hidden</t>
  </si>
  <si>
    <t>Unit 
Shipping Cost</t>
  </si>
  <si>
    <r>
      <rPr>
        <b/>
        <sz val="10"/>
        <rFont val="Arial"/>
        <family val="2"/>
      </rPr>
      <t>Shipping Discount</t>
    </r>
    <r>
      <rPr>
        <sz val="10"/>
        <rFont val="Arial"/>
        <family val="2"/>
      </rPr>
      <t xml:space="preserve">
 (% applied to Total Shipping Cost, based on Total Price)</t>
    </r>
  </si>
  <si>
    <t>Tennis Balls Pricing</t>
  </si>
  <si>
    <t>Broken Rule # 1</t>
  </si>
  <si>
    <t>Broken Rule # 2</t>
  </si>
  <si>
    <t>Broken Rule # 3</t>
  </si>
  <si>
    <t>Flexible INDEX &amp; MATCH arrays</t>
  </si>
  <si>
    <t>Using INDEX &amp; MATCH instead of HLOOKUP...Row_num vs Column_num</t>
  </si>
  <si>
    <t>Using MATCH for a flexible Col_num</t>
  </si>
  <si>
    <t>Quantity Ordered</t>
  </si>
  <si>
    <t>UNC_DAYT_EXCEL_3.2.1_LECTURE_NESTED_IF_&amp;_IFS_VS_VLOOKUP.mp4</t>
  </si>
  <si>
    <t>UNC_DAYT_EXCEL_3.2.2_LECTURE_EXACT_MATCH_VLOOKUP.mp4</t>
  </si>
  <si>
    <t>UNC_DAYT_EXCEL_3.2.3_LECTURE_CLOSEST_MATCH_VLOOKUP.mp4</t>
  </si>
  <si>
    <t>UNC_DAYT_EXCEL_3.2.4_LECTURE_RULES_FOR_CREATING_VLOOKUP_TABLE_ARRAYS.mp4</t>
  </si>
  <si>
    <t>UNC_DAYT_EXCEL_3.2.5_LECTURE_CLEAR_VLOOKUP_TABLES.mp4</t>
  </si>
  <si>
    <t>UNC_DAYT_EXCEL_3.3.1_LECTURE_HLOOKUP_LOOKUP_COLUMNS.mp4</t>
  </si>
  <si>
    <t>UNC_DAYT_EXCEL_3.3.2_LECTURE_USING_MATCH_TO_MAKE_VLOOKUP_MORE_FLEXIBLE.mp4</t>
  </si>
  <si>
    <t>UNC_DAYT_EXCEL_3.3.3_LECTURE_INDEX_1_DIMENSION.mp4</t>
  </si>
  <si>
    <t>UNC_DAYT_EXCEL_3.3.4_LECTURE_INDEX_2_DIMENSIONS_&amp;_MATCH.mp4</t>
  </si>
  <si>
    <t>UNC_DAYT_EXCEL_3.3.5_LECTURE_VLOOKUP_VS_INDEX_&amp;_MATCH.mp4</t>
  </si>
  <si>
    <t>Video Link</t>
  </si>
  <si>
    <t>Functions Covered in this Chapter</t>
  </si>
  <si>
    <t>CHOOSE</t>
  </si>
  <si>
    <t>HLOOKUP</t>
  </si>
  <si>
    <t>ISBLANK</t>
  </si>
  <si>
    <t>LOOKUP</t>
  </si>
  <si>
    <t>120 - 239</t>
  </si>
  <si>
    <t>(custom # format on max values)</t>
  </si>
  <si>
    <t>(custom # format on min &amp; max values)</t>
  </si>
  <si>
    <t>Summer Price</t>
  </si>
  <si>
    <t>Non-summer Price</t>
  </si>
  <si>
    <t xml:space="preserve">Match_type     </t>
  </si>
  <si>
    <t>Video Length</t>
  </si>
  <si>
    <t>Segment</t>
  </si>
  <si>
    <t>Total Video Length</t>
  </si>
  <si>
    <t>Using XLOOKUP</t>
  </si>
  <si>
    <t>= XLOOKUP( lookup_value, lookup_array, return_array, if_not_found, match_mode, search_mode )</t>
  </si>
  <si>
    <t xml:space="preserve">INDEX &amp; MATCH are  more flexible and can be used instead of VLOOKUP or HLOOKUP.  However, INDEX &amp; MATCH are not as well known and are a bit more complicated since you must use both functions (whereas with VLOOKUP &amp; HLOOKUP you could use only the single function).  Because VLOOKUP is so much more common, you must know how to use it. 
Either VLOOKUP or INDEX &amp; MATCH could work for the same problem, but INDEX &amp; MATCH can be used in some cases where VLOOKUP could not (depending on how the lookup table is designed/arranged). </t>
  </si>
  <si>
    <t>https://support.microsoft.com/en-us/office/xlookup-function-b7fd680e-6d10-43e6-84f9-88eae8bf5929</t>
  </si>
  <si>
    <t>= XLOOKUP ( vertical_search_value, search_column, XLOOKUP( Horizontal_search_value, column_headings, whole_table)</t>
  </si>
  <si>
    <t>Using 2 Dimensional XLOOKUPS</t>
  </si>
  <si>
    <r>
      <t xml:space="preserve">When using INDEX and MATCH, your </t>
    </r>
    <r>
      <rPr>
        <b/>
        <i/>
        <sz val="10"/>
        <color rgb="FFFF0000"/>
        <rFont val="Arial"/>
        <family val="2"/>
      </rPr>
      <t>array</t>
    </r>
    <r>
      <rPr>
        <sz val="10"/>
        <rFont val="Arial"/>
        <family val="2"/>
      </rPr>
      <t xml:space="preserve"> for INDEX and your</t>
    </r>
    <r>
      <rPr>
        <b/>
        <i/>
        <sz val="10"/>
        <rFont val="Arial"/>
        <family val="2"/>
      </rPr>
      <t xml:space="preserve"> lookup_array</t>
    </r>
    <r>
      <rPr>
        <sz val="10"/>
        <rFont val="Arial"/>
        <family val="2"/>
      </rPr>
      <t xml:space="preserve"> for MATCH</t>
    </r>
    <r>
      <rPr>
        <sz val="10"/>
        <color rgb="FFFF0000"/>
        <rFont val="Arial"/>
        <family val="2"/>
      </rPr>
      <t xml:space="preserve"> must be the same "size"</t>
    </r>
    <r>
      <rPr>
        <sz val="10"/>
        <rFont val="Arial"/>
        <family val="2"/>
      </rPr>
      <t xml:space="preserve"> (same number of rows or columns) and must start at the same row.  For example, you cannot include the column headings for the INDEX Array, but start at the row below for the MATCH Lookup_array.  If you do this, your results will be incorrect.</t>
    </r>
  </si>
  <si>
    <r>
      <t>To maintain flexibility, the range for the</t>
    </r>
    <r>
      <rPr>
        <sz val="10"/>
        <color rgb="FFFF0000"/>
        <rFont val="Arial"/>
        <family val="2"/>
      </rPr>
      <t xml:space="preserve"> array in INDEX and the lookup_array in MATCH should include an extra row(s)</t>
    </r>
    <r>
      <rPr>
        <sz val="10"/>
        <rFont val="Arial"/>
        <family val="2"/>
      </rPr>
      <t>, so that additional rows can easily be added in the table (without having to edit and copy your formula).</t>
    </r>
  </si>
  <si>
    <r>
      <t xml:space="preserve">Use </t>
    </r>
    <r>
      <rPr>
        <sz val="10"/>
        <color rgb="FFFF0000"/>
        <rFont val="Arial"/>
        <family val="2"/>
      </rPr>
      <t>INDEX &amp; MATCH</t>
    </r>
    <r>
      <rPr>
        <sz val="10"/>
        <rFont val="Arial"/>
        <family val="2"/>
      </rPr>
      <t xml:space="preserve"> for more flexible "lookups".</t>
    </r>
  </si>
  <si>
    <r>
      <t xml:space="preserve">Use the </t>
    </r>
    <r>
      <rPr>
        <sz val="10"/>
        <color rgb="FFFF0000"/>
        <rFont val="Arial"/>
        <family val="2"/>
      </rPr>
      <t>MATCH</t>
    </r>
    <r>
      <rPr>
        <sz val="10"/>
        <rFont val="Arial"/>
        <family val="2"/>
      </rPr>
      <t xml:space="preserve"> function inside of your INDEX function.</t>
    </r>
  </si>
  <si>
    <t>Retrieving Data Key Points</t>
  </si>
  <si>
    <t>x*</t>
  </si>
  <si>
    <t>For more info:</t>
  </si>
  <si>
    <t>X031</t>
  </si>
  <si>
    <t>Row/Col Intersection value using 2 XLOOKUP's</t>
  </si>
  <si>
    <t>XMATCH</t>
  </si>
  <si>
    <t>XMATCH &amp; XLOOKUP</t>
  </si>
  <si>
    <t>Row/Col Intersection value using 2-D INDEX and 2 XMATCH's</t>
  </si>
  <si>
    <t>Retrieving Data for Computation, Analysis, and Reference</t>
  </si>
  <si>
    <t>Array</t>
  </si>
  <si>
    <t>Row_num</t>
  </si>
  <si>
    <t>Col_num</t>
  </si>
  <si>
    <r>
      <t xml:space="preserve">The INDEX function's </t>
    </r>
    <r>
      <rPr>
        <sz val="10"/>
        <color rgb="FFFF0000"/>
        <rFont val="Arial"/>
        <family val="2"/>
      </rPr>
      <t>Array</t>
    </r>
    <r>
      <rPr>
        <sz val="10"/>
        <rFont val="Arial"/>
        <family val="2"/>
      </rPr>
      <t xml:space="preserve"> argument range of cells should use the correct cell reference types (typically </t>
    </r>
    <r>
      <rPr>
        <sz val="10"/>
        <color rgb="FFFF0000"/>
        <rFont val="Arial"/>
        <family val="2"/>
      </rPr>
      <t>absolute references</t>
    </r>
    <r>
      <rPr>
        <sz val="10"/>
        <rFont val="Arial"/>
        <family val="2"/>
      </rPr>
      <t>).</t>
    </r>
  </si>
  <si>
    <r>
      <t xml:space="preserve">The INDEX function's </t>
    </r>
    <r>
      <rPr>
        <sz val="10"/>
        <color rgb="FFFF0000"/>
        <rFont val="Arial"/>
        <family val="2"/>
      </rPr>
      <t>Array</t>
    </r>
    <r>
      <rPr>
        <sz val="10"/>
        <rFont val="Arial"/>
        <family val="2"/>
      </rPr>
      <t xml:space="preserve"> argument should </t>
    </r>
    <r>
      <rPr>
        <sz val="10"/>
        <color rgb="FFFF0000"/>
        <rFont val="Arial"/>
        <family val="2"/>
      </rPr>
      <t>contain</t>
    </r>
    <r>
      <rPr>
        <sz val="10"/>
        <rFont val="Arial"/>
        <family val="2"/>
      </rPr>
      <t xml:space="preserve"> the range of cells with the </t>
    </r>
    <r>
      <rPr>
        <sz val="10"/>
        <color rgb="FFFF0000"/>
        <rFont val="Arial"/>
        <family val="2"/>
      </rPr>
      <t>values to return</t>
    </r>
    <r>
      <rPr>
        <sz val="10"/>
        <rFont val="Arial"/>
        <family val="2"/>
      </rPr>
      <t>.</t>
    </r>
  </si>
  <si>
    <t>If array contains only one row or column, the corresponding row_num or column_num argument is optional.</t>
  </si>
  <si>
    <t>If array has more than one row and more than one column, and only row_num or column_num is used, INDEX returns an array of the entire row or column in array.</t>
  </si>
  <si>
    <t>Selects the row in array from which to return a value. If row_num is omitted, column_num is required.</t>
  </si>
  <si>
    <t>Selects the column in array from which to return a value. If column_num is omitted, row_num is required.</t>
  </si>
  <si>
    <t>If both the row_num and column_num arguments are used, INDEX returns the value in the cell at the intersection of row_num and column_num.</t>
  </si>
  <si>
    <t>row_num and column_num must point to a cell within array; otherwise, INDEX returns a #REF! error.</t>
  </si>
  <si>
    <t xml:space="preserve">If you set row_num or column_num to 0 (zero), INDEX returns the array of values for the entire column or row, respectively. </t>
  </si>
  <si>
    <r>
      <t xml:space="preserve">When using INDEX and MATCH, the </t>
    </r>
    <r>
      <rPr>
        <sz val="10"/>
        <color rgb="FFFF0000"/>
        <rFont val="Arial"/>
        <family val="2"/>
      </rPr>
      <t>MATCH</t>
    </r>
    <r>
      <rPr>
        <sz val="10"/>
        <rFont val="Arial"/>
        <family val="2"/>
      </rPr>
      <t xml:space="preserve"> function is entered </t>
    </r>
    <r>
      <rPr>
        <sz val="10"/>
        <color rgb="FFFF0000"/>
        <rFont val="Arial"/>
        <family val="2"/>
      </rPr>
      <t>in</t>
    </r>
    <r>
      <rPr>
        <sz val="10"/>
        <rFont val="Arial"/>
        <family val="2"/>
      </rPr>
      <t xml:space="preserve"> the </t>
    </r>
    <r>
      <rPr>
        <sz val="10"/>
        <color rgb="FFFF0000"/>
        <rFont val="Arial"/>
        <family val="2"/>
      </rPr>
      <t>Row_num argument</t>
    </r>
    <r>
      <rPr>
        <sz val="10"/>
        <rFont val="Arial"/>
        <family val="2"/>
      </rPr>
      <t xml:space="preserve">. </t>
    </r>
  </si>
  <si>
    <t>o</t>
  </si>
  <si>
    <t>Lookup_value</t>
  </si>
  <si>
    <t>Lookup_array</t>
  </si>
  <si>
    <t>Match_type</t>
  </si>
  <si>
    <t>The value that you want to match in lookup_array.</t>
  </si>
  <si>
    <t>The lookup_value argument can be a value (number, text, or logical value) or a cell reference to a number, text, or logical value.</t>
  </si>
  <si>
    <t>The range of cells being searched.</t>
  </si>
  <si>
    <t>The number -1, 0, or 1. The match_type argument specifies how Excel matches lookup_value with values in lookup_array. The default value for this argument is 1.</t>
  </si>
  <si>
    <r>
      <t xml:space="preserve">The MATCH function should use a </t>
    </r>
    <r>
      <rPr>
        <sz val="10"/>
        <color rgb="FFFF0000"/>
        <rFont val="Arial"/>
        <family val="2"/>
      </rPr>
      <t>Match_Type of 0</t>
    </r>
    <r>
      <rPr>
        <sz val="10"/>
        <rFont val="Arial"/>
        <family val="2"/>
      </rPr>
      <t xml:space="preserve"> to specify an exact match.  </t>
    </r>
  </si>
  <si>
    <t>MATCH finds the first value that is exactly equal to lookup_value. The values in the lookup_array argument can be in any order.</t>
  </si>
  <si>
    <t>MATCH finds the largest value that is less than or equal to lookup_value. The values in the lookup_array argument must be placed in ascending order, for example: ...-2, -1, 0, 1, 2, ..., A-Z, FALSE, TRUE.</t>
  </si>
  <si>
    <r>
      <t xml:space="preserve">The MATCH function should use a </t>
    </r>
    <r>
      <rPr>
        <sz val="10"/>
        <color rgb="FFFF0000"/>
        <rFont val="Arial"/>
        <family val="2"/>
      </rPr>
      <t>Match_Type of 1</t>
    </r>
    <r>
      <rPr>
        <sz val="10"/>
        <rFont val="Arial"/>
        <family val="2"/>
      </rPr>
      <t xml:space="preserve"> to specify a closest match (when lookup_values are in ascending order).</t>
    </r>
  </si>
  <si>
    <r>
      <t xml:space="preserve">The MATCH function should use a </t>
    </r>
    <r>
      <rPr>
        <sz val="10"/>
        <color rgb="FFFF0000"/>
        <rFont val="Arial"/>
        <family val="2"/>
      </rPr>
      <t>Match_Type of -1</t>
    </r>
    <r>
      <rPr>
        <sz val="10"/>
        <rFont val="Arial"/>
        <family val="2"/>
      </rPr>
      <t xml:space="preserve"> to specify a closest match when lookup_values are in decending order.</t>
    </r>
  </si>
  <si>
    <t>MATCH finds the smallest value that is greater than or equal to lookup_value. The values in the lookup_array argument must be placed in descending order, for example: TRUE, FALSE, Z-A, ...2, 1, 0, -1, -2, ..., and so on.</t>
  </si>
  <si>
    <t>If match_type is 0 and lookup_value is a text string, you can use the wildcard characters — the question mark (?) and asterisk (*) — in the lookup_value argument. A question mark matches any single character; an asterisk matches any sequence of characters. If you want to find an actual question mark or asterisk, type a tilde (~) before the character.</t>
  </si>
  <si>
    <t xml:space="preserve">MATCH returns the position of the matched value within lookup_array, not the value itself. </t>
  </si>
  <si>
    <t>MATCH does not distinguish between uppercase and lowercase letters when matching text values.</t>
  </si>
  <si>
    <t>If MATCH is unsuccessful in finding a match, it returns the #N/A error value.</t>
  </si>
  <si>
    <t>Table_array</t>
  </si>
  <si>
    <t>Col_index_num</t>
  </si>
  <si>
    <t>Range_lookup</t>
  </si>
  <si>
    <t>Summer Unit Price</t>
  </si>
  <si>
    <t>Non-summer Unit Price</t>
  </si>
  <si>
    <t>Using INDEX &amp; MATCH with both rows and columns</t>
  </si>
  <si>
    <t>Flexible Table_arrays</t>
  </si>
  <si>
    <t>INDEX MATCH result when col_num argument is omitted (in Excel 365 or 2021)</t>
  </si>
  <si>
    <t>INDEX MATCH result when row_num argument is omitted (in Excel 365 or 2021)</t>
  </si>
  <si>
    <t>INDEX &amp; MATCH arrays should be the same size with correct alignment</t>
  </si>
  <si>
    <t>Summer Unit Shipping Cost</t>
  </si>
  <si>
    <t>Non-summer Unit Shipping Cost</t>
  </si>
  <si>
    <r>
      <t xml:space="preserve">The vlookup table should be a </t>
    </r>
    <r>
      <rPr>
        <sz val="10"/>
        <color indexed="10"/>
        <rFont val="Arial"/>
        <family val="2"/>
      </rPr>
      <t>single range</t>
    </r>
    <r>
      <rPr>
        <sz val="10"/>
        <rFont val="Arial"/>
        <family val="2"/>
      </rPr>
      <t>, not broken up into two separate tables.</t>
    </r>
  </si>
  <si>
    <r>
      <t>#2)</t>
    </r>
    <r>
      <rPr>
        <sz val="10"/>
        <rFont val="Arial"/>
        <family val="2"/>
      </rPr>
      <t xml:space="preserve"> For the closest-match vlookup table, use the </t>
    </r>
    <r>
      <rPr>
        <sz val="10"/>
        <color indexed="10"/>
        <rFont val="Arial"/>
        <family val="2"/>
      </rPr>
      <t>minimum values of each range</t>
    </r>
    <r>
      <rPr>
        <sz val="10"/>
        <rFont val="Arial"/>
        <family val="2"/>
      </rPr>
      <t xml:space="preserve"> in the first column of the table.</t>
    </r>
  </si>
  <si>
    <t>The minimum value breakpoints must be numbers.  Do not include "to", &gt;=, &lt; or the max value within the same cells as the min values. (Use custom number format to show "to", &gt;=, &lt; for number values.)</t>
  </si>
  <si>
    <r>
      <t xml:space="preserve">Make closest-match </t>
    </r>
    <r>
      <rPr>
        <sz val="10"/>
        <color indexed="10"/>
        <rFont val="Arial"/>
        <family val="2"/>
      </rPr>
      <t>vlookup table</t>
    </r>
    <r>
      <rPr>
        <sz val="10"/>
        <rFont val="Arial"/>
        <family val="2"/>
      </rPr>
      <t xml:space="preserve"> values </t>
    </r>
    <r>
      <rPr>
        <sz val="10"/>
        <color indexed="10"/>
        <rFont val="Arial"/>
        <family val="2"/>
      </rPr>
      <t>clear</t>
    </r>
    <r>
      <rPr>
        <sz val="10"/>
        <rFont val="Arial"/>
        <family val="2"/>
      </rPr>
      <t xml:space="preserve"> for others to understand.  (For instance, show either the min and max values, or else the range of values used to return vlookup results.)</t>
    </r>
  </si>
  <si>
    <t>Clear Lookup Tables</t>
  </si>
  <si>
    <r>
      <t xml:space="preserve">Show a </t>
    </r>
    <r>
      <rPr>
        <sz val="10"/>
        <color rgb="FFFF0000"/>
        <rFont val="Arial"/>
        <family val="2"/>
      </rPr>
      <t xml:space="preserve">" to " </t>
    </r>
    <r>
      <rPr>
        <sz val="10"/>
        <rFont val="Arial"/>
        <family val="2"/>
      </rPr>
      <t>or</t>
    </r>
    <r>
      <rPr>
        <sz val="10"/>
        <color rgb="FFFF0000"/>
        <rFont val="Arial"/>
        <family val="2"/>
      </rPr>
      <t xml:space="preserve"> " &lt; "</t>
    </r>
    <r>
      <rPr>
        <sz val="10"/>
        <rFont val="Arial"/>
        <family val="2"/>
      </rPr>
      <t xml:space="preserve"> in front of the </t>
    </r>
    <r>
      <rPr>
        <sz val="10"/>
        <color rgb="FFFF0000"/>
        <rFont val="Arial"/>
        <family val="2"/>
      </rPr>
      <t>max value</t>
    </r>
    <r>
      <rPr>
        <sz val="10"/>
        <rFont val="Arial"/>
        <family val="2"/>
      </rPr>
      <t xml:space="preserve"> (using </t>
    </r>
    <r>
      <rPr>
        <sz val="10"/>
        <color rgb="FFFF0000"/>
        <rFont val="Arial"/>
        <family val="2"/>
      </rPr>
      <t>custom number format</t>
    </r>
    <r>
      <rPr>
        <sz val="10"/>
        <rFont val="Arial"/>
        <family val="2"/>
      </rPr>
      <t>) or use some other similar method to indicate that they are the max values.</t>
    </r>
  </si>
  <si>
    <r>
      <t>Showing a</t>
    </r>
    <r>
      <rPr>
        <sz val="10"/>
        <color rgb="FFFF0000"/>
        <rFont val="Arial"/>
        <family val="2"/>
      </rPr>
      <t xml:space="preserve"> " &gt;= "</t>
    </r>
    <r>
      <rPr>
        <sz val="10"/>
        <rFont val="Arial"/>
        <family val="2"/>
      </rPr>
      <t xml:space="preserve"> in front of the </t>
    </r>
    <r>
      <rPr>
        <sz val="10"/>
        <color rgb="FFFF0000"/>
        <rFont val="Arial"/>
        <family val="2"/>
      </rPr>
      <t>min value</t>
    </r>
    <r>
      <rPr>
        <sz val="10"/>
        <rFont val="Arial"/>
        <family val="2"/>
      </rPr>
      <t xml:space="preserve"> (using </t>
    </r>
    <r>
      <rPr>
        <sz val="10"/>
        <color rgb="FFFF0000"/>
        <rFont val="Arial"/>
        <family val="2"/>
      </rPr>
      <t>custom number format</t>
    </r>
    <r>
      <rPr>
        <sz val="10"/>
        <rFont val="Arial"/>
        <family val="2"/>
      </rPr>
      <t>) or using some other similar method can make the vlookup table more clear.</t>
    </r>
  </si>
  <si>
    <r>
      <t xml:space="preserve">When showing a range of values in your vlookup table, max values should be formulas based on next min values.  (For example, </t>
    </r>
    <r>
      <rPr>
        <sz val="10"/>
        <color rgb="FFFF0000"/>
        <rFont val="Arial"/>
        <family val="2"/>
      </rPr>
      <t>max_value = next_min_value</t>
    </r>
    <r>
      <rPr>
        <sz val="10"/>
        <rFont val="Arial"/>
        <family val="2"/>
      </rPr>
      <t>, or  max_value = next_min_value - 1)</t>
    </r>
  </si>
  <si>
    <r>
      <t xml:space="preserve">Use one column for the min values and a </t>
    </r>
    <r>
      <rPr>
        <sz val="10"/>
        <color rgb="FFFF0000"/>
        <rFont val="Arial"/>
        <family val="2"/>
      </rPr>
      <t>separate column</t>
    </r>
    <r>
      <rPr>
        <sz val="10"/>
        <rFont val="Arial"/>
        <family val="2"/>
      </rPr>
      <t xml:space="preserve"> for any </t>
    </r>
    <r>
      <rPr>
        <sz val="10"/>
        <color rgb="FFFF0000"/>
        <rFont val="Arial"/>
        <family val="2"/>
      </rPr>
      <t>max values</t>
    </r>
    <r>
      <rPr>
        <sz val="10"/>
        <rFont val="Arial"/>
        <family val="2"/>
      </rPr>
      <t>.  (Do not include min and max values within the same cell/column.)</t>
    </r>
  </si>
  <si>
    <r>
      <t xml:space="preserve">Do </t>
    </r>
    <r>
      <rPr>
        <sz val="10"/>
        <color rgb="FFFF0000"/>
        <rFont val="Arial"/>
        <family val="2"/>
      </rPr>
      <t>not hard-code numbers</t>
    </r>
    <r>
      <rPr>
        <sz val="10"/>
        <rFont val="Arial"/>
        <family val="2"/>
      </rPr>
      <t xml:space="preserve"> (like max values) in your </t>
    </r>
    <r>
      <rPr>
        <sz val="10"/>
        <color rgb="FFFF0000"/>
        <rFont val="Arial"/>
        <family val="2"/>
      </rPr>
      <t>custom number format</t>
    </r>
    <r>
      <rPr>
        <sz val="10"/>
        <rFont val="Arial"/>
        <family val="2"/>
      </rPr>
      <t xml:space="preserve"> code for vlookup table values.  Doing so, will make your table inflexible if the numbers need to be changed.</t>
    </r>
  </si>
  <si>
    <r>
      <t>Show a</t>
    </r>
    <r>
      <rPr>
        <sz val="10"/>
        <color rgb="FFFF0000"/>
        <rFont val="Arial"/>
        <family val="2"/>
      </rPr>
      <t xml:space="preserve"> " &gt;= "</t>
    </r>
    <r>
      <rPr>
        <sz val="10"/>
        <rFont val="Arial"/>
        <family val="2"/>
      </rPr>
      <t xml:space="preserve"> in front of the </t>
    </r>
    <r>
      <rPr>
        <sz val="10"/>
        <color rgb="FFFF0000"/>
        <rFont val="Arial"/>
        <family val="2"/>
      </rPr>
      <t>min value</t>
    </r>
    <r>
      <rPr>
        <sz val="10"/>
        <rFont val="Arial"/>
        <family val="2"/>
      </rPr>
      <t>…not "&gt;".</t>
    </r>
  </si>
  <si>
    <r>
      <t>If including a "</t>
    </r>
    <r>
      <rPr>
        <sz val="10"/>
        <color rgb="FFFF0000"/>
        <rFont val="Arial"/>
        <family val="2"/>
      </rPr>
      <t>&gt;</t>
    </r>
    <r>
      <rPr>
        <sz val="10"/>
        <rFont val="Arial"/>
        <family val="2"/>
      </rPr>
      <t>"</t>
    </r>
    <r>
      <rPr>
        <sz val="10"/>
        <color rgb="FFFF0000"/>
        <rFont val="Arial"/>
        <family val="2"/>
      </rPr>
      <t xml:space="preserve"> in addition</t>
    </r>
    <r>
      <rPr>
        <sz val="10"/>
        <rFont val="Arial"/>
        <family val="2"/>
      </rPr>
      <t xml:space="preserve"> </t>
    </r>
    <r>
      <rPr>
        <sz val="10"/>
        <color rgb="FFFF0000"/>
        <rFont val="Arial"/>
        <family val="2"/>
      </rPr>
      <t>to</t>
    </r>
    <r>
      <rPr>
        <sz val="10"/>
        <rFont val="Arial"/>
        <family val="2"/>
      </rPr>
      <t xml:space="preserve"> a </t>
    </r>
    <r>
      <rPr>
        <sz val="10"/>
        <color rgb="FFFF0000"/>
        <rFont val="Arial"/>
        <family val="2"/>
      </rPr>
      <t>$</t>
    </r>
    <r>
      <rPr>
        <sz val="10"/>
        <rFont val="Arial"/>
        <family val="2"/>
      </rPr>
      <t>, apply the currency (or accounting) format first, and then change to a custom number format to add the "&gt;" or "&lt;=" to the appropriate section(s) of the custom number format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</si>
</sst>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_(&quot;$&quot;* #,##0.00_);_(&quot;$&quot;* \(#,##0.00\);_(&quot;$&quot;* &quot;0&quot;??_);_(@_)"/>
    <numFmt numFmtId="166" formatCode="_(* #,##0.0_);_(* \(#,##0.0\);_(* &quot;-&quot;??_);_(@_)"/>
    <numFmt numFmtId="167" formatCode="&quot;&gt;= &quot;General"/>
    <numFmt numFmtId="168" formatCode="&quot;&gt;= &quot;&quot;$&quot;#,##0_);[Red]\(&quot;$&quot;#,##0\)"/>
    <numFmt numFmtId="169" formatCode="m/d/yyyy\ h:mm\ AM/PM"/>
    <numFmt numFmtId="170" formatCode="_$#,##0"/>
    <numFmt numFmtId="171" formatCode="&quot;&gt;=&quot;General"/>
    <numFmt numFmtId="172" formatCode="General;\-General;\-0;@"/>
    <numFmt numFmtId="173" formatCode="_(* #,##0.00_);_(* \(#,##0.00\);_(* &quot;-&quot;_);_(@_)"/>
    <numFmt numFmtId="174" formatCode="&quot;&lt; &quot;General"/>
    <numFmt numFmtId="175" formatCode="&quot;to &quot;General"/>
    <numFmt numFmtId="176" formatCode="[&lt;0.0415]m&quot;m&quot;\ s&quot;s&quot;;[h]&quot;h&quot;\ m&quot;m&quot;\ s&quot;s&quot;;@"/>
    <numFmt numFmtId="177" formatCode="[&lt;0.0415]m&quot;min&quot;\ s&quot;sec&quot;;[h]&quot;hr&quot;\ m&quot;min&quot;\ s&quot;sec&quot;;@"/>
    <numFmt numFmtId="178" formatCode="General;\-General;\-0"/>
    <numFmt numFmtId="179" formatCode="_(&quot;$&quot;* #,##0.00_);_(&quot;$&quot;* \(#,##0.00\);_(&quot;$&quot;* &quot;-&quot;_);_(@_)"/>
  </numFmts>
  <fonts count="48" x14ac:knownFonts="1">
    <font>
      <sz val="10"/>
      <name val="Arial"/>
    </font>
    <font>
      <sz val="10"/>
      <name val="Arial"/>
      <family val="2"/>
    </font>
    <font>
      <sz val="8"/>
      <name val="Arial"/>
      <family val="2"/>
    </font>
    <font>
      <b/>
      <sz val="10"/>
      <name val="Arial"/>
      <family val="2"/>
    </font>
    <font>
      <u/>
      <sz val="10"/>
      <color indexed="12"/>
      <name val="Arial"/>
      <family val="2"/>
    </font>
    <font>
      <b/>
      <sz val="12"/>
      <name val="Arial"/>
      <family val="2"/>
    </font>
    <font>
      <sz val="10"/>
      <name val="Arial"/>
      <family val="2"/>
    </font>
    <font>
      <sz val="12"/>
      <name val="Arial"/>
      <family val="2"/>
    </font>
    <font>
      <sz val="9"/>
      <name val="Arial"/>
      <family val="2"/>
    </font>
    <font>
      <b/>
      <sz val="14"/>
      <name val="Arial"/>
      <family val="2"/>
    </font>
    <font>
      <sz val="14"/>
      <name val="Wingdings"/>
      <charset val="2"/>
    </font>
    <font>
      <sz val="10"/>
      <color indexed="10"/>
      <name val="Arial"/>
      <family val="2"/>
    </font>
    <font>
      <sz val="10"/>
      <name val="Arial"/>
      <family val="2"/>
    </font>
    <font>
      <sz val="10"/>
      <name val="Wingdings"/>
      <charset val="2"/>
    </font>
    <font>
      <sz val="10"/>
      <name val="Arial"/>
      <family val="2"/>
    </font>
    <font>
      <sz val="10"/>
      <name val="Arial"/>
      <family val="2"/>
    </font>
    <font>
      <sz val="9"/>
      <color indexed="81"/>
      <name val="Tahoma"/>
      <family val="2"/>
    </font>
    <font>
      <b/>
      <sz val="9"/>
      <color indexed="81"/>
      <name val="Tahoma"/>
      <family val="2"/>
    </font>
    <font>
      <sz val="10"/>
      <color rgb="FF0070C0"/>
      <name val="Arial"/>
      <family val="2"/>
    </font>
    <font>
      <sz val="10"/>
      <color indexed="8"/>
      <name val="Arial"/>
      <family val="2"/>
    </font>
    <font>
      <sz val="10"/>
      <color rgb="FF0070C0"/>
      <name val="Arial Narrow"/>
      <family val="2"/>
    </font>
    <font>
      <sz val="10"/>
      <color rgb="FFFF0000"/>
      <name val="Arial"/>
      <family val="2"/>
    </font>
    <font>
      <b/>
      <i/>
      <sz val="28"/>
      <name val="Arial"/>
      <family val="2"/>
    </font>
    <font>
      <sz val="10"/>
      <color rgb="FFFF5050"/>
      <name val="Arial"/>
      <family val="2"/>
    </font>
    <font>
      <sz val="14"/>
      <name val="Arial"/>
      <family val="2"/>
    </font>
    <font>
      <sz val="10"/>
      <name val="Arial"/>
      <family val="2"/>
    </font>
    <font>
      <b/>
      <i/>
      <sz val="9"/>
      <color indexed="81"/>
      <name val="Tahoma"/>
      <family val="2"/>
    </font>
    <font>
      <sz val="11"/>
      <name val="Arial"/>
      <family val="2"/>
    </font>
    <font>
      <i/>
      <sz val="10"/>
      <name val="Arial"/>
      <family val="2"/>
    </font>
    <font>
      <sz val="10"/>
      <color indexed="12"/>
      <name val="Arial"/>
      <family val="2"/>
    </font>
    <font>
      <b/>
      <sz val="10"/>
      <color indexed="12"/>
      <name val="Arial"/>
      <family val="2"/>
    </font>
    <font>
      <sz val="10"/>
      <color theme="1"/>
      <name val="Arial"/>
      <family val="2"/>
    </font>
    <font>
      <u/>
      <sz val="10"/>
      <color theme="10"/>
      <name val="Arial"/>
      <family val="2"/>
    </font>
    <font>
      <b/>
      <sz val="10"/>
      <color rgb="FF0070C0"/>
      <name val="Arial"/>
      <family val="2"/>
    </font>
    <font>
      <sz val="11"/>
      <color rgb="FF0070C0"/>
      <name val="Arial"/>
      <family val="2"/>
    </font>
    <font>
      <b/>
      <sz val="14"/>
      <color rgb="FF0070C0"/>
      <name val="Arial"/>
      <family val="2"/>
    </font>
    <font>
      <b/>
      <u/>
      <sz val="10"/>
      <color indexed="12"/>
      <name val="Arial"/>
      <family val="2"/>
    </font>
    <font>
      <u/>
      <sz val="10"/>
      <color rgb="FF3333FF"/>
      <name val="Arial"/>
      <family val="2"/>
    </font>
    <font>
      <u/>
      <sz val="11"/>
      <color rgb="FF3333FF"/>
      <name val="Arial"/>
      <family val="2"/>
    </font>
    <font>
      <b/>
      <u/>
      <sz val="10"/>
      <color rgb="FF3333FF"/>
      <name val="Arial"/>
      <family val="2"/>
    </font>
    <font>
      <b/>
      <u/>
      <sz val="10"/>
      <name val="Arial"/>
      <family val="2"/>
    </font>
    <font>
      <b/>
      <sz val="10"/>
      <color indexed="8"/>
      <name val="Arial"/>
      <family val="2"/>
    </font>
    <font>
      <sz val="10"/>
      <color rgb="FF3333FF"/>
      <name val="Arial"/>
      <family val="2"/>
    </font>
    <font>
      <b/>
      <i/>
      <sz val="10"/>
      <color rgb="FFFF0000"/>
      <name val="Arial"/>
      <family val="2"/>
    </font>
    <font>
      <b/>
      <i/>
      <sz val="10"/>
      <name val="Arial"/>
      <family val="2"/>
    </font>
    <font>
      <sz val="10"/>
      <name val="Arial"/>
      <family val="2"/>
    </font>
    <font>
      <sz val="10"/>
      <color rgb="FF0070C0"/>
      <name val="Arial"/>
      <family val="2"/>
    </font>
    <font>
      <sz val="10"/>
      <name val="Arial Narrow"/>
      <family val="2"/>
    </font>
  </fonts>
  <fills count="18">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31"/>
        <bgColor indexed="64"/>
      </patternFill>
    </fill>
    <fill>
      <patternFill patternType="solid">
        <fgColor indexed="13"/>
        <bgColor indexed="64"/>
      </patternFill>
    </fill>
    <fill>
      <patternFill patternType="gray0625">
        <fgColor indexed="9"/>
        <bgColor indexed="26"/>
      </patternFill>
    </fill>
    <fill>
      <patternFill patternType="solid">
        <fgColor indexed="26"/>
        <bgColor indexed="26"/>
      </patternFill>
    </fill>
    <fill>
      <patternFill patternType="solid">
        <fgColor theme="3" tint="0.59999389629810485"/>
        <bgColor indexed="64"/>
      </patternFill>
    </fill>
    <fill>
      <patternFill patternType="solid">
        <fgColor rgb="FFFFFF00"/>
        <bgColor indexed="64"/>
      </patternFill>
    </fill>
    <fill>
      <patternFill patternType="solid">
        <fgColor rgb="FF99CCFF"/>
        <bgColor indexed="64"/>
      </patternFill>
    </fill>
    <fill>
      <patternFill patternType="solid">
        <fgColor rgb="FFFFFFCC"/>
      </patternFill>
    </fill>
    <fill>
      <patternFill patternType="solid">
        <fgColor theme="4" tint="0.79998168889431442"/>
        <bgColor indexed="64"/>
      </patternFill>
    </fill>
    <fill>
      <patternFill patternType="solid">
        <fgColor indexed="4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FFFFCC"/>
        <bgColor indexed="64"/>
      </patternFill>
    </fill>
    <fill>
      <patternFill patternType="solid">
        <fgColor rgb="FFDDDDDD"/>
        <bgColor indexed="64"/>
      </patternFill>
    </fill>
  </fills>
  <borders count="5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10"/>
      </left>
      <right/>
      <top/>
      <bottom/>
      <diagonal/>
    </border>
    <border>
      <left/>
      <right style="thin">
        <color indexed="64"/>
      </right>
      <top style="thin">
        <color indexed="64"/>
      </top>
      <bottom style="medium">
        <color indexed="1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style="thin">
        <color rgb="FFB2B2B2"/>
      </left>
      <right style="thin">
        <color rgb="FFB2B2B2"/>
      </right>
      <top style="thin">
        <color rgb="FFB2B2B2"/>
      </top>
      <bottom style="thin">
        <color rgb="FFB2B2B2"/>
      </bottom>
      <diagonal/>
    </border>
    <border>
      <left style="medium">
        <color indexed="10"/>
      </left>
      <right/>
      <top style="medium">
        <color indexed="10"/>
      </top>
      <bottom/>
      <diagonal/>
    </border>
    <border>
      <left/>
      <right style="medium">
        <color indexed="10"/>
      </right>
      <top style="medium">
        <color indexed="10"/>
      </top>
      <bottom/>
      <diagonal/>
    </border>
    <border>
      <left/>
      <right style="medium">
        <color indexed="10"/>
      </right>
      <top/>
      <bottom/>
      <diagonal/>
    </border>
    <border>
      <left style="medium">
        <color indexed="10"/>
      </left>
      <right/>
      <top/>
      <bottom style="medium">
        <color indexed="10"/>
      </bottom>
      <diagonal/>
    </border>
    <border>
      <left/>
      <right style="medium">
        <color indexed="10"/>
      </right>
      <top/>
      <bottom style="medium">
        <color indexed="10"/>
      </bottom>
      <diagonal/>
    </border>
    <border>
      <left style="medium">
        <color rgb="FFFF0000"/>
      </left>
      <right style="medium">
        <color rgb="FFFF0000"/>
      </right>
      <top style="medium">
        <color rgb="FFFF0000"/>
      </top>
      <bottom style="medium">
        <color rgb="FFFF0000"/>
      </bottom>
      <diagonal/>
    </border>
    <border>
      <left style="thin">
        <color indexed="64"/>
      </left>
      <right/>
      <top style="thin">
        <color indexed="64"/>
      </top>
      <bottom style="medium">
        <color indexed="10"/>
      </bottom>
      <diagonal/>
    </border>
    <border>
      <left/>
      <right style="thin">
        <color indexed="64"/>
      </right>
      <top/>
      <bottom style="thin">
        <color indexed="64"/>
      </bottom>
      <diagonal/>
    </border>
    <border>
      <left style="medium">
        <color rgb="FFFF0000"/>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style="medium">
        <color rgb="FFFF0000"/>
      </right>
      <top/>
      <bottom style="medium">
        <color rgb="FFFF0000"/>
      </bottom>
      <diagonal/>
    </border>
    <border>
      <left/>
      <right/>
      <top/>
      <bottom style="medium">
        <color indexed="10"/>
      </bottom>
      <diagonal/>
    </border>
    <border>
      <left/>
      <right/>
      <top style="medium">
        <color rgb="FFFF0000"/>
      </top>
      <bottom/>
      <diagonal/>
    </border>
    <border>
      <left/>
      <right/>
      <top/>
      <bottom style="medium">
        <color rgb="FFFF0000"/>
      </bottom>
      <diagonal/>
    </border>
  </borders>
  <cellStyleXfs count="18">
    <xf numFmtId="0" fontId="0" fillId="0" borderId="0"/>
    <xf numFmtId="43" fontId="1" fillId="0" borderId="0" applyFont="0" applyFill="0" applyBorder="0" applyAlignment="0" applyProtection="0"/>
    <xf numFmtId="44" fontId="1" fillId="0" borderId="0" applyFont="0" applyFill="0" applyBorder="0" applyAlignment="0" applyProtection="0"/>
    <xf numFmtId="170" fontId="2" fillId="0" borderId="0"/>
    <xf numFmtId="0" fontId="4" fillId="0" borderId="0" applyNumberFormat="0" applyFill="0" applyBorder="0" applyAlignment="0" applyProtection="0">
      <alignment vertical="top"/>
      <protection locked="0"/>
    </xf>
    <xf numFmtId="0" fontId="1" fillId="2" borderId="0" applyNumberFormat="0" applyFont="0" applyBorder="0" applyAlignment="0" applyProtection="0"/>
    <xf numFmtId="0" fontId="1" fillId="3" borderId="0" applyNumberFormat="0" applyFont="0" applyBorder="0" applyAlignment="0" applyProtection="0"/>
    <xf numFmtId="9" fontId="1" fillId="0" borderId="0" applyFont="0" applyFill="0" applyBorder="0" applyAlignment="0" applyProtection="0"/>
    <xf numFmtId="0" fontId="9" fillId="0" borderId="0" applyNumberFormat="0" applyFill="0" applyBorder="0" applyProtection="0">
      <alignment horizontal="centerContinuous"/>
    </xf>
    <xf numFmtId="0" fontId="15" fillId="2" borderId="0" applyNumberFormat="0" applyFont="0" applyBorder="0" applyAlignment="0" applyProtection="0"/>
    <xf numFmtId="0" fontId="15" fillId="3" borderId="0" applyNumberFormat="0" applyFont="0" applyBorder="0" applyAlignment="0" applyProtection="0"/>
    <xf numFmtId="0" fontId="6" fillId="0" borderId="0"/>
    <xf numFmtId="0" fontId="1" fillId="0" borderId="0"/>
    <xf numFmtId="0" fontId="1" fillId="11" borderId="41" applyNumberFormat="0" applyFont="0" applyProtection="0">
      <alignment vertical="top" wrapText="1"/>
    </xf>
    <xf numFmtId="41" fontId="25" fillId="0" borderId="0" applyFont="0" applyFill="0" applyBorder="0" applyAlignment="0" applyProtection="0"/>
    <xf numFmtId="0" fontId="31" fillId="0" borderId="0"/>
    <xf numFmtId="0" fontId="32" fillId="0" borderId="0" applyNumberFormat="0" applyFill="0" applyBorder="0" applyAlignment="0" applyProtection="0"/>
    <xf numFmtId="42" fontId="45" fillId="0" borderId="0" applyFont="0" applyFill="0" applyBorder="0" applyAlignment="0" applyProtection="0"/>
  </cellStyleXfs>
  <cellXfs count="399">
    <xf numFmtId="0" fontId="0" fillId="0" borderId="0" xfId="0"/>
    <xf numFmtId="0" fontId="3" fillId="4" borderId="0" xfId="0" applyFont="1" applyFill="1" applyAlignment="1">
      <alignment horizontal="centerContinuous" vertical="center"/>
    </xf>
    <xf numFmtId="0" fontId="0" fillId="4" borderId="0" xfId="0" applyFill="1" applyAlignment="1">
      <alignment horizontal="centerContinuous" vertical="center"/>
    </xf>
    <xf numFmtId="0" fontId="0" fillId="5" borderId="1" xfId="0" applyFill="1" applyBorder="1" applyAlignment="1">
      <alignment horizontal="center" wrapText="1"/>
    </xf>
    <xf numFmtId="0" fontId="0" fillId="0" borderId="2" xfId="0" applyBorder="1" applyAlignment="1">
      <alignment horizontal="center"/>
    </xf>
    <xf numFmtId="0" fontId="0" fillId="0" borderId="2" xfId="0" applyBorder="1"/>
    <xf numFmtId="44" fontId="1" fillId="0" borderId="2" xfId="2" applyBorder="1"/>
    <xf numFmtId="0" fontId="0" fillId="0" borderId="0" xfId="0" applyBorder="1"/>
    <xf numFmtId="44" fontId="1" fillId="0" borderId="0" xfId="2" applyBorder="1"/>
    <xf numFmtId="0" fontId="0" fillId="5" borderId="0" xfId="0" applyFill="1" applyAlignment="1">
      <alignment horizontal="center"/>
    </xf>
    <xf numFmtId="0" fontId="0" fillId="5" borderId="0"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44" fontId="1" fillId="0" borderId="2" xfId="2" applyBorder="1" applyAlignment="1">
      <alignment horizontal="center"/>
    </xf>
    <xf numFmtId="0" fontId="0" fillId="0" borderId="2" xfId="0" applyBorder="1" applyAlignment="1">
      <alignment horizontal="left"/>
    </xf>
    <xf numFmtId="44" fontId="0" fillId="0" borderId="0" xfId="0" applyNumberFormat="1"/>
    <xf numFmtId="0" fontId="0" fillId="0" borderId="6" xfId="0" applyBorder="1"/>
    <xf numFmtId="0" fontId="0" fillId="0" borderId="7" xfId="0" applyBorder="1"/>
    <xf numFmtId="44" fontId="1" fillId="0" borderId="0" xfId="2" applyFont="1" applyBorder="1"/>
    <xf numFmtId="0" fontId="0" fillId="0" borderId="0" xfId="0" applyFill="1" applyBorder="1"/>
    <xf numFmtId="0" fontId="0" fillId="5" borderId="2" xfId="0" applyFill="1" applyBorder="1" applyAlignment="1">
      <alignment horizontal="center"/>
    </xf>
    <xf numFmtId="44" fontId="6" fillId="0" borderId="2" xfId="0" applyNumberFormat="1" applyFont="1" applyBorder="1"/>
    <xf numFmtId="0" fontId="0" fillId="0" borderId="8" xfId="0" applyBorder="1"/>
    <xf numFmtId="44" fontId="6" fillId="0" borderId="8" xfId="0" applyNumberFormat="1" applyFont="1" applyBorder="1"/>
    <xf numFmtId="0" fontId="3" fillId="5" borderId="2" xfId="0" applyFont="1" applyFill="1" applyBorder="1"/>
    <xf numFmtId="0" fontId="3" fillId="5" borderId="8" xfId="0" applyFont="1" applyFill="1" applyBorder="1" applyAlignment="1">
      <alignment horizontal="center"/>
    </xf>
    <xf numFmtId="0" fontId="3" fillId="5" borderId="2" xfId="0" applyFont="1" applyFill="1" applyBorder="1" applyAlignment="1">
      <alignment horizontal="centerContinuous"/>
    </xf>
    <xf numFmtId="0" fontId="3" fillId="5" borderId="2" xfId="0" applyFont="1" applyFill="1" applyBorder="1" applyAlignment="1">
      <alignment horizontal="center"/>
    </xf>
    <xf numFmtId="0" fontId="0" fillId="0" borderId="0" xfId="0" applyFill="1" applyAlignment="1">
      <alignment vertical="center"/>
    </xf>
    <xf numFmtId="0" fontId="6" fillId="5" borderId="2" xfId="0" applyFont="1" applyFill="1" applyBorder="1" applyAlignment="1">
      <alignment horizontal="center"/>
    </xf>
    <xf numFmtId="0" fontId="3" fillId="0" borderId="0" xfId="0" applyFont="1"/>
    <xf numFmtId="0" fontId="6" fillId="0" borderId="9" xfId="0" applyFont="1" applyBorder="1"/>
    <xf numFmtId="0" fontId="7" fillId="0" borderId="10" xfId="0" applyFont="1" applyBorder="1"/>
    <xf numFmtId="0" fontId="0" fillId="3" borderId="11" xfId="0" applyFill="1" applyBorder="1"/>
    <xf numFmtId="0" fontId="0" fillId="3" borderId="12" xfId="0" applyFill="1" applyBorder="1"/>
    <xf numFmtId="0" fontId="0" fillId="3" borderId="13" xfId="0" applyFill="1" applyBorder="1"/>
    <xf numFmtId="0" fontId="0" fillId="0" borderId="14" xfId="0" applyBorder="1"/>
    <xf numFmtId="0" fontId="0" fillId="0" borderId="17" xfId="0" applyBorder="1"/>
    <xf numFmtId="0" fontId="0" fillId="0" borderId="18" xfId="0" applyBorder="1"/>
    <xf numFmtId="0" fontId="0" fillId="3" borderId="14" xfId="0" applyFill="1" applyBorder="1"/>
    <xf numFmtId="0" fontId="0" fillId="3" borderId="0" xfId="0" applyFill="1" applyBorder="1"/>
    <xf numFmtId="0" fontId="0" fillId="3" borderId="20" xfId="0" applyFill="1" applyBorder="1"/>
    <xf numFmtId="0" fontId="3" fillId="0" borderId="21" xfId="0" applyFont="1" applyFill="1" applyBorder="1" applyAlignment="1">
      <alignment horizontal="center"/>
    </xf>
    <xf numFmtId="0" fontId="3" fillId="0" borderId="2" xfId="0" applyFont="1" applyFill="1" applyBorder="1" applyAlignment="1">
      <alignment horizontal="center"/>
    </xf>
    <xf numFmtId="0" fontId="3" fillId="0" borderId="16" xfId="0" applyFont="1" applyFill="1" applyBorder="1" applyAlignment="1">
      <alignment horizontal="center"/>
    </xf>
    <xf numFmtId="0" fontId="6" fillId="0" borderId="2" xfId="0" applyFont="1" applyBorder="1"/>
    <xf numFmtId="44" fontId="6" fillId="0" borderId="16" xfId="0" applyNumberFormat="1" applyFont="1" applyBorder="1"/>
    <xf numFmtId="0" fontId="0" fillId="3" borderId="5" xfId="0" applyFill="1" applyBorder="1"/>
    <xf numFmtId="44" fontId="1" fillId="3" borderId="20" xfId="2" applyFill="1" applyBorder="1"/>
    <xf numFmtId="44" fontId="0" fillId="0" borderId="2" xfId="0" applyNumberFormat="1" applyBorder="1"/>
    <xf numFmtId="44" fontId="1" fillId="0" borderId="23" xfId="2" applyBorder="1"/>
    <xf numFmtId="0" fontId="0" fillId="0" borderId="23" xfId="0" applyBorder="1"/>
    <xf numFmtId="0" fontId="0" fillId="3" borderId="24" xfId="0" applyFill="1" applyBorder="1"/>
    <xf numFmtId="44" fontId="0" fillId="0" borderId="25" xfId="0" applyNumberFormat="1" applyBorder="1"/>
    <xf numFmtId="0" fontId="0" fillId="0" borderId="25" xfId="0" applyBorder="1"/>
    <xf numFmtId="44" fontId="1" fillId="0" borderId="19" xfId="2" quotePrefix="1" applyFont="1" applyBorder="1"/>
    <xf numFmtId="0" fontId="3" fillId="4" borderId="0" xfId="0" applyFont="1" applyFill="1" applyAlignment="1">
      <alignment horizontal="centerContinuous" vertical="center" wrapText="1"/>
    </xf>
    <xf numFmtId="0" fontId="6" fillId="4" borderId="0" xfId="0" applyFont="1" applyFill="1" applyAlignment="1">
      <alignment horizontal="centerContinuous" vertical="center" wrapText="1"/>
    </xf>
    <xf numFmtId="0" fontId="6" fillId="0" borderId="0" xfId="0" applyFont="1"/>
    <xf numFmtId="0" fontId="6" fillId="5" borderId="3" xfId="0" applyFont="1" applyFill="1" applyBorder="1" applyAlignment="1">
      <alignment horizontal="center"/>
    </xf>
    <xf numFmtId="0" fontId="6" fillId="5" borderId="26" xfId="0" applyFont="1" applyFill="1" applyBorder="1" applyAlignment="1">
      <alignment horizontal="center" wrapText="1"/>
    </xf>
    <xf numFmtId="44" fontId="6" fillId="0" borderId="2" xfId="2" applyFont="1" applyBorder="1" applyAlignment="1">
      <alignment horizontal="center"/>
    </xf>
    <xf numFmtId="0" fontId="6" fillId="5" borderId="2" xfId="0" applyFont="1" applyFill="1" applyBorder="1" applyAlignment="1">
      <alignment horizontal="center" wrapText="1"/>
    </xf>
    <xf numFmtId="44" fontId="6" fillId="0" borderId="2" xfId="2" applyFont="1" applyBorder="1"/>
    <xf numFmtId="0" fontId="6" fillId="5" borderId="2" xfId="0" applyFont="1" applyFill="1" applyBorder="1"/>
    <xf numFmtId="165" fontId="6" fillId="0" borderId="2" xfId="2" applyNumberFormat="1" applyFont="1" applyBorder="1"/>
    <xf numFmtId="164" fontId="6" fillId="0" borderId="2" xfId="2" applyNumberFormat="1" applyFont="1" applyBorder="1"/>
    <xf numFmtId="0" fontId="0" fillId="0" borderId="9" xfId="0" applyBorder="1"/>
    <xf numFmtId="0" fontId="3" fillId="5" borderId="27" xfId="0" applyFont="1" applyFill="1" applyBorder="1" applyAlignment="1">
      <alignment horizontal="centerContinuous"/>
    </xf>
    <xf numFmtId="0" fontId="3" fillId="5" borderId="10" xfId="0" applyFont="1" applyFill="1" applyBorder="1" applyAlignment="1">
      <alignment horizontal="centerContinuous"/>
    </xf>
    <xf numFmtId="0" fontId="3" fillId="5" borderId="28" xfId="0" applyFont="1" applyFill="1" applyBorder="1" applyAlignment="1">
      <alignment horizontal="centerContinuous"/>
    </xf>
    <xf numFmtId="0" fontId="3" fillId="5" borderId="21" xfId="0" applyFont="1" applyFill="1" applyBorder="1" applyAlignment="1">
      <alignment horizontal="center"/>
    </xf>
    <xf numFmtId="0" fontId="0" fillId="0" borderId="16" xfId="0" applyBorder="1" applyAlignment="1">
      <alignment horizontal="center"/>
    </xf>
    <xf numFmtId="0" fontId="0" fillId="0" borderId="21" xfId="0" applyBorder="1"/>
    <xf numFmtId="44" fontId="1" fillId="0" borderId="16" xfId="2" applyBorder="1" applyAlignment="1">
      <alignment horizontal="center"/>
    </xf>
    <xf numFmtId="0" fontId="0" fillId="0" borderId="29" xfId="0" applyBorder="1"/>
    <xf numFmtId="44" fontId="1" fillId="0" borderId="30" xfId="2" applyBorder="1" applyAlignment="1">
      <alignment horizontal="center"/>
    </xf>
    <xf numFmtId="44" fontId="1" fillId="0" borderId="19" xfId="2" applyBorder="1" applyAlignment="1">
      <alignment horizontal="center"/>
    </xf>
    <xf numFmtId="0" fontId="0" fillId="0" borderId="31" xfId="0" applyBorder="1"/>
    <xf numFmtId="0" fontId="3" fillId="5" borderId="32" xfId="0" applyFont="1" applyFill="1" applyBorder="1" applyAlignment="1">
      <alignment horizontal="centerContinuous"/>
    </xf>
    <xf numFmtId="0" fontId="3" fillId="5" borderId="33" xfId="0" applyFont="1" applyFill="1" applyBorder="1" applyAlignment="1">
      <alignment horizontal="centerContinuous"/>
    </xf>
    <xf numFmtId="0" fontId="8" fillId="0" borderId="2" xfId="0" applyFont="1" applyBorder="1" applyAlignment="1">
      <alignment vertical="top" wrapText="1"/>
    </xf>
    <xf numFmtId="0" fontId="6" fillId="0" borderId="2" xfId="0" applyFont="1" applyBorder="1" applyAlignment="1">
      <alignment horizontal="center" vertical="top" wrapText="1"/>
    </xf>
    <xf numFmtId="0" fontId="6" fillId="0" borderId="2" xfId="0" applyFont="1" applyBorder="1" applyAlignment="1">
      <alignment horizontal="center"/>
    </xf>
    <xf numFmtId="0" fontId="6" fillId="0" borderId="2" xfId="0" applyFont="1" applyBorder="1" applyAlignment="1">
      <alignment vertical="top" wrapText="1"/>
    </xf>
    <xf numFmtId="0" fontId="6" fillId="0" borderId="2" xfId="0" applyFont="1" applyBorder="1" applyAlignment="1">
      <alignment vertical="top"/>
    </xf>
    <xf numFmtId="0" fontId="0" fillId="0" borderId="0" xfId="0" applyAlignment="1">
      <alignment horizontal="centerContinuous"/>
    </xf>
    <xf numFmtId="0" fontId="9" fillId="0" borderId="0" xfId="8">
      <alignment horizontal="centerContinuous"/>
    </xf>
    <xf numFmtId="0" fontId="10" fillId="0" borderId="0" xfId="0" applyFont="1" applyAlignment="1">
      <alignment horizontal="left" indent="2"/>
    </xf>
    <xf numFmtId="0" fontId="0" fillId="0" borderId="34" xfId="0" applyBorder="1"/>
    <xf numFmtId="0" fontId="1" fillId="0" borderId="0" xfId="0" applyFont="1"/>
    <xf numFmtId="0" fontId="12" fillId="0" borderId="0" xfId="0" applyFont="1"/>
    <xf numFmtId="0" fontId="13" fillId="0" borderId="0" xfId="0" applyFont="1" applyAlignment="1">
      <alignment horizontal="left" indent="2"/>
    </xf>
    <xf numFmtId="0" fontId="14" fillId="0" borderId="0" xfId="0" applyFont="1"/>
    <xf numFmtId="0" fontId="3" fillId="0" borderId="0" xfId="0" applyFont="1" applyAlignment="1">
      <alignment horizontal="centerContinuous"/>
    </xf>
    <xf numFmtId="0" fontId="0" fillId="2" borderId="0" xfId="0" applyFill="1" applyAlignment="1">
      <alignment horizontal="center"/>
    </xf>
    <xf numFmtId="0" fontId="1" fillId="0" borderId="0" xfId="5" applyFill="1" applyBorder="1"/>
    <xf numFmtId="44" fontId="1" fillId="0" borderId="0" xfId="5" applyNumberFormat="1" applyFill="1" applyBorder="1"/>
    <xf numFmtId="0" fontId="0" fillId="0" borderId="0" xfId="0" applyFill="1"/>
    <xf numFmtId="0" fontId="0" fillId="0" borderId="0" xfId="0" applyAlignment="1">
      <alignment horizontal="left" vertical="top" wrapText="1"/>
    </xf>
    <xf numFmtId="169" fontId="0" fillId="0" borderId="0" xfId="0" applyNumberFormat="1" applyAlignment="1">
      <alignment horizontal="left" vertical="top" wrapText="1"/>
    </xf>
    <xf numFmtId="0" fontId="9" fillId="0" borderId="0" xfId="0" applyFont="1"/>
    <xf numFmtId="0" fontId="0" fillId="0" borderId="0" xfId="0" applyAlignment="1">
      <alignment wrapText="1"/>
    </xf>
    <xf numFmtId="0" fontId="1" fillId="0" borderId="0" xfId="0" quotePrefix="1" applyFont="1" applyAlignment="1">
      <alignment horizontal="left" vertical="center" readingOrder="1"/>
    </xf>
    <xf numFmtId="0" fontId="0" fillId="0" borderId="0" xfId="0" applyAlignment="1">
      <alignment horizontal="center"/>
    </xf>
    <xf numFmtId="0" fontId="1" fillId="8" borderId="0" xfId="0" applyFont="1" applyFill="1" applyAlignment="1">
      <alignment horizontal="center" wrapText="1"/>
    </xf>
    <xf numFmtId="3" fontId="0" fillId="0" borderId="0" xfId="0" applyNumberFormat="1" applyAlignment="1">
      <alignment horizontal="center"/>
    </xf>
    <xf numFmtId="3" fontId="3" fillId="9" borderId="0" xfId="0" applyNumberFormat="1" applyFont="1" applyFill="1" applyAlignment="1">
      <alignment horizontal="center"/>
    </xf>
    <xf numFmtId="0" fontId="1" fillId="0" borderId="0" xfId="0" applyFont="1" applyAlignment="1">
      <alignment horizontal="right"/>
    </xf>
    <xf numFmtId="0" fontId="1" fillId="0" borderId="0" xfId="0" quotePrefix="1" applyFont="1"/>
    <xf numFmtId="0" fontId="1" fillId="10" borderId="0" xfId="0" applyFont="1" applyFill="1" applyAlignment="1">
      <alignment wrapText="1"/>
    </xf>
    <xf numFmtId="0" fontId="0" fillId="0" borderId="0" xfId="0" applyAlignment="1">
      <alignment horizontal="left" vertical="top" wrapText="1"/>
    </xf>
    <xf numFmtId="0" fontId="1" fillId="8" borderId="0" xfId="0" applyFont="1" applyFill="1" applyAlignment="1">
      <alignment horizontal="center"/>
    </xf>
    <xf numFmtId="0" fontId="0" fillId="0" borderId="0" xfId="0" applyBorder="1" applyAlignment="1">
      <alignment horizontal="centerContinuous"/>
    </xf>
    <xf numFmtId="0" fontId="3" fillId="0" borderId="0" xfId="0" applyFont="1" applyBorder="1" applyAlignment="1">
      <alignment horizontal="centerContinuous"/>
    </xf>
    <xf numFmtId="3" fontId="0" fillId="0" borderId="0" xfId="0" applyNumberFormat="1" applyBorder="1" applyAlignment="1">
      <alignment horizontal="center"/>
    </xf>
    <xf numFmtId="0" fontId="3" fillId="12" borderId="0" xfId="0" applyFont="1" applyFill="1" applyAlignment="1">
      <alignment horizontal="centerContinuous" vertical="center"/>
    </xf>
    <xf numFmtId="0" fontId="0" fillId="12" borderId="0" xfId="0" applyFill="1" applyAlignment="1">
      <alignment horizontal="centerContinuous" vertical="center"/>
    </xf>
    <xf numFmtId="0" fontId="0" fillId="12" borderId="0" xfId="0" applyFill="1" applyAlignment="1">
      <alignment horizontal="center" wrapText="1"/>
    </xf>
    <xf numFmtId="0" fontId="0" fillId="12" borderId="0" xfId="0" applyFill="1" applyBorder="1" applyAlignment="1">
      <alignment horizontal="center" wrapText="1"/>
    </xf>
    <xf numFmtId="0" fontId="0" fillId="12" borderId="1" xfId="0" applyFill="1" applyBorder="1" applyAlignment="1">
      <alignment horizontal="centerContinuous" wrapText="1"/>
    </xf>
    <xf numFmtId="0" fontId="0" fillId="0" borderId="0" xfId="0" applyBorder="1" applyAlignment="1">
      <alignment horizontal="center"/>
    </xf>
    <xf numFmtId="44" fontId="15" fillId="0" borderId="0" xfId="10" applyNumberFormat="1" applyFill="1" applyBorder="1"/>
    <xf numFmtId="44" fontId="18" fillId="0" borderId="0" xfId="10" applyNumberFormat="1" applyFont="1" applyFill="1" applyBorder="1"/>
    <xf numFmtId="44" fontId="19" fillId="0" borderId="47" xfId="10" applyNumberFormat="1" applyFont="1" applyFill="1" applyBorder="1" applyAlignment="1">
      <alignment horizontal="right"/>
    </xf>
    <xf numFmtId="43" fontId="19" fillId="0" borderId="0" xfId="10" applyNumberFormat="1" applyFont="1" applyFill="1" applyBorder="1" applyAlignment="1">
      <alignment horizontal="right"/>
    </xf>
    <xf numFmtId="0" fontId="18" fillId="0" borderId="0" xfId="0" applyFont="1" applyBorder="1"/>
    <xf numFmtId="0" fontId="18" fillId="0" borderId="0" xfId="0" applyFont="1" applyBorder="1" applyAlignment="1">
      <alignment horizontal="center"/>
    </xf>
    <xf numFmtId="0" fontId="18" fillId="0" borderId="47" xfId="0" applyFont="1" applyBorder="1" applyAlignment="1">
      <alignment horizontal="center"/>
    </xf>
    <xf numFmtId="0" fontId="18" fillId="0" borderId="0" xfId="0" applyFont="1"/>
    <xf numFmtId="0" fontId="18" fillId="0" borderId="42" xfId="9" applyFont="1" applyFill="1" applyBorder="1"/>
    <xf numFmtId="44" fontId="18" fillId="0" borderId="43" xfId="9" applyNumberFormat="1" applyFont="1" applyFill="1" applyBorder="1"/>
    <xf numFmtId="0" fontId="18" fillId="0" borderId="34" xfId="9" applyFont="1" applyFill="1" applyBorder="1"/>
    <xf numFmtId="44" fontId="18" fillId="0" borderId="44" xfId="9" applyNumberFormat="1" applyFont="1" applyFill="1" applyBorder="1"/>
    <xf numFmtId="0" fontId="18" fillId="0" borderId="45" xfId="9" applyFont="1" applyFill="1" applyBorder="1"/>
    <xf numFmtId="44" fontId="18" fillId="0" borderId="46" xfId="9" applyNumberFormat="1" applyFont="1" applyFill="1" applyBorder="1"/>
    <xf numFmtId="0" fontId="0" fillId="0" borderId="35" xfId="0" applyBorder="1" applyAlignment="1">
      <alignment horizontal="center"/>
    </xf>
    <xf numFmtId="0" fontId="0" fillId="0" borderId="48" xfId="0" applyBorder="1" applyAlignment="1">
      <alignment horizontal="center"/>
    </xf>
    <xf numFmtId="0" fontId="18" fillId="0" borderId="0" xfId="9" applyFont="1" applyFill="1" applyBorder="1"/>
    <xf numFmtId="44" fontId="18" fillId="0" borderId="0" xfId="9" applyNumberFormat="1" applyFont="1" applyFill="1" applyBorder="1"/>
    <xf numFmtId="43" fontId="18" fillId="0" borderId="0" xfId="9" applyNumberFormat="1" applyFont="1" applyFill="1" applyBorder="1"/>
    <xf numFmtId="43" fontId="15" fillId="0" borderId="0" xfId="10" applyNumberFormat="1" applyFill="1" applyBorder="1"/>
    <xf numFmtId="0" fontId="0" fillId="12" borderId="3" xfId="0" applyFill="1" applyBorder="1" applyAlignment="1">
      <alignment horizontal="centerContinuous" wrapText="1"/>
    </xf>
    <xf numFmtId="0" fontId="0" fillId="12" borderId="26" xfId="0" applyFill="1" applyBorder="1" applyAlignment="1">
      <alignment horizontal="centerContinuous"/>
    </xf>
    <xf numFmtId="0" fontId="0" fillId="0" borderId="6" xfId="0" applyBorder="1" applyAlignment="1">
      <alignment horizontal="center"/>
    </xf>
    <xf numFmtId="0" fontId="0" fillId="0" borderId="7" xfId="0" applyBorder="1" applyAlignment="1">
      <alignment horizontal="center"/>
    </xf>
    <xf numFmtId="0" fontId="0" fillId="12" borderId="26" xfId="0" applyFill="1" applyBorder="1" applyAlignment="1">
      <alignment horizontal="centerContinuous" wrapText="1"/>
    </xf>
    <xf numFmtId="0" fontId="0" fillId="0" borderId="40" xfId="0" applyBorder="1"/>
    <xf numFmtId="0" fontId="0" fillId="0" borderId="1" xfId="0" applyBorder="1"/>
    <xf numFmtId="0" fontId="18" fillId="0" borderId="6" xfId="5" applyFont="1" applyFill="1" applyBorder="1"/>
    <xf numFmtId="44" fontId="18" fillId="0" borderId="7" xfId="5" applyNumberFormat="1" applyFont="1" applyFill="1" applyBorder="1"/>
    <xf numFmtId="164" fontId="18" fillId="0" borderId="0" xfId="2" applyNumberFormat="1" applyFont="1" applyFill="1" applyBorder="1"/>
    <xf numFmtId="9" fontId="18" fillId="0" borderId="0" xfId="5" applyNumberFormat="1" applyFont="1" applyFill="1" applyBorder="1"/>
    <xf numFmtId="9" fontId="18" fillId="0" borderId="1" xfId="5" applyNumberFormat="1" applyFont="1" applyFill="1" applyBorder="1"/>
    <xf numFmtId="43" fontId="18" fillId="0" borderId="7" xfId="5" applyNumberFormat="1" applyFont="1" applyFill="1" applyBorder="1"/>
    <xf numFmtId="0" fontId="0" fillId="12" borderId="0" xfId="0" applyFill="1" applyBorder="1" applyAlignment="1">
      <alignment horizontal="center"/>
    </xf>
    <xf numFmtId="44" fontId="1" fillId="0" borderId="0" xfId="6" applyNumberFormat="1" applyFill="1" applyBorder="1"/>
    <xf numFmtId="43" fontId="1" fillId="0" borderId="0" xfId="6" applyNumberFormat="1" applyFill="1" applyBorder="1"/>
    <xf numFmtId="0" fontId="0" fillId="12" borderId="0" xfId="0" applyFill="1"/>
    <xf numFmtId="0" fontId="0" fillId="12" borderId="0" xfId="0" applyFill="1" applyBorder="1" applyAlignment="1">
      <alignment horizontal="centerContinuous" wrapText="1"/>
    </xf>
    <xf numFmtId="0" fontId="18" fillId="0" borderId="50" xfId="5" applyFont="1" applyFill="1" applyBorder="1"/>
    <xf numFmtId="44" fontId="18" fillId="0" borderId="51" xfId="5" applyNumberFormat="1" applyFont="1" applyFill="1" applyBorder="1"/>
    <xf numFmtId="0" fontId="18" fillId="0" borderId="52" xfId="5" applyFont="1" applyFill="1" applyBorder="1"/>
    <xf numFmtId="0" fontId="18" fillId="0" borderId="54" xfId="5" applyFont="1" applyFill="1" applyBorder="1"/>
    <xf numFmtId="0" fontId="1" fillId="0" borderId="42" xfId="5" applyFill="1" applyBorder="1"/>
    <xf numFmtId="44" fontId="1" fillId="0" borderId="43" xfId="5" applyNumberFormat="1" applyFill="1" applyBorder="1"/>
    <xf numFmtId="0" fontId="1" fillId="0" borderId="34" xfId="5" applyFill="1" applyBorder="1"/>
    <xf numFmtId="0" fontId="1" fillId="0" borderId="45" xfId="5" applyFill="1" applyBorder="1"/>
    <xf numFmtId="43" fontId="1" fillId="0" borderId="44" xfId="5" applyNumberFormat="1" applyFill="1" applyBorder="1"/>
    <xf numFmtId="43" fontId="1" fillId="0" borderId="46" xfId="5" applyNumberFormat="1" applyFill="1" applyBorder="1"/>
    <xf numFmtId="0" fontId="0" fillId="12" borderId="0" xfId="0" applyFill="1" applyBorder="1" applyAlignment="1">
      <alignment horizontal="centerContinuous"/>
    </xf>
    <xf numFmtId="0" fontId="0" fillId="0" borderId="56" xfId="0" applyBorder="1" applyAlignment="1">
      <alignment horizontal="center"/>
    </xf>
    <xf numFmtId="44" fontId="1" fillId="0" borderId="42" xfId="5" applyNumberFormat="1" applyFill="1" applyBorder="1"/>
    <xf numFmtId="0" fontId="1" fillId="0" borderId="43" xfId="5" applyFill="1" applyBorder="1"/>
    <xf numFmtId="43" fontId="1" fillId="0" borderId="34" xfId="5" applyNumberFormat="1" applyFill="1" applyBorder="1"/>
    <xf numFmtId="0" fontId="1" fillId="0" borderId="44" xfId="5" applyFill="1" applyBorder="1"/>
    <xf numFmtId="43" fontId="1" fillId="0" borderId="45" xfId="5" applyNumberFormat="1" applyFill="1" applyBorder="1"/>
    <xf numFmtId="0" fontId="1" fillId="0" borderId="46" xfId="5" applyFill="1" applyBorder="1"/>
    <xf numFmtId="0" fontId="0" fillId="12" borderId="0" xfId="0" applyFill="1" applyAlignment="1">
      <alignment horizontal="centerContinuous"/>
    </xf>
    <xf numFmtId="44" fontId="18" fillId="0" borderId="0" xfId="5" applyNumberFormat="1" applyFont="1" applyFill="1" applyBorder="1"/>
    <xf numFmtId="0" fontId="18" fillId="0" borderId="0" xfId="5" applyFont="1" applyFill="1" applyBorder="1" applyAlignment="1">
      <alignment horizontal="center"/>
    </xf>
    <xf numFmtId="0" fontId="18" fillId="0" borderId="0" xfId="0" applyFont="1" applyFill="1" applyBorder="1"/>
    <xf numFmtId="0" fontId="18" fillId="0" borderId="0" xfId="5" applyFont="1" applyFill="1" applyBorder="1"/>
    <xf numFmtId="43" fontId="18" fillId="0" borderId="0" xfId="5" applyNumberFormat="1" applyFont="1" applyFill="1" applyBorder="1"/>
    <xf numFmtId="43" fontId="0" fillId="0" borderId="0" xfId="0" applyNumberFormat="1" applyFill="1" applyBorder="1"/>
    <xf numFmtId="167" fontId="18" fillId="0" borderId="0" xfId="5" applyNumberFormat="1" applyFont="1" applyFill="1" applyBorder="1"/>
    <xf numFmtId="0" fontId="18" fillId="0" borderId="0" xfId="5" applyFont="1" applyFill="1" applyBorder="1" applyAlignment="1">
      <alignment horizontal="left"/>
    </xf>
    <xf numFmtId="0" fontId="1" fillId="12" borderId="0" xfId="0" applyFont="1" applyFill="1" applyBorder="1" applyAlignment="1">
      <alignment horizontal="center" wrapText="1"/>
    </xf>
    <xf numFmtId="0" fontId="3" fillId="0" borderId="0" xfId="0" applyFont="1" applyFill="1" applyBorder="1" applyAlignment="1">
      <alignment horizontal="centerContinuous"/>
    </xf>
    <xf numFmtId="0" fontId="0" fillId="0" borderId="0" xfId="0" applyFill="1" applyBorder="1" applyAlignment="1">
      <alignment horizontal="centerContinuous"/>
    </xf>
    <xf numFmtId="0" fontId="1" fillId="0" borderId="0" xfId="0" applyFont="1" applyFill="1" applyBorder="1" applyAlignment="1">
      <alignment horizontal="center" wrapText="1"/>
    </xf>
    <xf numFmtId="0" fontId="18" fillId="0" borderId="0" xfId="0" applyFont="1" applyFill="1" applyBorder="1" applyAlignment="1">
      <alignment horizontal="center"/>
    </xf>
    <xf numFmtId="0" fontId="18" fillId="0" borderId="0" xfId="0" applyFont="1" applyFill="1" applyBorder="1" applyAlignment="1">
      <alignment horizontal="centerContinuous"/>
    </xf>
    <xf numFmtId="0" fontId="18" fillId="0" borderId="0" xfId="0" applyFont="1" applyFill="1" applyBorder="1" applyAlignment="1">
      <alignment horizontal="right"/>
    </xf>
    <xf numFmtId="0" fontId="18" fillId="12" borderId="0" xfId="0" applyFont="1" applyFill="1" applyBorder="1" applyAlignment="1">
      <alignment horizontal="centerContinuous"/>
    </xf>
    <xf numFmtId="0" fontId="20" fillId="12" borderId="0" xfId="0" applyFont="1" applyFill="1" applyBorder="1" applyAlignment="1">
      <alignment horizontal="centerContinuous"/>
    </xf>
    <xf numFmtId="0" fontId="1" fillId="12" borderId="0" xfId="0" applyFont="1" applyFill="1" applyBorder="1" applyAlignment="1">
      <alignment horizontal="centerContinuous" wrapText="1"/>
    </xf>
    <xf numFmtId="0" fontId="1" fillId="0" borderId="0" xfId="0" applyFont="1" applyBorder="1" applyAlignment="1">
      <alignment horizontal="center" wrapText="1"/>
    </xf>
    <xf numFmtId="0" fontId="0" fillId="0" borderId="0" xfId="0" applyBorder="1" applyAlignment="1">
      <alignment wrapText="1"/>
    </xf>
    <xf numFmtId="171" fontId="18" fillId="0" borderId="0" xfId="5" applyNumberFormat="1" applyFont="1" applyFill="1" applyBorder="1"/>
    <xf numFmtId="168" fontId="18" fillId="0" borderId="0" xfId="5" applyNumberFormat="1" applyFont="1" applyFill="1" applyBorder="1"/>
    <xf numFmtId="168" fontId="18" fillId="0" borderId="50" xfId="5" applyNumberFormat="1" applyFont="1" applyFill="1" applyBorder="1"/>
    <xf numFmtId="168" fontId="18" fillId="0" borderId="57" xfId="5" applyNumberFormat="1" applyFont="1" applyFill="1" applyBorder="1"/>
    <xf numFmtId="168" fontId="18" fillId="0" borderId="51" xfId="5" applyNumberFormat="1" applyFont="1" applyFill="1" applyBorder="1"/>
    <xf numFmtId="9" fontId="18" fillId="0" borderId="52" xfId="5" applyNumberFormat="1" applyFont="1" applyFill="1" applyBorder="1"/>
    <xf numFmtId="9" fontId="18" fillId="0" borderId="53" xfId="5" applyNumberFormat="1" applyFont="1" applyFill="1" applyBorder="1"/>
    <xf numFmtId="9" fontId="18" fillId="0" borderId="54" xfId="5" applyNumberFormat="1" applyFont="1" applyFill="1" applyBorder="1"/>
    <xf numFmtId="9" fontId="18" fillId="0" borderId="58" xfId="5" applyNumberFormat="1" applyFont="1" applyFill="1" applyBorder="1"/>
    <xf numFmtId="9" fontId="18" fillId="0" borderId="55" xfId="5" applyNumberFormat="1" applyFont="1" applyFill="1" applyBorder="1"/>
    <xf numFmtId="0" fontId="3" fillId="12" borderId="0" xfId="0" applyFont="1" applyFill="1" applyBorder="1" applyAlignment="1">
      <alignment horizontal="centerContinuous" wrapText="1"/>
    </xf>
    <xf numFmtId="0" fontId="3" fillId="12" borderId="0" xfId="0" applyFont="1" applyFill="1" applyBorder="1" applyAlignment="1">
      <alignment horizontal="centerContinuous"/>
    </xf>
    <xf numFmtId="0" fontId="3" fillId="12" borderId="0" xfId="0" applyFont="1" applyFill="1" applyBorder="1" applyAlignment="1">
      <alignment horizontal="centerContinuous" vertical="center"/>
    </xf>
    <xf numFmtId="0" fontId="0" fillId="12" borderId="0" xfId="0" applyFill="1" applyBorder="1" applyAlignment="1">
      <alignment horizontal="centerContinuous" vertical="center"/>
    </xf>
    <xf numFmtId="0" fontId="1" fillId="0" borderId="0" xfId="0" applyFont="1" applyBorder="1" applyAlignment="1">
      <alignment horizontal="centerContinuous" wrapText="1"/>
    </xf>
    <xf numFmtId="0" fontId="1" fillId="0" borderId="0" xfId="0" quotePrefix="1" applyFont="1" applyBorder="1" applyAlignment="1">
      <alignment horizontal="left" vertical="center" readingOrder="1"/>
    </xf>
    <xf numFmtId="0" fontId="1" fillId="0" borderId="0" xfId="0" applyFont="1" applyFill="1" applyBorder="1" applyAlignment="1">
      <alignment horizontal="centerContinuous" wrapText="1"/>
    </xf>
    <xf numFmtId="0" fontId="0" fillId="0" borderId="0" xfId="0" applyFill="1" applyBorder="1" applyAlignment="1">
      <alignment wrapText="1"/>
    </xf>
    <xf numFmtId="0" fontId="1" fillId="0" borderId="0" xfId="0" applyFont="1" applyFill="1" applyBorder="1"/>
    <xf numFmtId="0" fontId="1" fillId="0" borderId="0" xfId="0" quotePrefix="1" applyFont="1" applyFill="1" applyBorder="1" applyAlignment="1">
      <alignment horizontal="left" vertical="center" readingOrder="1"/>
    </xf>
    <xf numFmtId="0" fontId="18" fillId="13" borderId="0" xfId="0" applyFont="1" applyFill="1" applyBorder="1" applyAlignment="1">
      <alignment horizontal="center" wrapText="1"/>
    </xf>
    <xf numFmtId="43" fontId="1" fillId="0" borderId="2" xfId="2" applyNumberFormat="1" applyBorder="1"/>
    <xf numFmtId="0" fontId="18" fillId="0" borderId="2" xfId="0" applyFont="1" applyBorder="1"/>
    <xf numFmtId="0" fontId="18" fillId="0" borderId="2" xfId="0" applyFont="1" applyBorder="1" applyAlignment="1">
      <alignment horizontal="center"/>
    </xf>
    <xf numFmtId="44" fontId="18" fillId="0" borderId="2" xfId="2" applyFont="1" applyBorder="1"/>
    <xf numFmtId="43" fontId="18" fillId="0" borderId="2" xfId="2" applyNumberFormat="1" applyFont="1" applyBorder="1"/>
    <xf numFmtId="9" fontId="18" fillId="0" borderId="2" xfId="7" applyFont="1" applyBorder="1"/>
    <xf numFmtId="0" fontId="18" fillId="0" borderId="2" xfId="0" applyFont="1" applyFill="1" applyBorder="1" applyAlignment="1">
      <alignment horizontal="left"/>
    </xf>
    <xf numFmtId="44" fontId="18" fillId="0" borderId="2" xfId="2" applyFont="1" applyBorder="1" applyAlignment="1">
      <alignment horizontal="center"/>
    </xf>
    <xf numFmtId="43" fontId="18" fillId="0" borderId="2" xfId="2" applyNumberFormat="1" applyFont="1" applyBorder="1" applyAlignment="1">
      <alignment horizontal="center"/>
    </xf>
    <xf numFmtId="0" fontId="18" fillId="0" borderId="2" xfId="0" applyFont="1" applyBorder="1" applyAlignment="1">
      <alignment horizontal="left"/>
    </xf>
    <xf numFmtId="43" fontId="6" fillId="0" borderId="2" xfId="0" applyNumberFormat="1" applyFont="1" applyBorder="1"/>
    <xf numFmtId="41" fontId="18" fillId="0" borderId="2" xfId="2" applyNumberFormat="1" applyFont="1" applyBorder="1"/>
    <xf numFmtId="0" fontId="18" fillId="0" borderId="2" xfId="1" applyNumberFormat="1" applyFont="1" applyBorder="1" applyAlignment="1">
      <alignment horizontal="center"/>
    </xf>
    <xf numFmtId="166" fontId="18" fillId="0" borderId="2" xfId="1" applyNumberFormat="1" applyFont="1" applyBorder="1" applyAlignment="1">
      <alignment horizontal="center"/>
    </xf>
    <xf numFmtId="0" fontId="18" fillId="0" borderId="2" xfId="0" applyFont="1" applyFill="1" applyBorder="1"/>
    <xf numFmtId="43" fontId="6" fillId="0" borderId="16" xfId="0" applyNumberFormat="1" applyFont="1" applyBorder="1"/>
    <xf numFmtId="43" fontId="1" fillId="0" borderId="16" xfId="2" quotePrefix="1" applyNumberFormat="1" applyFont="1" applyBorder="1"/>
    <xf numFmtId="0" fontId="18" fillId="7" borderId="5" xfId="0" applyFont="1" applyFill="1" applyBorder="1"/>
    <xf numFmtId="0" fontId="18" fillId="6" borderId="5" xfId="0" applyFont="1" applyFill="1" applyBorder="1"/>
    <xf numFmtId="0" fontId="18" fillId="6" borderId="21" xfId="0" applyFont="1" applyFill="1" applyBorder="1"/>
    <xf numFmtId="0" fontId="18" fillId="6" borderId="22" xfId="0" applyFont="1" applyFill="1" applyBorder="1"/>
    <xf numFmtId="0" fontId="18" fillId="6" borderId="15" xfId="0" applyFont="1" applyFill="1" applyBorder="1" applyAlignment="1">
      <alignment horizontal="center"/>
    </xf>
    <xf numFmtId="0" fontId="18" fillId="6" borderId="16" xfId="0" applyFont="1" applyFill="1" applyBorder="1" applyAlignment="1">
      <alignment horizontal="center"/>
    </xf>
    <xf numFmtId="0" fontId="18" fillId="6" borderId="19" xfId="0" applyFont="1" applyFill="1" applyBorder="1" applyAlignment="1">
      <alignment horizontal="center"/>
    </xf>
    <xf numFmtId="0" fontId="22" fillId="14" borderId="0" xfId="12" applyFont="1" applyFill="1" applyAlignment="1">
      <alignment horizontal="left" vertical="center" wrapText="1"/>
    </xf>
    <xf numFmtId="0" fontId="1" fillId="14" borderId="0" xfId="12" applyFill="1" applyAlignment="1">
      <alignment horizontal="center" vertical="center"/>
    </xf>
    <xf numFmtId="0" fontId="1" fillId="0" borderId="0" xfId="12" applyAlignment="1">
      <alignment horizontal="center" vertical="center"/>
    </xf>
    <xf numFmtId="0" fontId="2" fillId="14" borderId="0" xfId="12" applyFont="1" applyFill="1" applyAlignment="1">
      <alignment horizontal="center" vertical="center"/>
    </xf>
    <xf numFmtId="0" fontId="2" fillId="14" borderId="0" xfId="12" applyFont="1" applyFill="1" applyAlignment="1">
      <alignment horizontal="left" vertical="center"/>
    </xf>
    <xf numFmtId="172" fontId="1" fillId="0" borderId="0" xfId="12" applyNumberFormat="1" applyAlignment="1">
      <alignment horizontal="left" vertical="center" wrapText="1" indent="2"/>
    </xf>
    <xf numFmtId="172" fontId="1" fillId="0" borderId="0" xfId="12" applyNumberFormat="1" applyAlignment="1">
      <alignment horizontal="center" vertical="center"/>
    </xf>
    <xf numFmtId="172" fontId="1" fillId="14" borderId="0" xfId="12" applyNumberFormat="1" applyFill="1" applyAlignment="1">
      <alignment horizontal="center" vertical="center"/>
    </xf>
    <xf numFmtId="172" fontId="1" fillId="15" borderId="0" xfId="12" applyNumberFormat="1" applyFill="1" applyAlignment="1">
      <alignment horizontal="center" vertical="center"/>
    </xf>
    <xf numFmtId="172" fontId="1" fillId="12" borderId="0" xfId="12" applyNumberFormat="1" applyFill="1" applyAlignment="1">
      <alignment horizontal="center" vertical="center"/>
    </xf>
    <xf numFmtId="172" fontId="1" fillId="0" borderId="0" xfId="12" applyNumberFormat="1" applyAlignment="1">
      <alignment horizontal="left" vertical="center" wrapText="1" indent="4"/>
    </xf>
    <xf numFmtId="172" fontId="1" fillId="14" borderId="0" xfId="12" applyNumberFormat="1" applyFill="1" applyAlignment="1">
      <alignment horizontal="fill" vertical="center"/>
    </xf>
    <xf numFmtId="0" fontId="1" fillId="0" borderId="0" xfId="12" applyAlignment="1">
      <alignment horizontal="left" vertical="center" wrapText="1"/>
    </xf>
    <xf numFmtId="0" fontId="0" fillId="0" borderId="0" xfId="0" applyAlignment="1">
      <alignment horizontal="centerContinuous" vertical="top" wrapText="1"/>
    </xf>
    <xf numFmtId="0" fontId="24" fillId="0" borderId="0" xfId="0" applyFont="1" applyAlignment="1"/>
    <xf numFmtId="0" fontId="9" fillId="0" borderId="0" xfId="0" applyFont="1" applyAlignment="1">
      <alignment horizontal="left"/>
    </xf>
    <xf numFmtId="173" fontId="1" fillId="0" borderId="0" xfId="14" applyNumberFormat="1" applyFont="1" applyFill="1" applyBorder="1"/>
    <xf numFmtId="173" fontId="18" fillId="0" borderId="53" xfId="14" applyNumberFormat="1" applyFont="1" applyFill="1" applyBorder="1"/>
    <xf numFmtId="173" fontId="18" fillId="0" borderId="55" xfId="14" applyNumberFormat="1" applyFont="1" applyFill="1" applyBorder="1"/>
    <xf numFmtId="174" fontId="18" fillId="0" borderId="0" xfId="5" applyNumberFormat="1" applyFont="1" applyFill="1" applyBorder="1" applyAlignment="1">
      <alignment horizontal="left"/>
    </xf>
    <xf numFmtId="0" fontId="9" fillId="0" borderId="0" xfId="8" applyFont="1" applyAlignment="1">
      <alignment horizontal="left"/>
    </xf>
    <xf numFmtId="0" fontId="1" fillId="12" borderId="0" xfId="0" applyFont="1" applyFill="1" applyBorder="1" applyAlignment="1">
      <alignment horizontal="centerContinuous"/>
    </xf>
    <xf numFmtId="0" fontId="1" fillId="0" borderId="7" xfId="0" applyFont="1" applyBorder="1" applyAlignment="1">
      <alignment horizontal="center"/>
    </xf>
    <xf numFmtId="0" fontId="1" fillId="0" borderId="6" xfId="0" applyFont="1" applyBorder="1" applyAlignment="1">
      <alignment horizontal="center"/>
    </xf>
    <xf numFmtId="0" fontId="1" fillId="14" borderId="0" xfId="12" applyFont="1" applyFill="1" applyAlignment="1">
      <alignment horizontal="center" vertical="center"/>
    </xf>
    <xf numFmtId="0" fontId="1" fillId="0" borderId="0" xfId="0" applyFont="1" applyAlignment="1">
      <alignment horizontal="centerContinuous"/>
    </xf>
    <xf numFmtId="0" fontId="27" fillId="0" borderId="0" xfId="0" applyFont="1" applyAlignment="1">
      <alignment horizontal="centerContinuous" vertical="top" wrapText="1"/>
    </xf>
    <xf numFmtId="0" fontId="27" fillId="0" borderId="0" xfId="0" applyFont="1"/>
    <xf numFmtId="0" fontId="1" fillId="0" borderId="0" xfId="0" applyFont="1" applyAlignment="1">
      <alignment horizontal="left"/>
    </xf>
    <xf numFmtId="0" fontId="4" fillId="0" borderId="0" xfId="4" applyFont="1" applyAlignment="1" applyProtection="1">
      <alignment horizontal="left"/>
    </xf>
    <xf numFmtId="0" fontId="1" fillId="0" borderId="0" xfId="8" applyFont="1">
      <alignment horizontal="centerContinuous"/>
    </xf>
    <xf numFmtId="0" fontId="1" fillId="0" borderId="0" xfId="8" applyFont="1" applyAlignment="1">
      <alignment horizontal="centerContinuous"/>
    </xf>
    <xf numFmtId="0" fontId="1" fillId="0" borderId="0" xfId="8" applyFont="1" applyAlignment="1">
      <alignment horizontal="left"/>
    </xf>
    <xf numFmtId="0" fontId="3" fillId="0" borderId="0" xfId="8" applyFont="1" applyAlignment="1">
      <alignment horizontal="centerContinuous"/>
    </xf>
    <xf numFmtId="0" fontId="3" fillId="0" borderId="0" xfId="8" applyFont="1">
      <alignment horizontal="centerContinuous"/>
    </xf>
    <xf numFmtId="0" fontId="28" fillId="14" borderId="0" xfId="12" applyFont="1" applyFill="1" applyAlignment="1">
      <alignment horizontal="left" vertical="center" wrapText="1"/>
    </xf>
    <xf numFmtId="0" fontId="29" fillId="2" borderId="0" xfId="0" applyFont="1" applyFill="1" applyAlignment="1">
      <alignment horizontal="center"/>
    </xf>
    <xf numFmtId="0" fontId="30" fillId="8" borderId="0" xfId="0" applyFont="1" applyFill="1" applyAlignment="1">
      <alignment horizontal="center"/>
    </xf>
    <xf numFmtId="0" fontId="30" fillId="8" borderId="0" xfId="0" applyFont="1" applyFill="1" applyBorder="1" applyAlignment="1">
      <alignment horizontal="center"/>
    </xf>
    <xf numFmtId="0" fontId="29" fillId="0" borderId="0" xfId="0" applyFont="1"/>
    <xf numFmtId="0" fontId="29" fillId="0" borderId="0" xfId="0" applyFont="1" applyFill="1"/>
    <xf numFmtId="0" fontId="29" fillId="0" borderId="0" xfId="0" applyFont="1" applyAlignment="1">
      <alignment horizontal="center"/>
    </xf>
    <xf numFmtId="0" fontId="1" fillId="0" borderId="0" xfId="12"/>
    <xf numFmtId="0" fontId="4" fillId="0" borderId="0" xfId="4" applyAlignment="1" applyProtection="1">
      <alignment horizontal="left"/>
    </xf>
    <xf numFmtId="175" fontId="15" fillId="0" borderId="0" xfId="9" applyNumberFormat="1" applyFill="1" applyBorder="1" applyAlignment="1">
      <alignment horizontal="left"/>
    </xf>
    <xf numFmtId="175" fontId="15" fillId="0" borderId="0" xfId="9" applyNumberFormat="1" applyFont="1" applyFill="1" applyBorder="1"/>
    <xf numFmtId="175" fontId="19" fillId="0" borderId="0" xfId="5" applyNumberFormat="1" applyFont="1" applyFill="1" applyBorder="1" applyAlignment="1">
      <alignment horizontal="left"/>
    </xf>
    <xf numFmtId="175" fontId="1" fillId="0" borderId="0" xfId="5" applyNumberFormat="1" applyFill="1" applyBorder="1" applyAlignment="1">
      <alignment horizontal="left"/>
    </xf>
    <xf numFmtId="175" fontId="1" fillId="0" borderId="0" xfId="5" applyNumberFormat="1" applyFont="1" applyFill="1" applyBorder="1" applyAlignment="1">
      <alignment horizontal="left"/>
    </xf>
    <xf numFmtId="175" fontId="18" fillId="0" borderId="0" xfId="5" applyNumberFormat="1" applyFont="1" applyFill="1" applyBorder="1" applyAlignment="1">
      <alignment horizontal="left"/>
    </xf>
    <xf numFmtId="0" fontId="1" fillId="0" borderId="0" xfId="0" applyFont="1" applyBorder="1"/>
    <xf numFmtId="174" fontId="19" fillId="0" borderId="0" xfId="5" applyNumberFormat="1" applyFont="1" applyFill="1" applyBorder="1" applyAlignment="1">
      <alignment horizontal="left"/>
    </xf>
    <xf numFmtId="0" fontId="0" fillId="0" borderId="0" xfId="0" applyFill="1" applyBorder="1" applyAlignment="1">
      <alignment horizontal="left" vertical="top"/>
    </xf>
    <xf numFmtId="0" fontId="18" fillId="0" borderId="0" xfId="0" applyFont="1" applyAlignment="1">
      <alignment horizontal="left"/>
    </xf>
    <xf numFmtId="0" fontId="18" fillId="0" borderId="0" xfId="8" applyFont="1" applyAlignment="1">
      <alignment horizontal="left"/>
    </xf>
    <xf numFmtId="0" fontId="18" fillId="0" borderId="0" xfId="12" applyFont="1" applyAlignment="1">
      <alignment horizontal="left"/>
    </xf>
    <xf numFmtId="0" fontId="33" fillId="0" borderId="0" xfId="8" applyFont="1" applyAlignment="1">
      <alignment horizontal="left"/>
    </xf>
    <xf numFmtId="0" fontId="34" fillId="0" borderId="0" xfId="8" applyFont="1" applyAlignment="1">
      <alignment horizontal="left"/>
    </xf>
    <xf numFmtId="0" fontId="35" fillId="0" borderId="0" xfId="8" applyFont="1" applyAlignment="1">
      <alignment horizontal="left"/>
    </xf>
    <xf numFmtId="0" fontId="34" fillId="0" borderId="0" xfId="0" applyFont="1" applyAlignment="1">
      <alignment horizontal="left"/>
    </xf>
    <xf numFmtId="176" fontId="0" fillId="0" borderId="0" xfId="0" applyNumberFormat="1" applyAlignment="1">
      <alignment horizontal="left" wrapText="1"/>
    </xf>
    <xf numFmtId="21" fontId="34" fillId="0" borderId="0" xfId="8" applyNumberFormat="1" applyFont="1" applyAlignment="1">
      <alignment horizontal="left"/>
    </xf>
    <xf numFmtId="0" fontId="9" fillId="0" borderId="0" xfId="12" applyFont="1" applyAlignment="1">
      <alignment horizontal="left"/>
    </xf>
    <xf numFmtId="0" fontId="1" fillId="0" borderId="0" xfId="12" applyAlignment="1">
      <alignment horizontal="left"/>
    </xf>
    <xf numFmtId="0" fontId="9" fillId="0" borderId="0" xfId="8" applyAlignment="1">
      <alignment horizontal="left"/>
    </xf>
    <xf numFmtId="0" fontId="0" fillId="0" borderId="0" xfId="0" applyAlignment="1">
      <alignment horizontal="left"/>
    </xf>
    <xf numFmtId="0" fontId="3" fillId="0" borderId="0" xfId="8" applyFont="1" applyAlignment="1">
      <alignment horizontal="left"/>
    </xf>
    <xf numFmtId="0" fontId="19" fillId="0" borderId="0" xfId="4" applyFont="1" applyAlignment="1" applyProtection="1">
      <alignment horizontal="left"/>
    </xf>
    <xf numFmtId="21" fontId="18" fillId="0" borderId="0" xfId="8" applyNumberFormat="1" applyFont="1" applyAlignment="1">
      <alignment horizontal="left"/>
    </xf>
    <xf numFmtId="21" fontId="18" fillId="0" borderId="0" xfId="0" applyNumberFormat="1" applyFont="1" applyAlignment="1">
      <alignment horizontal="left"/>
    </xf>
    <xf numFmtId="0" fontId="18" fillId="12" borderId="0" xfId="0" applyFont="1" applyFill="1" applyBorder="1" applyAlignment="1">
      <alignment horizontal="centerContinuous" wrapText="1"/>
    </xf>
    <xf numFmtId="0" fontId="20" fillId="12" borderId="0" xfId="0" applyFont="1" applyFill="1" applyBorder="1" applyAlignment="1">
      <alignment horizontal="centerContinuous" wrapText="1"/>
    </xf>
    <xf numFmtId="0" fontId="1" fillId="12" borderId="0" xfId="5" applyFill="1" applyBorder="1"/>
    <xf numFmtId="44" fontId="1" fillId="12" borderId="0" xfId="5" applyNumberFormat="1" applyFill="1" applyBorder="1"/>
    <xf numFmtId="0" fontId="0" fillId="12" borderId="0" xfId="0" applyFill="1" applyBorder="1"/>
    <xf numFmtId="0" fontId="3" fillId="12" borderId="0" xfId="0" applyFont="1" applyFill="1" applyBorder="1"/>
    <xf numFmtId="0" fontId="2" fillId="0" borderId="0" xfId="0" applyFont="1"/>
    <xf numFmtId="177" fontId="4" fillId="0" borderId="0" xfId="0" applyNumberFormat="1" applyFont="1"/>
    <xf numFmtId="177" fontId="0" fillId="0" borderId="0" xfId="0" applyNumberFormat="1"/>
    <xf numFmtId="0" fontId="36" fillId="0" borderId="0" xfId="4" applyFont="1" applyAlignment="1" applyProtection="1"/>
    <xf numFmtId="0" fontId="4" fillId="0" borderId="0" xfId="4" applyAlignment="1" applyProtection="1">
      <alignment horizontal="left" indent="1"/>
    </xf>
    <xf numFmtId="0" fontId="37" fillId="0" borderId="0" xfId="0" applyFont="1"/>
    <xf numFmtId="0" fontId="38" fillId="0" borderId="0" xfId="0" applyFont="1"/>
    <xf numFmtId="0" fontId="39" fillId="0" borderId="0" xfId="0" applyFont="1"/>
    <xf numFmtId="0" fontId="40" fillId="0" borderId="0" xfId="0" applyFont="1"/>
    <xf numFmtId="177" fontId="40" fillId="0" borderId="0" xfId="0" applyNumberFormat="1" applyFont="1"/>
    <xf numFmtId="177" fontId="41" fillId="0" borderId="0" xfId="0" applyNumberFormat="1" applyFont="1" applyAlignment="1">
      <alignment horizontal="center"/>
    </xf>
    <xf numFmtId="177" fontId="3" fillId="0" borderId="0" xfId="0" applyNumberFormat="1" applyFont="1" applyAlignment="1">
      <alignment vertical="center"/>
    </xf>
    <xf numFmtId="0" fontId="0" fillId="0" borderId="0" xfId="0" applyFill="1" applyBorder="1" applyAlignment="1">
      <alignment horizontal="left" vertical="top"/>
    </xf>
    <xf numFmtId="0" fontId="4" fillId="0" borderId="0" xfId="4" applyAlignment="1" applyProtection="1"/>
    <xf numFmtId="0" fontId="0" fillId="0" borderId="0" xfId="0" quotePrefix="1"/>
    <xf numFmtId="0" fontId="0" fillId="0" borderId="0" xfId="0" applyAlignment="1" applyProtection="1">
      <alignment horizontal="left" vertical="center" wrapText="1"/>
      <protection locked="0"/>
    </xf>
    <xf numFmtId="178" fontId="42" fillId="0" borderId="0" xfId="0" quotePrefix="1" applyNumberFormat="1" applyFont="1" applyAlignment="1">
      <alignment horizontal="center" vertical="center"/>
    </xf>
    <xf numFmtId="178" fontId="42" fillId="0" borderId="0" xfId="0" applyNumberFormat="1" applyFont="1" applyAlignment="1" applyProtection="1">
      <alignment horizontal="center" vertical="center"/>
      <protection locked="0"/>
    </xf>
    <xf numFmtId="178" fontId="42" fillId="0" borderId="0" xfId="0" applyNumberFormat="1" applyFont="1" applyAlignment="1">
      <alignment horizontal="center" vertical="center"/>
    </xf>
    <xf numFmtId="172" fontId="3" fillId="15" borderId="0" xfId="12" applyNumberFormat="1" applyFont="1" applyFill="1" applyAlignment="1">
      <alignment horizontal="left" vertical="center" wrapText="1"/>
    </xf>
    <xf numFmtId="0" fontId="0" fillId="15" borderId="0" xfId="0" applyFill="1"/>
    <xf numFmtId="0" fontId="46" fillId="0" borderId="0" xfId="0" applyFont="1" applyAlignment="1">
      <alignment horizontal="center" vertical="center"/>
    </xf>
    <xf numFmtId="179" fontId="0" fillId="12" borderId="0" xfId="0" applyNumberFormat="1" applyFill="1" applyBorder="1" applyAlignment="1">
      <alignment horizontal="center" wrapText="1"/>
    </xf>
    <xf numFmtId="179" fontId="0" fillId="0" borderId="0" xfId="17" applyNumberFormat="1" applyFont="1" applyAlignment="1">
      <alignment horizontal="center"/>
    </xf>
    <xf numFmtId="177" fontId="37" fillId="0" borderId="0" xfId="0" applyNumberFormat="1" applyFont="1" applyAlignment="1">
      <alignment horizontal="left"/>
    </xf>
    <xf numFmtId="0" fontId="3" fillId="0" borderId="0" xfId="0" applyFont="1" applyAlignment="1">
      <alignment vertical="top"/>
    </xf>
    <xf numFmtId="0" fontId="1" fillId="0" borderId="0" xfId="0" applyFont="1" applyAlignment="1">
      <alignment vertical="top" wrapText="1"/>
    </xf>
    <xf numFmtId="0" fontId="0" fillId="0" borderId="0" xfId="0" applyAlignment="1">
      <alignment horizontal="left" vertical="center" wrapText="1"/>
    </xf>
    <xf numFmtId="0" fontId="1" fillId="0" borderId="0" xfId="0"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0" fontId="3" fillId="15" borderId="0" xfId="0" applyFont="1" applyFill="1" applyAlignment="1" applyProtection="1">
      <alignment horizontal="left" vertical="center" wrapText="1"/>
      <protection locked="0"/>
    </xf>
    <xf numFmtId="178" fontId="42" fillId="15" borderId="0" xfId="0" quotePrefix="1" applyNumberFormat="1" applyFont="1" applyFill="1" applyAlignment="1">
      <alignment horizontal="center" vertical="center"/>
    </xf>
    <xf numFmtId="172" fontId="1" fillId="0" borderId="0" xfId="12" applyNumberFormat="1" applyAlignment="1">
      <alignment horizontal="left" vertical="center" wrapText="1"/>
    </xf>
    <xf numFmtId="0" fontId="0" fillId="14" borderId="0" xfId="0" applyFill="1"/>
    <xf numFmtId="172" fontId="3" fillId="14" borderId="0" xfId="12" applyNumberFormat="1" applyFont="1" applyFill="1" applyAlignment="1">
      <alignment horizontal="left" vertical="center" wrapText="1"/>
    </xf>
    <xf numFmtId="0" fontId="3" fillId="12" borderId="0" xfId="0" applyFont="1" applyFill="1" applyAlignment="1" applyProtection="1">
      <alignment horizontal="left" vertical="center" wrapText="1"/>
      <protection locked="0"/>
    </xf>
    <xf numFmtId="178" fontId="42" fillId="12" borderId="0" xfId="0" quotePrefix="1" applyNumberFormat="1" applyFont="1" applyFill="1" applyAlignment="1">
      <alignment horizontal="center" vertical="center"/>
    </xf>
    <xf numFmtId="0" fontId="1" fillId="14" borderId="0" xfId="0" applyFont="1" applyFill="1"/>
    <xf numFmtId="0" fontId="4" fillId="14" borderId="0" xfId="4" applyFont="1" applyFill="1" applyAlignment="1" applyProtection="1">
      <alignment horizontal="left"/>
    </xf>
    <xf numFmtId="0" fontId="1" fillId="14" borderId="0" xfId="12" applyFill="1" applyAlignment="1">
      <alignment horizontal="left" vertical="center"/>
    </xf>
    <xf numFmtId="172" fontId="11" fillId="0" borderId="0" xfId="12" applyNumberFormat="1" applyFont="1" applyAlignment="1">
      <alignment horizontal="left" vertical="center" wrapText="1"/>
    </xf>
    <xf numFmtId="172" fontId="41" fillId="12" borderId="0" xfId="12" applyNumberFormat="1" applyFont="1" applyFill="1" applyAlignment="1">
      <alignment horizontal="left" vertical="center" wrapText="1"/>
    </xf>
    <xf numFmtId="172" fontId="1" fillId="15" borderId="0" xfId="12" applyNumberFormat="1" applyFill="1" applyAlignment="1">
      <alignment horizontal="left" vertical="center" wrapText="1" indent="3"/>
    </xf>
    <xf numFmtId="172" fontId="1" fillId="14" borderId="0" xfId="12" applyNumberFormat="1" applyFill="1" applyAlignment="1">
      <alignment horizontal="left" vertical="center" wrapText="1" indent="4"/>
    </xf>
    <xf numFmtId="172" fontId="1" fillId="15" borderId="0" xfId="12" applyNumberFormat="1" applyFill="1" applyAlignment="1">
      <alignment horizontal="left" vertical="center" wrapText="1" indent="4"/>
    </xf>
    <xf numFmtId="172" fontId="1" fillId="15" borderId="0" xfId="12" applyNumberFormat="1" applyFill="1" applyAlignment="1">
      <alignment horizontal="left" vertical="center" wrapText="1"/>
    </xf>
    <xf numFmtId="172" fontId="1" fillId="14" borderId="0" xfId="12" applyNumberFormat="1" applyFill="1" applyAlignment="1">
      <alignment horizontal="left" vertical="center" wrapText="1" indent="1"/>
    </xf>
    <xf numFmtId="0" fontId="0" fillId="17" borderId="0" xfId="0" applyFill="1"/>
    <xf numFmtId="0" fontId="0" fillId="17" borderId="1" xfId="0" applyFill="1" applyBorder="1"/>
    <xf numFmtId="0" fontId="0" fillId="17" borderId="7" xfId="0" applyFill="1" applyBorder="1"/>
    <xf numFmtId="0" fontId="0" fillId="17" borderId="26" xfId="0" applyFill="1" applyBorder="1"/>
    <xf numFmtId="0" fontId="0" fillId="17" borderId="49" xfId="0" applyFill="1" applyBorder="1"/>
    <xf numFmtId="0" fontId="47" fillId="12" borderId="0" xfId="0" applyFont="1" applyFill="1" applyBorder="1" applyAlignment="1">
      <alignment horizontal="centerContinuous" wrapText="1"/>
    </xf>
    <xf numFmtId="0" fontId="19" fillId="12" borderId="0" xfId="0" applyFont="1" applyFill="1" applyBorder="1" applyAlignment="1">
      <alignment horizontal="centerContinuous" wrapText="1"/>
    </xf>
    <xf numFmtId="0" fontId="20" fillId="13" borderId="0" xfId="0" applyFont="1" applyFill="1" applyBorder="1" applyAlignment="1">
      <alignment horizontal="center" wrapText="1"/>
    </xf>
    <xf numFmtId="0" fontId="19" fillId="12" borderId="0" xfId="0" applyFont="1" applyFill="1" applyBorder="1" applyAlignment="1">
      <alignment horizontal="center"/>
    </xf>
    <xf numFmtId="0" fontId="19" fillId="12" borderId="0" xfId="0" applyFont="1" applyFill="1" applyBorder="1" applyAlignment="1">
      <alignment horizontal="center" wrapText="1"/>
    </xf>
    <xf numFmtId="172" fontId="1" fillId="0" borderId="0" xfId="12" applyNumberFormat="1" applyFont="1" applyAlignment="1">
      <alignment horizontal="left" vertical="center" wrapText="1" indent="1"/>
    </xf>
    <xf numFmtId="172" fontId="1" fillId="0" borderId="0" xfId="12" applyNumberFormat="1" applyBorder="1" applyAlignment="1">
      <alignment horizontal="left" vertical="center" wrapText="1" indent="3"/>
    </xf>
    <xf numFmtId="172" fontId="1" fillId="0" borderId="0" xfId="12" applyNumberFormat="1" applyBorder="1" applyAlignment="1">
      <alignment horizontal="center" vertical="center"/>
    </xf>
    <xf numFmtId="0" fontId="1" fillId="0" borderId="0" xfId="0" applyFont="1" applyAlignment="1">
      <alignment horizontal="left" vertical="center" wrapText="1"/>
    </xf>
    <xf numFmtId="172" fontId="1" fillId="0" borderId="0" xfId="12" applyNumberFormat="1" applyBorder="1" applyAlignment="1">
      <alignment horizontal="left" vertical="center" wrapText="1"/>
    </xf>
    <xf numFmtId="0" fontId="0" fillId="12" borderId="3" xfId="0" applyFill="1" applyBorder="1" applyAlignment="1">
      <alignment horizontal="center" wrapText="1"/>
    </xf>
    <xf numFmtId="0" fontId="0" fillId="12" borderId="4" xfId="0" applyFill="1" applyBorder="1" applyAlignment="1">
      <alignment horizontal="center" wrapText="1"/>
    </xf>
    <xf numFmtId="0" fontId="1" fillId="16"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xf>
    <xf numFmtId="0" fontId="0" fillId="5" borderId="1" xfId="0" applyFill="1" applyBorder="1" applyAlignment="1">
      <alignment horizontal="center" wrapText="1"/>
    </xf>
    <xf numFmtId="0" fontId="0" fillId="5" borderId="1" xfId="0" applyFill="1" applyBorder="1" applyAlignment="1">
      <alignment horizontal="center"/>
    </xf>
    <xf numFmtId="0" fontId="5" fillId="5" borderId="30" xfId="0" applyFont="1" applyFill="1" applyBorder="1" applyAlignment="1">
      <alignment horizontal="center"/>
    </xf>
    <xf numFmtId="0" fontId="3" fillId="5" borderId="2" xfId="0" applyFont="1" applyFill="1" applyBorder="1" applyAlignment="1">
      <alignment horizontal="center"/>
    </xf>
    <xf numFmtId="0" fontId="0" fillId="5" borderId="2" xfId="0" applyFill="1" applyBorder="1" applyAlignment="1">
      <alignment horizontal="center"/>
    </xf>
    <xf numFmtId="0" fontId="5" fillId="5" borderId="36" xfId="0" applyFont="1" applyFill="1" applyBorder="1" applyAlignment="1">
      <alignment horizontal="center" vertical="center" wrapText="1"/>
    </xf>
    <xf numFmtId="0" fontId="5" fillId="5" borderId="37" xfId="0" applyFont="1" applyFill="1" applyBorder="1" applyAlignment="1">
      <alignment horizontal="center" vertical="center" wrapText="1"/>
    </xf>
    <xf numFmtId="0" fontId="5" fillId="5" borderId="38" xfId="0" applyFont="1" applyFill="1" applyBorder="1" applyAlignment="1">
      <alignment horizontal="center" vertical="center" wrapText="1"/>
    </xf>
    <xf numFmtId="0" fontId="18" fillId="6" borderId="39" xfId="0" applyFont="1" applyFill="1" applyBorder="1" applyAlignment="1">
      <alignment horizontal="center"/>
    </xf>
    <xf numFmtId="0" fontId="18" fillId="6" borderId="10" xfId="0" applyFont="1" applyFill="1" applyBorder="1" applyAlignment="1">
      <alignment horizontal="center"/>
    </xf>
    <xf numFmtId="0" fontId="18" fillId="6" borderId="28" xfId="0" applyFont="1" applyFill="1" applyBorder="1" applyAlignment="1">
      <alignment horizontal="center"/>
    </xf>
  </cellXfs>
  <cellStyles count="18">
    <cellStyle name="Comma" xfId="1" builtinId="3"/>
    <cellStyle name="Comma [0]" xfId="14" builtinId="6"/>
    <cellStyle name="Currency" xfId="2" builtinId="4"/>
    <cellStyle name="Currency [0]" xfId="17" builtinId="7"/>
    <cellStyle name="currencywithzero" xfId="3" xr:uid="{00000000-0005-0000-0000-000002000000}"/>
    <cellStyle name="Hyperlink" xfId="4" builtinId="8"/>
    <cellStyle name="Hyperlink 2" xfId="16" xr:uid="{F5B71AEC-1847-47E1-B710-E72878FD3D72}"/>
    <cellStyle name="Input" xfId="5" builtinId="20" customBuiltin="1"/>
    <cellStyle name="Input 2" xfId="9" xr:uid="{00000000-0005-0000-0000-000005000000}"/>
    <cellStyle name="Normal" xfId="0" builtinId="0"/>
    <cellStyle name="Normal 2" xfId="11" xr:uid="{00000000-0005-0000-0000-000007000000}"/>
    <cellStyle name="Normal 3" xfId="12" xr:uid="{00000000-0005-0000-0000-000008000000}"/>
    <cellStyle name="Normal 4" xfId="15" xr:uid="{2705058F-28DE-4892-A34C-975A083B43F2}"/>
    <cellStyle name="Note" xfId="13" builtinId="10" customBuiltin="1"/>
    <cellStyle name="Output" xfId="6" builtinId="21" customBuiltin="1"/>
    <cellStyle name="Output 2" xfId="10" xr:uid="{00000000-0005-0000-0000-00000B000000}"/>
    <cellStyle name="Percent" xfId="7" builtinId="5"/>
    <cellStyle name="Title" xfId="8" builtinId="15" customBuiltin="1"/>
  </cellStyles>
  <dxfs count="148">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ont>
        <b/>
        <i val="0"/>
        <color rgb="FFFF0000"/>
      </font>
    </dxf>
    <dxf>
      <fill>
        <patternFill>
          <fgColor indexed="64"/>
          <bgColor rgb="FFDDDDDD"/>
        </patternFill>
      </fill>
    </dxf>
    <dxf>
      <fill>
        <patternFill>
          <fgColor indexed="64"/>
          <bgColor rgb="FFDDDDDD"/>
        </patternFill>
      </fill>
    </dxf>
    <dxf>
      <fill>
        <patternFill>
          <fgColor indexed="64"/>
          <bgColor rgb="FFDDDDDD"/>
        </patternFill>
      </fill>
    </dxf>
    <dxf>
      <font>
        <b/>
        <i val="0"/>
        <color rgb="FFFF0000"/>
      </font>
    </dxf>
    <dxf>
      <fill>
        <patternFill>
          <fgColor indexed="64"/>
          <bgColor rgb="FFDDDDDD"/>
        </patternFill>
      </fill>
    </dxf>
    <dxf>
      <fill>
        <patternFill>
          <fgColor indexed="64"/>
          <bgColor rgb="FFDDDDDD"/>
        </patternFill>
      </fill>
    </dxf>
    <dxf>
      <font>
        <b/>
        <i val="0"/>
        <color rgb="FFFF0000"/>
      </font>
    </dxf>
    <dxf>
      <fill>
        <patternFill>
          <fgColor indexed="64"/>
          <bgColor rgb="FFDDDDDD"/>
        </patternFill>
      </fill>
    </dxf>
    <dxf>
      <font>
        <b/>
        <i val="0"/>
        <color rgb="FFFF0000"/>
      </font>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ont>
        <b/>
        <i val="0"/>
        <color rgb="FFFF0000"/>
      </font>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ont>
        <color rgb="FF000000"/>
      </font>
    </dxf>
    <dxf>
      <font>
        <color rgb="FF000000"/>
      </font>
    </dxf>
    <dxf>
      <font>
        <color rgb="FF000000"/>
      </font>
    </dxf>
    <dxf>
      <font>
        <color rgb="FF000000"/>
      </font>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ont>
        <b/>
        <i val="0"/>
        <color rgb="FFFF0000"/>
      </font>
    </dxf>
    <dxf>
      <font>
        <b/>
        <i val="0"/>
        <color rgb="FFFF0000"/>
      </font>
    </dxf>
    <dxf>
      <fill>
        <patternFill>
          <fgColor indexed="64"/>
          <bgColor rgb="FFDDDDDD"/>
        </patternFill>
      </fill>
    </dxf>
    <dxf>
      <font>
        <b/>
        <i val="0"/>
        <color rgb="FFFF0000"/>
      </font>
    </dxf>
    <dxf>
      <fill>
        <patternFill>
          <fgColor indexed="64"/>
          <bgColor rgb="FFDDDDDD"/>
        </patternFill>
      </fill>
    </dxf>
    <dxf>
      <fill>
        <patternFill>
          <fgColor indexed="64"/>
          <bgColor rgb="FFDDDDDD"/>
        </patternFill>
      </fill>
    </dxf>
    <dxf>
      <font>
        <b/>
        <i val="0"/>
        <color rgb="FFFF0000"/>
      </font>
    </dxf>
    <dxf>
      <font>
        <b/>
        <i val="0"/>
        <color rgb="FFFF0000"/>
      </font>
    </dxf>
    <dxf>
      <fill>
        <patternFill>
          <fgColor indexed="64"/>
          <bgColor rgb="FFDDDDDD"/>
        </patternFill>
      </fill>
    </dxf>
    <dxf>
      <font>
        <b/>
        <i val="0"/>
        <color rgb="FFFF0000"/>
      </font>
    </dxf>
    <dxf>
      <fill>
        <patternFill>
          <fgColor indexed="64"/>
          <bgColor rgb="FFDDDDDD"/>
        </patternFill>
      </fill>
    </dxf>
    <dxf>
      <font>
        <b/>
        <i val="0"/>
        <color rgb="FFFF0000"/>
      </font>
    </dxf>
    <dxf>
      <fill>
        <patternFill>
          <fgColor indexed="64"/>
          <bgColor rgb="FFDDDDDD"/>
        </patternFill>
      </fill>
    </dxf>
    <dxf>
      <fill>
        <patternFill>
          <fgColor indexed="64"/>
          <bgColor rgb="FFDDDDDD"/>
        </patternFill>
      </fill>
    </dxf>
    <dxf>
      <fill>
        <patternFill>
          <fgColor indexed="64"/>
          <bgColor rgb="FFDDDDDD"/>
        </patternFill>
      </fill>
    </dxf>
    <dxf>
      <font>
        <b/>
        <i val="0"/>
        <color rgb="FFFF0000"/>
      </font>
    </dxf>
    <dxf>
      <fill>
        <patternFill>
          <fgColor indexed="64"/>
          <bgColor rgb="FFDDDDDD"/>
        </patternFill>
      </fill>
    </dxf>
    <dxf>
      <fill>
        <patternFill>
          <fgColor indexed="64"/>
          <bgColor rgb="FFDDDDDD"/>
        </patternFill>
      </fill>
    </dxf>
    <dxf>
      <font>
        <color rgb="FF000000"/>
      </font>
    </dxf>
    <dxf>
      <fill>
        <patternFill>
          <fgColor indexed="64"/>
          <bgColor rgb="FFDDDDDD"/>
        </patternFill>
      </fill>
    </dxf>
    <dxf>
      <fill>
        <patternFill>
          <fgColor indexed="64"/>
          <bgColor rgb="FFDDDDDD"/>
        </patternFill>
      </fill>
    </dxf>
    <dxf>
      <font>
        <color rgb="FF000000"/>
      </font>
    </dxf>
    <dxf>
      <fill>
        <patternFill>
          <fgColor indexed="64"/>
          <bgColor rgb="FFDDDDDD"/>
        </patternFill>
      </fill>
    </dxf>
    <dxf>
      <fill>
        <patternFill>
          <fgColor indexed="64"/>
          <bgColor rgb="FFDDDDDD"/>
        </patternFill>
      </fill>
    </dxf>
    <dxf>
      <font>
        <color rgb="FF000000"/>
      </font>
    </dxf>
    <dxf>
      <font>
        <color rgb="FF000000"/>
      </font>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ont>
        <color rgb="FF000000"/>
      </font>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ont>
        <color rgb="FF000000"/>
      </font>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ill>
        <patternFill>
          <fgColor indexed="64"/>
          <bgColor rgb="FFDDDDDD"/>
        </patternFill>
      </fill>
    </dxf>
    <dxf>
      <font>
        <color rgb="FF000000"/>
      </font>
    </dxf>
    <dxf>
      <fill>
        <patternFill>
          <fgColor indexed="64"/>
          <bgColor rgb="FFDDDDDD"/>
        </patternFill>
      </fill>
    </dxf>
    <dxf>
      <font>
        <color rgb="FF000000"/>
      </font>
    </dxf>
    <dxf>
      <fill>
        <patternFill>
          <fgColor indexed="64"/>
          <bgColor rgb="FFDDDDDD"/>
        </patternFill>
      </fill>
    </dxf>
    <dxf>
      <fill>
        <patternFill>
          <fgColor indexed="64"/>
          <bgColor rgb="FFDDDDDD"/>
        </patternFill>
      </fill>
    </dxf>
    <dxf>
      <fill>
        <patternFill>
          <fgColor indexed="64"/>
          <bgColor rgb="FFDDDDDD"/>
        </patternFill>
      </fill>
    </dxf>
    <dxf>
      <font>
        <color rgb="FF000000"/>
      </font>
    </dxf>
    <dxf>
      <font>
        <color rgb="FF000000"/>
      </font>
    </dxf>
    <dxf>
      <fill>
        <patternFill>
          <fgColor indexed="64"/>
          <bgColor rgb="FFDDDDDD"/>
        </patternFill>
      </fill>
    </dxf>
    <dxf>
      <font>
        <color rgb="FF000000"/>
      </font>
    </dxf>
    <dxf>
      <fill>
        <patternFill>
          <fgColor indexed="64"/>
          <bgColor rgb="FFDDDDDD"/>
        </patternFill>
      </fill>
    </dxf>
    <dxf>
      <fill>
        <patternFill>
          <fgColor indexed="64"/>
          <bgColor rgb="FFDDDDDD"/>
        </patternFill>
      </fill>
    </dxf>
    <dxf>
      <font>
        <b/>
        <i val="0"/>
        <color rgb="FFFF0000"/>
      </font>
    </dxf>
    <dxf>
      <fill>
        <patternFill>
          <bgColor rgb="FFFFFF00"/>
        </patternFill>
      </fill>
    </dxf>
    <dxf>
      <font>
        <color auto="1"/>
      </font>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auto="1"/>
      </font>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auto="1"/>
      </font>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auto="1"/>
      </font>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numFmt numFmtId="35" formatCode="_(* #,##0.00_);_(* \(#,##0.00\);_(* &quot;-&quot;??_);_(@_)"/>
      <fill>
        <patternFill patternType="none">
          <fgColor indexed="64"/>
          <bgColor indexed="65"/>
        </patternFill>
      </fill>
    </dxf>
    <dxf>
      <font>
        <b val="0"/>
        <i val="0"/>
        <strike val="0"/>
        <condense val="0"/>
        <extend val="0"/>
        <outline val="0"/>
        <shadow val="0"/>
        <u val="none"/>
        <vertAlign val="baseline"/>
        <sz val="10"/>
        <color rgb="FF0070C0"/>
        <name val="Arial"/>
        <family val="2"/>
        <scheme val="none"/>
      </font>
    </dxf>
    <dxf>
      <font>
        <b val="0"/>
        <i val="0"/>
        <strike val="0"/>
        <condense val="0"/>
        <extend val="0"/>
        <outline val="0"/>
        <shadow val="0"/>
        <u val="none"/>
        <vertAlign val="baseline"/>
        <sz val="10"/>
        <color rgb="FF0070C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70C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70C0"/>
        <name val="Arial"/>
        <family val="2"/>
        <scheme val="none"/>
      </font>
    </dxf>
    <dxf>
      <font>
        <color indexed="8"/>
      </font>
      <fill>
        <patternFill patternType="solid">
          <fgColor indexed="64"/>
          <bgColor theme="4" tint="0.79998168889431442"/>
        </patternFill>
      </fill>
      <alignment horizontal="center" vertical="bottom" textRotation="0" wrapText="0" indent="0" justifyLastLine="0" shrinkToFit="0" readingOrder="0"/>
    </dxf>
  </dxfs>
  <tableStyles count="0" defaultTableStyle="TableStyleMedium9" defaultPivotStyle="PivotStyleLight16"/>
  <colors>
    <mruColors>
      <color rgb="FFFFFFCC"/>
      <color rgb="FF99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642938</xdr:colOff>
      <xdr:row>5</xdr:row>
      <xdr:rowOff>2382</xdr:rowOff>
    </xdr:from>
    <xdr:to>
      <xdr:col>17</xdr:col>
      <xdr:colOff>398859</xdr:colOff>
      <xdr:row>20</xdr:row>
      <xdr:rowOff>52629</xdr:rowOff>
    </xdr:to>
    <xdr:pic>
      <xdr:nvPicPr>
        <xdr:cNvPr id="9249" name="Picture 4" descr="Table5-3">
          <a:extLst>
            <a:ext uri="{FF2B5EF4-FFF2-40B4-BE49-F238E27FC236}">
              <a16:creationId xmlns:a16="http://schemas.microsoft.com/office/drawing/2014/main" id="{00000000-0008-0000-0400-000021240000}"/>
            </a:ext>
          </a:extLst>
        </xdr:cNvPr>
        <xdr:cNvPicPr>
          <a:picLocks noChangeAspect="1" noChangeArrowheads="1"/>
        </xdr:cNvPicPr>
      </xdr:nvPicPr>
      <xdr:blipFill>
        <a:blip xmlns:r="http://schemas.openxmlformats.org/officeDocument/2006/relationships" r:embed="rId1" cstate="print"/>
        <a:srcRect t="8035"/>
        <a:stretch>
          <a:fillRect/>
        </a:stretch>
      </xdr:blipFill>
      <xdr:spPr bwMode="auto">
        <a:xfrm>
          <a:off x="4792266" y="710804"/>
          <a:ext cx="5917406" cy="2461263"/>
        </a:xfrm>
        <a:prstGeom prst="rect">
          <a:avLst/>
        </a:prstGeom>
        <a:noFill/>
        <a:ln w="9525">
          <a:noFill/>
          <a:miter lim="800000"/>
          <a:headEnd/>
          <a:tailEnd/>
        </a:ln>
      </xdr:spPr>
    </xdr:pic>
    <xdr:clientData/>
  </xdr:twoCellAnchor>
  <xdr:twoCellAnchor editAs="oneCell">
    <xdr:from>
      <xdr:col>0</xdr:col>
      <xdr:colOff>95250</xdr:colOff>
      <xdr:row>5</xdr:row>
      <xdr:rowOff>1</xdr:rowOff>
    </xdr:from>
    <xdr:to>
      <xdr:col>7</xdr:col>
      <xdr:colOff>434578</xdr:colOff>
      <xdr:row>20</xdr:row>
      <xdr:rowOff>84373</xdr:rowOff>
    </xdr:to>
    <xdr:pic>
      <xdr:nvPicPr>
        <xdr:cNvPr id="2" name="Picture 1">
          <a:extLst>
            <a:ext uri="{FF2B5EF4-FFF2-40B4-BE49-F238E27FC236}">
              <a16:creationId xmlns:a16="http://schemas.microsoft.com/office/drawing/2014/main" id="{D5D92088-EA58-4094-9208-4EAFD53D7A6B}"/>
            </a:ext>
          </a:extLst>
        </xdr:cNvPr>
        <xdr:cNvPicPr>
          <a:picLocks noChangeAspect="1"/>
        </xdr:cNvPicPr>
      </xdr:nvPicPr>
      <xdr:blipFill>
        <a:blip xmlns:r="http://schemas.openxmlformats.org/officeDocument/2006/relationships" r:embed="rId2"/>
        <a:stretch>
          <a:fillRect/>
        </a:stretch>
      </xdr:blipFill>
      <xdr:spPr>
        <a:xfrm>
          <a:off x="95250" y="708423"/>
          <a:ext cx="4488656" cy="24953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22531</xdr:colOff>
      <xdr:row>5</xdr:row>
      <xdr:rowOff>17859</xdr:rowOff>
    </xdr:from>
    <xdr:to>
      <xdr:col>15</xdr:col>
      <xdr:colOff>399969</xdr:colOff>
      <xdr:row>25</xdr:row>
      <xdr:rowOff>136371</xdr:rowOff>
    </xdr:to>
    <xdr:pic>
      <xdr:nvPicPr>
        <xdr:cNvPr id="7232" name="Picture 7" descr="Figure5-4">
          <a:extLst>
            <a:ext uri="{FF2B5EF4-FFF2-40B4-BE49-F238E27FC236}">
              <a16:creationId xmlns:a16="http://schemas.microsoft.com/office/drawing/2014/main" id="{00000000-0008-0000-0700-0000401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690031" y="726281"/>
          <a:ext cx="2806313" cy="379159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372132</xdr:colOff>
      <xdr:row>7</xdr:row>
      <xdr:rowOff>123143</xdr:rowOff>
    </xdr:from>
    <xdr:to>
      <xdr:col>16</xdr:col>
      <xdr:colOff>410965</xdr:colOff>
      <xdr:row>25</xdr:row>
      <xdr:rowOff>116573</xdr:rowOff>
    </xdr:to>
    <xdr:grpSp>
      <xdr:nvGrpSpPr>
        <xdr:cNvPr id="8540" name="Group 46">
          <a:extLst>
            <a:ext uri="{FF2B5EF4-FFF2-40B4-BE49-F238E27FC236}">
              <a16:creationId xmlns:a16="http://schemas.microsoft.com/office/drawing/2014/main" id="{00000000-0008-0000-0800-00005C210000}"/>
            </a:ext>
          </a:extLst>
        </xdr:cNvPr>
        <xdr:cNvGrpSpPr>
          <a:grpSpLocks/>
        </xdr:cNvGrpSpPr>
      </xdr:nvGrpSpPr>
      <xdr:grpSpPr bwMode="auto">
        <a:xfrm>
          <a:off x="6422149" y="1279281"/>
          <a:ext cx="3704316" cy="3284482"/>
          <a:chOff x="513" y="79"/>
          <a:chExt cx="452" cy="326"/>
        </a:xfrm>
      </xdr:grpSpPr>
      <xdr:grpSp>
        <xdr:nvGrpSpPr>
          <xdr:cNvPr id="8545" name="Group 45">
            <a:extLst>
              <a:ext uri="{FF2B5EF4-FFF2-40B4-BE49-F238E27FC236}">
                <a16:creationId xmlns:a16="http://schemas.microsoft.com/office/drawing/2014/main" id="{00000000-0008-0000-0800-000061210000}"/>
              </a:ext>
            </a:extLst>
          </xdr:cNvPr>
          <xdr:cNvGrpSpPr>
            <a:grpSpLocks/>
          </xdr:cNvGrpSpPr>
        </xdr:nvGrpSpPr>
        <xdr:grpSpPr bwMode="auto">
          <a:xfrm>
            <a:off x="513" y="79"/>
            <a:ext cx="452" cy="326"/>
            <a:chOff x="513" y="79"/>
            <a:chExt cx="452" cy="326"/>
          </a:xfrm>
        </xdr:grpSpPr>
        <xdr:sp macro="" textlink="">
          <xdr:nvSpPr>
            <xdr:cNvPr id="8547" name="Rectangle 10">
              <a:extLst>
                <a:ext uri="{FF2B5EF4-FFF2-40B4-BE49-F238E27FC236}">
                  <a16:creationId xmlns:a16="http://schemas.microsoft.com/office/drawing/2014/main" id="{00000000-0008-0000-0800-000063210000}"/>
                </a:ext>
              </a:extLst>
            </xdr:cNvPr>
            <xdr:cNvSpPr>
              <a:spLocks noChangeArrowheads="1"/>
            </xdr:cNvSpPr>
          </xdr:nvSpPr>
          <xdr:spPr bwMode="auto">
            <a:xfrm>
              <a:off x="513" y="79"/>
              <a:ext cx="452" cy="326"/>
            </a:xfrm>
            <a:prstGeom prst="rect">
              <a:avLst/>
            </a:prstGeom>
            <a:solidFill>
              <a:srgbClr val="FFFFFF"/>
            </a:solidFill>
            <a:ln w="9525" algn="ctr">
              <a:solidFill>
                <a:srgbClr val="000000"/>
              </a:solidFill>
              <a:miter lim="800000"/>
              <a:headEnd/>
              <a:tailEnd/>
            </a:ln>
          </xdr:spPr>
        </xdr:sp>
        <xdr:sp macro="" textlink="">
          <xdr:nvSpPr>
            <xdr:cNvPr id="8548" name="AutoShape 12">
              <a:extLst>
                <a:ext uri="{FF2B5EF4-FFF2-40B4-BE49-F238E27FC236}">
                  <a16:creationId xmlns:a16="http://schemas.microsoft.com/office/drawing/2014/main" id="{00000000-0008-0000-0800-000064210000}"/>
                </a:ext>
              </a:extLst>
            </xdr:cNvPr>
            <xdr:cNvSpPr>
              <a:spLocks noChangeArrowheads="1"/>
            </xdr:cNvSpPr>
          </xdr:nvSpPr>
          <xdr:spPr bwMode="auto">
            <a:xfrm>
              <a:off x="546" y="237"/>
              <a:ext cx="192" cy="136"/>
            </a:xfrm>
            <a:prstGeom prst="diamond">
              <a:avLst/>
            </a:prstGeom>
            <a:solidFill>
              <a:srgbClr val="BBE0E3"/>
            </a:solidFill>
            <a:ln w="9525">
              <a:solidFill>
                <a:srgbClr val="000000"/>
              </a:solidFill>
              <a:miter lim="800000"/>
              <a:headEnd/>
              <a:tailEnd/>
            </a:ln>
          </xdr:spPr>
        </xdr:sp>
        <xdr:sp macro="" textlink="">
          <xdr:nvSpPr>
            <xdr:cNvPr id="8549" name="AutoShape 11">
              <a:extLst>
                <a:ext uri="{FF2B5EF4-FFF2-40B4-BE49-F238E27FC236}">
                  <a16:creationId xmlns:a16="http://schemas.microsoft.com/office/drawing/2014/main" id="{00000000-0008-0000-0800-000065210000}"/>
                </a:ext>
              </a:extLst>
            </xdr:cNvPr>
            <xdr:cNvSpPr>
              <a:spLocks noChangeArrowheads="1"/>
            </xdr:cNvSpPr>
          </xdr:nvSpPr>
          <xdr:spPr bwMode="auto">
            <a:xfrm>
              <a:off x="546" y="85"/>
              <a:ext cx="192" cy="136"/>
            </a:xfrm>
            <a:prstGeom prst="diamond">
              <a:avLst/>
            </a:prstGeom>
            <a:solidFill>
              <a:srgbClr val="BBE0E3"/>
            </a:solidFill>
            <a:ln w="9525">
              <a:solidFill>
                <a:srgbClr val="000000"/>
              </a:solidFill>
              <a:miter lim="800000"/>
              <a:headEnd/>
              <a:tailEnd/>
            </a:ln>
          </xdr:spPr>
        </xdr:sp>
        <xdr:sp macro="" textlink="">
          <xdr:nvSpPr>
            <xdr:cNvPr id="8205" name="Text Box 13">
              <a:extLst>
                <a:ext uri="{FF2B5EF4-FFF2-40B4-BE49-F238E27FC236}">
                  <a16:creationId xmlns:a16="http://schemas.microsoft.com/office/drawing/2014/main" id="{00000000-0008-0000-0800-00000D200000}"/>
                </a:ext>
              </a:extLst>
            </xdr:cNvPr>
            <xdr:cNvSpPr txBox="1">
              <a:spLocks noChangeArrowheads="1"/>
            </xdr:cNvSpPr>
          </xdr:nvSpPr>
          <xdr:spPr bwMode="auto">
            <a:xfrm>
              <a:off x="778" y="268"/>
              <a:ext cx="144" cy="76"/>
            </a:xfrm>
            <a:prstGeom prst="rect">
              <a:avLst/>
            </a:prstGeom>
            <a:solidFill>
              <a:srgbClr val="BBE0E3"/>
            </a:solidFill>
            <a:ln w="9525">
              <a:noFill/>
              <a:miter lim="800000"/>
              <a:headEnd/>
              <a:tailEnd/>
            </a:ln>
          </xdr:spPr>
          <xdr:txBody>
            <a:bodyPr vertOverflow="clip" wrap="square" lIns="91440" tIns="45720" rIns="91440" bIns="45720" anchor="t" upright="1"/>
            <a:lstStyle/>
            <a:p>
              <a:pPr algn="ctr" rtl="0">
                <a:defRPr sz="1000"/>
              </a:pPr>
              <a:r>
                <a:rPr lang="en-US" sz="1000" b="0" i="0" strike="noStrike">
                  <a:solidFill>
                    <a:srgbClr val="000000"/>
                  </a:solidFill>
                  <a:latin typeface="Arial"/>
                  <a:cs typeface="Arial"/>
                </a:rPr>
                <a:t>Retrieve the value that corresponds to the current entry in the lookup table</a:t>
              </a:r>
            </a:p>
            <a:p>
              <a:pPr algn="ctr" rtl="0">
                <a:defRPr sz="1000"/>
              </a:pPr>
              <a:endParaRPr lang="en-US" sz="1000" b="0" i="0" strike="noStrike">
                <a:solidFill>
                  <a:srgbClr val="000000"/>
                </a:solidFill>
                <a:latin typeface="Arial"/>
                <a:cs typeface="Arial"/>
              </a:endParaRPr>
            </a:p>
          </xdr:txBody>
        </xdr:sp>
        <xdr:sp macro="" textlink="">
          <xdr:nvSpPr>
            <xdr:cNvPr id="8206" name="Text Box 14">
              <a:extLst>
                <a:ext uri="{FF2B5EF4-FFF2-40B4-BE49-F238E27FC236}">
                  <a16:creationId xmlns:a16="http://schemas.microsoft.com/office/drawing/2014/main" id="{00000000-0008-0000-0800-00000E200000}"/>
                </a:ext>
              </a:extLst>
            </xdr:cNvPr>
            <xdr:cNvSpPr txBox="1">
              <a:spLocks noChangeArrowheads="1"/>
            </xdr:cNvSpPr>
          </xdr:nvSpPr>
          <xdr:spPr bwMode="auto">
            <a:xfrm>
              <a:off x="589" y="106"/>
              <a:ext cx="105" cy="78"/>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Is</a:t>
              </a:r>
            </a:p>
            <a:p>
              <a:pPr algn="ctr" rtl="0">
                <a:defRPr sz="1000"/>
              </a:pPr>
              <a:r>
                <a:rPr lang="en-US" sz="1000" b="0" i="0" strike="noStrike">
                  <a:solidFill>
                    <a:srgbClr val="000000"/>
                  </a:solidFill>
                  <a:latin typeface="Arial"/>
                  <a:cs typeface="Arial"/>
                </a:rPr>
                <a:t>lookup_value</a:t>
              </a:r>
            </a:p>
            <a:p>
              <a:pPr algn="ctr" rtl="0">
                <a:defRPr sz="1000"/>
              </a:pPr>
              <a:r>
                <a:rPr lang="en-US" sz="1000" b="0" i="0" strike="noStrike">
                  <a:solidFill>
                    <a:srgbClr val="000000"/>
                  </a:solidFill>
                  <a:latin typeface="Arial"/>
                  <a:cs typeface="Arial"/>
                </a:rPr>
                <a:t>&gt;= first value</a:t>
              </a:r>
            </a:p>
            <a:p>
              <a:pPr algn="ctr" rtl="0">
                <a:defRPr sz="1000"/>
              </a:pPr>
              <a:r>
                <a:rPr lang="en-US" sz="1000" b="0" i="0" strike="noStrike">
                  <a:solidFill>
                    <a:srgbClr val="000000"/>
                  </a:solidFill>
                  <a:latin typeface="Arial"/>
                  <a:cs typeface="Arial"/>
                </a:rPr>
                <a:t>in table_array?</a:t>
              </a:r>
            </a:p>
          </xdr:txBody>
        </xdr:sp>
        <xdr:sp macro="" textlink="">
          <xdr:nvSpPr>
            <xdr:cNvPr id="8207" name="Text Box 15">
              <a:extLst>
                <a:ext uri="{FF2B5EF4-FFF2-40B4-BE49-F238E27FC236}">
                  <a16:creationId xmlns:a16="http://schemas.microsoft.com/office/drawing/2014/main" id="{00000000-0008-0000-0800-00000F200000}"/>
                </a:ext>
              </a:extLst>
            </xdr:cNvPr>
            <xdr:cNvSpPr txBox="1">
              <a:spLocks noChangeArrowheads="1"/>
            </xdr:cNvSpPr>
          </xdr:nvSpPr>
          <xdr:spPr bwMode="auto">
            <a:xfrm>
              <a:off x="780" y="142"/>
              <a:ext cx="141" cy="24"/>
            </a:xfrm>
            <a:prstGeom prst="rect">
              <a:avLst/>
            </a:prstGeom>
            <a:solidFill>
              <a:srgbClr val="BBE0E3"/>
            </a:solidFill>
            <a:ln w="9525">
              <a:noFill/>
              <a:miter lim="800000"/>
              <a:headEnd/>
              <a:tailEnd/>
            </a:ln>
          </xdr:spPr>
          <xdr:txBody>
            <a:bodyPr vertOverflow="clip" wrap="square" lIns="91440" tIns="45720" rIns="91440" bIns="45720" anchor="t" upright="1"/>
            <a:lstStyle/>
            <a:p>
              <a:pPr algn="ctr" rtl="0">
                <a:defRPr sz="1000"/>
              </a:pPr>
              <a:r>
                <a:rPr lang="en-US" sz="1000" b="0" i="0" strike="noStrike">
                  <a:solidFill>
                    <a:srgbClr val="000000"/>
                  </a:solidFill>
                  <a:latin typeface="Arial"/>
                  <a:cs typeface="Arial"/>
                </a:rPr>
                <a:t>Display # N/A</a:t>
              </a:r>
            </a:p>
            <a:p>
              <a:pPr algn="ctr" rtl="0">
                <a:defRPr sz="1000"/>
              </a:pPr>
              <a:endParaRPr lang="en-US" sz="1000" b="0" i="0" strike="noStrike">
                <a:solidFill>
                  <a:srgbClr val="000000"/>
                </a:solidFill>
                <a:latin typeface="Arial"/>
                <a:cs typeface="Arial"/>
              </a:endParaRPr>
            </a:p>
          </xdr:txBody>
        </xdr:sp>
        <xdr:sp macro="" textlink="">
          <xdr:nvSpPr>
            <xdr:cNvPr id="8208" name="Text Box 16">
              <a:extLst>
                <a:ext uri="{FF2B5EF4-FFF2-40B4-BE49-F238E27FC236}">
                  <a16:creationId xmlns:a16="http://schemas.microsoft.com/office/drawing/2014/main" id="{00000000-0008-0000-0800-000010200000}"/>
                </a:ext>
              </a:extLst>
            </xdr:cNvPr>
            <xdr:cNvSpPr txBox="1">
              <a:spLocks noChangeArrowheads="1"/>
            </xdr:cNvSpPr>
          </xdr:nvSpPr>
          <xdr:spPr bwMode="auto">
            <a:xfrm>
              <a:off x="738" y="133"/>
              <a:ext cx="36" cy="44"/>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No</a:t>
              </a:r>
            </a:p>
            <a:p>
              <a:pPr algn="ctr" rtl="0">
                <a:defRPr sz="1000"/>
              </a:pPr>
              <a:endParaRPr lang="en-US" sz="1000" b="0" i="0" strike="noStrike">
                <a:solidFill>
                  <a:srgbClr val="000000"/>
                </a:solidFill>
                <a:latin typeface="Arial"/>
                <a:cs typeface="Arial"/>
              </a:endParaRPr>
            </a:p>
          </xdr:txBody>
        </xdr:sp>
        <xdr:sp macro="" textlink="">
          <xdr:nvSpPr>
            <xdr:cNvPr id="8209" name="Text Box 17">
              <a:extLst>
                <a:ext uri="{FF2B5EF4-FFF2-40B4-BE49-F238E27FC236}">
                  <a16:creationId xmlns:a16="http://schemas.microsoft.com/office/drawing/2014/main" id="{00000000-0008-0000-0800-000011200000}"/>
                </a:ext>
              </a:extLst>
            </xdr:cNvPr>
            <xdr:cNvSpPr txBox="1">
              <a:spLocks noChangeArrowheads="1"/>
            </xdr:cNvSpPr>
          </xdr:nvSpPr>
          <xdr:spPr bwMode="auto">
            <a:xfrm>
              <a:off x="738" y="285"/>
              <a:ext cx="36" cy="44"/>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No</a:t>
              </a:r>
            </a:p>
            <a:p>
              <a:pPr algn="ctr" rtl="0">
                <a:defRPr sz="1000"/>
              </a:pPr>
              <a:endParaRPr lang="en-US" sz="1000" b="0" i="0" strike="noStrike">
                <a:solidFill>
                  <a:srgbClr val="000000"/>
                </a:solidFill>
                <a:latin typeface="Arial"/>
                <a:cs typeface="Arial"/>
              </a:endParaRPr>
            </a:p>
          </xdr:txBody>
        </xdr:sp>
        <xdr:sp macro="" textlink="">
          <xdr:nvSpPr>
            <xdr:cNvPr id="8555" name="Line 23">
              <a:extLst>
                <a:ext uri="{FF2B5EF4-FFF2-40B4-BE49-F238E27FC236}">
                  <a16:creationId xmlns:a16="http://schemas.microsoft.com/office/drawing/2014/main" id="{00000000-0008-0000-0800-00006B210000}"/>
                </a:ext>
              </a:extLst>
            </xdr:cNvPr>
            <xdr:cNvSpPr>
              <a:spLocks noChangeShapeType="1"/>
            </xdr:cNvSpPr>
          </xdr:nvSpPr>
          <xdr:spPr bwMode="auto">
            <a:xfrm flipV="1">
              <a:off x="531" y="221"/>
              <a:ext cx="0" cy="170"/>
            </a:xfrm>
            <a:prstGeom prst="line">
              <a:avLst/>
            </a:prstGeom>
            <a:noFill/>
            <a:ln w="9525">
              <a:solidFill>
                <a:srgbClr val="000000"/>
              </a:solidFill>
              <a:round/>
              <a:headEnd/>
              <a:tailEnd/>
            </a:ln>
          </xdr:spPr>
        </xdr:sp>
        <xdr:sp macro="" textlink="">
          <xdr:nvSpPr>
            <xdr:cNvPr id="8556" name="Line 24">
              <a:extLst>
                <a:ext uri="{FF2B5EF4-FFF2-40B4-BE49-F238E27FC236}">
                  <a16:creationId xmlns:a16="http://schemas.microsoft.com/office/drawing/2014/main" id="{00000000-0008-0000-0800-00006C210000}"/>
                </a:ext>
              </a:extLst>
            </xdr:cNvPr>
            <xdr:cNvSpPr>
              <a:spLocks noChangeShapeType="1"/>
            </xdr:cNvSpPr>
          </xdr:nvSpPr>
          <xdr:spPr bwMode="auto">
            <a:xfrm>
              <a:off x="738" y="305"/>
              <a:ext cx="40" cy="0"/>
            </a:xfrm>
            <a:prstGeom prst="line">
              <a:avLst/>
            </a:prstGeom>
            <a:noFill/>
            <a:ln w="9525">
              <a:solidFill>
                <a:srgbClr val="000000"/>
              </a:solidFill>
              <a:round/>
              <a:headEnd/>
              <a:tailEnd type="triangle" w="med" len="med"/>
            </a:ln>
          </xdr:spPr>
        </xdr:sp>
        <xdr:sp macro="" textlink="">
          <xdr:nvSpPr>
            <xdr:cNvPr id="8557" name="Line 25">
              <a:extLst>
                <a:ext uri="{FF2B5EF4-FFF2-40B4-BE49-F238E27FC236}">
                  <a16:creationId xmlns:a16="http://schemas.microsoft.com/office/drawing/2014/main" id="{00000000-0008-0000-0800-00006D210000}"/>
                </a:ext>
              </a:extLst>
            </xdr:cNvPr>
            <xdr:cNvSpPr>
              <a:spLocks noChangeShapeType="1"/>
            </xdr:cNvSpPr>
          </xdr:nvSpPr>
          <xdr:spPr bwMode="auto">
            <a:xfrm>
              <a:off x="738" y="154"/>
              <a:ext cx="43" cy="0"/>
            </a:xfrm>
            <a:prstGeom prst="line">
              <a:avLst/>
            </a:prstGeom>
            <a:noFill/>
            <a:ln w="9525">
              <a:solidFill>
                <a:srgbClr val="000000"/>
              </a:solidFill>
              <a:round/>
              <a:headEnd/>
              <a:tailEnd type="triangle" w="med" len="med"/>
            </a:ln>
          </xdr:spPr>
        </xdr:sp>
        <xdr:sp macro="" textlink="">
          <xdr:nvSpPr>
            <xdr:cNvPr id="8219" name="Text Box 27">
              <a:extLst>
                <a:ext uri="{FF2B5EF4-FFF2-40B4-BE49-F238E27FC236}">
                  <a16:creationId xmlns:a16="http://schemas.microsoft.com/office/drawing/2014/main" id="{00000000-0008-0000-0800-00001B200000}"/>
                </a:ext>
              </a:extLst>
            </xdr:cNvPr>
            <xdr:cNvSpPr txBox="1">
              <a:spLocks noChangeArrowheads="1"/>
            </xdr:cNvSpPr>
          </xdr:nvSpPr>
          <xdr:spPr bwMode="auto">
            <a:xfrm>
              <a:off x="588" y="264"/>
              <a:ext cx="108" cy="81"/>
            </a:xfrm>
            <a:prstGeom prst="rect">
              <a:avLst/>
            </a:prstGeom>
            <a:noFill/>
            <a:ln w="9525">
              <a:noFill/>
              <a:miter lim="800000"/>
              <a:headEnd/>
              <a:tailEnd/>
            </a:ln>
          </xdr:spPr>
          <xdr:txBody>
            <a:bodyPr vertOverflow="clip" wrap="square" lIns="91440" tIns="45720" rIns="91440" bIns="45720" anchor="t" upright="1"/>
            <a:lstStyle/>
            <a:p>
              <a:pPr algn="ctr" rtl="0">
                <a:defRPr sz="1000"/>
              </a:pPr>
              <a:r>
                <a:rPr lang="en-US" sz="1000" b="0" i="0" strike="noStrike">
                  <a:solidFill>
                    <a:srgbClr val="000000"/>
                  </a:solidFill>
                  <a:latin typeface="Arial"/>
                  <a:cs typeface="Arial"/>
                </a:rPr>
                <a:t>Is </a:t>
              </a:r>
            </a:p>
            <a:p>
              <a:pPr algn="ctr" rtl="0">
                <a:defRPr sz="1000"/>
              </a:pPr>
              <a:r>
                <a:rPr lang="en-US" sz="1000" b="0" i="0" strike="noStrike">
                  <a:solidFill>
                    <a:srgbClr val="000000"/>
                  </a:solidFill>
                  <a:latin typeface="Arial"/>
                  <a:cs typeface="Arial"/>
                </a:rPr>
                <a:t>lookup_value</a:t>
              </a:r>
            </a:p>
            <a:p>
              <a:pPr algn="ctr" rtl="0">
                <a:defRPr sz="1000"/>
              </a:pPr>
              <a:r>
                <a:rPr lang="en-US" sz="1000" b="0" i="0" strike="noStrike">
                  <a:solidFill>
                    <a:srgbClr val="000000"/>
                  </a:solidFill>
                  <a:latin typeface="Arial"/>
                  <a:cs typeface="Arial"/>
                </a:rPr>
                <a:t>&gt;= next value in table_array? </a:t>
              </a:r>
              <a:endParaRPr lang="en-US" sz="800" b="0" i="0" strike="noStrike">
                <a:solidFill>
                  <a:srgbClr val="000000"/>
                </a:solidFill>
                <a:latin typeface="Arial"/>
                <a:cs typeface="Arial"/>
              </a:endParaRPr>
            </a:p>
            <a:p>
              <a:pPr algn="ctr" rtl="0">
                <a:defRPr sz="1000"/>
              </a:pPr>
              <a:endParaRPr lang="en-US" sz="800" b="0" i="0" strike="noStrike">
                <a:solidFill>
                  <a:srgbClr val="000000"/>
                </a:solidFill>
                <a:latin typeface="Arial"/>
                <a:cs typeface="Arial"/>
              </a:endParaRPr>
            </a:p>
          </xdr:txBody>
        </xdr:sp>
        <xdr:sp macro="" textlink="">
          <xdr:nvSpPr>
            <xdr:cNvPr id="8559" name="Line 31">
              <a:extLst>
                <a:ext uri="{FF2B5EF4-FFF2-40B4-BE49-F238E27FC236}">
                  <a16:creationId xmlns:a16="http://schemas.microsoft.com/office/drawing/2014/main" id="{00000000-0008-0000-0800-00006F210000}"/>
                </a:ext>
              </a:extLst>
            </xdr:cNvPr>
            <xdr:cNvSpPr>
              <a:spLocks noChangeShapeType="1"/>
            </xdr:cNvSpPr>
          </xdr:nvSpPr>
          <xdr:spPr bwMode="auto">
            <a:xfrm>
              <a:off x="530" y="221"/>
              <a:ext cx="112" cy="0"/>
            </a:xfrm>
            <a:prstGeom prst="line">
              <a:avLst/>
            </a:prstGeom>
            <a:noFill/>
            <a:ln w="9525">
              <a:solidFill>
                <a:srgbClr val="000000"/>
              </a:solidFill>
              <a:round/>
              <a:headEnd/>
              <a:tailEnd type="triangle" w="med" len="med"/>
            </a:ln>
          </xdr:spPr>
        </xdr:sp>
        <xdr:sp macro="" textlink="">
          <xdr:nvSpPr>
            <xdr:cNvPr id="8560" name="Line 32">
              <a:extLst>
                <a:ext uri="{FF2B5EF4-FFF2-40B4-BE49-F238E27FC236}">
                  <a16:creationId xmlns:a16="http://schemas.microsoft.com/office/drawing/2014/main" id="{00000000-0008-0000-0800-000070210000}"/>
                </a:ext>
              </a:extLst>
            </xdr:cNvPr>
            <xdr:cNvSpPr>
              <a:spLocks noChangeShapeType="1"/>
            </xdr:cNvSpPr>
          </xdr:nvSpPr>
          <xdr:spPr bwMode="auto">
            <a:xfrm flipV="1">
              <a:off x="643" y="374"/>
              <a:ext cx="0" cy="16"/>
            </a:xfrm>
            <a:prstGeom prst="line">
              <a:avLst/>
            </a:prstGeom>
            <a:noFill/>
            <a:ln w="9525">
              <a:solidFill>
                <a:srgbClr val="000000"/>
              </a:solidFill>
              <a:round/>
              <a:headEnd/>
              <a:tailEnd/>
            </a:ln>
          </xdr:spPr>
        </xdr:sp>
        <xdr:sp macro="" textlink="">
          <xdr:nvSpPr>
            <xdr:cNvPr id="8561" name="Line 33">
              <a:extLst>
                <a:ext uri="{FF2B5EF4-FFF2-40B4-BE49-F238E27FC236}">
                  <a16:creationId xmlns:a16="http://schemas.microsoft.com/office/drawing/2014/main" id="{00000000-0008-0000-0800-000071210000}"/>
                </a:ext>
              </a:extLst>
            </xdr:cNvPr>
            <xdr:cNvSpPr>
              <a:spLocks noChangeShapeType="1"/>
            </xdr:cNvSpPr>
          </xdr:nvSpPr>
          <xdr:spPr bwMode="auto">
            <a:xfrm>
              <a:off x="532" y="391"/>
              <a:ext cx="112" cy="0"/>
            </a:xfrm>
            <a:prstGeom prst="line">
              <a:avLst/>
            </a:prstGeom>
            <a:noFill/>
            <a:ln w="9525">
              <a:solidFill>
                <a:srgbClr val="000000"/>
              </a:solidFill>
              <a:round/>
              <a:headEnd/>
              <a:tailEnd/>
            </a:ln>
          </xdr:spPr>
        </xdr:sp>
        <xdr:sp macro="" textlink="">
          <xdr:nvSpPr>
            <xdr:cNvPr id="8210" name="Text Box 18">
              <a:extLst>
                <a:ext uri="{FF2B5EF4-FFF2-40B4-BE49-F238E27FC236}">
                  <a16:creationId xmlns:a16="http://schemas.microsoft.com/office/drawing/2014/main" id="{00000000-0008-0000-0800-000012200000}"/>
                </a:ext>
              </a:extLst>
            </xdr:cNvPr>
            <xdr:cNvSpPr txBox="1">
              <a:spLocks noChangeArrowheads="1"/>
            </xdr:cNvSpPr>
          </xdr:nvSpPr>
          <xdr:spPr bwMode="auto">
            <a:xfrm>
              <a:off x="639" y="216"/>
              <a:ext cx="43" cy="44"/>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Yes</a:t>
              </a:r>
            </a:p>
            <a:p>
              <a:pPr algn="ctr" rtl="0">
                <a:defRPr sz="1000"/>
              </a:pPr>
              <a:endParaRPr lang="en-US" sz="1000" b="0" i="0" strike="noStrike">
                <a:solidFill>
                  <a:srgbClr val="000000"/>
                </a:solidFill>
                <a:latin typeface="Arial"/>
                <a:cs typeface="Arial"/>
              </a:endParaRPr>
            </a:p>
          </xdr:txBody>
        </xdr:sp>
        <xdr:sp macro="" textlink="">
          <xdr:nvSpPr>
            <xdr:cNvPr id="8211" name="Text Box 19">
              <a:extLst>
                <a:ext uri="{FF2B5EF4-FFF2-40B4-BE49-F238E27FC236}">
                  <a16:creationId xmlns:a16="http://schemas.microsoft.com/office/drawing/2014/main" id="{00000000-0008-0000-0800-000013200000}"/>
                </a:ext>
              </a:extLst>
            </xdr:cNvPr>
            <xdr:cNvSpPr txBox="1">
              <a:spLocks noChangeArrowheads="1"/>
            </xdr:cNvSpPr>
          </xdr:nvSpPr>
          <xdr:spPr bwMode="auto">
            <a:xfrm>
              <a:off x="637" y="368"/>
              <a:ext cx="43" cy="44"/>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Yes</a:t>
              </a:r>
            </a:p>
            <a:p>
              <a:pPr algn="ctr" rtl="0">
                <a:defRPr sz="1000"/>
              </a:pPr>
              <a:endParaRPr lang="en-US" sz="1000" b="0" i="0" strike="noStrike">
                <a:solidFill>
                  <a:srgbClr val="000000"/>
                </a:solidFill>
                <a:latin typeface="Arial"/>
                <a:cs typeface="Arial"/>
              </a:endParaRPr>
            </a:p>
          </xdr:txBody>
        </xdr:sp>
      </xdr:grpSp>
      <xdr:sp macro="" textlink="">
        <xdr:nvSpPr>
          <xdr:cNvPr id="8546" name="Line 20">
            <a:extLst>
              <a:ext uri="{FF2B5EF4-FFF2-40B4-BE49-F238E27FC236}">
                <a16:creationId xmlns:a16="http://schemas.microsoft.com/office/drawing/2014/main" id="{00000000-0008-0000-0800-000062210000}"/>
              </a:ext>
            </a:extLst>
          </xdr:cNvPr>
          <xdr:cNvSpPr>
            <a:spLocks noChangeShapeType="1"/>
          </xdr:cNvSpPr>
        </xdr:nvSpPr>
        <xdr:spPr bwMode="auto">
          <a:xfrm>
            <a:off x="642" y="221"/>
            <a:ext cx="0" cy="16"/>
          </a:xfrm>
          <a:prstGeom prst="line">
            <a:avLst/>
          </a:prstGeom>
          <a:noFill/>
          <a:ln w="9525">
            <a:solidFill>
              <a:srgbClr val="000000"/>
            </a:solidFill>
            <a:round/>
            <a:headEnd/>
            <a:tailEnd type="triangle" w="med" len="med"/>
          </a:ln>
        </xdr:spPr>
      </xdr:sp>
    </xdr:grp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420413</xdr:colOff>
      <xdr:row>7</xdr:row>
      <xdr:rowOff>111671</xdr:rowOff>
    </xdr:from>
    <xdr:to>
      <xdr:col>16</xdr:col>
      <xdr:colOff>45226</xdr:colOff>
      <xdr:row>28</xdr:row>
      <xdr:rowOff>72258</xdr:rowOff>
    </xdr:to>
    <xdr:grpSp>
      <xdr:nvGrpSpPr>
        <xdr:cNvPr id="14754" name="Group 2">
          <a:extLst>
            <a:ext uri="{FF2B5EF4-FFF2-40B4-BE49-F238E27FC236}">
              <a16:creationId xmlns:a16="http://schemas.microsoft.com/office/drawing/2014/main" id="{00000000-0008-0000-0900-0000A2390000}"/>
            </a:ext>
          </a:extLst>
        </xdr:cNvPr>
        <xdr:cNvGrpSpPr>
          <a:grpSpLocks/>
        </xdr:cNvGrpSpPr>
      </xdr:nvGrpSpPr>
      <xdr:grpSpPr bwMode="auto">
        <a:xfrm>
          <a:off x="6470430" y="1267809"/>
          <a:ext cx="3290296" cy="3744311"/>
          <a:chOff x="504" y="112"/>
          <a:chExt cx="452" cy="485"/>
        </a:xfrm>
      </xdr:grpSpPr>
      <xdr:grpSp>
        <xdr:nvGrpSpPr>
          <xdr:cNvPr id="14759" name="Group 3">
            <a:extLst>
              <a:ext uri="{FF2B5EF4-FFF2-40B4-BE49-F238E27FC236}">
                <a16:creationId xmlns:a16="http://schemas.microsoft.com/office/drawing/2014/main" id="{00000000-0008-0000-0900-0000A7390000}"/>
              </a:ext>
            </a:extLst>
          </xdr:cNvPr>
          <xdr:cNvGrpSpPr>
            <a:grpSpLocks/>
          </xdr:cNvGrpSpPr>
        </xdr:nvGrpSpPr>
        <xdr:grpSpPr bwMode="auto">
          <a:xfrm>
            <a:off x="504" y="112"/>
            <a:ext cx="452" cy="485"/>
            <a:chOff x="504" y="112"/>
            <a:chExt cx="452" cy="485"/>
          </a:xfrm>
        </xdr:grpSpPr>
        <xdr:sp macro="" textlink="">
          <xdr:nvSpPr>
            <xdr:cNvPr id="14764" name="Rectangle 4">
              <a:extLst>
                <a:ext uri="{FF2B5EF4-FFF2-40B4-BE49-F238E27FC236}">
                  <a16:creationId xmlns:a16="http://schemas.microsoft.com/office/drawing/2014/main" id="{00000000-0008-0000-0900-0000AC390000}"/>
                </a:ext>
              </a:extLst>
            </xdr:cNvPr>
            <xdr:cNvSpPr>
              <a:spLocks noChangeArrowheads="1"/>
            </xdr:cNvSpPr>
          </xdr:nvSpPr>
          <xdr:spPr bwMode="auto">
            <a:xfrm>
              <a:off x="504" y="112"/>
              <a:ext cx="452" cy="478"/>
            </a:xfrm>
            <a:prstGeom prst="rect">
              <a:avLst/>
            </a:prstGeom>
            <a:solidFill>
              <a:srgbClr val="FFFFFF"/>
            </a:solidFill>
            <a:ln w="9525" algn="ctr">
              <a:solidFill>
                <a:srgbClr val="000000"/>
              </a:solidFill>
              <a:miter lim="800000"/>
              <a:headEnd/>
              <a:tailEnd/>
            </a:ln>
          </xdr:spPr>
        </xdr:sp>
        <xdr:sp macro="" textlink="">
          <xdr:nvSpPr>
            <xdr:cNvPr id="14765" name="AutoShape 5">
              <a:extLst>
                <a:ext uri="{FF2B5EF4-FFF2-40B4-BE49-F238E27FC236}">
                  <a16:creationId xmlns:a16="http://schemas.microsoft.com/office/drawing/2014/main" id="{00000000-0008-0000-0900-0000AD390000}"/>
                </a:ext>
              </a:extLst>
            </xdr:cNvPr>
            <xdr:cNvSpPr>
              <a:spLocks noChangeArrowheads="1"/>
            </xdr:cNvSpPr>
          </xdr:nvSpPr>
          <xdr:spPr bwMode="auto">
            <a:xfrm>
              <a:off x="537" y="270"/>
              <a:ext cx="192" cy="136"/>
            </a:xfrm>
            <a:prstGeom prst="diamond">
              <a:avLst/>
            </a:prstGeom>
            <a:solidFill>
              <a:srgbClr val="BBE0E3"/>
            </a:solidFill>
            <a:ln w="9525">
              <a:solidFill>
                <a:srgbClr val="000000"/>
              </a:solidFill>
              <a:miter lim="800000"/>
              <a:headEnd/>
              <a:tailEnd/>
            </a:ln>
          </xdr:spPr>
        </xdr:sp>
        <xdr:sp macro="" textlink="">
          <xdr:nvSpPr>
            <xdr:cNvPr id="14342" name="Text Box 6">
              <a:extLst>
                <a:ext uri="{FF2B5EF4-FFF2-40B4-BE49-F238E27FC236}">
                  <a16:creationId xmlns:a16="http://schemas.microsoft.com/office/drawing/2014/main" id="{00000000-0008-0000-0900-000006380000}"/>
                </a:ext>
              </a:extLst>
            </xdr:cNvPr>
            <xdr:cNvSpPr txBox="1">
              <a:spLocks noChangeArrowheads="1"/>
            </xdr:cNvSpPr>
          </xdr:nvSpPr>
          <xdr:spPr bwMode="auto">
            <a:xfrm>
              <a:off x="581" y="284"/>
              <a:ext cx="109" cy="93"/>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Is </a:t>
              </a:r>
            </a:p>
            <a:p>
              <a:pPr algn="ctr" rtl="0">
                <a:defRPr sz="1000"/>
              </a:pPr>
              <a:r>
                <a:rPr lang="en-US" sz="1000" b="0" i="0" strike="noStrike">
                  <a:solidFill>
                    <a:srgbClr val="000000"/>
                  </a:solidFill>
                  <a:latin typeface="Arial"/>
                  <a:cs typeface="Arial"/>
                </a:rPr>
                <a:t>there a</a:t>
              </a:r>
            </a:p>
            <a:p>
              <a:pPr algn="ctr" rtl="0">
                <a:defRPr sz="1000"/>
              </a:pPr>
              <a:r>
                <a:rPr lang="en-US" sz="1000" b="0" i="0" strike="noStrike">
                  <a:solidFill>
                    <a:srgbClr val="000000"/>
                  </a:solidFill>
                  <a:latin typeface="Arial"/>
                  <a:cs typeface="Arial"/>
                </a:rPr>
                <a:t>“next value”</a:t>
              </a:r>
            </a:p>
            <a:p>
              <a:pPr algn="ctr" rtl="0">
                <a:defRPr sz="1000"/>
              </a:pPr>
              <a:r>
                <a:rPr lang="en-US" sz="1000" b="0" i="0" strike="noStrike">
                  <a:solidFill>
                    <a:srgbClr val="000000"/>
                  </a:solidFill>
                  <a:latin typeface="Arial"/>
                  <a:cs typeface="Arial"/>
                </a:rPr>
                <a:t> in table_array? </a:t>
              </a:r>
              <a:endParaRPr lang="en-US" sz="800" b="0" i="0" strike="noStrike">
                <a:solidFill>
                  <a:srgbClr val="000000"/>
                </a:solidFill>
                <a:latin typeface="Arial"/>
                <a:cs typeface="Arial"/>
              </a:endParaRPr>
            </a:p>
            <a:p>
              <a:pPr algn="ctr" rtl="0">
                <a:defRPr sz="1000"/>
              </a:pPr>
              <a:endParaRPr lang="en-US" sz="800" b="0" i="0" strike="noStrike">
                <a:solidFill>
                  <a:srgbClr val="000000"/>
                </a:solidFill>
                <a:latin typeface="Arial"/>
                <a:cs typeface="Arial"/>
              </a:endParaRPr>
            </a:p>
          </xdr:txBody>
        </xdr:sp>
        <xdr:sp macro="" textlink="">
          <xdr:nvSpPr>
            <xdr:cNvPr id="14767" name="AutoShape 7">
              <a:extLst>
                <a:ext uri="{FF2B5EF4-FFF2-40B4-BE49-F238E27FC236}">
                  <a16:creationId xmlns:a16="http://schemas.microsoft.com/office/drawing/2014/main" id="{00000000-0008-0000-0900-0000AF390000}"/>
                </a:ext>
              </a:extLst>
            </xdr:cNvPr>
            <xdr:cNvSpPr>
              <a:spLocks noChangeArrowheads="1"/>
            </xdr:cNvSpPr>
          </xdr:nvSpPr>
          <xdr:spPr bwMode="auto">
            <a:xfrm>
              <a:off x="537" y="118"/>
              <a:ext cx="192" cy="136"/>
            </a:xfrm>
            <a:prstGeom prst="diamond">
              <a:avLst/>
            </a:prstGeom>
            <a:solidFill>
              <a:srgbClr val="BBE0E3"/>
            </a:solidFill>
            <a:ln w="9525">
              <a:solidFill>
                <a:srgbClr val="000000"/>
              </a:solidFill>
              <a:miter lim="800000"/>
              <a:headEnd/>
              <a:tailEnd/>
            </a:ln>
          </xdr:spPr>
        </xdr:sp>
        <xdr:sp macro="" textlink="">
          <xdr:nvSpPr>
            <xdr:cNvPr id="14344" name="Text Box 8">
              <a:extLst>
                <a:ext uri="{FF2B5EF4-FFF2-40B4-BE49-F238E27FC236}">
                  <a16:creationId xmlns:a16="http://schemas.microsoft.com/office/drawing/2014/main" id="{00000000-0008-0000-0900-000008380000}"/>
                </a:ext>
              </a:extLst>
            </xdr:cNvPr>
            <xdr:cNvSpPr txBox="1">
              <a:spLocks noChangeArrowheads="1"/>
            </xdr:cNvSpPr>
          </xdr:nvSpPr>
          <xdr:spPr bwMode="auto">
            <a:xfrm>
              <a:off x="769" y="301"/>
              <a:ext cx="144" cy="76"/>
            </a:xfrm>
            <a:prstGeom prst="rect">
              <a:avLst/>
            </a:prstGeom>
            <a:solidFill>
              <a:srgbClr val="BBE0E3"/>
            </a:solidFill>
            <a:ln w="9525">
              <a:noFill/>
              <a:miter lim="800000"/>
              <a:headEnd/>
              <a:tailEnd/>
            </a:ln>
          </xdr:spPr>
          <xdr:txBody>
            <a:bodyPr vertOverflow="clip" wrap="square" lIns="91440" tIns="45720" rIns="91440" bIns="45720" anchor="t" upright="1"/>
            <a:lstStyle/>
            <a:p>
              <a:pPr algn="ctr" rtl="0">
                <a:defRPr sz="1000"/>
              </a:pPr>
              <a:r>
                <a:rPr lang="en-US" sz="1000" b="0" i="0" strike="noStrike">
                  <a:solidFill>
                    <a:srgbClr val="000000"/>
                  </a:solidFill>
                  <a:latin typeface="Arial"/>
                  <a:cs typeface="Arial"/>
                </a:rPr>
                <a:t>Retrieve the value that corresponds to the current entry in the lookup table</a:t>
              </a:r>
            </a:p>
            <a:p>
              <a:pPr algn="ctr" rtl="0">
                <a:defRPr sz="1000"/>
              </a:pPr>
              <a:endParaRPr lang="en-US" sz="1000" b="0" i="0" strike="noStrike">
                <a:solidFill>
                  <a:srgbClr val="000000"/>
                </a:solidFill>
                <a:latin typeface="Arial"/>
                <a:cs typeface="Arial"/>
              </a:endParaRPr>
            </a:p>
          </xdr:txBody>
        </xdr:sp>
        <xdr:sp macro="" textlink="">
          <xdr:nvSpPr>
            <xdr:cNvPr id="14345" name="Text Box 9">
              <a:extLst>
                <a:ext uri="{FF2B5EF4-FFF2-40B4-BE49-F238E27FC236}">
                  <a16:creationId xmlns:a16="http://schemas.microsoft.com/office/drawing/2014/main" id="{00000000-0008-0000-0900-000009380000}"/>
                </a:ext>
              </a:extLst>
            </xdr:cNvPr>
            <xdr:cNvSpPr txBox="1">
              <a:spLocks noChangeArrowheads="1"/>
            </xdr:cNvSpPr>
          </xdr:nvSpPr>
          <xdr:spPr bwMode="auto">
            <a:xfrm>
              <a:off x="582" y="132"/>
              <a:ext cx="105" cy="78"/>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Is</a:t>
              </a:r>
            </a:p>
            <a:p>
              <a:pPr algn="ctr" rtl="0">
                <a:defRPr sz="1000"/>
              </a:pPr>
              <a:r>
                <a:rPr lang="en-US" sz="1000" b="0" i="0" strike="noStrike">
                  <a:solidFill>
                    <a:srgbClr val="000000"/>
                  </a:solidFill>
                  <a:latin typeface="Arial"/>
                  <a:cs typeface="Arial"/>
                </a:rPr>
                <a:t>lookup_value</a:t>
              </a:r>
            </a:p>
            <a:p>
              <a:pPr algn="ctr" rtl="0">
                <a:defRPr sz="1000"/>
              </a:pPr>
              <a:r>
                <a:rPr lang="en-US" sz="1000" b="0" i="0" strike="noStrike">
                  <a:solidFill>
                    <a:srgbClr val="000000"/>
                  </a:solidFill>
                  <a:latin typeface="Arial"/>
                  <a:cs typeface="Arial"/>
                </a:rPr>
                <a:t>&gt;= first value</a:t>
              </a:r>
            </a:p>
            <a:p>
              <a:pPr algn="ctr" rtl="0">
                <a:defRPr sz="1000"/>
              </a:pPr>
              <a:r>
                <a:rPr lang="en-US" sz="1000" b="0" i="0" strike="noStrike">
                  <a:solidFill>
                    <a:srgbClr val="000000"/>
                  </a:solidFill>
                  <a:latin typeface="Arial"/>
                  <a:cs typeface="Arial"/>
                </a:rPr>
                <a:t>in table_array?</a:t>
              </a:r>
            </a:p>
          </xdr:txBody>
        </xdr:sp>
        <xdr:sp macro="" textlink="">
          <xdr:nvSpPr>
            <xdr:cNvPr id="14346" name="Text Box 10">
              <a:extLst>
                <a:ext uri="{FF2B5EF4-FFF2-40B4-BE49-F238E27FC236}">
                  <a16:creationId xmlns:a16="http://schemas.microsoft.com/office/drawing/2014/main" id="{00000000-0008-0000-0900-00000A380000}"/>
                </a:ext>
              </a:extLst>
            </xdr:cNvPr>
            <xdr:cNvSpPr txBox="1">
              <a:spLocks noChangeArrowheads="1"/>
            </xdr:cNvSpPr>
          </xdr:nvSpPr>
          <xdr:spPr bwMode="auto">
            <a:xfrm>
              <a:off x="771" y="175"/>
              <a:ext cx="141" cy="24"/>
            </a:xfrm>
            <a:prstGeom prst="rect">
              <a:avLst/>
            </a:prstGeom>
            <a:solidFill>
              <a:srgbClr val="BBE0E3"/>
            </a:solidFill>
            <a:ln w="9525">
              <a:noFill/>
              <a:miter lim="800000"/>
              <a:headEnd/>
              <a:tailEnd/>
            </a:ln>
          </xdr:spPr>
          <xdr:txBody>
            <a:bodyPr vertOverflow="clip" wrap="square" lIns="91440" tIns="45720" rIns="91440" bIns="45720" anchor="t" upright="1"/>
            <a:lstStyle/>
            <a:p>
              <a:pPr algn="ctr" rtl="0">
                <a:defRPr sz="1000"/>
              </a:pPr>
              <a:r>
                <a:rPr lang="en-US" sz="1000" b="0" i="0" strike="noStrike">
                  <a:solidFill>
                    <a:srgbClr val="000000"/>
                  </a:solidFill>
                  <a:latin typeface="Arial"/>
                  <a:cs typeface="Arial"/>
                </a:rPr>
                <a:t>Display # N/A</a:t>
              </a:r>
            </a:p>
            <a:p>
              <a:pPr algn="ctr" rtl="0">
                <a:defRPr sz="1000"/>
              </a:pPr>
              <a:endParaRPr lang="en-US" sz="1000" b="0" i="0" strike="noStrike">
                <a:solidFill>
                  <a:srgbClr val="000000"/>
                </a:solidFill>
                <a:latin typeface="Arial"/>
                <a:cs typeface="Arial"/>
              </a:endParaRPr>
            </a:p>
          </xdr:txBody>
        </xdr:sp>
        <xdr:sp macro="" textlink="">
          <xdr:nvSpPr>
            <xdr:cNvPr id="14347" name="Text Box 11">
              <a:extLst>
                <a:ext uri="{FF2B5EF4-FFF2-40B4-BE49-F238E27FC236}">
                  <a16:creationId xmlns:a16="http://schemas.microsoft.com/office/drawing/2014/main" id="{00000000-0008-0000-0900-00000B380000}"/>
                </a:ext>
              </a:extLst>
            </xdr:cNvPr>
            <xdr:cNvSpPr txBox="1">
              <a:spLocks noChangeArrowheads="1"/>
            </xdr:cNvSpPr>
          </xdr:nvSpPr>
          <xdr:spPr bwMode="auto">
            <a:xfrm>
              <a:off x="729" y="166"/>
              <a:ext cx="36" cy="44"/>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No</a:t>
              </a:r>
            </a:p>
            <a:p>
              <a:pPr algn="ctr" rtl="0">
                <a:defRPr sz="1000"/>
              </a:pPr>
              <a:endParaRPr lang="en-US" sz="1000" b="0" i="0" strike="noStrike">
                <a:solidFill>
                  <a:srgbClr val="000000"/>
                </a:solidFill>
                <a:latin typeface="Arial"/>
                <a:cs typeface="Arial"/>
              </a:endParaRPr>
            </a:p>
          </xdr:txBody>
        </xdr:sp>
        <xdr:sp macro="" textlink="">
          <xdr:nvSpPr>
            <xdr:cNvPr id="14348" name="Text Box 12">
              <a:extLst>
                <a:ext uri="{FF2B5EF4-FFF2-40B4-BE49-F238E27FC236}">
                  <a16:creationId xmlns:a16="http://schemas.microsoft.com/office/drawing/2014/main" id="{00000000-0008-0000-0900-00000C380000}"/>
                </a:ext>
              </a:extLst>
            </xdr:cNvPr>
            <xdr:cNvSpPr txBox="1">
              <a:spLocks noChangeArrowheads="1"/>
            </xdr:cNvSpPr>
          </xdr:nvSpPr>
          <xdr:spPr bwMode="auto">
            <a:xfrm>
              <a:off x="729" y="318"/>
              <a:ext cx="36" cy="44"/>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No</a:t>
              </a:r>
            </a:p>
            <a:p>
              <a:pPr algn="ctr" rtl="0">
                <a:defRPr sz="1000"/>
              </a:pPr>
              <a:endParaRPr lang="en-US" sz="1000" b="0" i="0" strike="noStrike">
                <a:solidFill>
                  <a:srgbClr val="000000"/>
                </a:solidFill>
                <a:latin typeface="Arial"/>
                <a:cs typeface="Arial"/>
              </a:endParaRPr>
            </a:p>
          </xdr:txBody>
        </xdr:sp>
        <xdr:sp macro="" textlink="">
          <xdr:nvSpPr>
            <xdr:cNvPr id="14773" name="Line 13">
              <a:extLst>
                <a:ext uri="{FF2B5EF4-FFF2-40B4-BE49-F238E27FC236}">
                  <a16:creationId xmlns:a16="http://schemas.microsoft.com/office/drawing/2014/main" id="{00000000-0008-0000-0900-0000B5390000}"/>
                </a:ext>
              </a:extLst>
            </xdr:cNvPr>
            <xdr:cNvSpPr>
              <a:spLocks noChangeShapeType="1"/>
            </xdr:cNvSpPr>
          </xdr:nvSpPr>
          <xdr:spPr bwMode="auto">
            <a:xfrm flipV="1">
              <a:off x="522" y="254"/>
              <a:ext cx="0" cy="320"/>
            </a:xfrm>
            <a:prstGeom prst="line">
              <a:avLst/>
            </a:prstGeom>
            <a:noFill/>
            <a:ln w="9525">
              <a:solidFill>
                <a:srgbClr val="000000"/>
              </a:solidFill>
              <a:round/>
              <a:headEnd/>
              <a:tailEnd/>
            </a:ln>
          </xdr:spPr>
        </xdr:sp>
        <xdr:sp macro="" textlink="">
          <xdr:nvSpPr>
            <xdr:cNvPr id="14774" name="Line 14">
              <a:extLst>
                <a:ext uri="{FF2B5EF4-FFF2-40B4-BE49-F238E27FC236}">
                  <a16:creationId xmlns:a16="http://schemas.microsoft.com/office/drawing/2014/main" id="{00000000-0008-0000-0900-0000B6390000}"/>
                </a:ext>
              </a:extLst>
            </xdr:cNvPr>
            <xdr:cNvSpPr>
              <a:spLocks noChangeShapeType="1"/>
            </xdr:cNvSpPr>
          </xdr:nvSpPr>
          <xdr:spPr bwMode="auto">
            <a:xfrm>
              <a:off x="729" y="338"/>
              <a:ext cx="40" cy="0"/>
            </a:xfrm>
            <a:prstGeom prst="line">
              <a:avLst/>
            </a:prstGeom>
            <a:noFill/>
            <a:ln w="9525">
              <a:solidFill>
                <a:srgbClr val="000000"/>
              </a:solidFill>
              <a:round/>
              <a:headEnd/>
              <a:tailEnd type="triangle" w="med" len="med"/>
            </a:ln>
          </xdr:spPr>
        </xdr:sp>
        <xdr:sp macro="" textlink="">
          <xdr:nvSpPr>
            <xdr:cNvPr id="14775" name="Line 15">
              <a:extLst>
                <a:ext uri="{FF2B5EF4-FFF2-40B4-BE49-F238E27FC236}">
                  <a16:creationId xmlns:a16="http://schemas.microsoft.com/office/drawing/2014/main" id="{00000000-0008-0000-0900-0000B7390000}"/>
                </a:ext>
              </a:extLst>
            </xdr:cNvPr>
            <xdr:cNvSpPr>
              <a:spLocks noChangeShapeType="1"/>
            </xdr:cNvSpPr>
          </xdr:nvSpPr>
          <xdr:spPr bwMode="auto">
            <a:xfrm>
              <a:off x="729" y="187"/>
              <a:ext cx="43" cy="0"/>
            </a:xfrm>
            <a:prstGeom prst="line">
              <a:avLst/>
            </a:prstGeom>
            <a:noFill/>
            <a:ln w="9525">
              <a:solidFill>
                <a:srgbClr val="000000"/>
              </a:solidFill>
              <a:round/>
              <a:headEnd/>
              <a:tailEnd type="triangle" w="med" len="med"/>
            </a:ln>
          </xdr:spPr>
        </xdr:sp>
        <xdr:sp macro="" textlink="">
          <xdr:nvSpPr>
            <xdr:cNvPr id="14776" name="AutoShape 16">
              <a:extLst>
                <a:ext uri="{FF2B5EF4-FFF2-40B4-BE49-F238E27FC236}">
                  <a16:creationId xmlns:a16="http://schemas.microsoft.com/office/drawing/2014/main" id="{00000000-0008-0000-0900-0000B8390000}"/>
                </a:ext>
              </a:extLst>
            </xdr:cNvPr>
            <xdr:cNvSpPr>
              <a:spLocks noChangeArrowheads="1"/>
            </xdr:cNvSpPr>
          </xdr:nvSpPr>
          <xdr:spPr bwMode="auto">
            <a:xfrm>
              <a:off x="537" y="422"/>
              <a:ext cx="192" cy="136"/>
            </a:xfrm>
            <a:prstGeom prst="diamond">
              <a:avLst/>
            </a:prstGeom>
            <a:solidFill>
              <a:srgbClr val="BBE0E3"/>
            </a:solidFill>
            <a:ln w="9525">
              <a:solidFill>
                <a:srgbClr val="000000"/>
              </a:solidFill>
              <a:miter lim="800000"/>
              <a:headEnd/>
              <a:tailEnd/>
            </a:ln>
          </xdr:spPr>
        </xdr:sp>
        <xdr:sp macro="" textlink="">
          <xdr:nvSpPr>
            <xdr:cNvPr id="14353" name="Text Box 17">
              <a:extLst>
                <a:ext uri="{FF2B5EF4-FFF2-40B4-BE49-F238E27FC236}">
                  <a16:creationId xmlns:a16="http://schemas.microsoft.com/office/drawing/2014/main" id="{00000000-0008-0000-0900-000011380000}"/>
                </a:ext>
              </a:extLst>
            </xdr:cNvPr>
            <xdr:cNvSpPr txBox="1">
              <a:spLocks noChangeArrowheads="1"/>
            </xdr:cNvSpPr>
          </xdr:nvSpPr>
          <xdr:spPr bwMode="auto">
            <a:xfrm>
              <a:off x="562" y="438"/>
              <a:ext cx="148" cy="99"/>
            </a:xfrm>
            <a:prstGeom prst="rect">
              <a:avLst/>
            </a:prstGeom>
            <a:noFill/>
            <a:ln w="9525">
              <a:noFill/>
              <a:miter lim="800000"/>
              <a:headEnd/>
              <a:tailEnd/>
            </a:ln>
          </xdr:spPr>
          <xdr:txBody>
            <a:bodyPr vertOverflow="clip" wrap="square" lIns="91440" tIns="45720" rIns="91440" bIns="45720" anchor="t" upright="1"/>
            <a:lstStyle/>
            <a:p>
              <a:pPr algn="ctr" rtl="0">
                <a:defRPr sz="1000"/>
              </a:pPr>
              <a:r>
                <a:rPr lang="en-US" sz="1000" b="0" i="0" strike="noStrike">
                  <a:solidFill>
                    <a:srgbClr val="000000"/>
                  </a:solidFill>
                  <a:latin typeface="Arial"/>
                  <a:cs typeface="Arial"/>
                </a:rPr>
                <a:t>Is </a:t>
              </a:r>
            </a:p>
            <a:p>
              <a:pPr algn="ctr" rtl="0">
                <a:defRPr sz="1000"/>
              </a:pPr>
              <a:r>
                <a:rPr lang="en-US" sz="1000" b="0" i="0" strike="noStrike">
                  <a:solidFill>
                    <a:srgbClr val="000000"/>
                  </a:solidFill>
                  <a:latin typeface="Arial"/>
                  <a:cs typeface="Arial"/>
                </a:rPr>
                <a:t>lookup_value</a:t>
              </a:r>
            </a:p>
            <a:p>
              <a:pPr algn="ctr" rtl="0">
                <a:defRPr sz="1000"/>
              </a:pPr>
              <a:r>
                <a:rPr lang="en-US" sz="1000" b="0" i="0" strike="noStrike">
                  <a:solidFill>
                    <a:srgbClr val="000000"/>
                  </a:solidFill>
                  <a:latin typeface="Arial"/>
                  <a:cs typeface="Arial"/>
                </a:rPr>
                <a:t>&gt;= next value in table_array? </a:t>
              </a:r>
              <a:endParaRPr lang="en-US" sz="800" b="0" i="0" strike="noStrike">
                <a:solidFill>
                  <a:srgbClr val="000000"/>
                </a:solidFill>
                <a:latin typeface="Arial"/>
                <a:cs typeface="Arial"/>
              </a:endParaRPr>
            </a:p>
            <a:p>
              <a:pPr algn="ctr" rtl="0">
                <a:defRPr sz="1000"/>
              </a:pPr>
              <a:endParaRPr lang="en-US" sz="800" b="0" i="0" strike="noStrike">
                <a:solidFill>
                  <a:srgbClr val="000000"/>
                </a:solidFill>
                <a:latin typeface="Arial"/>
                <a:cs typeface="Arial"/>
              </a:endParaRPr>
            </a:p>
          </xdr:txBody>
        </xdr:sp>
        <xdr:sp macro="" textlink="">
          <xdr:nvSpPr>
            <xdr:cNvPr id="14354" name="Text Box 18">
              <a:extLst>
                <a:ext uri="{FF2B5EF4-FFF2-40B4-BE49-F238E27FC236}">
                  <a16:creationId xmlns:a16="http://schemas.microsoft.com/office/drawing/2014/main" id="{00000000-0008-0000-0900-000012380000}"/>
                </a:ext>
              </a:extLst>
            </xdr:cNvPr>
            <xdr:cNvSpPr txBox="1">
              <a:spLocks noChangeArrowheads="1"/>
            </xdr:cNvSpPr>
          </xdr:nvSpPr>
          <xdr:spPr bwMode="auto">
            <a:xfrm>
              <a:off x="729" y="470"/>
              <a:ext cx="36" cy="44"/>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No</a:t>
              </a:r>
            </a:p>
            <a:p>
              <a:pPr algn="ctr" rtl="0">
                <a:defRPr sz="1000"/>
              </a:pPr>
              <a:endParaRPr lang="en-US" sz="1000" b="0" i="0" strike="noStrike">
                <a:solidFill>
                  <a:srgbClr val="000000"/>
                </a:solidFill>
                <a:latin typeface="Arial"/>
                <a:cs typeface="Arial"/>
              </a:endParaRPr>
            </a:p>
          </xdr:txBody>
        </xdr:sp>
        <xdr:sp macro="" textlink="">
          <xdr:nvSpPr>
            <xdr:cNvPr id="14779" name="Line 19">
              <a:extLst>
                <a:ext uri="{FF2B5EF4-FFF2-40B4-BE49-F238E27FC236}">
                  <a16:creationId xmlns:a16="http://schemas.microsoft.com/office/drawing/2014/main" id="{00000000-0008-0000-0900-0000BB390000}"/>
                </a:ext>
              </a:extLst>
            </xdr:cNvPr>
            <xdr:cNvSpPr>
              <a:spLocks noChangeShapeType="1"/>
            </xdr:cNvSpPr>
          </xdr:nvSpPr>
          <xdr:spPr bwMode="auto">
            <a:xfrm>
              <a:off x="729" y="490"/>
              <a:ext cx="40" cy="0"/>
            </a:xfrm>
            <a:prstGeom prst="line">
              <a:avLst/>
            </a:prstGeom>
            <a:noFill/>
            <a:ln w="9525">
              <a:solidFill>
                <a:srgbClr val="000000"/>
              </a:solidFill>
              <a:round/>
              <a:headEnd/>
              <a:tailEnd type="triangle" w="med" len="med"/>
            </a:ln>
          </xdr:spPr>
        </xdr:sp>
        <xdr:sp macro="" textlink="">
          <xdr:nvSpPr>
            <xdr:cNvPr id="14780" name="Line 20">
              <a:extLst>
                <a:ext uri="{FF2B5EF4-FFF2-40B4-BE49-F238E27FC236}">
                  <a16:creationId xmlns:a16="http://schemas.microsoft.com/office/drawing/2014/main" id="{00000000-0008-0000-0900-0000BC390000}"/>
                </a:ext>
              </a:extLst>
            </xdr:cNvPr>
            <xdr:cNvSpPr>
              <a:spLocks noChangeShapeType="1"/>
            </xdr:cNvSpPr>
          </xdr:nvSpPr>
          <xdr:spPr bwMode="auto">
            <a:xfrm>
              <a:off x="521" y="254"/>
              <a:ext cx="112" cy="0"/>
            </a:xfrm>
            <a:prstGeom prst="line">
              <a:avLst/>
            </a:prstGeom>
            <a:noFill/>
            <a:ln w="9525">
              <a:solidFill>
                <a:srgbClr val="000000"/>
              </a:solidFill>
              <a:round/>
              <a:headEnd/>
              <a:tailEnd type="triangle" w="med" len="med"/>
            </a:ln>
          </xdr:spPr>
        </xdr:sp>
        <xdr:sp macro="" textlink="">
          <xdr:nvSpPr>
            <xdr:cNvPr id="14781" name="Line 21">
              <a:extLst>
                <a:ext uri="{FF2B5EF4-FFF2-40B4-BE49-F238E27FC236}">
                  <a16:creationId xmlns:a16="http://schemas.microsoft.com/office/drawing/2014/main" id="{00000000-0008-0000-0900-0000BD390000}"/>
                </a:ext>
              </a:extLst>
            </xdr:cNvPr>
            <xdr:cNvSpPr>
              <a:spLocks noChangeShapeType="1"/>
            </xdr:cNvSpPr>
          </xdr:nvSpPr>
          <xdr:spPr bwMode="auto">
            <a:xfrm flipV="1">
              <a:off x="634" y="558"/>
              <a:ext cx="0" cy="16"/>
            </a:xfrm>
            <a:prstGeom prst="line">
              <a:avLst/>
            </a:prstGeom>
            <a:noFill/>
            <a:ln w="9525">
              <a:solidFill>
                <a:srgbClr val="000000"/>
              </a:solidFill>
              <a:round/>
              <a:headEnd/>
              <a:tailEnd/>
            </a:ln>
          </xdr:spPr>
        </xdr:sp>
        <xdr:sp macro="" textlink="">
          <xdr:nvSpPr>
            <xdr:cNvPr id="14782" name="Line 22">
              <a:extLst>
                <a:ext uri="{FF2B5EF4-FFF2-40B4-BE49-F238E27FC236}">
                  <a16:creationId xmlns:a16="http://schemas.microsoft.com/office/drawing/2014/main" id="{00000000-0008-0000-0900-0000BE390000}"/>
                </a:ext>
              </a:extLst>
            </xdr:cNvPr>
            <xdr:cNvSpPr>
              <a:spLocks noChangeShapeType="1"/>
            </xdr:cNvSpPr>
          </xdr:nvSpPr>
          <xdr:spPr bwMode="auto">
            <a:xfrm>
              <a:off x="521" y="574"/>
              <a:ext cx="112" cy="0"/>
            </a:xfrm>
            <a:prstGeom prst="line">
              <a:avLst/>
            </a:prstGeom>
            <a:noFill/>
            <a:ln w="9525">
              <a:solidFill>
                <a:srgbClr val="000000"/>
              </a:solidFill>
              <a:round/>
              <a:headEnd/>
              <a:tailEnd/>
            </a:ln>
          </xdr:spPr>
        </xdr:sp>
        <xdr:sp macro="" textlink="">
          <xdr:nvSpPr>
            <xdr:cNvPr id="14359" name="Text Box 23">
              <a:extLst>
                <a:ext uri="{FF2B5EF4-FFF2-40B4-BE49-F238E27FC236}">
                  <a16:creationId xmlns:a16="http://schemas.microsoft.com/office/drawing/2014/main" id="{00000000-0008-0000-0900-000017380000}"/>
                </a:ext>
              </a:extLst>
            </xdr:cNvPr>
            <xdr:cNvSpPr txBox="1">
              <a:spLocks noChangeArrowheads="1"/>
            </xdr:cNvSpPr>
          </xdr:nvSpPr>
          <xdr:spPr bwMode="auto">
            <a:xfrm>
              <a:off x="630" y="553"/>
              <a:ext cx="43" cy="44"/>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Yes</a:t>
              </a:r>
            </a:p>
            <a:p>
              <a:pPr algn="ctr" rtl="0">
                <a:defRPr sz="1000"/>
              </a:pPr>
              <a:endParaRPr lang="en-US" sz="1000" b="0" i="0" strike="noStrike">
                <a:solidFill>
                  <a:srgbClr val="000000"/>
                </a:solidFill>
                <a:latin typeface="Arial"/>
                <a:cs typeface="Arial"/>
              </a:endParaRPr>
            </a:p>
          </xdr:txBody>
        </xdr:sp>
        <xdr:sp macro="" textlink="">
          <xdr:nvSpPr>
            <xdr:cNvPr id="14360" name="Text Box 24">
              <a:extLst>
                <a:ext uri="{FF2B5EF4-FFF2-40B4-BE49-F238E27FC236}">
                  <a16:creationId xmlns:a16="http://schemas.microsoft.com/office/drawing/2014/main" id="{00000000-0008-0000-0900-000018380000}"/>
                </a:ext>
              </a:extLst>
            </xdr:cNvPr>
            <xdr:cNvSpPr txBox="1">
              <a:spLocks noChangeArrowheads="1"/>
            </xdr:cNvSpPr>
          </xdr:nvSpPr>
          <xdr:spPr bwMode="auto">
            <a:xfrm>
              <a:off x="770" y="452"/>
              <a:ext cx="144" cy="76"/>
            </a:xfrm>
            <a:prstGeom prst="rect">
              <a:avLst/>
            </a:prstGeom>
            <a:solidFill>
              <a:srgbClr val="BBE0E3"/>
            </a:solidFill>
            <a:ln w="9525">
              <a:noFill/>
              <a:miter lim="800000"/>
              <a:headEnd/>
              <a:tailEnd/>
            </a:ln>
          </xdr:spPr>
          <xdr:txBody>
            <a:bodyPr vertOverflow="clip" wrap="square" lIns="91440" tIns="45720" rIns="91440" bIns="45720" anchor="t" upright="1"/>
            <a:lstStyle/>
            <a:p>
              <a:pPr algn="ctr" rtl="0">
                <a:defRPr sz="1000"/>
              </a:pPr>
              <a:r>
                <a:rPr lang="en-US" sz="1000" b="0" i="0" strike="noStrike">
                  <a:solidFill>
                    <a:srgbClr val="000000"/>
                  </a:solidFill>
                  <a:latin typeface="Arial"/>
                  <a:cs typeface="Arial"/>
                </a:rPr>
                <a:t>Retrieve the value that corresponds to the current entry in the lookup table</a:t>
              </a:r>
            </a:p>
            <a:p>
              <a:pPr algn="ctr" rtl="0">
                <a:defRPr sz="1000"/>
              </a:pPr>
              <a:endParaRPr lang="en-US" sz="1000" b="0" i="0" strike="noStrike">
                <a:solidFill>
                  <a:srgbClr val="000000"/>
                </a:solidFill>
                <a:latin typeface="Arial"/>
                <a:cs typeface="Arial"/>
              </a:endParaRPr>
            </a:p>
          </xdr:txBody>
        </xdr:sp>
      </xdr:grpSp>
      <xdr:sp macro="" textlink="">
        <xdr:nvSpPr>
          <xdr:cNvPr id="14361" name="Text Box 25">
            <a:extLst>
              <a:ext uri="{FF2B5EF4-FFF2-40B4-BE49-F238E27FC236}">
                <a16:creationId xmlns:a16="http://schemas.microsoft.com/office/drawing/2014/main" id="{00000000-0008-0000-0900-000019380000}"/>
              </a:ext>
            </a:extLst>
          </xdr:cNvPr>
          <xdr:cNvSpPr txBox="1">
            <a:spLocks noChangeArrowheads="1"/>
          </xdr:cNvSpPr>
        </xdr:nvSpPr>
        <xdr:spPr bwMode="auto">
          <a:xfrm>
            <a:off x="630" y="249"/>
            <a:ext cx="43" cy="44"/>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Yes</a:t>
            </a:r>
          </a:p>
          <a:p>
            <a:pPr algn="ctr" rtl="0">
              <a:defRPr sz="1000"/>
            </a:pPr>
            <a:endParaRPr lang="en-US" sz="1000" b="0" i="0" strike="noStrike">
              <a:solidFill>
                <a:srgbClr val="000000"/>
              </a:solidFill>
              <a:latin typeface="Arial"/>
              <a:cs typeface="Arial"/>
            </a:endParaRPr>
          </a:p>
        </xdr:txBody>
      </xdr:sp>
      <xdr:sp macro="" textlink="">
        <xdr:nvSpPr>
          <xdr:cNvPr id="14362" name="Text Box 26">
            <a:extLst>
              <a:ext uri="{FF2B5EF4-FFF2-40B4-BE49-F238E27FC236}">
                <a16:creationId xmlns:a16="http://schemas.microsoft.com/office/drawing/2014/main" id="{00000000-0008-0000-0900-00001A380000}"/>
              </a:ext>
            </a:extLst>
          </xdr:cNvPr>
          <xdr:cNvSpPr txBox="1">
            <a:spLocks noChangeArrowheads="1"/>
          </xdr:cNvSpPr>
        </xdr:nvSpPr>
        <xdr:spPr bwMode="auto">
          <a:xfrm>
            <a:off x="628" y="401"/>
            <a:ext cx="43" cy="44"/>
          </a:xfrm>
          <a:prstGeom prst="rect">
            <a:avLst/>
          </a:prstGeom>
          <a:noFill/>
          <a:ln w="9525">
            <a:noFill/>
            <a:miter lim="800000"/>
            <a:headEnd/>
            <a:tailEnd/>
          </a:ln>
        </xdr:spPr>
        <xdr:txBody>
          <a:bodyPr wrap="none" lIns="91440" tIns="45720" rIns="91440" bIns="45720" anchor="t" upright="1">
            <a:spAutoFit/>
          </a:bodyPr>
          <a:lstStyle/>
          <a:p>
            <a:pPr algn="ctr" rtl="0">
              <a:defRPr sz="1000"/>
            </a:pPr>
            <a:r>
              <a:rPr lang="en-US" sz="1000" b="0" i="0" strike="noStrike">
                <a:solidFill>
                  <a:srgbClr val="000000"/>
                </a:solidFill>
                <a:latin typeface="Arial"/>
                <a:cs typeface="Arial"/>
              </a:rPr>
              <a:t>Yes</a:t>
            </a:r>
          </a:p>
          <a:p>
            <a:pPr algn="ctr" rtl="0">
              <a:defRPr sz="1000"/>
            </a:pPr>
            <a:endParaRPr lang="en-US" sz="1000" b="0" i="0" strike="noStrike">
              <a:solidFill>
                <a:srgbClr val="000000"/>
              </a:solidFill>
              <a:latin typeface="Arial"/>
              <a:cs typeface="Arial"/>
            </a:endParaRPr>
          </a:p>
        </xdr:txBody>
      </xdr:sp>
      <xdr:sp macro="" textlink="">
        <xdr:nvSpPr>
          <xdr:cNvPr id="14762" name="Line 27">
            <a:extLst>
              <a:ext uri="{FF2B5EF4-FFF2-40B4-BE49-F238E27FC236}">
                <a16:creationId xmlns:a16="http://schemas.microsoft.com/office/drawing/2014/main" id="{00000000-0008-0000-0900-0000AA390000}"/>
              </a:ext>
            </a:extLst>
          </xdr:cNvPr>
          <xdr:cNvSpPr>
            <a:spLocks noChangeShapeType="1"/>
          </xdr:cNvSpPr>
        </xdr:nvSpPr>
        <xdr:spPr bwMode="auto">
          <a:xfrm>
            <a:off x="633" y="254"/>
            <a:ext cx="0" cy="16"/>
          </a:xfrm>
          <a:prstGeom prst="line">
            <a:avLst/>
          </a:prstGeom>
          <a:noFill/>
          <a:ln w="9525">
            <a:solidFill>
              <a:srgbClr val="000000"/>
            </a:solidFill>
            <a:round/>
            <a:headEnd/>
            <a:tailEnd type="triangle" w="med" len="med"/>
          </a:ln>
        </xdr:spPr>
      </xdr:sp>
      <xdr:sp macro="" textlink="">
        <xdr:nvSpPr>
          <xdr:cNvPr id="14763" name="Line 28">
            <a:extLst>
              <a:ext uri="{FF2B5EF4-FFF2-40B4-BE49-F238E27FC236}">
                <a16:creationId xmlns:a16="http://schemas.microsoft.com/office/drawing/2014/main" id="{00000000-0008-0000-0900-0000AB390000}"/>
              </a:ext>
            </a:extLst>
          </xdr:cNvPr>
          <xdr:cNvSpPr>
            <a:spLocks noChangeShapeType="1"/>
          </xdr:cNvSpPr>
        </xdr:nvSpPr>
        <xdr:spPr bwMode="auto">
          <a:xfrm>
            <a:off x="633" y="406"/>
            <a:ext cx="0" cy="16"/>
          </a:xfrm>
          <a:prstGeom prst="line">
            <a:avLst/>
          </a:prstGeom>
          <a:noFill/>
          <a:ln w="9525">
            <a:solidFill>
              <a:srgbClr val="000000"/>
            </a:solidFill>
            <a:round/>
            <a:headEnd/>
            <a:tailEnd type="triangle" w="med" len="med"/>
          </a:ln>
        </xdr:spPr>
      </xdr:sp>
    </xdr:grp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419100</xdr:colOff>
      <xdr:row>7</xdr:row>
      <xdr:rowOff>76200</xdr:rowOff>
    </xdr:from>
    <xdr:to>
      <xdr:col>8</xdr:col>
      <xdr:colOff>161925</xdr:colOff>
      <xdr:row>15</xdr:row>
      <xdr:rowOff>114300</xdr:rowOff>
    </xdr:to>
    <xdr:grpSp>
      <xdr:nvGrpSpPr>
        <xdr:cNvPr id="11475" name="Group 16">
          <a:extLst>
            <a:ext uri="{FF2B5EF4-FFF2-40B4-BE49-F238E27FC236}">
              <a16:creationId xmlns:a16="http://schemas.microsoft.com/office/drawing/2014/main" id="{00000000-0008-0000-0A00-0000D32C0000}"/>
            </a:ext>
          </a:extLst>
        </xdr:cNvPr>
        <xdr:cNvGrpSpPr>
          <a:grpSpLocks/>
        </xdr:cNvGrpSpPr>
      </xdr:nvGrpSpPr>
      <xdr:grpSpPr bwMode="auto">
        <a:xfrm>
          <a:off x="3394841" y="1232338"/>
          <a:ext cx="1568998" cy="1365031"/>
          <a:chOff x="413" y="108"/>
          <a:chExt cx="171" cy="142"/>
        </a:xfrm>
      </xdr:grpSpPr>
      <xdr:sp macro="" textlink="">
        <xdr:nvSpPr>
          <xdr:cNvPr id="11485" name="Freeform 14">
            <a:extLst>
              <a:ext uri="{FF2B5EF4-FFF2-40B4-BE49-F238E27FC236}">
                <a16:creationId xmlns:a16="http://schemas.microsoft.com/office/drawing/2014/main" id="{00000000-0008-0000-0A00-0000DD2C0000}"/>
              </a:ext>
            </a:extLst>
          </xdr:cNvPr>
          <xdr:cNvSpPr>
            <a:spLocks/>
          </xdr:cNvSpPr>
        </xdr:nvSpPr>
        <xdr:spPr bwMode="auto">
          <a:xfrm>
            <a:off x="435" y="108"/>
            <a:ext cx="133" cy="142"/>
          </a:xfrm>
          <a:custGeom>
            <a:avLst/>
            <a:gdLst>
              <a:gd name="T0" fmla="*/ 133 w 133"/>
              <a:gd name="T1" fmla="*/ 0 h 142"/>
              <a:gd name="T2" fmla="*/ 15 w 133"/>
              <a:gd name="T3" fmla="*/ 132 h 142"/>
              <a:gd name="T4" fmla="*/ 0 w 133"/>
              <a:gd name="T5" fmla="*/ 142 h 142"/>
              <a:gd name="T6" fmla="*/ 0 60000 65536"/>
              <a:gd name="T7" fmla="*/ 0 60000 65536"/>
              <a:gd name="T8" fmla="*/ 0 60000 65536"/>
              <a:gd name="T9" fmla="*/ 0 w 133"/>
              <a:gd name="T10" fmla="*/ 0 h 142"/>
              <a:gd name="T11" fmla="*/ 133 w 133"/>
              <a:gd name="T12" fmla="*/ 142 h 142"/>
            </a:gdLst>
            <a:ahLst/>
            <a:cxnLst>
              <a:cxn ang="T6">
                <a:pos x="T0" y="T1"/>
              </a:cxn>
              <a:cxn ang="T7">
                <a:pos x="T2" y="T3"/>
              </a:cxn>
              <a:cxn ang="T8">
                <a:pos x="T4" y="T5"/>
              </a:cxn>
            </a:cxnLst>
            <a:rect l="T9" t="T10" r="T11" b="T12"/>
            <a:pathLst>
              <a:path w="133" h="142">
                <a:moveTo>
                  <a:pt x="133" y="0"/>
                </a:moveTo>
                <a:cubicBezTo>
                  <a:pt x="94" y="44"/>
                  <a:pt x="54" y="88"/>
                  <a:pt x="15" y="132"/>
                </a:cubicBezTo>
                <a:cubicBezTo>
                  <a:pt x="11" y="136"/>
                  <a:pt x="0" y="142"/>
                  <a:pt x="0" y="142"/>
                </a:cubicBezTo>
              </a:path>
            </a:pathLst>
          </a:custGeom>
          <a:noFill/>
          <a:ln w="25400">
            <a:solidFill>
              <a:srgbClr val="FF0000"/>
            </a:solidFill>
            <a:round/>
            <a:headEnd/>
            <a:tailEnd/>
          </a:ln>
        </xdr:spPr>
      </xdr:sp>
      <xdr:sp macro="" textlink="">
        <xdr:nvSpPr>
          <xdr:cNvPr id="11486" name="Freeform 15">
            <a:extLst>
              <a:ext uri="{FF2B5EF4-FFF2-40B4-BE49-F238E27FC236}">
                <a16:creationId xmlns:a16="http://schemas.microsoft.com/office/drawing/2014/main" id="{00000000-0008-0000-0A00-0000DE2C0000}"/>
              </a:ext>
            </a:extLst>
          </xdr:cNvPr>
          <xdr:cNvSpPr>
            <a:spLocks/>
          </xdr:cNvSpPr>
        </xdr:nvSpPr>
        <xdr:spPr bwMode="auto">
          <a:xfrm>
            <a:off x="413" y="115"/>
            <a:ext cx="171" cy="125"/>
          </a:xfrm>
          <a:custGeom>
            <a:avLst/>
            <a:gdLst>
              <a:gd name="T0" fmla="*/ 0 w 171"/>
              <a:gd name="T1" fmla="*/ 0 h 125"/>
              <a:gd name="T2" fmla="*/ 78 w 171"/>
              <a:gd name="T3" fmla="*/ 49 h 125"/>
              <a:gd name="T4" fmla="*/ 131 w 171"/>
              <a:gd name="T5" fmla="*/ 78 h 125"/>
              <a:gd name="T6" fmla="*/ 171 w 171"/>
              <a:gd name="T7" fmla="*/ 125 h 125"/>
              <a:gd name="T8" fmla="*/ 0 60000 65536"/>
              <a:gd name="T9" fmla="*/ 0 60000 65536"/>
              <a:gd name="T10" fmla="*/ 0 60000 65536"/>
              <a:gd name="T11" fmla="*/ 0 60000 65536"/>
              <a:gd name="T12" fmla="*/ 0 w 171"/>
              <a:gd name="T13" fmla="*/ 0 h 125"/>
              <a:gd name="T14" fmla="*/ 171 w 171"/>
              <a:gd name="T15" fmla="*/ 125 h 125"/>
            </a:gdLst>
            <a:ahLst/>
            <a:cxnLst>
              <a:cxn ang="T8">
                <a:pos x="T0" y="T1"/>
              </a:cxn>
              <a:cxn ang="T9">
                <a:pos x="T2" y="T3"/>
              </a:cxn>
              <a:cxn ang="T10">
                <a:pos x="T4" y="T5"/>
              </a:cxn>
              <a:cxn ang="T11">
                <a:pos x="T6" y="T7"/>
              </a:cxn>
            </a:cxnLst>
            <a:rect l="T12" t="T13" r="T14" b="T15"/>
            <a:pathLst>
              <a:path w="171" h="125">
                <a:moveTo>
                  <a:pt x="0" y="0"/>
                </a:moveTo>
                <a:cubicBezTo>
                  <a:pt x="59" y="31"/>
                  <a:pt x="11" y="4"/>
                  <a:pt x="78" y="49"/>
                </a:cubicBezTo>
                <a:cubicBezTo>
                  <a:pt x="94" y="60"/>
                  <a:pt x="116" y="66"/>
                  <a:pt x="131" y="78"/>
                </a:cubicBezTo>
                <a:cubicBezTo>
                  <a:pt x="169" y="109"/>
                  <a:pt x="145" y="99"/>
                  <a:pt x="171" y="125"/>
                </a:cubicBezTo>
              </a:path>
            </a:pathLst>
          </a:custGeom>
          <a:noFill/>
          <a:ln w="38100">
            <a:solidFill>
              <a:srgbClr val="FF0000"/>
            </a:solidFill>
            <a:round/>
            <a:headEnd/>
            <a:tailEnd/>
          </a:ln>
        </xdr:spPr>
      </xdr:sp>
    </xdr:grpSp>
    <xdr:clientData/>
  </xdr:twoCellAnchor>
  <xdr:twoCellAnchor editAs="oneCell">
    <xdr:from>
      <xdr:col>3</xdr:col>
      <xdr:colOff>485775</xdr:colOff>
      <xdr:row>26</xdr:row>
      <xdr:rowOff>38100</xdr:rowOff>
    </xdr:from>
    <xdr:to>
      <xdr:col>3</xdr:col>
      <xdr:colOff>561975</xdr:colOff>
      <xdr:row>27</xdr:row>
      <xdr:rowOff>76199</xdr:rowOff>
    </xdr:to>
    <xdr:sp macro="" textlink="">
      <xdr:nvSpPr>
        <xdr:cNvPr id="11478" name="Text Box 25">
          <a:extLst>
            <a:ext uri="{FF2B5EF4-FFF2-40B4-BE49-F238E27FC236}">
              <a16:creationId xmlns:a16="http://schemas.microsoft.com/office/drawing/2014/main" id="{00000000-0008-0000-0A00-0000D62C0000}"/>
            </a:ext>
          </a:extLst>
        </xdr:cNvPr>
        <xdr:cNvSpPr txBox="1">
          <a:spLocks noChangeArrowheads="1"/>
        </xdr:cNvSpPr>
      </xdr:nvSpPr>
      <xdr:spPr bwMode="auto">
        <a:xfrm>
          <a:off x="2257425" y="4295775"/>
          <a:ext cx="76200" cy="200025"/>
        </a:xfrm>
        <a:prstGeom prst="rect">
          <a:avLst/>
        </a:prstGeom>
        <a:noFill/>
        <a:ln w="9525" algn="ctr">
          <a:no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400050</xdr:colOff>
      <xdr:row>7</xdr:row>
      <xdr:rowOff>76200</xdr:rowOff>
    </xdr:from>
    <xdr:to>
      <xdr:col>5</xdr:col>
      <xdr:colOff>152400</xdr:colOff>
      <xdr:row>15</xdr:row>
      <xdr:rowOff>114300</xdr:rowOff>
    </xdr:to>
    <xdr:grpSp>
      <xdr:nvGrpSpPr>
        <xdr:cNvPr id="10458" name="Group 33">
          <a:extLst>
            <a:ext uri="{FF2B5EF4-FFF2-40B4-BE49-F238E27FC236}">
              <a16:creationId xmlns:a16="http://schemas.microsoft.com/office/drawing/2014/main" id="{00000000-0008-0000-0B00-0000DA280000}"/>
            </a:ext>
          </a:extLst>
        </xdr:cNvPr>
        <xdr:cNvGrpSpPr>
          <a:grpSpLocks/>
        </xdr:cNvGrpSpPr>
      </xdr:nvGrpSpPr>
      <xdr:grpSpPr bwMode="auto">
        <a:xfrm>
          <a:off x="1566863" y="1213247"/>
          <a:ext cx="1568053" cy="1484709"/>
          <a:chOff x="413" y="108"/>
          <a:chExt cx="171" cy="142"/>
        </a:xfrm>
      </xdr:grpSpPr>
      <xdr:sp macro="" textlink="">
        <xdr:nvSpPr>
          <xdr:cNvPr id="10469" name="Freeform 34">
            <a:extLst>
              <a:ext uri="{FF2B5EF4-FFF2-40B4-BE49-F238E27FC236}">
                <a16:creationId xmlns:a16="http://schemas.microsoft.com/office/drawing/2014/main" id="{00000000-0008-0000-0B00-0000E5280000}"/>
              </a:ext>
            </a:extLst>
          </xdr:cNvPr>
          <xdr:cNvSpPr>
            <a:spLocks/>
          </xdr:cNvSpPr>
        </xdr:nvSpPr>
        <xdr:spPr bwMode="auto">
          <a:xfrm>
            <a:off x="435" y="108"/>
            <a:ext cx="133" cy="142"/>
          </a:xfrm>
          <a:custGeom>
            <a:avLst/>
            <a:gdLst>
              <a:gd name="T0" fmla="*/ 133 w 133"/>
              <a:gd name="T1" fmla="*/ 0 h 142"/>
              <a:gd name="T2" fmla="*/ 15 w 133"/>
              <a:gd name="T3" fmla="*/ 132 h 142"/>
              <a:gd name="T4" fmla="*/ 0 w 133"/>
              <a:gd name="T5" fmla="*/ 142 h 142"/>
              <a:gd name="T6" fmla="*/ 0 60000 65536"/>
              <a:gd name="T7" fmla="*/ 0 60000 65536"/>
              <a:gd name="T8" fmla="*/ 0 60000 65536"/>
              <a:gd name="T9" fmla="*/ 0 w 133"/>
              <a:gd name="T10" fmla="*/ 0 h 142"/>
              <a:gd name="T11" fmla="*/ 133 w 133"/>
              <a:gd name="T12" fmla="*/ 142 h 142"/>
            </a:gdLst>
            <a:ahLst/>
            <a:cxnLst>
              <a:cxn ang="T6">
                <a:pos x="T0" y="T1"/>
              </a:cxn>
              <a:cxn ang="T7">
                <a:pos x="T2" y="T3"/>
              </a:cxn>
              <a:cxn ang="T8">
                <a:pos x="T4" y="T5"/>
              </a:cxn>
            </a:cxnLst>
            <a:rect l="T9" t="T10" r="T11" b="T12"/>
            <a:pathLst>
              <a:path w="133" h="142">
                <a:moveTo>
                  <a:pt x="133" y="0"/>
                </a:moveTo>
                <a:cubicBezTo>
                  <a:pt x="94" y="44"/>
                  <a:pt x="54" y="88"/>
                  <a:pt x="15" y="132"/>
                </a:cubicBezTo>
                <a:cubicBezTo>
                  <a:pt x="11" y="136"/>
                  <a:pt x="0" y="142"/>
                  <a:pt x="0" y="142"/>
                </a:cubicBezTo>
              </a:path>
            </a:pathLst>
          </a:custGeom>
          <a:noFill/>
          <a:ln w="25400">
            <a:solidFill>
              <a:srgbClr val="FF0000"/>
            </a:solidFill>
            <a:round/>
            <a:headEnd/>
            <a:tailEnd/>
          </a:ln>
        </xdr:spPr>
      </xdr:sp>
      <xdr:sp macro="" textlink="">
        <xdr:nvSpPr>
          <xdr:cNvPr id="10470" name="Freeform 35">
            <a:extLst>
              <a:ext uri="{FF2B5EF4-FFF2-40B4-BE49-F238E27FC236}">
                <a16:creationId xmlns:a16="http://schemas.microsoft.com/office/drawing/2014/main" id="{00000000-0008-0000-0B00-0000E6280000}"/>
              </a:ext>
            </a:extLst>
          </xdr:cNvPr>
          <xdr:cNvSpPr>
            <a:spLocks/>
          </xdr:cNvSpPr>
        </xdr:nvSpPr>
        <xdr:spPr bwMode="auto">
          <a:xfrm>
            <a:off x="413" y="115"/>
            <a:ext cx="171" cy="125"/>
          </a:xfrm>
          <a:custGeom>
            <a:avLst/>
            <a:gdLst>
              <a:gd name="T0" fmla="*/ 0 w 171"/>
              <a:gd name="T1" fmla="*/ 0 h 125"/>
              <a:gd name="T2" fmla="*/ 78 w 171"/>
              <a:gd name="T3" fmla="*/ 49 h 125"/>
              <a:gd name="T4" fmla="*/ 131 w 171"/>
              <a:gd name="T5" fmla="*/ 78 h 125"/>
              <a:gd name="T6" fmla="*/ 171 w 171"/>
              <a:gd name="T7" fmla="*/ 125 h 125"/>
              <a:gd name="T8" fmla="*/ 0 60000 65536"/>
              <a:gd name="T9" fmla="*/ 0 60000 65536"/>
              <a:gd name="T10" fmla="*/ 0 60000 65536"/>
              <a:gd name="T11" fmla="*/ 0 60000 65536"/>
              <a:gd name="T12" fmla="*/ 0 w 171"/>
              <a:gd name="T13" fmla="*/ 0 h 125"/>
              <a:gd name="T14" fmla="*/ 171 w 171"/>
              <a:gd name="T15" fmla="*/ 125 h 125"/>
            </a:gdLst>
            <a:ahLst/>
            <a:cxnLst>
              <a:cxn ang="T8">
                <a:pos x="T0" y="T1"/>
              </a:cxn>
              <a:cxn ang="T9">
                <a:pos x="T2" y="T3"/>
              </a:cxn>
              <a:cxn ang="T10">
                <a:pos x="T4" y="T5"/>
              </a:cxn>
              <a:cxn ang="T11">
                <a:pos x="T6" y="T7"/>
              </a:cxn>
            </a:cxnLst>
            <a:rect l="T12" t="T13" r="T14" b="T15"/>
            <a:pathLst>
              <a:path w="171" h="125">
                <a:moveTo>
                  <a:pt x="0" y="0"/>
                </a:moveTo>
                <a:cubicBezTo>
                  <a:pt x="59" y="31"/>
                  <a:pt x="11" y="4"/>
                  <a:pt x="78" y="49"/>
                </a:cubicBezTo>
                <a:cubicBezTo>
                  <a:pt x="94" y="60"/>
                  <a:pt x="116" y="66"/>
                  <a:pt x="131" y="78"/>
                </a:cubicBezTo>
                <a:cubicBezTo>
                  <a:pt x="169" y="109"/>
                  <a:pt x="145" y="99"/>
                  <a:pt x="171" y="125"/>
                </a:cubicBezTo>
              </a:path>
            </a:pathLst>
          </a:custGeom>
          <a:noFill/>
          <a:ln w="38100">
            <a:solidFill>
              <a:srgbClr val="FF0000"/>
            </a:solidFill>
            <a:round/>
            <a:headEnd/>
            <a:tailEnd/>
          </a:ln>
        </xdr:spPr>
      </xdr:sp>
    </xdr:grpSp>
    <xdr:clientData/>
  </xdr:twoCellAnchor>
  <xdr:twoCellAnchor>
    <xdr:from>
      <xdr:col>5</xdr:col>
      <xdr:colOff>342900</xdr:colOff>
      <xdr:row>7</xdr:row>
      <xdr:rowOff>57150</xdr:rowOff>
    </xdr:from>
    <xdr:to>
      <xdr:col>8</xdr:col>
      <xdr:colOff>85725</xdr:colOff>
      <xdr:row>15</xdr:row>
      <xdr:rowOff>95250</xdr:rowOff>
    </xdr:to>
    <xdr:grpSp>
      <xdr:nvGrpSpPr>
        <xdr:cNvPr id="10459" name="Group 36">
          <a:extLst>
            <a:ext uri="{FF2B5EF4-FFF2-40B4-BE49-F238E27FC236}">
              <a16:creationId xmlns:a16="http://schemas.microsoft.com/office/drawing/2014/main" id="{00000000-0008-0000-0B00-0000DB280000}"/>
            </a:ext>
          </a:extLst>
        </xdr:cNvPr>
        <xdr:cNvGrpSpPr>
          <a:grpSpLocks/>
        </xdr:cNvGrpSpPr>
      </xdr:nvGrpSpPr>
      <xdr:grpSpPr bwMode="auto">
        <a:xfrm>
          <a:off x="3325416" y="1194197"/>
          <a:ext cx="1600200" cy="1484709"/>
          <a:chOff x="413" y="108"/>
          <a:chExt cx="171" cy="142"/>
        </a:xfrm>
      </xdr:grpSpPr>
      <xdr:sp macro="" textlink="">
        <xdr:nvSpPr>
          <xdr:cNvPr id="10467" name="Freeform 37">
            <a:extLst>
              <a:ext uri="{FF2B5EF4-FFF2-40B4-BE49-F238E27FC236}">
                <a16:creationId xmlns:a16="http://schemas.microsoft.com/office/drawing/2014/main" id="{00000000-0008-0000-0B00-0000E3280000}"/>
              </a:ext>
            </a:extLst>
          </xdr:cNvPr>
          <xdr:cNvSpPr>
            <a:spLocks/>
          </xdr:cNvSpPr>
        </xdr:nvSpPr>
        <xdr:spPr bwMode="auto">
          <a:xfrm>
            <a:off x="435" y="108"/>
            <a:ext cx="133" cy="142"/>
          </a:xfrm>
          <a:custGeom>
            <a:avLst/>
            <a:gdLst>
              <a:gd name="T0" fmla="*/ 133 w 133"/>
              <a:gd name="T1" fmla="*/ 0 h 142"/>
              <a:gd name="T2" fmla="*/ 15 w 133"/>
              <a:gd name="T3" fmla="*/ 132 h 142"/>
              <a:gd name="T4" fmla="*/ 0 w 133"/>
              <a:gd name="T5" fmla="*/ 142 h 142"/>
              <a:gd name="T6" fmla="*/ 0 60000 65536"/>
              <a:gd name="T7" fmla="*/ 0 60000 65536"/>
              <a:gd name="T8" fmla="*/ 0 60000 65536"/>
              <a:gd name="T9" fmla="*/ 0 w 133"/>
              <a:gd name="T10" fmla="*/ 0 h 142"/>
              <a:gd name="T11" fmla="*/ 133 w 133"/>
              <a:gd name="T12" fmla="*/ 142 h 142"/>
            </a:gdLst>
            <a:ahLst/>
            <a:cxnLst>
              <a:cxn ang="T6">
                <a:pos x="T0" y="T1"/>
              </a:cxn>
              <a:cxn ang="T7">
                <a:pos x="T2" y="T3"/>
              </a:cxn>
              <a:cxn ang="T8">
                <a:pos x="T4" y="T5"/>
              </a:cxn>
            </a:cxnLst>
            <a:rect l="T9" t="T10" r="T11" b="T12"/>
            <a:pathLst>
              <a:path w="133" h="142">
                <a:moveTo>
                  <a:pt x="133" y="0"/>
                </a:moveTo>
                <a:cubicBezTo>
                  <a:pt x="94" y="44"/>
                  <a:pt x="54" y="88"/>
                  <a:pt x="15" y="132"/>
                </a:cubicBezTo>
                <a:cubicBezTo>
                  <a:pt x="11" y="136"/>
                  <a:pt x="0" y="142"/>
                  <a:pt x="0" y="142"/>
                </a:cubicBezTo>
              </a:path>
            </a:pathLst>
          </a:custGeom>
          <a:noFill/>
          <a:ln w="25400">
            <a:solidFill>
              <a:srgbClr val="FF0000"/>
            </a:solidFill>
            <a:round/>
            <a:headEnd/>
            <a:tailEnd/>
          </a:ln>
        </xdr:spPr>
      </xdr:sp>
      <xdr:sp macro="" textlink="">
        <xdr:nvSpPr>
          <xdr:cNvPr id="10468" name="Freeform 38">
            <a:extLst>
              <a:ext uri="{FF2B5EF4-FFF2-40B4-BE49-F238E27FC236}">
                <a16:creationId xmlns:a16="http://schemas.microsoft.com/office/drawing/2014/main" id="{00000000-0008-0000-0B00-0000E4280000}"/>
              </a:ext>
            </a:extLst>
          </xdr:cNvPr>
          <xdr:cNvSpPr>
            <a:spLocks/>
          </xdr:cNvSpPr>
        </xdr:nvSpPr>
        <xdr:spPr bwMode="auto">
          <a:xfrm>
            <a:off x="413" y="115"/>
            <a:ext cx="171" cy="125"/>
          </a:xfrm>
          <a:custGeom>
            <a:avLst/>
            <a:gdLst>
              <a:gd name="T0" fmla="*/ 0 w 171"/>
              <a:gd name="T1" fmla="*/ 0 h 125"/>
              <a:gd name="T2" fmla="*/ 78 w 171"/>
              <a:gd name="T3" fmla="*/ 49 h 125"/>
              <a:gd name="T4" fmla="*/ 131 w 171"/>
              <a:gd name="T5" fmla="*/ 78 h 125"/>
              <a:gd name="T6" fmla="*/ 171 w 171"/>
              <a:gd name="T7" fmla="*/ 125 h 125"/>
              <a:gd name="T8" fmla="*/ 0 60000 65536"/>
              <a:gd name="T9" fmla="*/ 0 60000 65536"/>
              <a:gd name="T10" fmla="*/ 0 60000 65536"/>
              <a:gd name="T11" fmla="*/ 0 60000 65536"/>
              <a:gd name="T12" fmla="*/ 0 w 171"/>
              <a:gd name="T13" fmla="*/ 0 h 125"/>
              <a:gd name="T14" fmla="*/ 171 w 171"/>
              <a:gd name="T15" fmla="*/ 125 h 125"/>
            </a:gdLst>
            <a:ahLst/>
            <a:cxnLst>
              <a:cxn ang="T8">
                <a:pos x="T0" y="T1"/>
              </a:cxn>
              <a:cxn ang="T9">
                <a:pos x="T2" y="T3"/>
              </a:cxn>
              <a:cxn ang="T10">
                <a:pos x="T4" y="T5"/>
              </a:cxn>
              <a:cxn ang="T11">
                <a:pos x="T6" y="T7"/>
              </a:cxn>
            </a:cxnLst>
            <a:rect l="T12" t="T13" r="T14" b="T15"/>
            <a:pathLst>
              <a:path w="171" h="125">
                <a:moveTo>
                  <a:pt x="0" y="0"/>
                </a:moveTo>
                <a:cubicBezTo>
                  <a:pt x="59" y="31"/>
                  <a:pt x="11" y="4"/>
                  <a:pt x="78" y="49"/>
                </a:cubicBezTo>
                <a:cubicBezTo>
                  <a:pt x="94" y="60"/>
                  <a:pt x="116" y="66"/>
                  <a:pt x="131" y="78"/>
                </a:cubicBezTo>
                <a:cubicBezTo>
                  <a:pt x="169" y="109"/>
                  <a:pt x="145" y="99"/>
                  <a:pt x="171" y="125"/>
                </a:cubicBezTo>
              </a:path>
            </a:pathLst>
          </a:custGeom>
          <a:noFill/>
          <a:ln w="38100">
            <a:solidFill>
              <a:srgbClr val="FF0000"/>
            </a:solidFill>
            <a:round/>
            <a:headEnd/>
            <a:tailEnd/>
          </a:ln>
        </xdr:spPr>
      </xdr:sp>
    </xdr:grpSp>
    <xdr:clientData/>
  </xdr:twoCellAnchor>
  <xdr:twoCellAnchor>
    <xdr:from>
      <xdr:col>8</xdr:col>
      <xdr:colOff>447675</xdr:colOff>
      <xdr:row>7</xdr:row>
      <xdr:rowOff>104775</xdr:rowOff>
    </xdr:from>
    <xdr:to>
      <xdr:col>11</xdr:col>
      <xdr:colOff>161925</xdr:colOff>
      <xdr:row>15</xdr:row>
      <xdr:rowOff>142875</xdr:rowOff>
    </xdr:to>
    <xdr:grpSp>
      <xdr:nvGrpSpPr>
        <xdr:cNvPr id="10460" name="Group 39">
          <a:extLst>
            <a:ext uri="{FF2B5EF4-FFF2-40B4-BE49-F238E27FC236}">
              <a16:creationId xmlns:a16="http://schemas.microsoft.com/office/drawing/2014/main" id="{00000000-0008-0000-0B00-0000DC280000}"/>
            </a:ext>
          </a:extLst>
        </xdr:cNvPr>
        <xdr:cNvGrpSpPr>
          <a:grpSpLocks/>
        </xdr:cNvGrpSpPr>
      </xdr:nvGrpSpPr>
      <xdr:grpSpPr bwMode="auto">
        <a:xfrm>
          <a:off x="5287566" y="1241822"/>
          <a:ext cx="1565672" cy="1484709"/>
          <a:chOff x="413" y="108"/>
          <a:chExt cx="171" cy="142"/>
        </a:xfrm>
      </xdr:grpSpPr>
      <xdr:sp macro="" textlink="">
        <xdr:nvSpPr>
          <xdr:cNvPr id="10465" name="Freeform 40">
            <a:extLst>
              <a:ext uri="{FF2B5EF4-FFF2-40B4-BE49-F238E27FC236}">
                <a16:creationId xmlns:a16="http://schemas.microsoft.com/office/drawing/2014/main" id="{00000000-0008-0000-0B00-0000E1280000}"/>
              </a:ext>
            </a:extLst>
          </xdr:cNvPr>
          <xdr:cNvSpPr>
            <a:spLocks/>
          </xdr:cNvSpPr>
        </xdr:nvSpPr>
        <xdr:spPr bwMode="auto">
          <a:xfrm>
            <a:off x="435" y="108"/>
            <a:ext cx="133" cy="142"/>
          </a:xfrm>
          <a:custGeom>
            <a:avLst/>
            <a:gdLst>
              <a:gd name="T0" fmla="*/ 133 w 133"/>
              <a:gd name="T1" fmla="*/ 0 h 142"/>
              <a:gd name="T2" fmla="*/ 15 w 133"/>
              <a:gd name="T3" fmla="*/ 132 h 142"/>
              <a:gd name="T4" fmla="*/ 0 w 133"/>
              <a:gd name="T5" fmla="*/ 142 h 142"/>
              <a:gd name="T6" fmla="*/ 0 60000 65536"/>
              <a:gd name="T7" fmla="*/ 0 60000 65536"/>
              <a:gd name="T8" fmla="*/ 0 60000 65536"/>
              <a:gd name="T9" fmla="*/ 0 w 133"/>
              <a:gd name="T10" fmla="*/ 0 h 142"/>
              <a:gd name="T11" fmla="*/ 133 w 133"/>
              <a:gd name="T12" fmla="*/ 142 h 142"/>
            </a:gdLst>
            <a:ahLst/>
            <a:cxnLst>
              <a:cxn ang="T6">
                <a:pos x="T0" y="T1"/>
              </a:cxn>
              <a:cxn ang="T7">
                <a:pos x="T2" y="T3"/>
              </a:cxn>
              <a:cxn ang="T8">
                <a:pos x="T4" y="T5"/>
              </a:cxn>
            </a:cxnLst>
            <a:rect l="T9" t="T10" r="T11" b="T12"/>
            <a:pathLst>
              <a:path w="133" h="142">
                <a:moveTo>
                  <a:pt x="133" y="0"/>
                </a:moveTo>
                <a:cubicBezTo>
                  <a:pt x="94" y="44"/>
                  <a:pt x="54" y="88"/>
                  <a:pt x="15" y="132"/>
                </a:cubicBezTo>
                <a:cubicBezTo>
                  <a:pt x="11" y="136"/>
                  <a:pt x="0" y="142"/>
                  <a:pt x="0" y="142"/>
                </a:cubicBezTo>
              </a:path>
            </a:pathLst>
          </a:custGeom>
          <a:noFill/>
          <a:ln w="25400">
            <a:solidFill>
              <a:srgbClr val="FF0000"/>
            </a:solidFill>
            <a:round/>
            <a:headEnd/>
            <a:tailEnd/>
          </a:ln>
        </xdr:spPr>
      </xdr:sp>
      <xdr:sp macro="" textlink="">
        <xdr:nvSpPr>
          <xdr:cNvPr id="10466" name="Freeform 41">
            <a:extLst>
              <a:ext uri="{FF2B5EF4-FFF2-40B4-BE49-F238E27FC236}">
                <a16:creationId xmlns:a16="http://schemas.microsoft.com/office/drawing/2014/main" id="{00000000-0008-0000-0B00-0000E2280000}"/>
              </a:ext>
            </a:extLst>
          </xdr:cNvPr>
          <xdr:cNvSpPr>
            <a:spLocks/>
          </xdr:cNvSpPr>
        </xdr:nvSpPr>
        <xdr:spPr bwMode="auto">
          <a:xfrm>
            <a:off x="413" y="115"/>
            <a:ext cx="171" cy="125"/>
          </a:xfrm>
          <a:custGeom>
            <a:avLst/>
            <a:gdLst>
              <a:gd name="T0" fmla="*/ 0 w 171"/>
              <a:gd name="T1" fmla="*/ 0 h 125"/>
              <a:gd name="T2" fmla="*/ 78 w 171"/>
              <a:gd name="T3" fmla="*/ 49 h 125"/>
              <a:gd name="T4" fmla="*/ 131 w 171"/>
              <a:gd name="T5" fmla="*/ 78 h 125"/>
              <a:gd name="T6" fmla="*/ 171 w 171"/>
              <a:gd name="T7" fmla="*/ 125 h 125"/>
              <a:gd name="T8" fmla="*/ 0 60000 65536"/>
              <a:gd name="T9" fmla="*/ 0 60000 65536"/>
              <a:gd name="T10" fmla="*/ 0 60000 65536"/>
              <a:gd name="T11" fmla="*/ 0 60000 65536"/>
              <a:gd name="T12" fmla="*/ 0 w 171"/>
              <a:gd name="T13" fmla="*/ 0 h 125"/>
              <a:gd name="T14" fmla="*/ 171 w 171"/>
              <a:gd name="T15" fmla="*/ 125 h 125"/>
            </a:gdLst>
            <a:ahLst/>
            <a:cxnLst>
              <a:cxn ang="T8">
                <a:pos x="T0" y="T1"/>
              </a:cxn>
              <a:cxn ang="T9">
                <a:pos x="T2" y="T3"/>
              </a:cxn>
              <a:cxn ang="T10">
                <a:pos x="T4" y="T5"/>
              </a:cxn>
              <a:cxn ang="T11">
                <a:pos x="T6" y="T7"/>
              </a:cxn>
            </a:cxnLst>
            <a:rect l="T12" t="T13" r="T14" b="T15"/>
            <a:pathLst>
              <a:path w="171" h="125">
                <a:moveTo>
                  <a:pt x="0" y="0"/>
                </a:moveTo>
                <a:cubicBezTo>
                  <a:pt x="59" y="31"/>
                  <a:pt x="11" y="4"/>
                  <a:pt x="78" y="49"/>
                </a:cubicBezTo>
                <a:cubicBezTo>
                  <a:pt x="94" y="60"/>
                  <a:pt x="116" y="66"/>
                  <a:pt x="131" y="78"/>
                </a:cubicBezTo>
                <a:cubicBezTo>
                  <a:pt x="169" y="109"/>
                  <a:pt x="145" y="99"/>
                  <a:pt x="171" y="125"/>
                </a:cubicBezTo>
              </a:path>
            </a:pathLst>
          </a:custGeom>
          <a:noFill/>
          <a:ln w="38100">
            <a:solidFill>
              <a:srgbClr val="FF0000"/>
            </a:solidFill>
            <a:round/>
            <a:headEnd/>
            <a:tailEnd/>
          </a:ln>
        </xdr:spPr>
      </xdr: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190500</xdr:colOff>
      <xdr:row>8</xdr:row>
      <xdr:rowOff>123825</xdr:rowOff>
    </xdr:from>
    <xdr:to>
      <xdr:col>5</xdr:col>
      <xdr:colOff>133350</xdr:colOff>
      <xdr:row>17</xdr:row>
      <xdr:rowOff>0</xdr:rowOff>
    </xdr:to>
    <xdr:grpSp>
      <xdr:nvGrpSpPr>
        <xdr:cNvPr id="12382" name="Group 2">
          <a:extLst>
            <a:ext uri="{FF2B5EF4-FFF2-40B4-BE49-F238E27FC236}">
              <a16:creationId xmlns:a16="http://schemas.microsoft.com/office/drawing/2014/main" id="{00000000-0008-0000-0C00-00005E300000}"/>
            </a:ext>
          </a:extLst>
        </xdr:cNvPr>
        <xdr:cNvGrpSpPr>
          <a:grpSpLocks/>
        </xdr:cNvGrpSpPr>
      </xdr:nvGrpSpPr>
      <xdr:grpSpPr bwMode="auto">
        <a:xfrm>
          <a:off x="2405063" y="1421606"/>
          <a:ext cx="1151334" cy="1322785"/>
          <a:chOff x="413" y="108"/>
          <a:chExt cx="171" cy="142"/>
        </a:xfrm>
      </xdr:grpSpPr>
      <xdr:sp macro="" textlink="">
        <xdr:nvSpPr>
          <xdr:cNvPr id="12386" name="Freeform 3">
            <a:extLst>
              <a:ext uri="{FF2B5EF4-FFF2-40B4-BE49-F238E27FC236}">
                <a16:creationId xmlns:a16="http://schemas.microsoft.com/office/drawing/2014/main" id="{00000000-0008-0000-0C00-000062300000}"/>
              </a:ext>
            </a:extLst>
          </xdr:cNvPr>
          <xdr:cNvSpPr>
            <a:spLocks/>
          </xdr:cNvSpPr>
        </xdr:nvSpPr>
        <xdr:spPr bwMode="auto">
          <a:xfrm>
            <a:off x="435" y="108"/>
            <a:ext cx="133" cy="142"/>
          </a:xfrm>
          <a:custGeom>
            <a:avLst/>
            <a:gdLst>
              <a:gd name="T0" fmla="*/ 133 w 133"/>
              <a:gd name="T1" fmla="*/ 0 h 142"/>
              <a:gd name="T2" fmla="*/ 15 w 133"/>
              <a:gd name="T3" fmla="*/ 132 h 142"/>
              <a:gd name="T4" fmla="*/ 0 w 133"/>
              <a:gd name="T5" fmla="*/ 142 h 142"/>
              <a:gd name="T6" fmla="*/ 0 60000 65536"/>
              <a:gd name="T7" fmla="*/ 0 60000 65536"/>
              <a:gd name="T8" fmla="*/ 0 60000 65536"/>
              <a:gd name="T9" fmla="*/ 0 w 133"/>
              <a:gd name="T10" fmla="*/ 0 h 142"/>
              <a:gd name="T11" fmla="*/ 133 w 133"/>
              <a:gd name="T12" fmla="*/ 142 h 142"/>
            </a:gdLst>
            <a:ahLst/>
            <a:cxnLst>
              <a:cxn ang="T6">
                <a:pos x="T0" y="T1"/>
              </a:cxn>
              <a:cxn ang="T7">
                <a:pos x="T2" y="T3"/>
              </a:cxn>
              <a:cxn ang="T8">
                <a:pos x="T4" y="T5"/>
              </a:cxn>
            </a:cxnLst>
            <a:rect l="T9" t="T10" r="T11" b="T12"/>
            <a:pathLst>
              <a:path w="133" h="142">
                <a:moveTo>
                  <a:pt x="133" y="0"/>
                </a:moveTo>
                <a:cubicBezTo>
                  <a:pt x="94" y="44"/>
                  <a:pt x="54" y="88"/>
                  <a:pt x="15" y="132"/>
                </a:cubicBezTo>
                <a:cubicBezTo>
                  <a:pt x="11" y="136"/>
                  <a:pt x="0" y="142"/>
                  <a:pt x="0" y="142"/>
                </a:cubicBezTo>
              </a:path>
            </a:pathLst>
          </a:custGeom>
          <a:noFill/>
          <a:ln w="25400">
            <a:solidFill>
              <a:srgbClr val="FF0000"/>
            </a:solidFill>
            <a:round/>
            <a:headEnd/>
            <a:tailEnd/>
          </a:ln>
        </xdr:spPr>
      </xdr:sp>
      <xdr:sp macro="" textlink="">
        <xdr:nvSpPr>
          <xdr:cNvPr id="12387" name="Freeform 4">
            <a:extLst>
              <a:ext uri="{FF2B5EF4-FFF2-40B4-BE49-F238E27FC236}">
                <a16:creationId xmlns:a16="http://schemas.microsoft.com/office/drawing/2014/main" id="{00000000-0008-0000-0C00-000063300000}"/>
              </a:ext>
            </a:extLst>
          </xdr:cNvPr>
          <xdr:cNvSpPr>
            <a:spLocks/>
          </xdr:cNvSpPr>
        </xdr:nvSpPr>
        <xdr:spPr bwMode="auto">
          <a:xfrm>
            <a:off x="413" y="115"/>
            <a:ext cx="171" cy="125"/>
          </a:xfrm>
          <a:custGeom>
            <a:avLst/>
            <a:gdLst>
              <a:gd name="T0" fmla="*/ 0 w 171"/>
              <a:gd name="T1" fmla="*/ 0 h 125"/>
              <a:gd name="T2" fmla="*/ 78 w 171"/>
              <a:gd name="T3" fmla="*/ 49 h 125"/>
              <a:gd name="T4" fmla="*/ 131 w 171"/>
              <a:gd name="T5" fmla="*/ 78 h 125"/>
              <a:gd name="T6" fmla="*/ 171 w 171"/>
              <a:gd name="T7" fmla="*/ 125 h 125"/>
              <a:gd name="T8" fmla="*/ 0 60000 65536"/>
              <a:gd name="T9" fmla="*/ 0 60000 65536"/>
              <a:gd name="T10" fmla="*/ 0 60000 65536"/>
              <a:gd name="T11" fmla="*/ 0 60000 65536"/>
              <a:gd name="T12" fmla="*/ 0 w 171"/>
              <a:gd name="T13" fmla="*/ 0 h 125"/>
              <a:gd name="T14" fmla="*/ 171 w 171"/>
              <a:gd name="T15" fmla="*/ 125 h 125"/>
            </a:gdLst>
            <a:ahLst/>
            <a:cxnLst>
              <a:cxn ang="T8">
                <a:pos x="T0" y="T1"/>
              </a:cxn>
              <a:cxn ang="T9">
                <a:pos x="T2" y="T3"/>
              </a:cxn>
              <a:cxn ang="T10">
                <a:pos x="T4" y="T5"/>
              </a:cxn>
              <a:cxn ang="T11">
                <a:pos x="T6" y="T7"/>
              </a:cxn>
            </a:cxnLst>
            <a:rect l="T12" t="T13" r="T14" b="T15"/>
            <a:pathLst>
              <a:path w="171" h="125">
                <a:moveTo>
                  <a:pt x="0" y="0"/>
                </a:moveTo>
                <a:cubicBezTo>
                  <a:pt x="59" y="31"/>
                  <a:pt x="11" y="4"/>
                  <a:pt x="78" y="49"/>
                </a:cubicBezTo>
                <a:cubicBezTo>
                  <a:pt x="94" y="60"/>
                  <a:pt x="116" y="66"/>
                  <a:pt x="131" y="78"/>
                </a:cubicBezTo>
                <a:cubicBezTo>
                  <a:pt x="169" y="109"/>
                  <a:pt x="145" y="99"/>
                  <a:pt x="171" y="125"/>
                </a:cubicBezTo>
              </a:path>
            </a:pathLst>
          </a:custGeom>
          <a:noFill/>
          <a:ln w="38100">
            <a:solidFill>
              <a:srgbClr val="FF0000"/>
            </a:solidFill>
            <a:round/>
            <a:headEnd/>
            <a:tailEnd/>
          </a:ln>
        </xdr:spPr>
      </xdr:sp>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140381</xdr:colOff>
      <xdr:row>15</xdr:row>
      <xdr:rowOff>83427</xdr:rowOff>
    </xdr:from>
    <xdr:to>
      <xdr:col>18</xdr:col>
      <xdr:colOff>604345</xdr:colOff>
      <xdr:row>26</xdr:row>
      <xdr:rowOff>2277</xdr:rowOff>
    </xdr:to>
    <xdr:pic>
      <xdr:nvPicPr>
        <xdr:cNvPr id="2" name="Picture 1">
          <a:extLst>
            <a:ext uri="{FF2B5EF4-FFF2-40B4-BE49-F238E27FC236}">
              <a16:creationId xmlns:a16="http://schemas.microsoft.com/office/drawing/2014/main" id="{A9E9619F-4AF1-4058-AB97-642360ED2297}"/>
            </a:ext>
          </a:extLst>
        </xdr:cNvPr>
        <xdr:cNvPicPr>
          <a:picLocks noChangeAspect="1"/>
        </xdr:cNvPicPr>
      </xdr:nvPicPr>
      <xdr:blipFill>
        <a:blip xmlns:r="http://schemas.openxmlformats.org/officeDocument/2006/relationships" r:embed="rId1"/>
        <a:stretch>
          <a:fillRect/>
        </a:stretch>
      </xdr:blipFill>
      <xdr:spPr>
        <a:xfrm>
          <a:off x="7563312" y="2875237"/>
          <a:ext cx="4129447" cy="2047195"/>
        </a:xfrm>
        <a:prstGeom prst="rect">
          <a:avLst/>
        </a:prstGeom>
      </xdr:spPr>
    </xdr:pic>
    <xdr:clientData/>
  </xdr:twoCellAnchor>
  <xdr:twoCellAnchor editAs="oneCell">
    <xdr:from>
      <xdr:col>12</xdr:col>
      <xdr:colOff>151222</xdr:colOff>
      <xdr:row>5</xdr:row>
      <xdr:rowOff>59122</xdr:rowOff>
    </xdr:from>
    <xdr:to>
      <xdr:col>18</xdr:col>
      <xdr:colOff>571463</xdr:colOff>
      <xdr:row>15</xdr:row>
      <xdr:rowOff>15418</xdr:rowOff>
    </xdr:to>
    <xdr:pic>
      <xdr:nvPicPr>
        <xdr:cNvPr id="5" name="Picture 4">
          <a:extLst>
            <a:ext uri="{FF2B5EF4-FFF2-40B4-BE49-F238E27FC236}">
              <a16:creationId xmlns:a16="http://schemas.microsoft.com/office/drawing/2014/main" id="{4F02695F-98E6-47C3-90BF-C1F4E2C6C653}"/>
            </a:ext>
          </a:extLst>
        </xdr:cNvPr>
        <xdr:cNvPicPr>
          <a:picLocks noChangeAspect="1"/>
        </xdr:cNvPicPr>
      </xdr:nvPicPr>
      <xdr:blipFill>
        <a:blip xmlns:r="http://schemas.openxmlformats.org/officeDocument/2006/relationships" r:embed="rId2"/>
        <a:stretch>
          <a:fillRect/>
        </a:stretch>
      </xdr:blipFill>
      <xdr:spPr>
        <a:xfrm>
          <a:off x="7574153" y="781708"/>
          <a:ext cx="4085724" cy="202552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24B5A5-A4F6-4A90-BF6C-C508D6C97231}" name="Table1" displayName="Table1" ref="A18:E26" totalsRowShown="0" headerRowDxfId="147">
  <autoFilter ref="A18:E26" xr:uid="{DC24B5A5-A4F6-4A90-BF6C-C508D6C97231}"/>
  <tableColumns count="5">
    <tableColumn id="1" xr3:uid="{47FE5087-F792-4500-B2C4-60202A5A7179}" name="Order #" dataDxfId="146"/>
    <tableColumn id="2" xr3:uid="{FB4A3690-A52E-4EFF-ACF6-752B4B688D2A}" name="Cust ID" dataDxfId="145"/>
    <tableColumn id="3" xr3:uid="{D3036D88-75F6-470E-B6C8-5CDE9BFC855D}" name="Shipping Method" dataDxfId="144"/>
    <tableColumn id="4" xr3:uid="{A5858E51-C07E-48C9-88D5-8B9247AF80A1}" name="Quantity" dataDxfId="143"/>
    <tableColumn id="5" xr3:uid="{E22D21D8-8AF8-462E-9AA2-CC7ACA380966}" name="Unit _x000a_Price" dataDxfId="142" dataCellStyle="Output">
      <calculatedColumnFormula>IF(B19="","",VLOOKUP(D19,$D$12:$E$15,2,TRUE))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triangle" w="med" len="med"/>
          <a:tailEnd type="none" w="med" len="med"/>
        </a:ln>
        <a:effectLst/>
      </a:spPr>
      <a:bodyPr vertOverflow="clip" wrap="square" lIns="18288" tIns="0" rIns="0" bIns="0" upright="1"/>
      <a:lstStyle/>
    </a:spDef>
    <a:lnDef>
      <a:spPr bwMode="auto">
        <a:solidFill>
          <a:srgbClr val="FFFFFF"/>
        </a:solidFill>
        <a:ln w="9525" cap="flat" cmpd="sng" algn="ctr">
          <a:solidFill>
            <a:srgbClr val="000000"/>
          </a:solidFill>
          <a:prstDash val="solid"/>
          <a:round/>
          <a:headEnd type="none" w="med" len="med"/>
          <a:tailEnd type="triangle"/>
        </a:ln>
        <a:effectLst/>
      </a:spPr>
      <a:body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9.bin"/><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2.xml"/><Relationship Id="rId1" Type="http://schemas.openxmlformats.org/officeDocument/2006/relationships/printerSettings" Target="../printerSettings/printerSettings12.bin"/><Relationship Id="rId4"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13.bin"/><Relationship Id="rId4" Type="http://schemas.openxmlformats.org/officeDocument/2006/relationships/comments" Target="../comments10.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4.bin"/><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5.xml"/><Relationship Id="rId1" Type="http://schemas.openxmlformats.org/officeDocument/2006/relationships/printerSettings" Target="../printerSettings/printerSettings15.bin"/><Relationship Id="rId4" Type="http://schemas.openxmlformats.org/officeDocument/2006/relationships/comments" Target="../comments12.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6.xml"/><Relationship Id="rId1" Type="http://schemas.openxmlformats.org/officeDocument/2006/relationships/printerSettings" Target="../printerSettings/printerSettings16.bin"/><Relationship Id="rId4" Type="http://schemas.openxmlformats.org/officeDocument/2006/relationships/comments" Target="../comments13.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7.xml"/><Relationship Id="rId1" Type="http://schemas.openxmlformats.org/officeDocument/2006/relationships/printerSettings" Target="../printerSettings/printerSettings17.bin"/><Relationship Id="rId5" Type="http://schemas.openxmlformats.org/officeDocument/2006/relationships/comments" Target="../comments14.xml"/><Relationship Id="rId4" Type="http://schemas.openxmlformats.org/officeDocument/2006/relationships/table" Target="../tables/table1.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8.xml"/><Relationship Id="rId1" Type="http://schemas.openxmlformats.org/officeDocument/2006/relationships/printerSettings" Target="../printerSettings/printerSettings29.bin"/><Relationship Id="rId4" Type="http://schemas.openxmlformats.org/officeDocument/2006/relationships/comments" Target="../comments25.xml"/></Relationships>
</file>

<file path=xl/worksheets/_rels/sheet32.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31.xml"/><Relationship Id="rId2" Type="http://schemas.openxmlformats.org/officeDocument/2006/relationships/vmlDrawing" Target="../drawings/vmlDrawing31.vml"/><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printerSettings" Target="../printerSettings/printerSettings36.bin"/><Relationship Id="rId1" Type="http://schemas.openxmlformats.org/officeDocument/2006/relationships/hyperlink" Target="https://support.microsoft.com/en-us/office/xlookup-function-b7fd680e-6d10-43e6-84f9-88eae8bf5929" TargetMode="External"/><Relationship Id="rId4" Type="http://schemas.openxmlformats.org/officeDocument/2006/relationships/comments" Target="../comments32.xml"/></Relationships>
</file>

<file path=xl/worksheets/_rels/sheet39.xml.rels><?xml version="1.0" encoding="UTF-8" standalone="yes"?>
<Relationships xmlns="http://schemas.openxmlformats.org/package/2006/relationships"><Relationship Id="rId3" Type="http://schemas.openxmlformats.org/officeDocument/2006/relationships/comments" Target="../comments33.xml"/><Relationship Id="rId2" Type="http://schemas.openxmlformats.org/officeDocument/2006/relationships/vmlDrawing" Target="../drawings/vmlDrawing33.vml"/><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34.xml"/><Relationship Id="rId2" Type="http://schemas.openxmlformats.org/officeDocument/2006/relationships/vmlDrawing" Target="../drawings/vmlDrawing34.vml"/><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8" filterMode="1">
    <outlinePr summaryBelow="0" summaryRight="0"/>
  </sheetPr>
  <dimension ref="A1:I81"/>
  <sheetViews>
    <sheetView tabSelected="1" zoomScale="130" zoomScaleNormal="130" workbookViewId="0">
      <pane xSplit="1" ySplit="10" topLeftCell="B11" activePane="bottomRight" state="frozen"/>
      <selection pane="topRight" activeCell="B1" sqref="B1"/>
      <selection pane="bottomLeft" activeCell="A9" sqref="A9"/>
      <selection pane="bottomRight" activeCell="B6" sqref="B6"/>
    </sheetView>
  </sheetViews>
  <sheetFormatPr defaultRowHeight="12.75" outlineLevelCol="1" x14ac:dyDescent="0.2"/>
  <cols>
    <col min="1" max="1" width="29.28515625" bestFit="1" customWidth="1"/>
    <col min="2" max="2" width="74.42578125" style="100" bestFit="1" customWidth="1"/>
    <col min="3" max="3" width="16.140625" style="322" customWidth="1" outlineLevel="1"/>
    <col min="4" max="4" width="89" style="326" customWidth="1"/>
    <col min="5" max="5" width="2.7109375" customWidth="1" collapsed="1"/>
    <col min="6" max="6" width="59.42578125" hidden="1" customWidth="1" outlineLevel="1"/>
    <col min="7" max="7" width="8.7109375" hidden="1" customWidth="1" outlineLevel="1"/>
  </cols>
  <sheetData>
    <row r="1" spans="1:9" ht="18" x14ac:dyDescent="0.25">
      <c r="A1" s="260" t="str">
        <f ca="1">SUBSTITUTE(MID(CELL("filename",A1),FIND("[",CELL("filename",A1),1)+1,FIND("]",CELL("filename",A1),1)-FIND("[",CELL("filename",A1),1)-1),".xlsx","")</f>
        <v>5_Retrieving_Data_Notes</v>
      </c>
      <c r="B1" s="258"/>
    </row>
    <row r="2" spans="1:9" s="272" customFormat="1" ht="14.25" hidden="1" x14ac:dyDescent="0.2">
      <c r="A2" s="273"/>
      <c r="B2" s="271"/>
      <c r="C2" s="322"/>
      <c r="D2" s="327"/>
      <c r="E2"/>
      <c r="G2"/>
    </row>
    <row r="3" spans="1:9" s="272" customFormat="1" ht="14.25" x14ac:dyDescent="0.2">
      <c r="A3" s="274" t="str">
        <f>IF(A2="","",IF(Disable_Video_Hyperlinks,A2,HYPERLINK(Video_website&amp;A2,A2)))</f>
        <v/>
      </c>
      <c r="B3" s="271"/>
      <c r="C3" s="322"/>
      <c r="D3" s="327"/>
      <c r="E3"/>
      <c r="G3"/>
    </row>
    <row r="4" spans="1:9" hidden="1" x14ac:dyDescent="0.2"/>
    <row r="5" spans="1:9" x14ac:dyDescent="0.2">
      <c r="A5" t="s">
        <v>224</v>
      </c>
      <c r="B5" t="s">
        <v>225</v>
      </c>
    </row>
    <row r="6" spans="1:9" x14ac:dyDescent="0.2">
      <c r="A6" t="s">
        <v>226</v>
      </c>
      <c r="B6" s="101">
        <v>44799.883153009258</v>
      </c>
    </row>
    <row r="7" spans="1:9" x14ac:dyDescent="0.2">
      <c r="C7" s="331" t="s">
        <v>356</v>
      </c>
      <c r="E7" s="91"/>
    </row>
    <row r="8" spans="1:9" x14ac:dyDescent="0.2">
      <c r="A8" s="346" t="s">
        <v>227</v>
      </c>
      <c r="B8" s="347" t="s">
        <v>375</v>
      </c>
      <c r="C8" s="332">
        <f>SUMIFS(C11:C62,D11:D62,"?*")</f>
        <v>4.8055555555555553E-2</v>
      </c>
      <c r="D8" s="345"/>
    </row>
    <row r="10" spans="1:9" s="31" customFormat="1" x14ac:dyDescent="0.2">
      <c r="A10" s="329" t="s">
        <v>197</v>
      </c>
      <c r="B10" s="329" t="s">
        <v>313</v>
      </c>
      <c r="C10" s="330" t="s">
        <v>354</v>
      </c>
      <c r="D10" s="31" t="s">
        <v>342</v>
      </c>
      <c r="E10" s="329" t="str">
        <f>segment_designator</f>
        <v>_</v>
      </c>
      <c r="F10" s="329" t="s">
        <v>355</v>
      </c>
      <c r="G10" s="329" t="s">
        <v>320</v>
      </c>
      <c r="H10" s="329"/>
      <c r="I10" s="329"/>
    </row>
    <row r="11" spans="1:9" x14ac:dyDescent="0.2">
      <c r="A11" s="325" t="str">
        <f ca="1">HYPERLINK("#"&amp;CELL("address",Documentation!$A$1),MID(CELL("filename",Documentation!$A$1),FIND("]",CELL("filename",Documentation!$A$1))+1,255))</f>
        <v>Documentation</v>
      </c>
      <c r="B11" t="str">
        <f ca="1">IF(Documentation!$A$1="","", Documentation!$A$1)</f>
        <v>5_Retrieving_Data_Notes</v>
      </c>
      <c r="C11" s="323" t="str">
        <f>IF(Documentation!$B$2="","",Documentation!$B$2)</f>
        <v/>
      </c>
      <c r="D11" s="326" t="str">
        <f>IF(Documentation!$A$2="","",HYPERLINK(Video_website&amp;Documentation!$A$2, Documentation!$A$2))</f>
        <v/>
      </c>
      <c r="F11" t="str">
        <f t="shared" ref="F11:F42" ca="1" si="0">IF(LEFT($A11,1)=segment_designator,B11,"")</f>
        <v/>
      </c>
    </row>
    <row r="12" spans="1:9" x14ac:dyDescent="0.2">
      <c r="A12" s="325" t="str">
        <f ca="1">HYPERLINK("#"&amp;CELL("address",Functions!$A$1),MID(CELL("filename",Functions!$A$1),FIND("]",CELL("filename",Functions!$A$1))+1,255))</f>
        <v>Functions</v>
      </c>
      <c r="B12" t="str">
        <f>IF(Functions!$A$1="","", Functions!$A$1)</f>
        <v>Functions Covered in this Chapter</v>
      </c>
      <c r="C12" s="323" t="str">
        <f>IF(Functions!$B$2="","",Functions!$B$2)</f>
        <v/>
      </c>
      <c r="D12" s="326" t="str">
        <f>IF(Functions!$A$2="","",HYPERLINK(Video_website&amp;Functions!$A$2, Functions!$A$2))</f>
        <v/>
      </c>
      <c r="F12" t="str">
        <f t="shared" ca="1" si="0"/>
        <v/>
      </c>
    </row>
    <row r="13" spans="1:9" x14ac:dyDescent="0.2">
      <c r="A13" s="324" t="str">
        <f ca="1">HYPERLINK("#"&amp;CELL("address",'_Nested IF'!$A$1),MID(CELL("filename",'_Nested IF'!$A$1),FIND("]",CELL("filename",'_Nested IF'!$A$1))+1,255))</f>
        <v>_Nested IF</v>
      </c>
      <c r="B13" s="329" t="str">
        <f>IF('_Nested IF'!$A$1="","", '_Nested IF'!$A$1)</f>
        <v>Nested IF</v>
      </c>
      <c r="C13" s="330">
        <f>IF('_Nested IF'!$B$2="","",'_Nested IF'!$B$2)</f>
        <v>1.8750000000000001E-3</v>
      </c>
      <c r="D13" s="328" t="str">
        <f>IF('_Nested IF'!$A$2="","",HYPERLINK(Video_website&amp;'_Nested IF'!$A$2, '_Nested IF'!$A$2))</f>
        <v>UNC_DAYT_EXCEL_3.2.1_LECTURE_NESTED_IF_&amp;_IFS_VS_VLOOKUP.mp4</v>
      </c>
      <c r="E13" s="329"/>
      <c r="F13" s="329" t="str">
        <f t="shared" ca="1" si="0"/>
        <v>Nested IF</v>
      </c>
      <c r="G13" s="329"/>
      <c r="H13" s="329"/>
      <c r="I13" s="329"/>
    </row>
    <row r="14" spans="1:9" x14ac:dyDescent="0.2">
      <c r="A14" s="325" t="str">
        <f ca="1">HYPERLINK("#"&amp;CELL("address",'with_='!$A$1),MID(CELL("filename",'with_='!$A$1),FIND("]",CELL("filename",'with_='!$A$1))+1,255))</f>
        <v>with_=</v>
      </c>
      <c r="B14" t="str">
        <f>IF('with_='!$A$1="","", 'with_='!$A$1)</f>
        <v>Working with Lookup Tables: Nested IF's with =</v>
      </c>
      <c r="C14" s="323" t="str">
        <f>IF('with_='!$B$2="","",'with_='!$B$2)</f>
        <v/>
      </c>
      <c r="D14" s="326" t="str">
        <f>IF('with_='!$A$2="","",HYPERLINK(Video_website&amp;'with_='!$A$2, 'with_='!$A$2))</f>
        <v/>
      </c>
      <c r="F14" t="str">
        <f t="shared" ca="1" si="0"/>
        <v/>
      </c>
    </row>
    <row r="15" spans="1:9" x14ac:dyDescent="0.2">
      <c r="A15" s="325" t="str">
        <f ca="1">HYPERLINK("#"&amp;CELL("address",'with_=_IFS'!$A$1),MID(CELL("filename",'with_=_IFS'!$A$1),FIND("]",CELL("filename",'with_=_IFS'!$A$1))+1,255))</f>
        <v>with_=_IFS</v>
      </c>
      <c r="B15" t="str">
        <f>IF('with_=_IFS'!$A$1="","", 'with_=_IFS'!$A$1)</f>
        <v>Working with Lookup Tables: Nested IF's with =</v>
      </c>
      <c r="C15" s="323" t="str">
        <f>IF('with_=_IFS'!$B$2="","",'with_=_IFS'!$B$2)</f>
        <v/>
      </c>
      <c r="D15" s="326" t="str">
        <f>IF('with_=_IFS'!$A$2="","",HYPERLINK(Video_website&amp;'with_=_IFS'!$A$2, 'with_=_IFS'!$A$2))</f>
        <v/>
      </c>
      <c r="F15" t="str">
        <f t="shared" ca="1" si="0"/>
        <v/>
      </c>
    </row>
    <row r="16" spans="1:9" x14ac:dyDescent="0.2">
      <c r="A16" s="325" t="str">
        <f ca="1">HYPERLINK("#"&amp;CELL("address",'with_&gt;='!$A$1),MID(CELL("filename",'with_&gt;='!$A$1),FIND("]",CELL("filename",'with_&gt;='!$A$1))+1,255))</f>
        <v>with_&gt;=</v>
      </c>
      <c r="B16" t="str">
        <f>IF('with_&gt;='!$A$1="","", 'with_&gt;='!$A$1)</f>
        <v>Working with Lookup Tables:  Nested IF's with &gt;= (or &lt;)</v>
      </c>
      <c r="C16" s="323" t="str">
        <f>IF('with_&gt;='!$B$2="","",'with_&gt;='!$B$2)</f>
        <v/>
      </c>
      <c r="D16" s="326" t="str">
        <f>IF('with_&gt;='!$A$2="","",HYPERLINK(Video_website&amp;'with_&gt;='!$A$2, 'with_&gt;='!$A$2))</f>
        <v/>
      </c>
      <c r="F16" t="str">
        <f t="shared" ca="1" si="0"/>
        <v/>
      </c>
    </row>
    <row r="17" spans="1:9" x14ac:dyDescent="0.2">
      <c r="A17" s="325" t="str">
        <f ca="1">HYPERLINK("#"&amp;CELL("address",'with_&gt;=_IFS'!$A$1),MID(CELL("filename",'with_&gt;=_IFS'!$A$1),FIND("]",CELL("filename",'with_&gt;=_IFS'!$A$1))+1,255))</f>
        <v>with_&gt;=_IFS</v>
      </c>
      <c r="B17" t="str">
        <f>IF('with_&gt;=_IFS'!$A$1="","", 'with_&gt;=_IFS'!$A$1)</f>
        <v>Working with Lookup Tables:  Nested IF's with &gt;= (or &lt;)</v>
      </c>
      <c r="C17" s="323" t="str">
        <f>IF('with_&gt;=_IFS'!$B$2="","",'with_&gt;=_IFS'!$B$2)</f>
        <v/>
      </c>
      <c r="D17" s="326" t="str">
        <f>IF('with_&gt;=_IFS'!$A$2="","",HYPERLINK(Video_website&amp;'with_&gt;=_IFS'!$A$2, 'with_&gt;=_IFS'!$A$2))</f>
        <v/>
      </c>
      <c r="F17" t="str">
        <f t="shared" ca="1" si="0"/>
        <v/>
      </c>
    </row>
    <row r="18" spans="1:9" x14ac:dyDescent="0.2">
      <c r="A18" s="324" t="str">
        <f ca="1">HYPERLINK("#"&amp;CELL("address",_VLOOKUP!$A$1),MID(CELL("filename",_VLOOKUP!$A$1),FIND("]",CELL("filename",_VLOOKUP!$A$1))+1,255))</f>
        <v>_VLOOKUP</v>
      </c>
      <c r="B18" s="329" t="str">
        <f>IF(_VLOOKUP!$A$1="","", _VLOOKUP!$A$1)</f>
        <v>VLOOKUP</v>
      </c>
      <c r="C18" s="330">
        <f>IF(_VLOOKUP!$B$2="","",_VLOOKUP!$B$2)</f>
        <v>1.7500000000000002E-2</v>
      </c>
      <c r="D18" s="328" t="str">
        <f>IF(_VLOOKUP!$A$2="","",HYPERLINK(Video_website&amp;_VLOOKUP!$A$2, _VLOOKUP!$A$2))</f>
        <v/>
      </c>
      <c r="E18" s="329"/>
      <c r="F18" s="329" t="str">
        <f t="shared" ca="1" si="0"/>
        <v>VLOOKUP</v>
      </c>
      <c r="G18" s="329"/>
      <c r="H18" s="329"/>
      <c r="I18" s="329"/>
    </row>
    <row r="19" spans="1:9" x14ac:dyDescent="0.2">
      <c r="A19" s="325" t="str">
        <f ca="1">HYPERLINK("#"&amp;CELL("address",Lookups!$A$1),MID(CELL("filename",Lookups!$A$1),FIND("]",CELL("filename",Lookups!$A$1))+1,255))</f>
        <v>Lookups</v>
      </c>
      <c r="B19" t="str">
        <f>IF(Lookups!$A$1="","", Lookups!$A$1)</f>
        <v>Working with Lookup Tables</v>
      </c>
      <c r="C19" s="323" t="str">
        <f>IF(Lookups!$B$2="","",Lookups!$B$2)</f>
        <v/>
      </c>
      <c r="D19" s="326" t="str">
        <f>IF(Lookups!$A$2="","",HYPERLINK(Video_website&amp;Lookups!$A$2, Lookups!$A$2))</f>
        <v/>
      </c>
      <c r="F19" t="str">
        <f t="shared" ca="1" si="0"/>
        <v/>
      </c>
    </row>
    <row r="20" spans="1:9" x14ac:dyDescent="0.2">
      <c r="A20" s="325" t="str">
        <f ca="1">HYPERLINK("#"&amp;CELL("address",Arguments!$A$1),MID(CELL("filename",Arguments!$A$1),FIND("]",CELL("filename",Arguments!$A$1))+1,255))</f>
        <v>Arguments</v>
      </c>
      <c r="B20" t="str">
        <f>IF(Arguments!$A$1="","", Arguments!$A$1)</f>
        <v>Retrieving Data From a Vertical Lookup Table: Function Arguments</v>
      </c>
      <c r="C20" s="323" t="str">
        <f>IF(Arguments!$B$2="","",Arguments!$B$2)</f>
        <v/>
      </c>
      <c r="D20" s="326" t="str">
        <f>IF(Arguments!$A$2="","",HYPERLINK(Video_website&amp;Arguments!$A$2, Arguments!$A$2))</f>
        <v/>
      </c>
      <c r="F20" t="str">
        <f t="shared" ca="1" si="0"/>
        <v/>
      </c>
    </row>
    <row r="21" spans="1:9" x14ac:dyDescent="0.2">
      <c r="A21" s="325" t="str">
        <f ca="1">HYPERLINK("#"&amp;CELL("address",Exact_Match!$A$1),MID(CELL("filename",Exact_Match!$A$1),FIND("]",CELL("filename",Exact_Match!$A$1))+1,255))</f>
        <v>Exact_Match</v>
      </c>
      <c r="B21" t="str">
        <f>IF(Exact_Match!$A$1="","", Exact_Match!$A$1)</f>
        <v>Retrieving Data From an Exact Match Vertical Lookup Table</v>
      </c>
      <c r="C21" s="323">
        <f>IF(Exact_Match!$B$2="","",Exact_Match!$B$2)</f>
        <v>6.2268518518518515E-3</v>
      </c>
      <c r="D21" s="326" t="str">
        <f>IF(Exact_Match!$A$2="","",HYPERLINK(Video_website&amp;Exact_Match!$A$2, Exact_Match!$A$2))</f>
        <v>UNC_DAYT_EXCEL_3.2.2_LECTURE_EXACT_MATCH_VLOOKUP.mp4</v>
      </c>
      <c r="F21" t="str">
        <f t="shared" ca="1" si="0"/>
        <v/>
      </c>
    </row>
    <row r="22" spans="1:9" x14ac:dyDescent="0.2">
      <c r="A22" s="325" t="str">
        <f ca="1">HYPERLINK("#"&amp;CELL("address",Closest_Match!$A$1),MID(CELL("filename",Closest_Match!$A$1),FIND("]",CELL("filename",Closest_Match!$A$1))+1,255))</f>
        <v>Closest_Match</v>
      </c>
      <c r="B22" t="str">
        <f>IF(Closest_Match!$A$1="","", Closest_Match!$A$1)</f>
        <v>Retrieving Data From a Closest Match Vertical Lookup Table</v>
      </c>
      <c r="C22" s="323">
        <f>IF(Closest_Match!$B$2="","",Closest_Match!$B$2)</f>
        <v>4.108796296296297E-3</v>
      </c>
      <c r="D22" s="326" t="str">
        <f>IF(Closest_Match!$A$2="","",HYPERLINK(Video_website&amp;Closest_Match!$A$2, Closest_Match!$A$2))</f>
        <v>UNC_DAYT_EXCEL_3.2.3_LECTURE_CLOSEST_MATCH_VLOOKUP.mp4</v>
      </c>
      <c r="F22" t="str">
        <f t="shared" ca="1" si="0"/>
        <v/>
      </c>
    </row>
    <row r="23" spans="1:9" x14ac:dyDescent="0.2">
      <c r="A23" s="325" t="str">
        <f ca="1">HYPERLINK("#"&amp;CELL("address",Algorithm_Book!$A$1),MID(CELL("filename",Algorithm_Book!$A$1),FIND("]",CELL("filename",Algorithm_Book!$A$1))+1,255))</f>
        <v>Algorithm_Book</v>
      </c>
      <c r="B23" t="str">
        <f>IF(Algorithm_Book!$A$1="","", Algorithm_Book!$A$1)</f>
        <v>Examining the VLOOKUP "True" Algorithm Using the Textbook Explanation</v>
      </c>
      <c r="C23" s="323" t="str">
        <f>IF(Algorithm_Book!$B$2="","",Algorithm_Book!$B$2)</f>
        <v/>
      </c>
      <c r="D23" s="326" t="str">
        <f>IF(Algorithm_Book!$A$2="","",HYPERLINK(Video_website&amp;Algorithm_Book!$A$2, Algorithm_Book!$A$2))</f>
        <v/>
      </c>
      <c r="F23" t="str">
        <f t="shared" ca="1" si="0"/>
        <v/>
      </c>
    </row>
    <row r="24" spans="1:9" x14ac:dyDescent="0.2">
      <c r="A24" s="325" t="str">
        <f ca="1">HYPERLINK("#"&amp;CELL("address",Algorithm_Travis!$A$1),MID(CELL("filename",Algorithm_Travis!$A$1),FIND("]",CELL("filename",Algorithm_Travis!$A$1))+1,255))</f>
        <v>Algorithm_Travis</v>
      </c>
      <c r="B24" t="str">
        <f>IF(Algorithm_Travis!$A$1="","", Algorithm_Travis!$A$1)</f>
        <v>Examining the VLOOKUP "True" Algorithm Using Travis' Explanation</v>
      </c>
      <c r="C24" s="323" t="str">
        <f>IF(Algorithm_Travis!$B$2="","",Algorithm_Travis!$B$2)</f>
        <v/>
      </c>
      <c r="D24" s="326" t="str">
        <f>IF(Algorithm_Travis!$A$2="","",HYPERLINK(Video_website&amp;Algorithm_Travis!$A$2, Algorithm_Travis!$A$2))</f>
        <v/>
      </c>
      <c r="F24" t="str">
        <f t="shared" ca="1" si="0"/>
        <v/>
      </c>
    </row>
    <row r="25" spans="1:9" x14ac:dyDescent="0.2">
      <c r="A25" s="325" t="str">
        <f ca="1">HYPERLINK("#"&amp;CELL("address",'Algorithm_Travis_3-step'!$A$1),MID(CELL("filename",'Algorithm_Travis_3-step'!$A$1),FIND("]",CELL("filename",'Algorithm_Travis_3-step'!$A$1))+1,255))</f>
        <v>Algorithm_Travis_3-step</v>
      </c>
      <c r="B25" t="str">
        <f>IF('Algorithm_Travis_3-step'!$A$1="","", 'Algorithm_Travis_3-step'!$A$1)</f>
        <v>Examining the VLOOKUP "True" Algorithm Using Travis' Explanation: 3-step Approach</v>
      </c>
      <c r="C25" s="323" t="str">
        <f>IF('Algorithm_Travis_3-step'!$B$2="","",'Algorithm_Travis_3-step'!$B$2)</f>
        <v/>
      </c>
      <c r="D25" s="326" t="str">
        <f>IF('Algorithm_Travis_3-step'!$A$2="","",HYPERLINK(Video_website&amp;'Algorithm_Travis_3-step'!$A$2, 'Algorithm_Travis_3-step'!$A$2))</f>
        <v/>
      </c>
      <c r="F25" t="str">
        <f t="shared" ca="1" si="0"/>
        <v/>
      </c>
    </row>
    <row r="26" spans="1:9" x14ac:dyDescent="0.2">
      <c r="A26" s="325" t="str">
        <f ca="1">HYPERLINK("#"&amp;CELL("address",Rules_Exact_Match!$A$1),MID(CELL("filename",Rules_Exact_Match!$A$1),FIND("]",CELL("filename",Rules_Exact_Match!$A$1))+1,255))</f>
        <v>Rules_Exact_Match</v>
      </c>
      <c r="B26" t="str">
        <f>IF(Rules_Exact_Match!$A$1="","", Rules_Exact_Match!$A$1)</f>
        <v>Rules for Creating an Exact Match Vertical Lookup Table</v>
      </c>
      <c r="C26" s="323">
        <f>IF(Rules_Exact_Match!$B$2="","",Rules_Exact_Match!$B$2)</f>
        <v>4.0509259259259257E-3</v>
      </c>
      <c r="D26" s="326" t="str">
        <f>IF(Rules_Exact_Match!$A$2="","",HYPERLINK(Video_website&amp;Rules_Exact_Match!$A$2, Rules_Exact_Match!$A$2))</f>
        <v>UNC_DAYT_EXCEL_3.2.4_LECTURE_RULES_FOR_CREATING_VLOOKUP_TABLE_ARRAYS.mp4</v>
      </c>
      <c r="F26" t="str">
        <f t="shared" ca="1" si="0"/>
        <v/>
      </c>
    </row>
    <row r="27" spans="1:9" x14ac:dyDescent="0.2">
      <c r="A27" s="325" t="str">
        <f ca="1">HYPERLINK("#"&amp;CELL("address",Rules_Closest_Match!$A$1),MID(CELL("filename",Rules_Closest_Match!$A$1),FIND("]",CELL("filename",Rules_Closest_Match!$A$1))+1,255))</f>
        <v>Rules_Closest_Match</v>
      </c>
      <c r="B27" t="str">
        <f>IF(Rules_Closest_Match!$A$1="","", Rules_Closest_Match!$A$1)</f>
        <v>Rules for Creating a Closest Match Vertical Lookup Table</v>
      </c>
      <c r="C27" s="323" t="str">
        <f>IF(Rules_Closest_Match!$B$2="","",Rules_Closest_Match!$B$2)</f>
        <v/>
      </c>
      <c r="D27" s="326" t="str">
        <f>IF(Rules_Closest_Match!$A$2="","",HYPERLINK(Video_website&amp;Rules_Closest_Match!$A$2, Rules_Closest_Match!$A$2))</f>
        <v/>
      </c>
      <c r="F27" t="str">
        <f t="shared" ca="1" si="0"/>
        <v/>
      </c>
    </row>
    <row r="28" spans="1:9" x14ac:dyDescent="0.2">
      <c r="A28" s="325" t="str">
        <f ca="1">HYPERLINK("#"&amp;CELL("address",Clear_Tables!$A$1),MID(CELL("filename",Clear_Tables!$A$1),FIND("]",CELL("filename",Clear_Tables!$A$1))+1,255))</f>
        <v>Clear_Tables</v>
      </c>
      <c r="B28" t="str">
        <f>IF(Clear_Tables!$A$1="","", Clear_Tables!$A$1)</f>
        <v>Creating an Effective &amp; Clear Vertical Lookup Table</v>
      </c>
      <c r="C28" s="323">
        <f>IF(Clear_Tables!$B$2="","",Clear_Tables!$B$2)</f>
        <v>3.1134259259259257E-3</v>
      </c>
      <c r="D28" s="326" t="str">
        <f>IF(Clear_Tables!$A$2="","",HYPERLINK(Video_website&amp;Clear_Tables!$A$2, Clear_Tables!$A$2))</f>
        <v>UNC_DAYT_EXCEL_3.2.5_LECTURE_CLEAR_VLOOKUP_TABLES.mp4</v>
      </c>
      <c r="F28" t="str">
        <f t="shared" ca="1" si="0"/>
        <v/>
      </c>
    </row>
    <row r="29" spans="1:9" x14ac:dyDescent="0.2">
      <c r="A29" s="325" t="str">
        <f ca="1">HYPERLINK("#"&amp;CELL("address",Flexible_Arrays!$A$1),MID(CELL("filename",Flexible_Arrays!$A$1),FIND("]",CELL("filename",Flexible_Arrays!$A$1))+1,255))</f>
        <v>Flexible_Arrays</v>
      </c>
      <c r="B29" t="str">
        <f>IF(Flexible_Arrays!$A$1="","", Flexible_Arrays!$A$1)</f>
        <v>Flexible Table_arrays</v>
      </c>
      <c r="C29" s="323" t="str">
        <f>IF(Flexible_Arrays!$B$2="","",Flexible_Arrays!$B$2)</f>
        <v/>
      </c>
      <c r="D29" s="326" t="str">
        <f>IF(Flexible_Arrays!$A$2="","",HYPERLINK(Video_website&amp;Flexible_Arrays!$A$2, Flexible_Arrays!$A$2))</f>
        <v/>
      </c>
      <c r="F29" t="str">
        <f t="shared" ca="1" si="0"/>
        <v/>
      </c>
    </row>
    <row r="30" spans="1:9" x14ac:dyDescent="0.2">
      <c r="A30" s="324" t="str">
        <f ca="1">HYPERLINK("#"&amp;CELL("address",_Other_Lookups!$A$1),MID(CELL("filename",_Other_Lookups!$A$1),FIND("]",CELL("filename",_Other_Lookups!$A$1))+1,255))</f>
        <v>_Other_Lookups</v>
      </c>
      <c r="B30" s="329" t="str">
        <f>IF(_Other_Lookups!$A$1="","", _Other_Lookups!$A$1)</f>
        <v>Other Lookup Functions &amp; Concepts</v>
      </c>
      <c r="C30" s="330">
        <f>IF(_Other_Lookups!$B$2="","",_Other_Lookups!$B$2)</f>
        <v>7.2685185185185179E-3</v>
      </c>
      <c r="D30" s="328" t="str">
        <f>IF(_Other_Lookups!$A$2="","",HYPERLINK(Video_website&amp;_Other_Lookups!$A$2, _Other_Lookups!$A$2))</f>
        <v/>
      </c>
      <c r="E30" s="329"/>
      <c r="F30" s="329" t="str">
        <f t="shared" ca="1" si="0"/>
        <v>Other Lookup Functions &amp; Concepts</v>
      </c>
      <c r="G30" s="329"/>
      <c r="H30" s="329"/>
      <c r="I30" s="329"/>
    </row>
    <row r="31" spans="1:9" x14ac:dyDescent="0.2">
      <c r="A31" s="325" t="str">
        <f ca="1">HYPERLINK("#"&amp;CELL("address",HLOOKUP!$A$1),MID(CELL("filename",HLOOKUP!$A$1),FIND("]",CELL("filename",HLOOKUP!$A$1))+1,255))</f>
        <v>HLOOKUP</v>
      </c>
      <c r="B31" t="str">
        <f>IF(HLOOKUP!$A$1="","", HLOOKUP!$A$1)</f>
        <v>Retrieving Data from a Horizontal Lookup Table</v>
      </c>
      <c r="C31" s="323">
        <f>IF(HLOOKUP!$B$2="","",HLOOKUP!$B$2)</f>
        <v>3.8425925925925923E-3</v>
      </c>
      <c r="D31" s="326" t="str">
        <f>IF(HLOOKUP!$A$2="","",HYPERLINK(Video_website&amp;HLOOKUP!$A$2, HLOOKUP!$A$2))</f>
        <v>UNC_DAYT_EXCEL_3.3.1_LECTURE_HLOOKUP_LOOKUP_COLUMNS.mp4</v>
      </c>
      <c r="F31" t="str">
        <f t="shared" ca="1" si="0"/>
        <v/>
      </c>
    </row>
    <row r="32" spans="1:9" x14ac:dyDescent="0.2">
      <c r="A32" s="325" t="str">
        <f ca="1">HYPERLINK("#"&amp;CELL("address",LOOKUP!$A$1),MID(CELL("filename",LOOKUP!$A$1),FIND("]",CELL("filename",LOOKUP!$A$1))+1,255))</f>
        <v>LOOKUP</v>
      </c>
      <c r="B32" t="str">
        <f>IF(LOOKUP!$A$1="","", LOOKUP!$A$1)</f>
        <v>Retrieving Data from a Horizontal Lookup Table</v>
      </c>
      <c r="C32" s="323" t="str">
        <f>IF(LOOKUP!$B$2="","",LOOKUP!$B$2)</f>
        <v/>
      </c>
      <c r="D32" s="326" t="str">
        <f>IF(LOOKUP!$A$2="","",HYPERLINK(Video_website&amp;LOOKUP!$A$2, LOOKUP!$A$2))</f>
        <v/>
      </c>
      <c r="F32" t="str">
        <f t="shared" ca="1" si="0"/>
        <v/>
      </c>
    </row>
    <row r="33" spans="1:9" x14ac:dyDescent="0.2">
      <c r="A33" s="325" t="str">
        <f ca="1">HYPERLINK("#"&amp;CELL("address",COLUMNS!$A$1),MID(CELL("filename",COLUMNS!$A$1),FIND("]",CELL("filename",COLUMNS!$A$1))+1,255))</f>
        <v>COLUMNS</v>
      </c>
      <c r="B33" t="str">
        <f>IF(COLUMNS!$A$1="","", COLUMNS!$A$1)</f>
        <v>Using COLUMNS to create a flexible Col_index_num</v>
      </c>
      <c r="C33" s="323" t="str">
        <f>IF(COLUMNS!$B$2="","",COLUMNS!$B$2)</f>
        <v/>
      </c>
      <c r="D33" s="326" t="str">
        <f>IF(COLUMNS!$A$2="","",HYPERLINK(Video_website&amp;COLUMNS!$A$2, COLUMNS!$A$2))</f>
        <v/>
      </c>
      <c r="F33" t="str">
        <f t="shared" ca="1" si="0"/>
        <v/>
      </c>
    </row>
    <row r="34" spans="1:9" x14ac:dyDescent="0.2">
      <c r="A34" s="325" t="str">
        <f ca="1">HYPERLINK("#"&amp;CELL("address",MATCH!$A$1),MID(CELL("filename",MATCH!$A$1),FIND("]",CELL("filename",MATCH!$A$1))+1,255))</f>
        <v>MATCH</v>
      </c>
      <c r="B34" t="str">
        <f>IF(MATCH!$A$1="","", MATCH!$A$1)</f>
        <v>Using MATCH  to create a flexible Col_index_num</v>
      </c>
      <c r="C34" s="323">
        <f>IF(MATCH!$B$2="","",MATCH!$B$2)</f>
        <v>3.425925925925926E-3</v>
      </c>
      <c r="D34" s="326" t="str">
        <f>IF(MATCH!$A$2="","",HYPERLINK(Video_website&amp;MATCH!$A$2, MATCH!$A$2))</f>
        <v>UNC_DAYT_EXCEL_3.3.2_LECTURE_USING_MATCH_TO_MAKE_VLOOKUP_MORE_FLEXIBLE.mp4</v>
      </c>
      <c r="F34" t="str">
        <f t="shared" ca="1" si="0"/>
        <v/>
      </c>
    </row>
    <row r="35" spans="1:9" x14ac:dyDescent="0.2">
      <c r="A35" s="324" t="str">
        <f ca="1">HYPERLINK("#"&amp;CELL("address",_INDEX_MATCH!$A$1),MID(CELL("filename",_INDEX_MATCH!$A$1),FIND("]",CELL("filename",_INDEX_MATCH!$A$1))+1,255))</f>
        <v>_INDEX_MATCH</v>
      </c>
      <c r="B35" s="329" t="str">
        <f>IF(_INDEX_MATCH!$A$1="","", _INDEX_MATCH!$A$1)</f>
        <v>INDEX &amp; MATCH</v>
      </c>
      <c r="C35" s="330">
        <f>IF(_INDEX_MATCH!$B$2="","",_INDEX_MATCH!$B$2)</f>
        <v>2.1412037037037038E-2</v>
      </c>
      <c r="D35" s="328" t="str">
        <f>IF(_INDEX_MATCH!$A$2="","",HYPERLINK(Video_website&amp;_INDEX_MATCH!$A$2, _INDEX_MATCH!$A$2))</f>
        <v/>
      </c>
      <c r="E35" s="329"/>
      <c r="F35" s="329" t="str">
        <f t="shared" ca="1" si="0"/>
        <v>INDEX &amp; MATCH</v>
      </c>
      <c r="G35" s="329"/>
      <c r="H35" s="329"/>
      <c r="I35" s="329"/>
    </row>
    <row r="36" spans="1:9" x14ac:dyDescent="0.2">
      <c r="A36" s="325" t="str">
        <f ca="1">HYPERLINK("#"&amp;CELL("address",INDEX_MATCH_1D!$A$1),MID(CELL("filename",INDEX_MATCH_1D!$A$1),FIND("]",CELL("filename",INDEX_MATCH_1D!$A$1))+1,255))</f>
        <v>INDEX_MATCH_1D</v>
      </c>
      <c r="B36" t="str">
        <f>IF(INDEX_MATCH_1D!$A$1="","", INDEX_MATCH_1D!$A$1)</f>
        <v>Using INDEX &amp; MATCH</v>
      </c>
      <c r="C36" s="323">
        <f>IF(INDEX_MATCH_1D!$B$2="","",INDEX_MATCH_1D!$B$2)</f>
        <v>5.7986111111111112E-3</v>
      </c>
      <c r="D36" s="326" t="str">
        <f>IF(INDEX_MATCH_1D!$A$2="","",HYPERLINK(Video_website&amp;INDEX_MATCH_1D!$A$2, INDEX_MATCH_1D!$A$2))</f>
        <v>UNC_DAYT_EXCEL_3.3.3_LECTURE_INDEX_1_DIMENSION.mp4</v>
      </c>
      <c r="F36" t="str">
        <f t="shared" ca="1" si="0"/>
        <v/>
      </c>
    </row>
    <row r="37" spans="1:9" x14ac:dyDescent="0.2">
      <c r="A37" s="325" t="str">
        <f ca="1">HYPERLINK("#"&amp;CELL("address",INDEX_MATCH_2D!$A$1),MID(CELL("filename",INDEX_MATCH_2D!$A$1),FIND("]",CELL("filename",INDEX_MATCH_2D!$A$1))+1,255))</f>
        <v>INDEX_MATCH_2D</v>
      </c>
      <c r="B37" t="str">
        <f>IF(INDEX_MATCH_2D!$A$1="","", INDEX_MATCH_2D!$A$1)</f>
        <v>Using INDEX &amp; MATCH</v>
      </c>
      <c r="C37" s="323">
        <f>IF(INDEX_MATCH_2D!$B$2="","",INDEX_MATCH_2D!$B$2)</f>
        <v>4.4560185185185189E-3</v>
      </c>
      <c r="D37" s="326" t="str">
        <f>IF(INDEX_MATCH_2D!$A$2="","",HYPERLINK(Video_website&amp;INDEX_MATCH_2D!$A$2, INDEX_MATCH_2D!$A$2))</f>
        <v>UNC_DAYT_EXCEL_3.3.4_LECTURE_INDEX_2_DIMENSIONS_&amp;_MATCH.mp4</v>
      </c>
      <c r="F37" t="str">
        <f t="shared" ca="1" si="0"/>
        <v/>
      </c>
    </row>
    <row r="38" spans="1:9" x14ac:dyDescent="0.2">
      <c r="A38" s="325" t="str">
        <f ca="1">HYPERLINK("#"&amp;CELL("address",INDEX_MATCH_2D_Array_Result!$A$1),MID(CELL("filename",INDEX_MATCH_2D_Array_Result!$A$1),FIND("]",CELL("filename",INDEX_MATCH_2D_Array_Result!$A$1))+1,255))</f>
        <v>INDEX_MATCH_2D_Array_Result</v>
      </c>
      <c r="B38" t="str">
        <f>IF(INDEX_MATCH_2D_Array_Result!$A$1="","", INDEX_MATCH_2D_Array_Result!$A$1)</f>
        <v>Using INDEX &amp; MATCH</v>
      </c>
      <c r="C38" s="323">
        <f>IF(INDEX_MATCH_2D_Array_Result!$B$2="","",INDEX_MATCH_2D_Array_Result!$B$2)</f>
        <v>4.4560185185185189E-3</v>
      </c>
      <c r="D38" s="326" t="str">
        <f>IF(INDEX_MATCH_2D_Array_Result!$A$2="","",HYPERLINK(Video_website&amp;INDEX_MATCH_2D_Array_Result!$A$2, INDEX_MATCH_2D_Array_Result!$A$2))</f>
        <v>UNC_DAYT_EXCEL_3.3.4_LECTURE_INDEX_2_DIMENSIONS_&amp;_MATCH.mp4</v>
      </c>
      <c r="F38" t="str">
        <f t="shared" ca="1" si="0"/>
        <v/>
      </c>
    </row>
    <row r="39" spans="1:9" x14ac:dyDescent="0.2">
      <c r="A39" s="325" t="str">
        <f ca="1">HYPERLINK("#"&amp;CELL("address",VLOOKUP_vs!$A$1),MID(CELL("filename",VLOOKUP_vs!$A$1),FIND("]",CELL("filename",VLOOKUP_vs!$A$1))+1,255))</f>
        <v>VLOOKUP_vs</v>
      </c>
      <c r="B39" t="str">
        <f>IF(VLOOKUP_vs!$A$1="","", VLOOKUP_vs!$A$1)</f>
        <v>Working with Lookup Tables</v>
      </c>
      <c r="C39" s="323" t="str">
        <f>IF(VLOOKUP_vs!$B$2="","",VLOOKUP_vs!$B$2)</f>
        <v/>
      </c>
      <c r="D39" s="326" t="str">
        <f>IF(VLOOKUP_vs!$A$2="","",HYPERLINK(Video_website&amp;VLOOKUP_vs!$A$2, VLOOKUP_vs!$A$2))</f>
        <v/>
      </c>
      <c r="F39" t="str">
        <f t="shared" ca="1" si="0"/>
        <v/>
      </c>
    </row>
    <row r="40" spans="1:9" x14ac:dyDescent="0.2">
      <c r="A40" s="325" t="str">
        <f ca="1">HYPERLINK("#"&amp;CELL("address",'INDEX-MATCH_vs'!$A$1),MID(CELL("filename",'INDEX-MATCH_vs'!$A$1),FIND("]",CELL("filename",'INDEX-MATCH_vs'!$A$1))+1,255))</f>
        <v>INDEX-MATCH_vs</v>
      </c>
      <c r="B40" t="str">
        <f>IF('INDEX-MATCH_vs'!$A$1="","", 'INDEX-MATCH_vs'!$A$1)</f>
        <v>Using INDEX &amp; MATCH instead of VLOOKUP, HLOOKUP</v>
      </c>
      <c r="C40" s="323">
        <f>IF('INDEX-MATCH_vs'!$B$2="","",'INDEX-MATCH_vs'!$B$2)</f>
        <v>6.7013888888888887E-3</v>
      </c>
      <c r="D40" s="326" t="str">
        <f>IF('INDEX-MATCH_vs'!$A$2="","",HYPERLINK(Video_website&amp;'INDEX-MATCH_vs'!$A$2, 'INDEX-MATCH_vs'!$A$2))</f>
        <v>UNC_DAYT_EXCEL_3.3.5_LECTURE_VLOOKUP_VS_INDEX_&amp;_MATCH.mp4</v>
      </c>
      <c r="F40" t="str">
        <f t="shared" ca="1" si="0"/>
        <v/>
      </c>
    </row>
    <row r="41" spans="1:9" x14ac:dyDescent="0.2">
      <c r="A41" s="325" t="str">
        <f ca="1">HYPERLINK("#"&amp;CELL("address",Row_num_OR_Col_num!$A$1),MID(CELL("filename",Row_num_OR_Col_num!$A$1),FIND("]",CELL("filename",Row_num_OR_Col_num!$A$1))+1,255))</f>
        <v>Row_num_OR_Col_num</v>
      </c>
      <c r="B41" t="str">
        <f>IF(Row_num_OR_Col_num!$A$1="","", Row_num_OR_Col_num!$A$1)</f>
        <v>Using INDEX &amp; MATCH instead of HLOOKUP...Row_num vs Column_num</v>
      </c>
      <c r="C41" s="323" t="str">
        <f>IF(Row_num_OR_Col_num!$B$2="","",Row_num_OR_Col_num!$B$2)</f>
        <v/>
      </c>
      <c r="D41" s="326" t="str">
        <f>IF(Row_num_OR_Col_num!$A$2="","",HYPERLINK(Video_website&amp;Row_num_OR_Col_num!$A$2, Row_num_OR_Col_num!$A$2))</f>
        <v/>
      </c>
      <c r="F41" t="str">
        <f t="shared" ca="1" si="0"/>
        <v/>
      </c>
    </row>
    <row r="42" spans="1:9" x14ac:dyDescent="0.2">
      <c r="A42" s="325" t="str">
        <f ca="1">HYPERLINK("#"&amp;CELL("address",Swapped_Columns!$A$1),MID(CELL("filename",Swapped_Columns!$A$1),FIND("]",CELL("filename",Swapped_Columns!$A$1))+1,255))</f>
        <v>Swapped_Columns</v>
      </c>
      <c r="B42" t="str">
        <f>IF(Swapped_Columns!$A$1="","", Swapped_Columns!$A$1)</f>
        <v>Using INDEX &amp; MATCH with Swapped Columns</v>
      </c>
      <c r="C42" s="323" t="str">
        <f>IF(Swapped_Columns!$B$2="","",Swapped_Columns!$B$2)</f>
        <v/>
      </c>
      <c r="D42" s="326" t="str">
        <f>IF(Swapped_Columns!$A$2="","",HYPERLINK(Video_website&amp;Swapped_Columns!$A$2, Swapped_Columns!$A$2))</f>
        <v/>
      </c>
      <c r="F42" t="str">
        <f t="shared" ca="1" si="0"/>
        <v/>
      </c>
    </row>
    <row r="43" spans="1:9" x14ac:dyDescent="0.2">
      <c r="A43" s="325" t="str">
        <f ca="1">HYPERLINK("#"&amp;CELL("address",Descending_Order!$A$1),MID(CELL("filename",Descending_Order!$A$1),FIND("]",CELL("filename",Descending_Order!$A$1))+1,255))</f>
        <v>Descending_Order</v>
      </c>
      <c r="B43" t="str">
        <f>IF(Descending_Order!$A$1="","", Descending_Order!$A$1)</f>
        <v>Using INDEX &amp; MATCH With Breakpoints in Descending Order</v>
      </c>
      <c r="C43" s="323" t="str">
        <f>IF(Descending_Order!$B$2="","",Descending_Order!$B$2)</f>
        <v/>
      </c>
      <c r="D43" s="326" t="str">
        <f>IF(Descending_Order!$A$2="","",HYPERLINK(Video_website&amp;Descending_Order!$A$2, Descending_Order!$A$2))</f>
        <v/>
      </c>
      <c r="F43" t="str">
        <f t="shared" ref="F43:F65" ca="1" si="1">IF(LEFT($A43,1)=segment_designator,B43,"")</f>
        <v/>
      </c>
    </row>
    <row r="44" spans="1:9" x14ac:dyDescent="0.2">
      <c r="A44" s="325" t="str">
        <f ca="1">HYPERLINK("#"&amp;CELL("address",Flexible_INDEX_MATCH!$A$1),MID(CELL("filename",Flexible_INDEX_MATCH!$A$1),FIND("]",CELL("filename",Flexible_INDEX_MATCH!$A$1))+1,255))</f>
        <v>Flexible_INDEX_MATCH</v>
      </c>
      <c r="B44" t="str">
        <f>IF(Flexible_INDEX_MATCH!$A$1="","", Flexible_INDEX_MATCH!$A$1)</f>
        <v>Flexible INDEX &amp; MATCH arrays</v>
      </c>
      <c r="C44" s="323" t="str">
        <f>IF(Flexible_INDEX_MATCH!$B$2="","",Flexible_INDEX_MATCH!$B$2)</f>
        <v/>
      </c>
      <c r="D44" s="326" t="str">
        <f>IF(Flexible_INDEX_MATCH!$A$2="","",HYPERLINK(Video_website&amp;Flexible_INDEX_MATCH!$A$2, Flexible_INDEX_MATCH!$A$2))</f>
        <v/>
      </c>
      <c r="F44" t="str">
        <f t="shared" ca="1" si="1"/>
        <v/>
      </c>
    </row>
    <row r="45" spans="1:9" x14ac:dyDescent="0.2">
      <c r="A45" s="325" t="str">
        <f ca="1">HYPERLINK("#"&amp;CELL("address",Same_Size_Arrays!$A$1),MID(CELL("filename",Same_Size_Arrays!$A$1),FIND("]",CELL("filename",Same_Size_Arrays!$A$1))+1,255))</f>
        <v>Same_Size_Arrays</v>
      </c>
      <c r="B45" t="str">
        <f>IF(Same_Size_Arrays!$A$1="","", Same_Size_Arrays!$A$1)</f>
        <v>INDEX &amp; MATCH arrays should be the same size with correct alignment</v>
      </c>
      <c r="C45" s="323" t="str">
        <f>IF(Same_Size_Arrays!$B$2="","",Same_Size_Arrays!$B$2)</f>
        <v/>
      </c>
      <c r="D45" s="326" t="str">
        <f>IF(Same_Size_Arrays!$A$2="","",HYPERLINK(Video_website&amp;Same_Size_Arrays!$A$2, Same_Size_Arrays!$A$2))</f>
        <v/>
      </c>
      <c r="F45" t="str">
        <f t="shared" ca="1" si="1"/>
        <v/>
      </c>
    </row>
    <row r="46" spans="1:9" x14ac:dyDescent="0.2">
      <c r="A46" s="325" t="str">
        <f ca="1">HYPERLINK("#"&amp;CELL("address",'2D_INDEX'!$A$1),MID(CELL("filename",'2D_INDEX'!$A$1),FIND("]",CELL("filename",'2D_INDEX'!$A$1))+1,255))</f>
        <v>2D_INDEX</v>
      </c>
      <c r="B46" t="str">
        <f>IF('2D_INDEX'!$A$1="","", '2D_INDEX'!$A$1)</f>
        <v>Using MATCH for a flexible Col_num</v>
      </c>
      <c r="C46" s="323" t="str">
        <f>IF('2D_INDEX'!$B$2="","",'2D_INDEX'!$B$2)</f>
        <v/>
      </c>
      <c r="D46" s="326" t="str">
        <f>IF('2D_INDEX'!$A$2="","",HYPERLINK(Video_website&amp;'2D_INDEX'!$A$2, '2D_INDEX'!$A$2))</f>
        <v/>
      </c>
      <c r="F46" t="str">
        <f t="shared" ca="1" si="1"/>
        <v/>
      </c>
    </row>
    <row r="47" spans="1:9" x14ac:dyDescent="0.2">
      <c r="A47" s="325" t="str">
        <f ca="1">HYPERLINK("#"&amp;CELL("address",'2D_INDEX_Examples'!$A$1),MID(CELL("filename",'2D_INDEX_Examples'!$A$1),FIND("]",CELL("filename",'2D_INDEX_Examples'!$A$1))+1,255))</f>
        <v>2D_INDEX_Examples</v>
      </c>
      <c r="B47" t="str">
        <f>IF('2D_INDEX_Examples'!$A$1="","", '2D_INDEX_Examples'!$A$1)</f>
        <v>Using INDEX &amp; MATCH with both rows and columns</v>
      </c>
      <c r="C47" s="323" t="str">
        <f>IF('2D_INDEX_Examples'!$B$2="","",'2D_INDEX_Examples'!$B$2)</f>
        <v/>
      </c>
      <c r="D47" s="326" t="str">
        <f>IF('2D_INDEX_Examples'!$A$2="","",HYPERLINK(Video_website&amp;'2D_INDEX_Examples'!$A$2, '2D_INDEX_Examples'!$A$2))</f>
        <v/>
      </c>
      <c r="F47" t="str">
        <f t="shared" ca="1" si="1"/>
        <v/>
      </c>
    </row>
    <row r="48" spans="1:9" x14ac:dyDescent="0.2">
      <c r="A48" s="325" t="str">
        <f ca="1">HYPERLINK("#"&amp;CELL("address",XLOOKUP!$A$1),MID(CELL("filename",XLOOKUP!$A$1),FIND("]",CELL("filename",XLOOKUP!$A$1))+1,255))</f>
        <v>XLOOKUP</v>
      </c>
      <c r="B48" t="str">
        <f>IF(XLOOKUP!$A$1="","", XLOOKUP!$A$1)</f>
        <v>Using XLOOKUP</v>
      </c>
      <c r="C48" s="323" t="str">
        <f>IF(XLOOKUP!$B$2="","",XLOOKUP!$B$2)</f>
        <v/>
      </c>
      <c r="D48" s="326" t="str">
        <f>IF(XLOOKUP!$A$2="","",HYPERLINK(Video_website&amp;XLOOKUP!$A$2, XLOOKUP!$A$2))</f>
        <v/>
      </c>
      <c r="F48" t="str">
        <f t="shared" ca="1" si="1"/>
        <v/>
      </c>
    </row>
    <row r="49" spans="1:9" x14ac:dyDescent="0.2">
      <c r="A49" s="325" t="str">
        <f ca="1">HYPERLINK("#"&amp;CELL("address",'2D_XLOOKUP'!$A$1),MID(CELL("filename",'2D_XLOOKUP'!$A$1),FIND("]",CELL("filename",'2D_XLOOKUP'!$A$1))+1,255))</f>
        <v>2D_XLOOKUP</v>
      </c>
      <c r="B49" t="str">
        <f>IF('2D_XLOOKUP'!$A$1="","", '2D_XLOOKUP'!$A$1)</f>
        <v>Using 2 Dimensional XLOOKUPS</v>
      </c>
      <c r="C49" s="323" t="str">
        <f>IF('2D_XLOOKUP'!$B$2="","",'2D_XLOOKUP'!$B$2)</f>
        <v/>
      </c>
      <c r="D49" s="326" t="str">
        <f>IF('2D_XLOOKUP'!$A$2="","",HYPERLINK(Video_website&amp;'2D_XLOOKUP'!$A$2, '2D_XLOOKUP'!$A$2))</f>
        <v/>
      </c>
      <c r="F49" t="str">
        <f t="shared" ca="1" si="1"/>
        <v/>
      </c>
    </row>
    <row r="50" spans="1:9" x14ac:dyDescent="0.2">
      <c r="A50" s="325" t="str">
        <f ca="1">HYPERLINK("#"&amp;CELL("address",'2D_XLOOKUP_2'!$A$1),MID(CELL("filename",'2D_XLOOKUP_2'!$A$1),FIND("]",CELL("filename",'2D_XLOOKUP_2'!$A$1))+1,255))</f>
        <v>2D_XLOOKUP_2</v>
      </c>
      <c r="B50" t="str">
        <f>IF('2D_XLOOKUP_2'!$A$1="","", '2D_XLOOKUP_2'!$A$1)</f>
        <v>Using XLOOKUP</v>
      </c>
      <c r="C50" s="323" t="str">
        <f>IF('2D_XLOOKUP_2'!$B$2="","",'2D_XLOOKUP_2'!$B$2)</f>
        <v/>
      </c>
      <c r="D50" s="326" t="str">
        <f>IF('2D_XLOOKUP_2'!$A$2="","",HYPERLINK(Video_website&amp;'2D_XLOOKUP_2'!$A$2, '2D_XLOOKUP_2'!$A$2))</f>
        <v/>
      </c>
      <c r="F50" t="str">
        <f t="shared" ca="1" si="1"/>
        <v/>
      </c>
    </row>
    <row r="51" spans="1:9" x14ac:dyDescent="0.2">
      <c r="A51" s="325" t="str">
        <f ca="1">HYPERLINK("#"&amp;CELL("address",Key!$A$1),MID(CELL("filename",Key!$A$1),FIND("]",CELL("filename",Key!$A$1))+1,255))</f>
        <v>Key</v>
      </c>
      <c r="B51" t="str">
        <f>IF(Key!$A$1="","", Key!$A$1)</f>
        <v>Retrieving Data Key Points</v>
      </c>
      <c r="C51" s="323" t="str">
        <f>IF(Key!$B$2="","",Key!$B$2)</f>
        <v/>
      </c>
      <c r="D51" s="326" t="str">
        <f>IF(Key!$A$2="","",HYPERLINK(Video_website&amp;Key!$A$2, Key!$A$2))</f>
        <v/>
      </c>
      <c r="F51" t="str">
        <f t="shared" ca="1" si="1"/>
        <v/>
      </c>
    </row>
    <row r="52" spans="1:9" hidden="1" x14ac:dyDescent="0.2">
      <c r="A52" s="324" t="str">
        <f ca="1">HYPERLINK("#"&amp;CELL("address",_Supplemental!$A$1),MID(CELL("filename",_Supplemental!$A$1),FIND("]",CELL("filename",_Supplemental!$A$1))+1,255))</f>
        <v>_Supplemental</v>
      </c>
      <c r="B52" s="329" t="str">
        <f>IF(_Supplemental!$A$1="","", _Supplemental!$A$1)</f>
        <v xml:space="preserve">Remaining worksheets are textbook examples from Levels 2 and 3.
</v>
      </c>
      <c r="C52" s="330" t="str">
        <f>IF(_Supplemental!$B$2="","",_Supplemental!$B$2)</f>
        <v/>
      </c>
      <c r="D52" s="328" t="str">
        <f>IF(_Supplemental!$A$2="","",HYPERLINK(Video_website&amp;_Supplemental!$A$2, _Supplemental!$A$2))</f>
        <v/>
      </c>
      <c r="E52" s="329"/>
      <c r="F52" s="329" t="str">
        <f t="shared" ca="1" si="1"/>
        <v xml:space="preserve">Remaining worksheets are textbook examples from Levels 2 and 3.
</v>
      </c>
      <c r="G52" s="329" t="s">
        <v>321</v>
      </c>
      <c r="H52" s="329"/>
      <c r="I52" s="329"/>
    </row>
    <row r="53" spans="1:9" hidden="1" x14ac:dyDescent="0.2">
      <c r="A53" s="325" t="str">
        <f ca="1">HYPERLINK("#"&amp;CELL("address",'2-Tennis_Balls'!$A$1),MID(CELL("filename",'2-Tennis_Balls'!$A$1),FIND("]",CELL("filename",'2-Tennis_Balls'!$A$1))+1,255))</f>
        <v>2-Tennis_Balls</v>
      </c>
      <c r="B53" t="str">
        <f>IF('2-Tennis_Balls'!$A$1="","", '2-Tennis_Balls'!$A$1)</f>
        <v>Pricing Information for Tennis Balls</v>
      </c>
      <c r="C53" s="323" t="str">
        <f>IF('2-Tennis_Balls'!$B$2="","",'2-Tennis_Balls'!$B$2)</f>
        <v/>
      </c>
      <c r="D53" s="326" t="str">
        <f>IF('2-Tennis_Balls'!$A$2="","",HYPERLINK(Video_website&amp;'2-Tennis_Balls'!$A$2, '2-Tennis_Balls'!$A$2))</f>
        <v>TheZone Pricing Equipment Division</v>
      </c>
      <c r="F53" t="str">
        <f t="shared" ca="1" si="1"/>
        <v/>
      </c>
      <c r="G53" t="s">
        <v>321</v>
      </c>
    </row>
    <row r="54" spans="1:9" hidden="1" x14ac:dyDescent="0.2">
      <c r="A54" s="325" t="str">
        <f ca="1">HYPERLINK("#"&amp;CELL("address",'2-Costs'!$A$1),MID(CELL("filename",'2-Costs'!$A$1),FIND("]",CELL("filename",'2-Costs'!$A$1))+1,255))</f>
        <v>2-Costs</v>
      </c>
      <c r="B54" t="str">
        <f>IF('2-Costs'!$A$1="","", '2-Costs'!$A$1)</f>
        <v/>
      </c>
      <c r="C54" s="323" t="str">
        <f>IF('2-Costs'!$B$2="","",'2-Costs'!$B$2)</f>
        <v/>
      </c>
      <c r="D54" s="326" t="str">
        <f>IF('2-Costs'!$A$2="","",HYPERLINK(Video_website&amp;'2-Costs'!$A$2, '2-Costs'!$A$2))</f>
        <v/>
      </c>
      <c r="F54" t="str">
        <f t="shared" ca="1" si="1"/>
        <v/>
      </c>
      <c r="G54" t="s">
        <v>321</v>
      </c>
    </row>
    <row r="55" spans="1:9" hidden="1" x14ac:dyDescent="0.2">
      <c r="A55" s="325" t="str">
        <f ca="1">HYPERLINK("#"&amp;CELL("address",'2-Orders'!$A$1),MID(CELL("filename",'2-Orders'!$A$1),FIND("]",CELL("filename",'2-Orders'!$A$1))+1,255))</f>
        <v>2-Orders</v>
      </c>
      <c r="B55" t="str">
        <f>IF('2-Orders'!$A$1="","", '2-Orders'!$A$1)</f>
        <v>Tennis Products Order Form</v>
      </c>
      <c r="C55" s="323" t="str">
        <f>IF('2-Orders'!$B$2="","",'2-Orders'!$B$2)</f>
        <v/>
      </c>
      <c r="D55" s="326" t="str">
        <f>IF('2-Orders'!$A$2="","",HYPERLINK(Video_website&amp;'2-Orders'!$A$2, '2-Orders'!$A$2))</f>
        <v/>
      </c>
      <c r="F55" t="str">
        <f t="shared" ca="1" si="1"/>
        <v/>
      </c>
      <c r="G55" t="s">
        <v>321</v>
      </c>
    </row>
    <row r="56" spans="1:9" hidden="1" x14ac:dyDescent="0.2">
      <c r="A56" s="325" t="str">
        <f ca="1">HYPERLINK("#"&amp;CELL("address",'2-Discount'!$A$1),MID(CELL("filename",'2-Discount'!$A$1),FIND("]",CELL("filename",'2-Discount'!$A$1))+1,255))</f>
        <v>2-Discount</v>
      </c>
      <c r="B56" t="str">
        <f>IF('2-Discount'!$A$1="","", '2-Discount'!$A$1)</f>
        <v/>
      </c>
      <c r="C56" s="323" t="str">
        <f>IF('2-Discount'!$B$2="","",'2-Discount'!$B$2)</f>
        <v/>
      </c>
      <c r="D56" s="326" t="str">
        <f>IF('2-Discount'!$A$2="","",HYPERLINK(Video_website&amp;'2-Discount'!$A$2, '2-Discount'!$A$2))</f>
        <v/>
      </c>
      <c r="F56" t="str">
        <f t="shared" ca="1" si="1"/>
        <v/>
      </c>
      <c r="G56" t="s">
        <v>321</v>
      </c>
    </row>
    <row r="57" spans="1:9" hidden="1" x14ac:dyDescent="0.2">
      <c r="A57" s="325" t="str">
        <f ca="1">HYPERLINK("#"&amp;CELL("address",'2-ShipByRegion'!$A$1),MID(CELL("filename",'2-ShipByRegion'!$A$1),FIND("]",CELL("filename",'2-ShipByRegion'!$A$1))+1,255))</f>
        <v>2-ShipByRegion</v>
      </c>
      <c r="B57" t="str">
        <f>IF('2-ShipByRegion'!$A$1="","", '2-ShipByRegion'!$A$1)</f>
        <v>Ship By Region</v>
      </c>
      <c r="C57" s="323" t="str">
        <f>IF('2-ShipByRegion'!$B$2="","",'2-ShipByRegion'!$B$2)</f>
        <v/>
      </c>
      <c r="D57" s="326" t="str">
        <f>IF('2-ShipByRegion'!$A$2="","",HYPERLINK(Video_website&amp;'2-ShipByRegion'!$A$2, '2-ShipByRegion'!$A$2))</f>
        <v/>
      </c>
      <c r="F57" t="str">
        <f t="shared" ca="1" si="1"/>
        <v/>
      </c>
      <c r="G57" t="s">
        <v>321</v>
      </c>
    </row>
    <row r="58" spans="1:9" hidden="1" x14ac:dyDescent="0.2">
      <c r="A58" s="325" t="str">
        <f ca="1">HYPERLINK("#"&amp;CELL("address",'3-Products'!$A$1),MID(CELL("filename",'3-Products'!$A$1),FIND("]",CELL("filename",'3-Products'!$A$1))+1,255))</f>
        <v>3-Products</v>
      </c>
      <c r="B58" t="str">
        <f>IF('3-Products'!$A$1="","", '3-Products'!$A$1)</f>
        <v>Product Information for Tennis Equipment</v>
      </c>
      <c r="C58" s="323" t="str">
        <f>IF('3-Products'!$B$2="","",'3-Products'!$B$2)</f>
        <v/>
      </c>
      <c r="D58" s="326" t="str">
        <f>IF('3-Products'!$A$2="","",HYPERLINK(Video_website&amp;'3-Products'!$A$2, '3-Products'!$A$2))</f>
        <v>TheZone Equipment Division December</v>
      </c>
      <c r="F58" t="str">
        <f t="shared" ca="1" si="1"/>
        <v/>
      </c>
      <c r="G58" t="s">
        <v>321</v>
      </c>
    </row>
    <row r="59" spans="1:9" hidden="1" x14ac:dyDescent="0.2">
      <c r="A59" s="325" t="str">
        <f ca="1">HYPERLINK("#"&amp;CELL("address",'3-Orders'!$A$1),MID(CELL("filename",'3-Orders'!$A$1),FIND("]",CELL("filename",'3-Orders'!$A$1))+1,255))</f>
        <v>3-Orders</v>
      </c>
      <c r="B59" t="str">
        <f>IF('3-Orders'!$A$1="","", '3-Orders'!$A$1)</f>
        <v>TheZone Sports Equipment
Order Form</v>
      </c>
      <c r="C59" s="323" t="str">
        <f>IF('3-Orders'!$B$2="","",'3-Orders'!$B$2)</f>
        <v/>
      </c>
      <c r="D59" s="326" t="str">
        <f>IF('3-Orders'!$A$2="","",HYPERLINK(Video_website&amp;'3-Orders'!$A$2, '3-Orders'!$A$2))</f>
        <v>Customer Name:</v>
      </c>
      <c r="F59" t="str">
        <f t="shared" ca="1" si="1"/>
        <v/>
      </c>
      <c r="G59" t="s">
        <v>321</v>
      </c>
    </row>
    <row r="60" spans="1:9" hidden="1" x14ac:dyDescent="0.2">
      <c r="A60" s="325" t="str">
        <f ca="1">HYPERLINK("#"&amp;CELL("address",'3-Orders_2'!$A$1),MID(CELL("filename",'3-Orders_2'!$A$1),FIND("]",CELL("filename",'3-Orders_2'!$A$1))+1,255))</f>
        <v>3-Orders_2</v>
      </c>
      <c r="B60" t="str">
        <f>IF('3-Orders_2'!$A$1="","", '3-Orders_2'!$A$1)</f>
        <v>TheZone Sports Equipment
Order Form</v>
      </c>
      <c r="C60" s="323" t="str">
        <f>IF('3-Orders_2'!$B$2="","",'3-Orders_2'!$B$2)</f>
        <v/>
      </c>
      <c r="D60" s="326" t="str">
        <f>IF('3-Orders_2'!$A$2="","",HYPERLINK(Video_website&amp;'3-Orders_2'!$A$2, '3-Orders_2'!$A$2))</f>
        <v>Customer Name:</v>
      </c>
      <c r="F60" t="str">
        <f t="shared" ca="1" si="1"/>
        <v/>
      </c>
      <c r="G60" t="s">
        <v>321</v>
      </c>
    </row>
    <row r="61" spans="1:9" hidden="1" x14ac:dyDescent="0.2">
      <c r="A61" s="325" t="str">
        <f ca="1">HYPERLINK("#"&amp;CELL("address",'3-Pricing_Schedule_1'!$A$1),MID(CELL("filename",'3-Pricing_Schedule_1'!$A$1),FIND("]",CELL("filename",'3-Pricing_Schedule_1'!$A$1))+1,255))</f>
        <v>3-Pricing_Schedule_1</v>
      </c>
      <c r="B61" t="str">
        <f>IF('3-Pricing_Schedule_1'!$A$1="","", '3-Pricing_Schedule_1'!$A$1)</f>
        <v>Price List for Tennis Products
Fixed-Price Items</v>
      </c>
      <c r="C61" s="323" t="str">
        <f>IF('3-Pricing_Schedule_1'!$B$2="","",'3-Pricing_Schedule_1'!$B$2)</f>
        <v/>
      </c>
      <c r="D61" s="326" t="str">
        <f>IF('3-Pricing_Schedule_1'!$A$2="","",HYPERLINK(Video_website&amp;'3-Pricing_Schedule_1'!$A$2, '3-Pricing_Schedule_1'!$A$2))</f>
        <v/>
      </c>
      <c r="F61" t="str">
        <f t="shared" ca="1" si="1"/>
        <v/>
      </c>
      <c r="G61" t="s">
        <v>321</v>
      </c>
    </row>
    <row r="62" spans="1:9" hidden="1" x14ac:dyDescent="0.2">
      <c r="A62" s="325" t="str">
        <f ca="1">HYPERLINK("#"&amp;CELL("address",'3-Pricing Schedule_2'!$A$1),MID(CELL("filename",'3-Pricing Schedule_2'!$A$1),FIND("]",CELL("filename",'3-Pricing Schedule_2'!$A$1))+1,255))</f>
        <v>3-Pricing Schedule_2</v>
      </c>
      <c r="B62" t="str">
        <f>IF('3-Pricing Schedule_2'!$A$1="","", '3-Pricing Schedule_2'!$A$1)</f>
        <v>Price List for Tennis Balls
Variable-Priced Items</v>
      </c>
      <c r="C62" s="323" t="str">
        <f>IF('3-Pricing Schedule_2'!$B$2="","",'3-Pricing Schedule_2'!$B$2)</f>
        <v/>
      </c>
      <c r="D62" s="326" t="str">
        <f>IF('3-Pricing Schedule_2'!$A$2="","",HYPERLINK(Video_website&amp;'3-Pricing Schedule_2'!$A$2, '3-Pricing Schedule_2'!$A$2))</f>
        <v/>
      </c>
      <c r="F62" t="str">
        <f t="shared" ca="1" si="1"/>
        <v/>
      </c>
      <c r="G62" t="s">
        <v>321</v>
      </c>
    </row>
    <row r="63" spans="1:9" hidden="1" x14ac:dyDescent="0.2">
      <c r="A63" s="325" t="str">
        <f ca="1">HYPERLINK("#"&amp;CELL("address",'3-Discount'!$A$1),MID(CELL("filename",'3-Discount'!$A$1),FIND("]",CELL("filename",'3-Discount'!$A$1))+1,255))</f>
        <v>3-Discount</v>
      </c>
      <c r="B63" t="str">
        <f>IF('3-Discount'!$A$1="","", '3-Discount'!$A$1)</f>
        <v>Order Value Discounts</v>
      </c>
      <c r="C63" s="323" t="str">
        <f>IF('3-Discount'!$B$2="","",'3-Discount'!$B$2)</f>
        <v/>
      </c>
      <c r="D63" s="326" t="str">
        <f>IF('3-Discount'!$A$2="","",HYPERLINK(Video_website&amp;'3-Discount'!$A$2, '3-Discount'!$A$2))</f>
        <v/>
      </c>
      <c r="F63" t="str">
        <f t="shared" ca="1" si="1"/>
        <v/>
      </c>
      <c r="G63" t="s">
        <v>321</v>
      </c>
    </row>
    <row r="64" spans="1:9" hidden="1" x14ac:dyDescent="0.2">
      <c r="A64" s="325" t="str">
        <f ca="1">HYPERLINK("#"&amp;CELL("address",'3-Shipping'!$A$1),MID(CELL("filename",'3-Shipping'!$A$1),FIND("]",CELL("filename",'3-Shipping'!$A$1))+1,255))</f>
        <v>3-Shipping</v>
      </c>
      <c r="B64" t="str">
        <f>IF('3-Shipping'!$A$1="","", '3-Shipping'!$A$1)</f>
        <v>Shipping Charges
by Customer Type, Region, and Method</v>
      </c>
      <c r="C64" s="323" t="str">
        <f>IF('3-Shipping'!$B$2="","",'3-Shipping'!$B$2)</f>
        <v/>
      </c>
      <c r="D64" s="326" t="str">
        <f>IF('3-Shipping'!$A$2="","",HYPERLINK(Video_website&amp;'3-Shipping'!$A$2, '3-Shipping'!$A$2))</f>
        <v/>
      </c>
      <c r="F64" t="str">
        <f t="shared" ca="1" si="1"/>
        <v/>
      </c>
      <c r="G64" t="s">
        <v>321</v>
      </c>
    </row>
    <row r="65" spans="1:7" hidden="1" x14ac:dyDescent="0.2">
      <c r="A65" s="325" t="str">
        <f ca="1">HYPERLINK("#"&amp;CELL("address",'3-States'!$A$1),MID(CELL("filename",'3-States'!$A$1),FIND("]",CELL("filename",'3-States'!$A$1))+1,255))</f>
        <v>3-States</v>
      </c>
      <c r="B65" t="str">
        <f>IF('3-States'!$A$1="","", '3-States'!$A$1)</f>
        <v>States Table</v>
      </c>
      <c r="C65" s="323" t="str">
        <f>IF('3-States'!$B$2="","",'3-States'!$B$2)</f>
        <v/>
      </c>
      <c r="D65" s="326" t="str">
        <f>IF('3-States'!$A$2="","",HYPERLINK(Video_website&amp;'3-States'!$A$2, '3-States'!$A$2))</f>
        <v/>
      </c>
      <c r="F65" t="str">
        <f t="shared" ca="1" si="1"/>
        <v/>
      </c>
      <c r="G65" t="s">
        <v>321</v>
      </c>
    </row>
    <row r="66" spans="1:7" x14ac:dyDescent="0.2">
      <c r="B66"/>
      <c r="C66" s="323"/>
    </row>
    <row r="67" spans="1:7" x14ac:dyDescent="0.2">
      <c r="B67"/>
    </row>
    <row r="68" spans="1:7" x14ac:dyDescent="0.2">
      <c r="B68"/>
    </row>
    <row r="69" spans="1:7" x14ac:dyDescent="0.2">
      <c r="B69"/>
    </row>
    <row r="70" spans="1:7" x14ac:dyDescent="0.2">
      <c r="B70"/>
    </row>
    <row r="71" spans="1:7" x14ac:dyDescent="0.2">
      <c r="B71"/>
    </row>
    <row r="72" spans="1:7" x14ac:dyDescent="0.2">
      <c r="B72"/>
    </row>
    <row r="73" spans="1:7" x14ac:dyDescent="0.2">
      <c r="B73"/>
    </row>
    <row r="74" spans="1:7" x14ac:dyDescent="0.2">
      <c r="B74"/>
    </row>
    <row r="75" spans="1:7" x14ac:dyDescent="0.2">
      <c r="B75"/>
    </row>
    <row r="76" spans="1:7" x14ac:dyDescent="0.2">
      <c r="B76"/>
    </row>
    <row r="77" spans="1:7" x14ac:dyDescent="0.2">
      <c r="B77"/>
    </row>
    <row r="78" spans="1:7" x14ac:dyDescent="0.2">
      <c r="B78"/>
    </row>
    <row r="79" spans="1:7" x14ac:dyDescent="0.2">
      <c r="B79"/>
    </row>
    <row r="80" spans="1:7" x14ac:dyDescent="0.2">
      <c r="B80"/>
    </row>
    <row r="81" spans="2:2" x14ac:dyDescent="0.2">
      <c r="B81"/>
    </row>
  </sheetData>
  <autoFilter ref="A10:I66" xr:uid="{00000000-0001-0000-0000-000000000000}">
    <filterColumn colId="6">
      <filters blank="1"/>
    </filterColumn>
  </autoFilter>
  <phoneticPr fontId="2"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FBCB7-E33B-4F58-8B97-69807DBEFF49}">
  <sheetPr codeName="Sheet42">
    <pageSetUpPr autoPageBreaks="0"/>
  </sheetPr>
  <dimension ref="A1:A12"/>
  <sheetViews>
    <sheetView zoomScale="160" zoomScaleNormal="160" workbookViewId="0">
      <selection activeCell="B6" sqref="B6"/>
    </sheetView>
  </sheetViews>
  <sheetFormatPr defaultRowHeight="12.75" x14ac:dyDescent="0.2"/>
  <cols>
    <col min="1" max="16384" width="9.140625" style="287"/>
  </cols>
  <sheetData>
    <row r="1" spans="1:1" s="308" customFormat="1" ht="18" x14ac:dyDescent="0.25">
      <c r="A1" s="307" t="s">
        <v>343</v>
      </c>
    </row>
    <row r="2" spans="1:1" s="300" customFormat="1" hidden="1" x14ac:dyDescent="0.2"/>
    <row r="3" spans="1:1" x14ac:dyDescent="0.2">
      <c r="A3" s="288" t="str">
        <f>IF(A2="","",IF(Disable_Video_Hyperlinks,A2,HYPERLINK(Video_website&amp;A2,A2)))</f>
        <v/>
      </c>
    </row>
    <row r="4" spans="1:1" x14ac:dyDescent="0.2">
      <c r="A4" s="305" t="str">
        <f>IF(B2="","",B2)</f>
        <v/>
      </c>
    </row>
    <row r="6" spans="1:1" x14ac:dyDescent="0.2">
      <c r="A6" s="287" t="s">
        <v>344</v>
      </c>
    </row>
    <row r="7" spans="1:1" x14ac:dyDescent="0.2">
      <c r="A7" s="287" t="s">
        <v>345</v>
      </c>
    </row>
    <row r="8" spans="1:1" x14ac:dyDescent="0.2">
      <c r="A8" s="287" t="s">
        <v>276</v>
      </c>
    </row>
    <row r="9" spans="1:1" x14ac:dyDescent="0.2">
      <c r="A9" s="287" t="s">
        <v>346</v>
      </c>
    </row>
    <row r="10" spans="1:1" x14ac:dyDescent="0.2">
      <c r="A10" s="287" t="s">
        <v>347</v>
      </c>
    </row>
    <row r="11" spans="1:1" x14ac:dyDescent="0.2">
      <c r="A11" s="287" t="s">
        <v>280</v>
      </c>
    </row>
    <row r="12" spans="1:1" x14ac:dyDescent="0.2">
      <c r="A12" s="287" t="s">
        <v>202</v>
      </c>
    </row>
  </sheetData>
  <pageMargins left="0.75" right="0.75" top="1" bottom="1" header="0.5" footer="0.5"/>
  <pageSetup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05B5A-64DE-4D4A-879A-CDE351DFE57D}">
  <sheetPr codeName="Sheet40">
    <pageSetUpPr autoPageBreaks="0"/>
  </sheetPr>
  <dimension ref="A1:K9"/>
  <sheetViews>
    <sheetView zoomScale="160" zoomScaleNormal="160" workbookViewId="0">
      <selection activeCell="B6" sqref="B6"/>
    </sheetView>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1" s="310" customFormat="1" ht="18" x14ac:dyDescent="0.25">
      <c r="A1" s="265" t="s">
        <v>315</v>
      </c>
      <c r="B1" s="309"/>
      <c r="C1" s="309"/>
      <c r="D1" s="309"/>
      <c r="E1" s="309"/>
      <c r="F1" s="309"/>
      <c r="G1" s="309"/>
      <c r="H1" s="309"/>
      <c r="I1" s="309"/>
      <c r="J1" s="309"/>
      <c r="K1" s="309"/>
    </row>
    <row r="2" spans="1:11" s="304" customFormat="1" ht="18" hidden="1" x14ac:dyDescent="0.25">
      <c r="A2" s="299" t="s">
        <v>332</v>
      </c>
      <c r="B2" s="306">
        <v>1.8750000000000001E-3</v>
      </c>
      <c r="C2" s="303"/>
      <c r="D2" s="302"/>
      <c r="E2" s="303"/>
      <c r="F2" s="302"/>
      <c r="G2" s="303"/>
      <c r="H2" s="302"/>
      <c r="I2" s="302"/>
      <c r="J2" s="302"/>
      <c r="K2" s="302"/>
    </row>
    <row r="3" spans="1:11" s="91" customFormat="1" collapsed="1" x14ac:dyDescent="0.2">
      <c r="A3" s="274" t="str">
        <f>IF(A2="","",IF(Disable_Video_Hyperlinks,A2,HYPERLINK(Video_website&amp;A2,A2)))</f>
        <v>UNC_DAYT_EXCEL_3.2.1_LECTURE_NESTED_IF_&amp;_IFS_VS_VLOOKUP.mp4</v>
      </c>
      <c r="B3" s="275"/>
      <c r="C3" s="279"/>
      <c r="D3" s="275"/>
      <c r="E3" s="279"/>
      <c r="F3" s="275"/>
      <c r="G3" s="279"/>
      <c r="H3" s="275"/>
      <c r="I3" s="275"/>
      <c r="J3" s="275"/>
      <c r="K3" s="275"/>
    </row>
    <row r="4" spans="1:11" s="91" customFormat="1" x14ac:dyDescent="0.2">
      <c r="A4" s="305">
        <f>IF(B2="","",B2)</f>
        <v>1.8750000000000001E-3</v>
      </c>
      <c r="B4" s="275"/>
      <c r="C4" s="279"/>
      <c r="D4" s="275"/>
      <c r="E4" s="279"/>
      <c r="F4" s="275"/>
      <c r="G4" s="279"/>
      <c r="H4" s="275"/>
      <c r="I4" s="275"/>
      <c r="J4" s="275"/>
      <c r="K4" s="275"/>
    </row>
    <row r="5" spans="1:11" x14ac:dyDescent="0.2">
      <c r="A5" s="91"/>
    </row>
    <row r="9" spans="1:11" ht="12.75" customHeight="1" x14ac:dyDescent="0.2"/>
  </sheetData>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autoPageBreaks="0"/>
  </sheetPr>
  <dimension ref="A1:J29"/>
  <sheetViews>
    <sheetView zoomScale="160" zoomScaleNormal="160" workbookViewId="0">
      <selection activeCell="B6" sqref="B6"/>
    </sheetView>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0" s="310" customFormat="1" ht="18" x14ac:dyDescent="0.25">
      <c r="A1" s="265" t="s">
        <v>229</v>
      </c>
      <c r="B1" s="309"/>
      <c r="C1" s="309"/>
      <c r="D1" s="309"/>
      <c r="E1" s="309"/>
      <c r="F1" s="309"/>
      <c r="G1" s="309"/>
      <c r="H1" s="309"/>
      <c r="I1" s="309"/>
      <c r="J1" s="309"/>
    </row>
    <row r="2" spans="1:10" s="130" customFormat="1" hidden="1" x14ac:dyDescent="0.2"/>
    <row r="3" spans="1:10" x14ac:dyDescent="0.2">
      <c r="A3" s="91" t="str">
        <f>IF(A2="","",IF(Disable_Video_Hyperlinks,A2,HYPERLINK(Video_website&amp;A2,A2)))</f>
        <v/>
      </c>
    </row>
    <row r="4" spans="1:10" x14ac:dyDescent="0.2">
      <c r="A4" s="305" t="str">
        <f>IF(B2="","",B2)</f>
        <v/>
      </c>
    </row>
    <row r="5" spans="1:10" x14ac:dyDescent="0.2">
      <c r="A5" s="91"/>
    </row>
    <row r="6" spans="1:10" x14ac:dyDescent="0.2">
      <c r="A6" s="117" t="s">
        <v>0</v>
      </c>
      <c r="B6" s="118"/>
      <c r="C6" s="118"/>
      <c r="D6" s="118"/>
      <c r="E6" s="118"/>
      <c r="F6" s="118"/>
      <c r="G6" s="118"/>
      <c r="H6" s="118"/>
      <c r="I6" s="118"/>
      <c r="J6" s="118"/>
    </row>
    <row r="7" spans="1:10" ht="21" customHeight="1" x14ac:dyDescent="0.2">
      <c r="A7" s="117" t="s">
        <v>1</v>
      </c>
      <c r="B7" s="118"/>
      <c r="C7" s="118"/>
      <c r="D7" s="118"/>
      <c r="E7" s="118"/>
      <c r="F7" s="118"/>
      <c r="G7" s="118"/>
      <c r="H7" s="118"/>
      <c r="I7" s="118"/>
      <c r="J7" s="118"/>
    </row>
    <row r="9" spans="1:10" ht="12.75" customHeight="1" x14ac:dyDescent="0.2">
      <c r="D9" s="121" t="s">
        <v>3</v>
      </c>
      <c r="E9" s="121"/>
    </row>
    <row r="10" spans="1:10" ht="13.5" thickBot="1" x14ac:dyDescent="0.25">
      <c r="D10" s="137" t="s">
        <v>6</v>
      </c>
      <c r="E10" s="138" t="s">
        <v>5</v>
      </c>
    </row>
    <row r="11" spans="1:10" x14ac:dyDescent="0.2">
      <c r="D11" s="131" t="s">
        <v>8</v>
      </c>
      <c r="E11" s="132">
        <v>0.25</v>
      </c>
    </row>
    <row r="12" spans="1:10" x14ac:dyDescent="0.2">
      <c r="D12" s="133" t="s">
        <v>10</v>
      </c>
      <c r="E12" s="134">
        <v>0.2</v>
      </c>
    </row>
    <row r="13" spans="1:10" x14ac:dyDescent="0.2">
      <c r="D13" s="133" t="s">
        <v>12</v>
      </c>
      <c r="E13" s="134">
        <v>0.15</v>
      </c>
    </row>
    <row r="14" spans="1:10" ht="13.5" thickBot="1" x14ac:dyDescent="0.25">
      <c r="D14" s="135" t="s">
        <v>14</v>
      </c>
      <c r="E14" s="136">
        <v>0</v>
      </c>
    </row>
    <row r="17" spans="1:10" s="103" customFormat="1" ht="39" thickBot="1" x14ac:dyDescent="0.25">
      <c r="A17" s="119" t="s">
        <v>15</v>
      </c>
      <c r="B17" s="119" t="s">
        <v>16</v>
      </c>
      <c r="C17" s="119" t="s">
        <v>237</v>
      </c>
      <c r="D17" s="119" t="s">
        <v>18</v>
      </c>
      <c r="E17" s="120" t="s">
        <v>19</v>
      </c>
      <c r="F17" s="120" t="s">
        <v>20</v>
      </c>
      <c r="G17" s="120" t="s">
        <v>238</v>
      </c>
      <c r="H17" s="120" t="s">
        <v>22</v>
      </c>
      <c r="I17" s="120" t="s">
        <v>7</v>
      </c>
      <c r="J17" s="120" t="s">
        <v>23</v>
      </c>
    </row>
    <row r="18" spans="1:10" ht="13.5" thickBot="1" x14ac:dyDescent="0.25">
      <c r="A18" s="127">
        <v>1</v>
      </c>
      <c r="B18" s="128" t="s">
        <v>24</v>
      </c>
      <c r="C18" s="129" t="s">
        <v>10</v>
      </c>
      <c r="D18" s="127">
        <v>240</v>
      </c>
      <c r="E18" s="124"/>
      <c r="F18" s="124"/>
      <c r="G18" s="125">
        <f t="shared" ref="G18:G23" si="0">IF(C18=$D$11,$E$11,IF(C18=$D$12,$E$12,IF(C18=$D$13,$E$13,IF(C18=$D$14,$E$14,"#N/A"))))</f>
        <v>0.2</v>
      </c>
      <c r="H18" s="124"/>
      <c r="I18" s="124"/>
      <c r="J18" s="124"/>
    </row>
    <row r="19" spans="1:10" x14ac:dyDescent="0.2">
      <c r="A19" s="127">
        <v>2</v>
      </c>
      <c r="B19" s="128" t="s">
        <v>25</v>
      </c>
      <c r="C19" s="128" t="s">
        <v>10</v>
      </c>
      <c r="D19" s="127">
        <v>30</v>
      </c>
      <c r="E19" s="124"/>
      <c r="F19" s="124"/>
      <c r="G19" s="126">
        <f t="shared" si="0"/>
        <v>0.2</v>
      </c>
      <c r="H19" s="124"/>
      <c r="I19" s="124"/>
      <c r="J19" s="124"/>
    </row>
    <row r="20" spans="1:10" x14ac:dyDescent="0.2">
      <c r="A20" s="127">
        <v>3</v>
      </c>
      <c r="B20" s="128" t="s">
        <v>26</v>
      </c>
      <c r="C20" s="128" t="s">
        <v>12</v>
      </c>
      <c r="D20" s="127">
        <v>160</v>
      </c>
      <c r="E20" s="124"/>
      <c r="F20" s="124"/>
      <c r="G20" s="126">
        <f t="shared" si="0"/>
        <v>0.15</v>
      </c>
      <c r="H20" s="124"/>
      <c r="I20" s="124"/>
      <c r="J20" s="124"/>
    </row>
    <row r="21" spans="1:10" x14ac:dyDescent="0.2">
      <c r="A21" s="127">
        <v>4</v>
      </c>
      <c r="B21" s="128" t="s">
        <v>27</v>
      </c>
      <c r="C21" s="128" t="s">
        <v>8</v>
      </c>
      <c r="D21" s="127">
        <v>215</v>
      </c>
      <c r="E21" s="124"/>
      <c r="F21" s="124"/>
      <c r="G21" s="126">
        <f t="shared" si="0"/>
        <v>0.25</v>
      </c>
      <c r="H21" s="124"/>
      <c r="I21" s="124"/>
      <c r="J21" s="124"/>
    </row>
    <row r="22" spans="1:10" x14ac:dyDescent="0.2">
      <c r="A22" s="127">
        <v>5</v>
      </c>
      <c r="B22" s="128" t="s">
        <v>28</v>
      </c>
      <c r="C22" s="128" t="s">
        <v>8</v>
      </c>
      <c r="D22" s="127">
        <v>90</v>
      </c>
      <c r="E22" s="124"/>
      <c r="F22" s="124"/>
      <c r="G22" s="126">
        <f t="shared" si="0"/>
        <v>0.25</v>
      </c>
      <c r="H22" s="124"/>
      <c r="I22" s="124"/>
      <c r="J22" s="124"/>
    </row>
    <row r="23" spans="1:10" x14ac:dyDescent="0.2">
      <c r="A23" s="127">
        <v>6</v>
      </c>
      <c r="B23" s="128" t="s">
        <v>29</v>
      </c>
      <c r="C23" s="128" t="s">
        <v>14</v>
      </c>
      <c r="D23" s="127">
        <v>15</v>
      </c>
      <c r="E23" s="124"/>
      <c r="F23" s="124"/>
      <c r="G23" s="126">
        <f t="shared" si="0"/>
        <v>0</v>
      </c>
      <c r="H23" s="124"/>
      <c r="I23" s="124"/>
      <c r="J23" s="124"/>
    </row>
    <row r="24" spans="1:10" s="99" customFormat="1" x14ac:dyDescent="0.2"/>
    <row r="29" spans="1:10" x14ac:dyDescent="0.2">
      <c r="F29" s="130"/>
    </row>
  </sheetData>
  <pageMargins left="0.75" right="0.75" top="1" bottom="1" header="0.5" footer="0.5"/>
  <pageSetup orientation="portrait"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079F0-C2BB-45EF-9726-F266EB5AD7D3}">
  <sheetPr codeName="Sheet49">
    <pageSetUpPr autoPageBreaks="0"/>
  </sheetPr>
  <dimension ref="A1:J29"/>
  <sheetViews>
    <sheetView zoomScale="160" zoomScaleNormal="160" workbookViewId="0">
      <selection activeCell="B6" sqref="B6"/>
    </sheetView>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0" s="310" customFormat="1" ht="18" x14ac:dyDescent="0.25">
      <c r="A1" s="265" t="s">
        <v>229</v>
      </c>
      <c r="B1" s="309"/>
      <c r="C1" s="309"/>
      <c r="D1" s="309"/>
      <c r="E1" s="309"/>
      <c r="F1" s="309"/>
      <c r="G1" s="309"/>
      <c r="H1" s="309"/>
      <c r="I1" s="309"/>
      <c r="J1" s="309"/>
    </row>
    <row r="2" spans="1:10" s="130" customFormat="1" hidden="1" x14ac:dyDescent="0.2"/>
    <row r="3" spans="1:10" x14ac:dyDescent="0.2">
      <c r="A3" s="91" t="str">
        <f>IF(A2="","",IF(Disable_Video_Hyperlinks,A2,HYPERLINK(Video_website&amp;A2,A2)))</f>
        <v/>
      </c>
    </row>
    <row r="4" spans="1:10" x14ac:dyDescent="0.2">
      <c r="A4" s="305" t="str">
        <f>IF(B2="","",B2)</f>
        <v/>
      </c>
    </row>
    <row r="5" spans="1:10" x14ac:dyDescent="0.2">
      <c r="A5" s="91"/>
    </row>
    <row r="6" spans="1:10" x14ac:dyDescent="0.2">
      <c r="A6" s="117" t="s">
        <v>0</v>
      </c>
      <c r="B6" s="118"/>
      <c r="C6" s="118"/>
      <c r="D6" s="118"/>
      <c r="E6" s="118"/>
      <c r="F6" s="118"/>
      <c r="G6" s="118"/>
      <c r="H6" s="118"/>
      <c r="I6" s="118"/>
      <c r="J6" s="118"/>
    </row>
    <row r="7" spans="1:10" ht="21" customHeight="1" x14ac:dyDescent="0.2">
      <c r="A7" s="117" t="s">
        <v>1</v>
      </c>
      <c r="B7" s="118"/>
      <c r="C7" s="118"/>
      <c r="D7" s="118"/>
      <c r="E7" s="118"/>
      <c r="F7" s="118"/>
      <c r="G7" s="118"/>
      <c r="H7" s="118"/>
      <c r="I7" s="118"/>
      <c r="J7" s="118"/>
    </row>
    <row r="9" spans="1:10" ht="12.75" customHeight="1" x14ac:dyDescent="0.2">
      <c r="D9" s="121" t="s">
        <v>3</v>
      </c>
      <c r="E9" s="121"/>
    </row>
    <row r="10" spans="1:10" ht="13.5" thickBot="1" x14ac:dyDescent="0.25">
      <c r="D10" s="137" t="s">
        <v>6</v>
      </c>
      <c r="E10" s="138" t="s">
        <v>5</v>
      </c>
    </row>
    <row r="11" spans="1:10" x14ac:dyDescent="0.2">
      <c r="D11" s="131" t="s">
        <v>8</v>
      </c>
      <c r="E11" s="132">
        <v>0.25</v>
      </c>
    </row>
    <row r="12" spans="1:10" x14ac:dyDescent="0.2">
      <c r="D12" s="133" t="s">
        <v>10</v>
      </c>
      <c r="E12" s="134">
        <v>0.2</v>
      </c>
    </row>
    <row r="13" spans="1:10" x14ac:dyDescent="0.2">
      <c r="D13" s="133" t="s">
        <v>12</v>
      </c>
      <c r="E13" s="134">
        <v>0.15</v>
      </c>
    </row>
    <row r="14" spans="1:10" ht="13.5" thickBot="1" x14ac:dyDescent="0.25">
      <c r="D14" s="135" t="s">
        <v>14</v>
      </c>
      <c r="E14" s="136">
        <v>0</v>
      </c>
    </row>
    <row r="17" spans="1:10" s="103" customFormat="1" ht="39" thickBot="1" x14ac:dyDescent="0.25">
      <c r="A17" s="119" t="s">
        <v>15</v>
      </c>
      <c r="B17" s="119" t="s">
        <v>16</v>
      </c>
      <c r="C17" s="119" t="s">
        <v>237</v>
      </c>
      <c r="D17" s="119" t="s">
        <v>18</v>
      </c>
      <c r="E17" s="120" t="s">
        <v>19</v>
      </c>
      <c r="F17" s="120" t="s">
        <v>20</v>
      </c>
      <c r="G17" s="120" t="s">
        <v>238</v>
      </c>
      <c r="H17" s="120" t="s">
        <v>22</v>
      </c>
      <c r="I17" s="120" t="s">
        <v>7</v>
      </c>
      <c r="J17" s="120" t="s">
        <v>23</v>
      </c>
    </row>
    <row r="18" spans="1:10" ht="13.5" thickBot="1" x14ac:dyDescent="0.25">
      <c r="A18" s="127">
        <v>1</v>
      </c>
      <c r="B18" s="128" t="s">
        <v>24</v>
      </c>
      <c r="C18" s="129" t="s">
        <v>10</v>
      </c>
      <c r="D18" s="127">
        <v>240</v>
      </c>
      <c r="E18" s="124"/>
      <c r="F18" s="124"/>
      <c r="G18" s="125" cm="1">
        <f t="array" ref="G18">_xlfn.IFS(C18=$D$11,$E$11,C18=$D$12,$E$12,C18=$D$13,$E$13,C18=$D$14,$E$14,TRUE,"#N/A")</f>
        <v>0.2</v>
      </c>
      <c r="H18" s="124"/>
      <c r="I18" s="124"/>
      <c r="J18" s="124"/>
    </row>
    <row r="19" spans="1:10" x14ac:dyDescent="0.2">
      <c r="A19" s="127">
        <v>2</v>
      </c>
      <c r="B19" s="128" t="s">
        <v>25</v>
      </c>
      <c r="C19" s="128" t="s">
        <v>10</v>
      </c>
      <c r="D19" s="127">
        <v>30</v>
      </c>
      <c r="E19" s="124"/>
      <c r="F19" s="124"/>
      <c r="G19" s="126" cm="1">
        <f t="array" ref="G19">_xlfn.IFS(C19=$D$11,$E$11,C19=$D$12,$E$12,C19=$D$13,$E$13,C19=$D$14,$E$14,TRUE,"#N/A")</f>
        <v>0.2</v>
      </c>
      <c r="H19" s="124"/>
      <c r="I19" s="124"/>
      <c r="J19" s="124"/>
    </row>
    <row r="20" spans="1:10" x14ac:dyDescent="0.2">
      <c r="A20" s="127">
        <v>3</v>
      </c>
      <c r="B20" s="128" t="s">
        <v>26</v>
      </c>
      <c r="C20" s="128" t="s">
        <v>12</v>
      </c>
      <c r="D20" s="127">
        <v>160</v>
      </c>
      <c r="E20" s="124"/>
      <c r="F20" s="124"/>
      <c r="G20" s="126" cm="1">
        <f t="array" ref="G20">_xlfn.IFS(C20=$D$11,$E$11,C20=$D$12,$E$12,C20=$D$13,$E$13,C20=$D$14,$E$14,TRUE,"#N/A")</f>
        <v>0.15</v>
      </c>
      <c r="H20" s="124"/>
      <c r="I20" s="124"/>
      <c r="J20" s="124"/>
    </row>
    <row r="21" spans="1:10" x14ac:dyDescent="0.2">
      <c r="A21" s="127">
        <v>4</v>
      </c>
      <c r="B21" s="128" t="s">
        <v>27</v>
      </c>
      <c r="C21" s="128" t="s">
        <v>8</v>
      </c>
      <c r="D21" s="127">
        <v>215</v>
      </c>
      <c r="E21" s="124"/>
      <c r="F21" s="124"/>
      <c r="G21" s="126" cm="1">
        <f t="array" ref="G21">_xlfn.IFS(C21=$D$11,$E$11,C21=$D$12,$E$12,C21=$D$13,$E$13,C21=$D$14,$E$14,TRUE,"#N/A")</f>
        <v>0.25</v>
      </c>
      <c r="H21" s="124"/>
      <c r="I21" s="124"/>
      <c r="J21" s="124"/>
    </row>
    <row r="22" spans="1:10" x14ac:dyDescent="0.2">
      <c r="A22" s="127">
        <v>5</v>
      </c>
      <c r="B22" s="128" t="s">
        <v>28</v>
      </c>
      <c r="C22" s="128" t="s">
        <v>8</v>
      </c>
      <c r="D22" s="127">
        <v>90</v>
      </c>
      <c r="E22" s="124"/>
      <c r="F22" s="124"/>
      <c r="G22" s="126" cm="1">
        <f t="array" ref="G22">_xlfn.IFS(C22=$D$11,$E$11,C22=$D$12,$E$12,C22=$D$13,$E$13,C22=$D$14,$E$14,TRUE,"#N/A")</f>
        <v>0.25</v>
      </c>
      <c r="H22" s="124"/>
      <c r="I22" s="124"/>
      <c r="J22" s="124"/>
    </row>
    <row r="23" spans="1:10" x14ac:dyDescent="0.2">
      <c r="A23" s="127">
        <v>6</v>
      </c>
      <c r="B23" s="128" t="s">
        <v>29</v>
      </c>
      <c r="C23" s="128" t="s">
        <v>14</v>
      </c>
      <c r="D23" s="127">
        <v>15</v>
      </c>
      <c r="E23" s="124"/>
      <c r="F23" s="124"/>
      <c r="G23" s="126" cm="1">
        <f t="array" ref="G23">_xlfn.IFS(C23=$D$11,$E$11,C23=$D$12,$E$12,C23=$D$13,$E$13,C23=$D$14,$E$14,TRUE,"#N/A")</f>
        <v>0</v>
      </c>
      <c r="H23" s="124"/>
      <c r="I23" s="124"/>
      <c r="J23" s="124"/>
    </row>
    <row r="24" spans="1:10" s="99" customFormat="1" x14ac:dyDescent="0.2"/>
    <row r="29" spans="1:10" x14ac:dyDescent="0.2">
      <c r="F29" s="130"/>
    </row>
  </sheetData>
  <pageMargins left="0.75" right="0.75" top="1" bottom="1" header="0.5" footer="0.5"/>
  <pageSetup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5">
    <pageSetUpPr autoPageBreaks="0"/>
  </sheetPr>
  <dimension ref="A1:J24"/>
  <sheetViews>
    <sheetView zoomScale="160" zoomScaleNormal="160" workbookViewId="0">
      <selection activeCell="B6" sqref="B6"/>
    </sheetView>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0" s="310" customFormat="1" ht="18" x14ac:dyDescent="0.25">
      <c r="A1" s="265" t="s">
        <v>230</v>
      </c>
      <c r="B1" s="309"/>
      <c r="C1" s="309"/>
      <c r="D1" s="309"/>
      <c r="E1" s="309"/>
      <c r="F1" s="309"/>
      <c r="G1" s="309"/>
      <c r="H1" s="309"/>
      <c r="I1" s="309"/>
      <c r="J1" s="309"/>
    </row>
    <row r="2" spans="1:10" s="130" customFormat="1" hidden="1" x14ac:dyDescent="0.2"/>
    <row r="3" spans="1:10" x14ac:dyDescent="0.2">
      <c r="A3" s="91" t="str">
        <f>IF(A2="","",IF(Disable_Video_Hyperlinks,A2,HYPERLINK(Video_website&amp;A2,A2)))</f>
        <v/>
      </c>
    </row>
    <row r="4" spans="1:10" x14ac:dyDescent="0.2">
      <c r="A4" s="305" t="str">
        <f>IF(B2="","",B2)</f>
        <v/>
      </c>
    </row>
    <row r="5" spans="1:10" x14ac:dyDescent="0.2">
      <c r="A5" s="91"/>
    </row>
    <row r="6" spans="1:10" x14ac:dyDescent="0.2">
      <c r="A6" s="117" t="s">
        <v>0</v>
      </c>
      <c r="B6" s="118"/>
      <c r="C6" s="118"/>
      <c r="D6" s="118"/>
      <c r="E6" s="118"/>
      <c r="F6" s="118"/>
      <c r="G6" s="118"/>
      <c r="H6" s="118"/>
      <c r="I6" s="118"/>
      <c r="J6" s="118"/>
    </row>
    <row r="7" spans="1:10" ht="21" customHeight="1" x14ac:dyDescent="0.2">
      <c r="A7" s="117" t="s">
        <v>1</v>
      </c>
      <c r="B7" s="118"/>
      <c r="C7" s="118"/>
      <c r="D7" s="118"/>
      <c r="E7" s="118"/>
      <c r="F7" s="118"/>
      <c r="G7" s="118"/>
      <c r="H7" s="118"/>
      <c r="I7" s="118"/>
      <c r="J7" s="118"/>
    </row>
    <row r="9" spans="1:10" ht="12.75" customHeight="1" x14ac:dyDescent="0.2">
      <c r="A9" s="160" t="s">
        <v>2</v>
      </c>
      <c r="B9" s="160"/>
      <c r="C9" s="171"/>
    </row>
    <row r="10" spans="1:10" x14ac:dyDescent="0.2">
      <c r="A10" s="114" t="s">
        <v>4</v>
      </c>
      <c r="B10" s="114"/>
      <c r="C10" s="122" t="s">
        <v>5</v>
      </c>
    </row>
    <row r="11" spans="1:10" x14ac:dyDescent="0.2">
      <c r="A11" s="139">
        <v>0</v>
      </c>
      <c r="B11" s="289">
        <f>A12-1</f>
        <v>59</v>
      </c>
      <c r="C11" s="140">
        <v>2.4500000000000002</v>
      </c>
    </row>
    <row r="12" spans="1:10" x14ac:dyDescent="0.2">
      <c r="A12" s="139">
        <v>60</v>
      </c>
      <c r="B12" s="289">
        <f>A13-1</f>
        <v>119</v>
      </c>
      <c r="C12" s="141">
        <v>2.27</v>
      </c>
    </row>
    <row r="13" spans="1:10" x14ac:dyDescent="0.2">
      <c r="A13" s="139">
        <v>120</v>
      </c>
      <c r="B13" s="289">
        <f>A14-1</f>
        <v>239</v>
      </c>
      <c r="C13" s="141">
        <v>2.12</v>
      </c>
    </row>
    <row r="14" spans="1:10" x14ac:dyDescent="0.2">
      <c r="A14" s="139">
        <v>240</v>
      </c>
      <c r="B14" s="290" t="s">
        <v>231</v>
      </c>
      <c r="C14" s="141">
        <v>2</v>
      </c>
    </row>
    <row r="17" spans="1:10" ht="38.25" x14ac:dyDescent="0.2">
      <c r="A17" s="119" t="s">
        <v>15</v>
      </c>
      <c r="B17" s="119" t="s">
        <v>16</v>
      </c>
      <c r="C17" s="119" t="s">
        <v>237</v>
      </c>
      <c r="D17" s="119" t="s">
        <v>18</v>
      </c>
      <c r="E17" s="120" t="s">
        <v>19</v>
      </c>
      <c r="F17" s="120" t="s">
        <v>20</v>
      </c>
      <c r="G17" s="120" t="s">
        <v>238</v>
      </c>
      <c r="H17" s="120" t="s">
        <v>22</v>
      </c>
      <c r="I17" s="120" t="s">
        <v>7</v>
      </c>
      <c r="J17" s="120" t="s">
        <v>23</v>
      </c>
    </row>
    <row r="18" spans="1:10" x14ac:dyDescent="0.2">
      <c r="A18" s="127">
        <v>1</v>
      </c>
      <c r="B18" s="128" t="s">
        <v>24</v>
      </c>
      <c r="C18" s="128" t="s">
        <v>10</v>
      </c>
      <c r="D18" s="127">
        <v>240</v>
      </c>
      <c r="E18" s="123">
        <f>IF(AND(D18&gt;=$A$11,D18&lt;$A$12),$C$11,IF(AND(D18&gt;=$A$12,D18&lt;$A$13),$C$12,IF(AND(D18&gt;=$A$13,D18&lt;$A$14),$C$13,IF(D18&gt;=A14,$C$14,"N/A"))))</f>
        <v>2</v>
      </c>
      <c r="F18" s="123"/>
      <c r="G18" s="123"/>
      <c r="H18" s="123"/>
      <c r="I18" s="123"/>
      <c r="J18" s="123"/>
    </row>
    <row r="19" spans="1:10" x14ac:dyDescent="0.2">
      <c r="A19" s="127">
        <v>2</v>
      </c>
      <c r="B19" s="128" t="s">
        <v>25</v>
      </c>
      <c r="C19" s="128" t="s">
        <v>10</v>
      </c>
      <c r="D19" s="127">
        <v>30</v>
      </c>
      <c r="E19" s="142">
        <f t="shared" ref="E19:E23" si="0">IF(AND(D19&gt;=$A$11,D19&lt;$A$12),$C$11,IF(AND(D19&gt;=$A$12,D19&lt;$A$13),$C$12,IF(AND(D19&gt;=$A$13,D19&lt;$A$14),$C$13,IF(D19&gt;=A15,$C$14,"N/A"))))</f>
        <v>2.4500000000000002</v>
      </c>
      <c r="F19" s="123"/>
      <c r="G19" s="123"/>
      <c r="H19" s="123"/>
      <c r="I19" s="123"/>
      <c r="J19" s="123"/>
    </row>
    <row r="20" spans="1:10" x14ac:dyDescent="0.2">
      <c r="A20" s="127">
        <v>3</v>
      </c>
      <c r="B20" s="128" t="s">
        <v>26</v>
      </c>
      <c r="C20" s="128" t="s">
        <v>12</v>
      </c>
      <c r="D20" s="127">
        <v>160</v>
      </c>
      <c r="E20" s="142">
        <f t="shared" si="0"/>
        <v>2.12</v>
      </c>
      <c r="F20" s="123"/>
      <c r="G20" s="123"/>
      <c r="H20" s="123"/>
      <c r="I20" s="123"/>
      <c r="J20" s="123"/>
    </row>
    <row r="21" spans="1:10" x14ac:dyDescent="0.2">
      <c r="A21" s="127">
        <v>4</v>
      </c>
      <c r="B21" s="128" t="s">
        <v>27</v>
      </c>
      <c r="C21" s="128" t="s">
        <v>8</v>
      </c>
      <c r="D21" s="127">
        <v>215</v>
      </c>
      <c r="E21" s="142">
        <f t="shared" si="0"/>
        <v>2.12</v>
      </c>
      <c r="F21" s="123"/>
      <c r="G21" s="123"/>
      <c r="H21" s="123"/>
      <c r="I21" s="123"/>
      <c r="J21" s="123"/>
    </row>
    <row r="22" spans="1:10" x14ac:dyDescent="0.2">
      <c r="A22" s="127">
        <v>5</v>
      </c>
      <c r="B22" s="128" t="s">
        <v>28</v>
      </c>
      <c r="C22" s="128" t="s">
        <v>8</v>
      </c>
      <c r="D22" s="127">
        <v>90</v>
      </c>
      <c r="E22" s="142">
        <f t="shared" si="0"/>
        <v>2.27</v>
      </c>
      <c r="F22" s="123"/>
      <c r="G22" s="123"/>
      <c r="H22" s="123"/>
      <c r="I22" s="123"/>
      <c r="J22" s="123"/>
    </row>
    <row r="23" spans="1:10" x14ac:dyDescent="0.2">
      <c r="A23" s="127">
        <v>6</v>
      </c>
      <c r="B23" s="128" t="s">
        <v>29</v>
      </c>
      <c r="C23" s="128" t="s">
        <v>14</v>
      </c>
      <c r="D23" s="127">
        <v>15</v>
      </c>
      <c r="E23" s="142">
        <f t="shared" si="0"/>
        <v>2.4500000000000002</v>
      </c>
      <c r="F23" s="123"/>
      <c r="G23" s="123"/>
      <c r="H23" s="123"/>
      <c r="I23" s="123"/>
      <c r="J23" s="123"/>
    </row>
    <row r="24" spans="1:10" s="99" customFormat="1" x14ac:dyDescent="0.2"/>
  </sheetData>
  <pageMargins left="0.75" right="0.75" top="1" bottom="1" header="0.5" footer="0.5"/>
  <pageSetup orientation="portrait" horizontalDpi="300" verticalDpi="3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58A21-C2AA-4EED-AEC2-C244B3378FFE}">
  <sheetPr codeName="Sheet50">
    <pageSetUpPr autoPageBreaks="0"/>
  </sheetPr>
  <dimension ref="A1:J24"/>
  <sheetViews>
    <sheetView zoomScale="160" zoomScaleNormal="160" workbookViewId="0">
      <selection activeCell="B6" sqref="B6"/>
    </sheetView>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0" s="310" customFormat="1" ht="18" x14ac:dyDescent="0.25">
      <c r="A1" s="265" t="s">
        <v>230</v>
      </c>
      <c r="B1" s="309"/>
      <c r="C1" s="309"/>
      <c r="D1" s="309"/>
      <c r="E1" s="309"/>
      <c r="F1" s="309"/>
      <c r="G1" s="309"/>
      <c r="H1" s="309"/>
      <c r="I1" s="309"/>
      <c r="J1" s="309"/>
    </row>
    <row r="2" spans="1:10" s="130" customFormat="1" hidden="1" x14ac:dyDescent="0.2"/>
    <row r="3" spans="1:10" x14ac:dyDescent="0.2">
      <c r="A3" s="91" t="str">
        <f>IF(A2="","",IF(Disable_Video_Hyperlinks,A2,HYPERLINK(Video_website&amp;A2,A2)))</f>
        <v/>
      </c>
    </row>
    <row r="4" spans="1:10" x14ac:dyDescent="0.2">
      <c r="A4" s="305" t="str">
        <f>IF(B2="","",B2)</f>
        <v/>
      </c>
    </row>
    <row r="5" spans="1:10" x14ac:dyDescent="0.2">
      <c r="A5" s="91"/>
    </row>
    <row r="6" spans="1:10" x14ac:dyDescent="0.2">
      <c r="A6" s="117" t="s">
        <v>0</v>
      </c>
      <c r="B6" s="118"/>
      <c r="C6" s="118"/>
      <c r="D6" s="118"/>
      <c r="E6" s="118"/>
      <c r="F6" s="118"/>
      <c r="G6" s="118"/>
      <c r="H6" s="118"/>
      <c r="I6" s="118"/>
      <c r="J6" s="118"/>
    </row>
    <row r="7" spans="1:10" ht="21" customHeight="1" x14ac:dyDescent="0.2">
      <c r="A7" s="117" t="s">
        <v>1</v>
      </c>
      <c r="B7" s="118"/>
      <c r="C7" s="118"/>
      <c r="D7" s="118"/>
      <c r="E7" s="118"/>
      <c r="F7" s="118"/>
      <c r="G7" s="118"/>
      <c r="H7" s="118"/>
      <c r="I7" s="118"/>
      <c r="J7" s="118"/>
    </row>
    <row r="9" spans="1:10" ht="12.75" customHeight="1" x14ac:dyDescent="0.2">
      <c r="A9" s="160" t="s">
        <v>2</v>
      </c>
      <c r="B9" s="160"/>
      <c r="C9" s="171"/>
    </row>
    <row r="10" spans="1:10" x14ac:dyDescent="0.2">
      <c r="A10" s="114" t="s">
        <v>4</v>
      </c>
      <c r="B10" s="114"/>
      <c r="C10" s="122" t="s">
        <v>5</v>
      </c>
    </row>
    <row r="11" spans="1:10" x14ac:dyDescent="0.2">
      <c r="A11" s="139">
        <v>0</v>
      </c>
      <c r="B11" s="289">
        <f>A12-1</f>
        <v>59</v>
      </c>
      <c r="C11" s="140">
        <v>2.4500000000000002</v>
      </c>
    </row>
    <row r="12" spans="1:10" x14ac:dyDescent="0.2">
      <c r="A12" s="139">
        <v>60</v>
      </c>
      <c r="B12" s="289">
        <f>A13-1</f>
        <v>119</v>
      </c>
      <c r="C12" s="141">
        <v>2.27</v>
      </c>
    </row>
    <row r="13" spans="1:10" x14ac:dyDescent="0.2">
      <c r="A13" s="139">
        <v>120</v>
      </c>
      <c r="B13" s="289">
        <f>A14-1</f>
        <v>239</v>
      </c>
      <c r="C13" s="141">
        <v>2.12</v>
      </c>
    </row>
    <row r="14" spans="1:10" x14ac:dyDescent="0.2">
      <c r="A14" s="139">
        <v>240</v>
      </c>
      <c r="B14" s="290" t="s">
        <v>231</v>
      </c>
      <c r="C14" s="141">
        <v>2</v>
      </c>
    </row>
    <row r="17" spans="1:10" ht="38.25" x14ac:dyDescent="0.2">
      <c r="A17" s="119" t="s">
        <v>15</v>
      </c>
      <c r="B17" s="119" t="s">
        <v>16</v>
      </c>
      <c r="C17" s="119" t="s">
        <v>237</v>
      </c>
      <c r="D17" s="119" t="s">
        <v>18</v>
      </c>
      <c r="E17" s="120" t="s">
        <v>19</v>
      </c>
      <c r="F17" s="120" t="s">
        <v>20</v>
      </c>
      <c r="G17" s="120" t="s">
        <v>238</v>
      </c>
      <c r="H17" s="120" t="s">
        <v>22</v>
      </c>
      <c r="I17" s="120" t="s">
        <v>7</v>
      </c>
      <c r="J17" s="120" t="s">
        <v>23</v>
      </c>
    </row>
    <row r="18" spans="1:10" x14ac:dyDescent="0.2">
      <c r="A18" s="127">
        <v>1</v>
      </c>
      <c r="B18" s="128" t="s">
        <v>24</v>
      </c>
      <c r="C18" s="128" t="s">
        <v>10</v>
      </c>
      <c r="D18" s="127">
        <v>240</v>
      </c>
      <c r="E18" s="123" cm="1">
        <f t="array" ref="E18">_xlfn.IFS(AND(D18&gt;=$A$11,D18&lt;$A$12),$C$11,AND(D18&gt;=$A$12,D18&lt;$A$13),$C$12,AND(D18&gt;=$A$13,D18&lt;$A$14),$C$13,D18&gt;=A14,$C$14,TRUE,"N/A")</f>
        <v>2</v>
      </c>
      <c r="F18" s="123"/>
      <c r="G18" s="123"/>
      <c r="H18" s="123"/>
      <c r="I18" s="123"/>
      <c r="J18" s="123"/>
    </row>
    <row r="19" spans="1:10" x14ac:dyDescent="0.2">
      <c r="A19" s="127">
        <v>2</v>
      </c>
      <c r="B19" s="128" t="s">
        <v>25</v>
      </c>
      <c r="C19" s="128" t="s">
        <v>10</v>
      </c>
      <c r="D19" s="127">
        <v>30</v>
      </c>
      <c r="E19" s="142" cm="1">
        <f t="array" ref="E19">_xlfn.IFS(AND(D19&gt;=$A$11,D19&lt;$A$12),$C$11,AND(D19&gt;=$A$12,D19&lt;$A$13),$C$12,AND(D19&gt;=$A$13,D19&lt;$A$14),$C$13,D19&gt;=A15,$C$14,TRUE,"N/A")</f>
        <v>2.4500000000000002</v>
      </c>
      <c r="F19" s="123"/>
      <c r="G19" s="123"/>
      <c r="H19" s="123"/>
      <c r="I19" s="123"/>
      <c r="J19" s="123"/>
    </row>
    <row r="20" spans="1:10" x14ac:dyDescent="0.2">
      <c r="A20" s="127">
        <v>3</v>
      </c>
      <c r="B20" s="128" t="s">
        <v>26</v>
      </c>
      <c r="C20" s="128" t="s">
        <v>12</v>
      </c>
      <c r="D20" s="127">
        <v>160</v>
      </c>
      <c r="E20" s="142" cm="1">
        <f t="array" ref="E20">_xlfn.IFS(AND(D20&gt;=$A$11,D20&lt;$A$12),$C$11,AND(D20&gt;=$A$12,D20&lt;$A$13),$C$12,AND(D20&gt;=$A$13,D20&lt;$A$14),$C$13,D20&gt;=A16,$C$14,TRUE,"N/A")</f>
        <v>2.12</v>
      </c>
      <c r="F20" s="123"/>
      <c r="G20" s="123"/>
      <c r="H20" s="123"/>
      <c r="I20" s="123"/>
      <c r="J20" s="123"/>
    </row>
    <row r="21" spans="1:10" x14ac:dyDescent="0.2">
      <c r="A21" s="127">
        <v>4</v>
      </c>
      <c r="B21" s="128" t="s">
        <v>27</v>
      </c>
      <c r="C21" s="128" t="s">
        <v>8</v>
      </c>
      <c r="D21" s="127">
        <v>215</v>
      </c>
      <c r="E21" s="142" cm="1">
        <f t="array" ref="E21">_xlfn.IFS(AND(D21&gt;=$A$11,D21&lt;$A$12),$C$11,AND(D21&gt;=$A$12,D21&lt;$A$13),$C$12,AND(D21&gt;=$A$13,D21&lt;$A$14),$C$13,D21&gt;=A17,$C$14,TRUE,"N/A")</f>
        <v>2.12</v>
      </c>
      <c r="F21" s="123"/>
      <c r="G21" s="123"/>
      <c r="H21" s="123"/>
      <c r="I21" s="123"/>
      <c r="J21" s="123"/>
    </row>
    <row r="22" spans="1:10" x14ac:dyDescent="0.2">
      <c r="A22" s="127">
        <v>5</v>
      </c>
      <c r="B22" s="128" t="s">
        <v>28</v>
      </c>
      <c r="C22" s="128" t="s">
        <v>8</v>
      </c>
      <c r="D22" s="127">
        <v>90</v>
      </c>
      <c r="E22" s="142" cm="1">
        <f t="array" ref="E22">_xlfn.IFS(AND(D22&gt;=$A$11,D22&lt;$A$12),$C$11,AND(D22&gt;=$A$12,D22&lt;$A$13),$C$12,AND(D22&gt;=$A$13,D22&lt;$A$14),$C$13,D22&gt;=A18,$C$14,TRUE,"N/A")</f>
        <v>2.27</v>
      </c>
      <c r="F22" s="123"/>
      <c r="G22" s="123"/>
      <c r="H22" s="123"/>
      <c r="I22" s="123"/>
      <c r="J22" s="123"/>
    </row>
    <row r="23" spans="1:10" x14ac:dyDescent="0.2">
      <c r="A23" s="127">
        <v>6</v>
      </c>
      <c r="B23" s="128" t="s">
        <v>29</v>
      </c>
      <c r="C23" s="128" t="s">
        <v>14</v>
      </c>
      <c r="D23" s="127">
        <v>15</v>
      </c>
      <c r="E23" s="142" cm="1">
        <f t="array" ref="E23">_xlfn.IFS(AND(D23&gt;=$A$11,D23&lt;$A$12),$C$11,AND(D23&gt;=$A$12,D23&lt;$A$13),$C$12,AND(D23&gt;=$A$13,D23&lt;$A$14),$C$13,D23&gt;=A19,$C$14,TRUE,"N/A")</f>
        <v>2.4500000000000002</v>
      </c>
      <c r="F23" s="123"/>
      <c r="G23" s="123"/>
      <c r="H23" s="123"/>
      <c r="I23" s="123"/>
      <c r="J23" s="123"/>
    </row>
    <row r="24" spans="1:10" s="99" customFormat="1" x14ac:dyDescent="0.2"/>
  </sheetData>
  <pageMargins left="0.75" right="0.75" top="1" bottom="1" header="0.5" footer="0.5"/>
  <pageSetup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250AE-A170-4BF7-BA12-BB37F718F616}">
  <sheetPr codeName="Sheet41"/>
  <dimension ref="A1:G5"/>
  <sheetViews>
    <sheetView zoomScale="160" zoomScaleNormal="160" workbookViewId="0">
      <selection activeCell="B6" sqref="B6"/>
    </sheetView>
  </sheetViews>
  <sheetFormatPr defaultRowHeight="12.75" x14ac:dyDescent="0.2"/>
  <sheetData>
    <row r="1" spans="1:7" s="310" customFormat="1" ht="18" x14ac:dyDescent="0.25">
      <c r="A1" s="265" t="s">
        <v>202</v>
      </c>
    </row>
    <row r="2" spans="1:7" s="304" customFormat="1" ht="14.25" hidden="1" x14ac:dyDescent="0.2">
      <c r="A2" s="299"/>
      <c r="B2" s="304">
        <f>SUM(Lookups:Clear_Tables!B2)</f>
        <v>1.7500000000000002E-2</v>
      </c>
      <c r="C2" s="298"/>
      <c r="E2" s="298"/>
      <c r="G2" s="298"/>
    </row>
    <row r="3" spans="1:7" s="272" customFormat="1" ht="14.25" x14ac:dyDescent="0.2">
      <c r="A3" s="312" t="str">
        <f>Video_Lengths_Description</f>
        <v xml:space="preserve">Length of video clips in this segment: </v>
      </c>
      <c r="C3"/>
      <c r="E3"/>
      <c r="G3"/>
    </row>
    <row r="4" spans="1:7" s="272" customFormat="1" ht="14.25" x14ac:dyDescent="0.2">
      <c r="A4" s="305">
        <f>IF(B2="","",B2)</f>
        <v>1.7500000000000002E-2</v>
      </c>
      <c r="C4"/>
      <c r="E4"/>
      <c r="G4"/>
    </row>
    <row r="5" spans="1:7" x14ac:dyDescent="0.2">
      <c r="A5" s="9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autoPageBreaks="0"/>
  </sheetPr>
  <dimension ref="A1:L24"/>
  <sheetViews>
    <sheetView zoomScale="160" zoomScaleNormal="160" workbookViewId="0">
      <selection activeCell="B6" sqref="B6"/>
    </sheetView>
  </sheetViews>
  <sheetFormatPr defaultRowHeight="12.75" x14ac:dyDescent="0.2"/>
  <cols>
    <col min="1" max="2" width="8.7109375" customWidth="1"/>
    <col min="4" max="4" width="9" customWidth="1"/>
    <col min="6" max="6" width="9.140625" bestFit="1" customWidth="1"/>
    <col min="7" max="7" width="8.7109375" customWidth="1"/>
    <col min="8" max="8" width="10" customWidth="1"/>
    <col min="9" max="9" width="9.5703125" customWidth="1"/>
    <col min="10" max="10" width="9.28515625" bestFit="1" customWidth="1"/>
    <col min="11" max="11" width="10.28515625" bestFit="1" customWidth="1"/>
    <col min="12" max="12" width="2.140625" customWidth="1"/>
  </cols>
  <sheetData>
    <row r="1" spans="1:12" s="310" customFormat="1" ht="18" x14ac:dyDescent="0.25">
      <c r="A1" s="309" t="s">
        <v>198</v>
      </c>
      <c r="B1" s="309"/>
      <c r="C1" s="309"/>
      <c r="D1" s="309"/>
      <c r="E1" s="309"/>
      <c r="F1" s="309"/>
      <c r="G1" s="309"/>
      <c r="H1" s="309"/>
      <c r="I1" s="309"/>
      <c r="J1" s="309"/>
      <c r="K1" s="309"/>
    </row>
    <row r="2" spans="1:12" s="130" customFormat="1" hidden="1" x14ac:dyDescent="0.2"/>
    <row r="3" spans="1:12" x14ac:dyDescent="0.2">
      <c r="A3" s="91" t="str">
        <f>IF(A2="","",IF(Disable_Video_Hyperlinks,A2,HYPERLINK(Video_website&amp;A2,A2)))</f>
        <v/>
      </c>
    </row>
    <row r="4" spans="1:12" x14ac:dyDescent="0.2">
      <c r="A4" s="91" t="str">
        <f>IF(B2="","",B2)</f>
        <v/>
      </c>
    </row>
    <row r="5" spans="1:12" x14ac:dyDescent="0.2">
      <c r="A5" s="91"/>
    </row>
    <row r="6" spans="1:12" x14ac:dyDescent="0.2">
      <c r="A6" s="117" t="s">
        <v>0</v>
      </c>
      <c r="B6" s="118"/>
      <c r="C6" s="118"/>
      <c r="D6" s="118"/>
      <c r="E6" s="118"/>
      <c r="F6" s="118"/>
      <c r="G6" s="118"/>
      <c r="H6" s="118"/>
      <c r="I6" s="118"/>
      <c r="J6" s="118"/>
      <c r="K6" s="118"/>
    </row>
    <row r="7" spans="1:12" ht="21" customHeight="1" x14ac:dyDescent="0.2">
      <c r="A7" s="117" t="s">
        <v>1</v>
      </c>
      <c r="B7" s="118"/>
      <c r="C7" s="118"/>
      <c r="D7" s="118"/>
      <c r="E7" s="118"/>
      <c r="F7" s="118"/>
      <c r="G7" s="118"/>
      <c r="H7" s="118"/>
      <c r="I7" s="118"/>
      <c r="J7" s="118"/>
      <c r="K7" s="118"/>
    </row>
    <row r="8" spans="1:12" x14ac:dyDescent="0.2"/>
    <row r="9" spans="1:12" ht="12.75" customHeight="1" x14ac:dyDescent="0.2">
      <c r="A9" s="143" t="s">
        <v>2</v>
      </c>
      <c r="B9" s="144"/>
      <c r="D9" s="143" t="s">
        <v>3</v>
      </c>
      <c r="E9" s="147"/>
    </row>
    <row r="10" spans="1:12" x14ac:dyDescent="0.2">
      <c r="A10" s="268" t="s">
        <v>18</v>
      </c>
      <c r="B10" s="267" t="s">
        <v>81</v>
      </c>
      <c r="D10" s="145" t="s">
        <v>6</v>
      </c>
      <c r="E10" s="146" t="s">
        <v>5</v>
      </c>
      <c r="G10" s="383" t="s">
        <v>7</v>
      </c>
      <c r="H10" s="384"/>
      <c r="I10" s="384"/>
      <c r="J10" s="384"/>
      <c r="K10" s="384"/>
      <c r="L10" s="371"/>
    </row>
    <row r="11" spans="1:12" x14ac:dyDescent="0.2">
      <c r="A11" s="150">
        <v>0</v>
      </c>
      <c r="B11" s="151">
        <v>2.4500000000000002</v>
      </c>
      <c r="D11" s="150" t="s">
        <v>8</v>
      </c>
      <c r="E11" s="151">
        <v>0.25</v>
      </c>
      <c r="G11" s="17" t="s">
        <v>9</v>
      </c>
      <c r="H11" s="7"/>
      <c r="I11" s="152">
        <v>0</v>
      </c>
      <c r="J11" s="152">
        <v>300</v>
      </c>
      <c r="K11" s="152">
        <v>1000</v>
      </c>
      <c r="L11" s="370"/>
    </row>
    <row r="12" spans="1:12" x14ac:dyDescent="0.2">
      <c r="A12" s="150">
        <v>60</v>
      </c>
      <c r="B12" s="155">
        <v>2.27</v>
      </c>
      <c r="D12" s="150" t="s">
        <v>10</v>
      </c>
      <c r="E12" s="155">
        <v>0.2</v>
      </c>
      <c r="G12" s="17" t="s">
        <v>11</v>
      </c>
      <c r="H12" s="7"/>
      <c r="I12" s="153">
        <v>0</v>
      </c>
      <c r="J12" s="153">
        <v>0.15</v>
      </c>
      <c r="K12" s="153">
        <v>0.25</v>
      </c>
      <c r="L12" s="370"/>
    </row>
    <row r="13" spans="1:12" x14ac:dyDescent="0.2">
      <c r="A13" s="150">
        <v>120</v>
      </c>
      <c r="B13" s="155">
        <v>2.12</v>
      </c>
      <c r="D13" s="150" t="s">
        <v>12</v>
      </c>
      <c r="E13" s="155">
        <v>0.15</v>
      </c>
      <c r="G13" s="148" t="s">
        <v>13</v>
      </c>
      <c r="H13" s="149"/>
      <c r="I13" s="154">
        <v>0</v>
      </c>
      <c r="J13" s="154">
        <v>0.1</v>
      </c>
      <c r="K13" s="154">
        <v>0.15</v>
      </c>
      <c r="L13" s="372"/>
    </row>
    <row r="14" spans="1:12" x14ac:dyDescent="0.2">
      <c r="A14" s="150">
        <v>240</v>
      </c>
      <c r="B14" s="155">
        <v>2</v>
      </c>
      <c r="D14" s="150" t="s">
        <v>14</v>
      </c>
      <c r="E14" s="155">
        <v>0</v>
      </c>
    </row>
    <row r="15" spans="1:12" x14ac:dyDescent="0.2">
      <c r="A15" s="369"/>
      <c r="B15" s="369"/>
      <c r="D15" s="369"/>
      <c r="E15" s="369"/>
    </row>
    <row r="17" spans="1:10" ht="38.25" x14ac:dyDescent="0.2">
      <c r="A17" s="156" t="s">
        <v>15</v>
      </c>
      <c r="B17" s="156" t="s">
        <v>16</v>
      </c>
      <c r="C17" s="120" t="s">
        <v>237</v>
      </c>
      <c r="D17" s="156" t="s">
        <v>18</v>
      </c>
      <c r="E17" s="120" t="s">
        <v>19</v>
      </c>
      <c r="F17" s="120" t="s">
        <v>20</v>
      </c>
      <c r="G17" s="120" t="s">
        <v>238</v>
      </c>
      <c r="H17" s="120" t="s">
        <v>22</v>
      </c>
      <c r="I17" s="120" t="s">
        <v>7</v>
      </c>
      <c r="J17" s="120" t="s">
        <v>23</v>
      </c>
    </row>
    <row r="18" spans="1:10" x14ac:dyDescent="0.2">
      <c r="A18" s="127">
        <v>1</v>
      </c>
      <c r="B18" s="128" t="s">
        <v>24</v>
      </c>
      <c r="C18" s="128" t="s">
        <v>10</v>
      </c>
      <c r="D18" s="127">
        <v>240</v>
      </c>
      <c r="E18" s="157">
        <f xml:space="preserve"> VLOOKUP( D18, A$11:B$15, 2, TRUE )</f>
        <v>2</v>
      </c>
      <c r="F18" s="157">
        <f xml:space="preserve"> D18 * E18</f>
        <v>480</v>
      </c>
      <c r="G18" s="157">
        <f xml:space="preserve"> VLOOKUP( C18, D$11:E$15, 2, FALSE )</f>
        <v>0.2</v>
      </c>
      <c r="H18" s="157">
        <f xml:space="preserve"> G18 * D18</f>
        <v>48</v>
      </c>
      <c r="I18" s="157">
        <f xml:space="preserve"> H18 * - HLOOKUP( F18, I$11:L$13, 3, TRUE )</f>
        <v>-4.8000000000000007</v>
      </c>
      <c r="J18" s="157">
        <f xml:space="preserve"> F18 + H18 + I18</f>
        <v>523.20000000000005</v>
      </c>
    </row>
    <row r="19" spans="1:10" x14ac:dyDescent="0.2">
      <c r="A19" s="127">
        <v>2</v>
      </c>
      <c r="B19" s="128" t="s">
        <v>25</v>
      </c>
      <c r="C19" s="128" t="s">
        <v>10</v>
      </c>
      <c r="D19" s="127">
        <v>30</v>
      </c>
      <c r="E19" s="158">
        <f t="shared" ref="E19:E23" si="0" xml:space="preserve"> VLOOKUP( D19, A$11:B$15, 2, TRUE )</f>
        <v>2.4500000000000002</v>
      </c>
      <c r="F19" s="158">
        <f t="shared" ref="F19:F23" si="1" xml:space="preserve"> D19 * E19</f>
        <v>73.5</v>
      </c>
      <c r="G19" s="158">
        <f t="shared" ref="G19:G23" si="2" xml:space="preserve"> VLOOKUP( C19, D$11:E$15, 2, FALSE )</f>
        <v>0.2</v>
      </c>
      <c r="H19" s="158">
        <f t="shared" ref="H19:H23" si="3" xml:space="preserve"> G19 * D19</f>
        <v>6</v>
      </c>
      <c r="I19" s="158">
        <f t="shared" ref="I19:I23" si="4" xml:space="preserve"> H19 * - HLOOKUP( F19, I$11:L$13, 3, TRUE )</f>
        <v>0</v>
      </c>
      <c r="J19" s="158">
        <f t="shared" ref="J19:J23" si="5" xml:space="preserve"> F19 + H19 + I19</f>
        <v>79.5</v>
      </c>
    </row>
    <row r="20" spans="1:10" x14ac:dyDescent="0.2">
      <c r="A20" s="127">
        <v>3</v>
      </c>
      <c r="B20" s="128" t="s">
        <v>26</v>
      </c>
      <c r="C20" s="128" t="s">
        <v>12</v>
      </c>
      <c r="D20" s="127">
        <v>160</v>
      </c>
      <c r="E20" s="158">
        <f t="shared" si="0"/>
        <v>2.12</v>
      </c>
      <c r="F20" s="158">
        <f t="shared" si="1"/>
        <v>339.20000000000005</v>
      </c>
      <c r="G20" s="158">
        <f t="shared" si="2"/>
        <v>0.15</v>
      </c>
      <c r="H20" s="158">
        <f t="shared" si="3"/>
        <v>24</v>
      </c>
      <c r="I20" s="158">
        <f t="shared" si="4"/>
        <v>-2.4000000000000004</v>
      </c>
      <c r="J20" s="158">
        <f t="shared" si="5"/>
        <v>360.80000000000007</v>
      </c>
    </row>
    <row r="21" spans="1:10" x14ac:dyDescent="0.2">
      <c r="A21" s="127">
        <v>4</v>
      </c>
      <c r="B21" s="128" t="s">
        <v>27</v>
      </c>
      <c r="C21" s="128" t="s">
        <v>8</v>
      </c>
      <c r="D21" s="127">
        <v>215</v>
      </c>
      <c r="E21" s="158">
        <f t="shared" si="0"/>
        <v>2.12</v>
      </c>
      <c r="F21" s="158">
        <f t="shared" si="1"/>
        <v>455.8</v>
      </c>
      <c r="G21" s="158">
        <f t="shared" si="2"/>
        <v>0.25</v>
      </c>
      <c r="H21" s="158">
        <f t="shared" si="3"/>
        <v>53.75</v>
      </c>
      <c r="I21" s="158">
        <f t="shared" si="4"/>
        <v>-5.375</v>
      </c>
      <c r="J21" s="158">
        <f t="shared" si="5"/>
        <v>504.17500000000001</v>
      </c>
    </row>
    <row r="22" spans="1:10" x14ac:dyDescent="0.2">
      <c r="A22" s="127">
        <v>5</v>
      </c>
      <c r="B22" s="128" t="s">
        <v>28</v>
      </c>
      <c r="C22" s="128" t="s">
        <v>8</v>
      </c>
      <c r="D22" s="127">
        <v>90</v>
      </c>
      <c r="E22" s="158">
        <f t="shared" si="0"/>
        <v>2.27</v>
      </c>
      <c r="F22" s="158">
        <f t="shared" si="1"/>
        <v>204.3</v>
      </c>
      <c r="G22" s="158">
        <f t="shared" si="2"/>
        <v>0.25</v>
      </c>
      <c r="H22" s="158">
        <f t="shared" si="3"/>
        <v>22.5</v>
      </c>
      <c r="I22" s="158">
        <f t="shared" si="4"/>
        <v>0</v>
      </c>
      <c r="J22" s="158">
        <f t="shared" si="5"/>
        <v>226.8</v>
      </c>
    </row>
    <row r="23" spans="1:10" x14ac:dyDescent="0.2">
      <c r="A23" s="127">
        <v>6</v>
      </c>
      <c r="B23" s="128" t="s">
        <v>29</v>
      </c>
      <c r="C23" s="128" t="s">
        <v>14</v>
      </c>
      <c r="D23" s="127">
        <v>15</v>
      </c>
      <c r="E23" s="158">
        <f t="shared" si="0"/>
        <v>2.4500000000000002</v>
      </c>
      <c r="F23" s="158">
        <f t="shared" si="1"/>
        <v>36.75</v>
      </c>
      <c r="G23" s="158">
        <f t="shared" si="2"/>
        <v>0</v>
      </c>
      <c r="H23" s="158">
        <f t="shared" si="3"/>
        <v>0</v>
      </c>
      <c r="I23" s="158">
        <f t="shared" si="4"/>
        <v>0</v>
      </c>
      <c r="J23" s="158">
        <f t="shared" si="5"/>
        <v>36.75</v>
      </c>
    </row>
    <row r="24" spans="1:10" x14ac:dyDescent="0.2">
      <c r="A24" s="368"/>
      <c r="B24" s="368"/>
      <c r="C24" s="368"/>
      <c r="D24" s="368"/>
      <c r="E24" s="368"/>
      <c r="F24" s="368"/>
      <c r="G24" s="368"/>
      <c r="H24" s="368"/>
      <c r="I24" s="368"/>
      <c r="J24" s="368"/>
    </row>
  </sheetData>
  <mergeCells count="1">
    <mergeCell ref="G10:K10"/>
  </mergeCells>
  <phoneticPr fontId="2" type="noConversion"/>
  <pageMargins left="0.75" right="0.75" top="1" bottom="1" header="0.5" footer="0.5"/>
  <pageSetup orientation="portrait" horizontalDpi="300" verticalDpi="300"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2">
    <pageSetUpPr autoPageBreaks="0"/>
  </sheetPr>
  <dimension ref="A1:O18"/>
  <sheetViews>
    <sheetView zoomScale="160" zoomScaleNormal="160" workbookViewId="0">
      <selection activeCell="B6" sqref="B6"/>
    </sheetView>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5" s="310" customFormat="1" ht="18" x14ac:dyDescent="0.25">
      <c r="A1" s="265" t="s">
        <v>201</v>
      </c>
      <c r="B1" s="309"/>
      <c r="C1" s="309"/>
      <c r="D1" s="309"/>
      <c r="E1" s="309"/>
      <c r="F1" s="309"/>
      <c r="G1" s="309"/>
      <c r="H1" s="309"/>
      <c r="I1" s="309"/>
      <c r="J1" s="309"/>
      <c r="K1" s="309"/>
    </row>
    <row r="2" spans="1:15" s="298" customFormat="1" hidden="1" x14ac:dyDescent="0.2">
      <c r="A2" s="299"/>
      <c r="B2" s="299"/>
      <c r="C2" s="301"/>
      <c r="D2" s="299"/>
      <c r="E2" s="301"/>
      <c r="F2" s="299"/>
      <c r="G2" s="301"/>
      <c r="H2" s="299"/>
      <c r="I2" s="299"/>
      <c r="J2" s="299"/>
      <c r="K2" s="299"/>
    </row>
    <row r="3" spans="1:15" s="91" customFormat="1" x14ac:dyDescent="0.2">
      <c r="A3" s="274" t="str">
        <f>IF(A2="","",IF(Disable_Video_Hyperlinks,A2,HYPERLINK(Video_website&amp;A2,A2)))</f>
        <v/>
      </c>
      <c r="B3" s="276"/>
      <c r="C3" s="278"/>
      <c r="D3" s="276"/>
      <c r="E3" s="278"/>
      <c r="F3" s="276"/>
      <c r="G3" s="278"/>
      <c r="H3" s="276"/>
      <c r="I3" s="276"/>
      <c r="J3" s="276"/>
      <c r="K3" s="276"/>
      <c r="L3" s="270"/>
      <c r="M3" s="270"/>
      <c r="N3" s="270"/>
      <c r="O3" s="270"/>
    </row>
    <row r="4" spans="1:15" s="91" customFormat="1" x14ac:dyDescent="0.2">
      <c r="A4" s="305" t="str">
        <f>IF(B2="","",B2)</f>
        <v/>
      </c>
      <c r="B4" s="276"/>
      <c r="C4" s="278"/>
      <c r="D4" s="276"/>
      <c r="E4" s="278"/>
      <c r="F4" s="276"/>
      <c r="G4" s="278"/>
      <c r="H4" s="276"/>
      <c r="I4" s="276"/>
      <c r="J4" s="276"/>
      <c r="K4" s="276"/>
      <c r="L4" s="270"/>
      <c r="M4" s="270"/>
      <c r="N4" s="270"/>
      <c r="O4" s="270"/>
    </row>
    <row r="5" spans="1:15" s="91" customFormat="1" x14ac:dyDescent="0.2"/>
    <row r="6" spans="1:15" s="91" customFormat="1" x14ac:dyDescent="0.2">
      <c r="I6"/>
      <c r="J6"/>
      <c r="K6"/>
      <c r="L6"/>
      <c r="M6"/>
      <c r="N6"/>
      <c r="O6"/>
    </row>
    <row r="7" spans="1:15" s="91" customFormat="1" x14ac:dyDescent="0.2">
      <c r="I7"/>
      <c r="J7"/>
      <c r="K7"/>
      <c r="L7"/>
      <c r="M7"/>
      <c r="N7"/>
      <c r="O7"/>
    </row>
    <row r="8" spans="1:15" s="94" customFormat="1" x14ac:dyDescent="0.2">
      <c r="A8" s="92"/>
      <c r="B8" s="93"/>
      <c r="I8"/>
      <c r="J8"/>
      <c r="K8"/>
      <c r="L8"/>
      <c r="M8"/>
      <c r="N8"/>
      <c r="O8"/>
    </row>
    <row r="9" spans="1:15" s="94" customFormat="1" x14ac:dyDescent="0.2">
      <c r="B9" s="93"/>
      <c r="I9"/>
      <c r="J9"/>
      <c r="K9"/>
      <c r="L9"/>
      <c r="M9"/>
      <c r="N9"/>
      <c r="O9"/>
    </row>
    <row r="10" spans="1:15" s="94" customFormat="1" x14ac:dyDescent="0.2">
      <c r="B10" s="93"/>
      <c r="I10"/>
      <c r="J10"/>
      <c r="K10"/>
      <c r="L10"/>
      <c r="M10"/>
      <c r="N10"/>
      <c r="O10"/>
    </row>
    <row r="11" spans="1:15" s="94" customFormat="1" x14ac:dyDescent="0.2">
      <c r="B11" s="93"/>
      <c r="I11"/>
      <c r="J11"/>
      <c r="K11"/>
      <c r="L11"/>
      <c r="M11"/>
      <c r="N11"/>
      <c r="O11"/>
    </row>
    <row r="12" spans="1:15" s="94" customFormat="1" x14ac:dyDescent="0.2">
      <c r="I12"/>
      <c r="J12"/>
      <c r="K12"/>
      <c r="L12"/>
      <c r="M12"/>
      <c r="N12"/>
      <c r="O12"/>
    </row>
    <row r="13" spans="1:15" s="94" customFormat="1" x14ac:dyDescent="0.2">
      <c r="I13"/>
      <c r="J13"/>
      <c r="K13"/>
      <c r="L13"/>
      <c r="M13"/>
      <c r="N13"/>
      <c r="O13"/>
    </row>
    <row r="14" spans="1:15" s="94" customFormat="1" x14ac:dyDescent="0.2">
      <c r="I14"/>
      <c r="J14"/>
      <c r="K14"/>
      <c r="L14"/>
      <c r="M14"/>
      <c r="N14"/>
      <c r="O14"/>
    </row>
    <row r="15" spans="1:15" s="94" customFormat="1" x14ac:dyDescent="0.2">
      <c r="I15"/>
      <c r="J15"/>
      <c r="K15"/>
      <c r="L15"/>
      <c r="M15"/>
      <c r="N15"/>
      <c r="O15"/>
    </row>
    <row r="18" spans="15:15" x14ac:dyDescent="0.2"/>
  </sheetData>
  <phoneticPr fontId="2" type="noConversion"/>
  <pageMargins left="0.75" right="0.75" top="1" bottom="1" header="0.5" footer="0.5"/>
  <pageSetup orientation="portrait" horizontalDpi="300" verticalDpi="300" r:id="rId1"/>
  <headerFooter alignWithMargins="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8">
    <pageSetUpPr autoPageBreaks="0"/>
  </sheetPr>
  <dimension ref="A1:J36"/>
  <sheetViews>
    <sheetView zoomScale="160" zoomScaleNormal="160" workbookViewId="0">
      <selection activeCell="B6" sqref="B6"/>
    </sheetView>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0" s="310" customFormat="1" ht="18" x14ac:dyDescent="0.25">
      <c r="A1" s="265" t="s">
        <v>200</v>
      </c>
      <c r="B1" s="309"/>
      <c r="C1" s="309"/>
      <c r="D1" s="309"/>
      <c r="E1" s="309"/>
      <c r="F1" s="309"/>
      <c r="G1" s="309"/>
      <c r="H1" s="309"/>
      <c r="I1" s="309"/>
      <c r="J1" s="309"/>
    </row>
    <row r="2" spans="1:10" s="298" customFormat="1" hidden="1" x14ac:dyDescent="0.2">
      <c r="A2" s="299" t="s">
        <v>333</v>
      </c>
      <c r="B2" s="313">
        <v>6.2268518518518515E-3</v>
      </c>
      <c r="C2" s="301"/>
      <c r="D2" s="299"/>
      <c r="E2" s="301"/>
      <c r="F2" s="299"/>
      <c r="G2" s="301"/>
      <c r="H2" s="299"/>
      <c r="I2" s="299"/>
      <c r="J2" s="299"/>
    </row>
    <row r="3" spans="1:10" s="273" customFormat="1" x14ac:dyDescent="0.2">
      <c r="A3" s="274" t="str" cm="1">
        <f t="array" ref="A3">IF(A2="","",IF(Disable_Video_Hyperlinks,A2,HYPERLINK(Video_website&amp;A2,A2)))</f>
        <v>UNC_DAYT_EXCEL_3.2.2_LECTURE_EXACT_MATCH_VLOOKUP.mp4</v>
      </c>
      <c r="B3" s="277"/>
      <c r="C3" s="311"/>
      <c r="D3" s="277"/>
      <c r="E3" s="311"/>
      <c r="F3" s="277"/>
      <c r="G3" s="311"/>
      <c r="H3" s="277"/>
      <c r="I3" s="277"/>
      <c r="J3" s="277"/>
    </row>
    <row r="4" spans="1:10" s="273" customFormat="1" x14ac:dyDescent="0.2">
      <c r="A4" s="305">
        <f>IF(B2="","",B2)</f>
        <v>6.2268518518518515E-3</v>
      </c>
      <c r="B4" s="276"/>
      <c r="C4" s="278"/>
      <c r="D4" s="276"/>
      <c r="E4" s="278"/>
      <c r="F4" s="276"/>
      <c r="G4" s="278"/>
      <c r="H4" s="276"/>
      <c r="I4" s="276"/>
      <c r="J4" s="276"/>
    </row>
    <row r="5" spans="1:10" x14ac:dyDescent="0.2">
      <c r="A5" s="91"/>
    </row>
    <row r="6" spans="1:10" x14ac:dyDescent="0.2">
      <c r="A6" s="117" t="s">
        <v>0</v>
      </c>
      <c r="B6" s="118"/>
      <c r="C6" s="118"/>
      <c r="D6" s="118"/>
      <c r="E6" s="118"/>
      <c r="F6" s="118"/>
      <c r="G6" s="118"/>
      <c r="H6" s="118"/>
      <c r="I6" s="118"/>
      <c r="J6" s="118"/>
    </row>
    <row r="7" spans="1:10" ht="21" customHeight="1" x14ac:dyDescent="0.2">
      <c r="A7" s="117" t="s">
        <v>1</v>
      </c>
      <c r="B7" s="118"/>
      <c r="C7" s="118"/>
      <c r="D7" s="118"/>
      <c r="E7" s="118"/>
      <c r="F7" s="118"/>
      <c r="G7" s="118"/>
      <c r="H7" s="118"/>
      <c r="I7" s="118"/>
      <c r="J7" s="118"/>
    </row>
    <row r="9" spans="1:10" ht="12.75" customHeight="1" x14ac:dyDescent="0.2">
      <c r="D9" s="160" t="s">
        <v>3</v>
      </c>
      <c r="E9" s="160"/>
    </row>
    <row r="10" spans="1:10" ht="13.5" thickBot="1" x14ac:dyDescent="0.25">
      <c r="D10" s="122" t="s">
        <v>6</v>
      </c>
      <c r="E10" s="122" t="s">
        <v>5</v>
      </c>
    </row>
    <row r="11" spans="1:10" x14ac:dyDescent="0.2">
      <c r="D11" s="161" t="s">
        <v>8</v>
      </c>
      <c r="E11" s="162">
        <v>0.25</v>
      </c>
    </row>
    <row r="12" spans="1:10" x14ac:dyDescent="0.2">
      <c r="D12" s="163" t="s">
        <v>10</v>
      </c>
      <c r="E12" s="262">
        <v>0.2</v>
      </c>
    </row>
    <row r="13" spans="1:10" x14ac:dyDescent="0.2">
      <c r="D13" s="163" t="s">
        <v>12</v>
      </c>
      <c r="E13" s="262">
        <v>0.15</v>
      </c>
    </row>
    <row r="14" spans="1:10" ht="13.5" thickBot="1" x14ac:dyDescent="0.25">
      <c r="D14" s="164" t="s">
        <v>14</v>
      </c>
      <c r="E14" s="263">
        <v>0</v>
      </c>
    </row>
    <row r="17" spans="1:10" ht="38.25" x14ac:dyDescent="0.2">
      <c r="A17" s="156" t="s">
        <v>15</v>
      </c>
      <c r="B17" s="156" t="s">
        <v>16</v>
      </c>
      <c r="C17" s="120" t="s">
        <v>237</v>
      </c>
      <c r="D17" s="156" t="s">
        <v>18</v>
      </c>
      <c r="E17" s="120" t="s">
        <v>19</v>
      </c>
      <c r="F17" s="120" t="s">
        <v>20</v>
      </c>
      <c r="G17" s="120" t="s">
        <v>238</v>
      </c>
      <c r="H17" s="120" t="s">
        <v>22</v>
      </c>
      <c r="I17" s="120" t="s">
        <v>7</v>
      </c>
      <c r="J17" s="120" t="s">
        <v>23</v>
      </c>
    </row>
    <row r="18" spans="1:10" x14ac:dyDescent="0.2">
      <c r="A18" s="127">
        <v>1</v>
      </c>
      <c r="B18" s="128" t="s">
        <v>24</v>
      </c>
      <c r="C18" s="128" t="s">
        <v>10</v>
      </c>
      <c r="D18" s="127">
        <v>240</v>
      </c>
      <c r="E18" s="157"/>
      <c r="F18" s="157"/>
      <c r="G18" s="157">
        <f>VLOOKUP(C18,$D$11:$E$14,2,FALSE)</f>
        <v>0.2</v>
      </c>
      <c r="H18" s="157"/>
      <c r="I18" s="157"/>
      <c r="J18" s="157"/>
    </row>
    <row r="19" spans="1:10" x14ac:dyDescent="0.2">
      <c r="A19" s="127">
        <v>2</v>
      </c>
      <c r="B19" s="128" t="s">
        <v>25</v>
      </c>
      <c r="C19" s="128" t="s">
        <v>10</v>
      </c>
      <c r="D19" s="127">
        <v>30</v>
      </c>
      <c r="E19" s="158"/>
      <c r="F19" s="158"/>
      <c r="G19" s="261">
        <f t="shared" ref="G19:G23" si="0">VLOOKUP(C19,$D$11:$E$14,2,FALSE)</f>
        <v>0.2</v>
      </c>
      <c r="H19" s="158"/>
      <c r="I19" s="158"/>
      <c r="J19" s="158"/>
    </row>
    <row r="20" spans="1:10" x14ac:dyDescent="0.2">
      <c r="A20" s="127">
        <v>3</v>
      </c>
      <c r="B20" s="128" t="s">
        <v>26</v>
      </c>
      <c r="C20" s="128" t="s">
        <v>12</v>
      </c>
      <c r="D20" s="127">
        <v>160</v>
      </c>
      <c r="E20" s="158"/>
      <c r="F20" s="158"/>
      <c r="G20" s="261">
        <f t="shared" si="0"/>
        <v>0.15</v>
      </c>
      <c r="H20" s="158"/>
      <c r="I20" s="158"/>
      <c r="J20" s="158"/>
    </row>
    <row r="21" spans="1:10" x14ac:dyDescent="0.2">
      <c r="A21" s="127">
        <v>4</v>
      </c>
      <c r="B21" s="128" t="s">
        <v>27</v>
      </c>
      <c r="C21" s="128" t="s">
        <v>8</v>
      </c>
      <c r="D21" s="127">
        <v>215</v>
      </c>
      <c r="E21" s="158"/>
      <c r="F21" s="158"/>
      <c r="G21" s="261">
        <f t="shared" si="0"/>
        <v>0.25</v>
      </c>
      <c r="H21" s="158"/>
      <c r="I21" s="158"/>
      <c r="J21" s="158"/>
    </row>
    <row r="22" spans="1:10" x14ac:dyDescent="0.2">
      <c r="A22" s="127">
        <v>5</v>
      </c>
      <c r="B22" s="128" t="s">
        <v>28</v>
      </c>
      <c r="C22" s="128" t="s">
        <v>8</v>
      </c>
      <c r="D22" s="127">
        <v>90</v>
      </c>
      <c r="E22" s="158"/>
      <c r="F22" s="158"/>
      <c r="G22" s="261">
        <f t="shared" si="0"/>
        <v>0.25</v>
      </c>
      <c r="H22" s="158"/>
      <c r="I22" s="158"/>
      <c r="J22" s="158"/>
    </row>
    <row r="23" spans="1:10" x14ac:dyDescent="0.2">
      <c r="A23" s="127">
        <v>6</v>
      </c>
      <c r="B23" s="128" t="s">
        <v>29</v>
      </c>
      <c r="C23" s="128" t="s">
        <v>14</v>
      </c>
      <c r="D23" s="127">
        <v>15</v>
      </c>
      <c r="E23" s="158"/>
      <c r="F23" s="158"/>
      <c r="G23" s="261">
        <f t="shared" si="0"/>
        <v>0</v>
      </c>
      <c r="H23" s="158"/>
      <c r="I23" s="158"/>
      <c r="J23" s="158"/>
    </row>
    <row r="24" spans="1:10" s="99" customFormat="1" x14ac:dyDescent="0.2"/>
    <row r="32" spans="1:10" x14ac:dyDescent="0.2">
      <c r="B32" s="59"/>
    </row>
    <row r="33" spans="2:2" ht="18" x14ac:dyDescent="0.25">
      <c r="B33" s="89"/>
    </row>
    <row r="34" spans="2:2" ht="18" x14ac:dyDescent="0.25">
      <c r="B34" s="89"/>
    </row>
    <row r="35" spans="2:2" ht="18" x14ac:dyDescent="0.25">
      <c r="B35" s="89"/>
    </row>
    <row r="36" spans="2:2" ht="18" x14ac:dyDescent="0.25">
      <c r="B36" s="89"/>
    </row>
  </sheetData>
  <phoneticPr fontId="2" type="noConversion"/>
  <pageMargins left="0.75" right="0.75" top="1" bottom="1" header="0.5" footer="0.5"/>
  <pageSetup orientation="portrait" horizontalDpi="300" verticalDpi="300"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7">
    <pageSetUpPr autoPageBreaks="0"/>
  </sheetPr>
  <dimension ref="A1:K24"/>
  <sheetViews>
    <sheetView zoomScale="160" zoomScaleNormal="160" workbookViewId="0">
      <selection activeCell="A11" sqref="A11:A14"/>
    </sheetView>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0" s="310" customFormat="1" ht="18" x14ac:dyDescent="0.25">
      <c r="A1" s="265" t="s">
        <v>199</v>
      </c>
      <c r="B1" s="309"/>
      <c r="C1" s="309"/>
      <c r="D1" s="309"/>
      <c r="E1" s="309"/>
      <c r="F1" s="309"/>
      <c r="G1" s="309"/>
      <c r="H1" s="309"/>
      <c r="I1" s="309"/>
      <c r="J1" s="309"/>
    </row>
    <row r="2" spans="1:10" s="298" customFormat="1" hidden="1" x14ac:dyDescent="0.2">
      <c r="A2" s="299" t="s">
        <v>334</v>
      </c>
      <c r="B2" s="313">
        <v>4.108796296296297E-3</v>
      </c>
      <c r="C2" s="301"/>
      <c r="D2" s="299"/>
      <c r="E2" s="301"/>
      <c r="F2" s="299"/>
      <c r="G2" s="301"/>
      <c r="H2" s="299"/>
      <c r="I2" s="299"/>
      <c r="J2" s="299"/>
    </row>
    <row r="3" spans="1:10" s="273" customFormat="1" x14ac:dyDescent="0.2">
      <c r="A3" s="274" t="str">
        <f>IF(A2="","",IF(Disable_Video_Hyperlinks,A2,HYPERLINK(Video_website&amp;A2,A2)))</f>
        <v>UNC_DAYT_EXCEL_3.2.3_LECTURE_CLOSEST_MATCH_VLOOKUP.mp4</v>
      </c>
      <c r="B3" s="277"/>
      <c r="C3" s="311"/>
      <c r="D3" s="277"/>
      <c r="E3" s="311"/>
      <c r="F3" s="277"/>
      <c r="G3" s="311"/>
      <c r="H3" s="277"/>
      <c r="I3" s="277"/>
      <c r="J3" s="277"/>
    </row>
    <row r="4" spans="1:10" s="91" customFormat="1" x14ac:dyDescent="0.2">
      <c r="A4" s="305">
        <f>IF(B2="","",B2)</f>
        <v>4.108796296296297E-3</v>
      </c>
      <c r="B4" s="276"/>
      <c r="C4" s="278"/>
      <c r="D4" s="276"/>
      <c r="E4" s="278"/>
      <c r="F4" s="276"/>
      <c r="G4" s="278"/>
      <c r="H4" s="276"/>
      <c r="I4" s="276"/>
      <c r="J4" s="276"/>
    </row>
    <row r="5" spans="1:10" x14ac:dyDescent="0.2">
      <c r="A5" s="91"/>
    </row>
    <row r="6" spans="1:10" x14ac:dyDescent="0.2">
      <c r="A6" s="117" t="s">
        <v>0</v>
      </c>
      <c r="B6" s="118"/>
      <c r="C6" s="118"/>
      <c r="D6" s="118"/>
      <c r="E6" s="118"/>
      <c r="F6" s="118"/>
      <c r="G6" s="118"/>
      <c r="H6" s="118"/>
      <c r="I6" s="118"/>
      <c r="J6" s="118"/>
    </row>
    <row r="7" spans="1:10" ht="21" customHeight="1" x14ac:dyDescent="0.2">
      <c r="A7" s="117" t="s">
        <v>1</v>
      </c>
      <c r="B7" s="118"/>
      <c r="C7" s="118"/>
      <c r="D7" s="118"/>
      <c r="E7" s="118"/>
      <c r="F7" s="118"/>
      <c r="G7" s="118"/>
      <c r="H7" s="118"/>
      <c r="I7" s="118"/>
      <c r="J7" s="118"/>
    </row>
    <row r="9" spans="1:10" ht="12.75" customHeight="1" x14ac:dyDescent="0.2">
      <c r="A9" s="160" t="s">
        <v>2</v>
      </c>
      <c r="B9" s="171"/>
    </row>
    <row r="10" spans="1:10" ht="13.5" thickBot="1" x14ac:dyDescent="0.25">
      <c r="A10" s="145" t="s">
        <v>4</v>
      </c>
      <c r="B10" s="146" t="s">
        <v>5</v>
      </c>
    </row>
    <row r="11" spans="1:10" x14ac:dyDescent="0.2">
      <c r="A11" s="165">
        <v>0</v>
      </c>
      <c r="B11" s="166">
        <v>2.4500000000000002</v>
      </c>
      <c r="C11" s="90"/>
    </row>
    <row r="12" spans="1:10" x14ac:dyDescent="0.2">
      <c r="A12" s="167">
        <v>60</v>
      </c>
      <c r="B12" s="169">
        <v>2.27</v>
      </c>
    </row>
    <row r="13" spans="1:10" x14ac:dyDescent="0.2">
      <c r="A13" s="167">
        <v>120</v>
      </c>
      <c r="B13" s="169">
        <v>2.12</v>
      </c>
    </row>
    <row r="14" spans="1:10" ht="13.5" thickBot="1" x14ac:dyDescent="0.25">
      <c r="A14" s="168">
        <v>240</v>
      </c>
      <c r="B14" s="170">
        <v>2</v>
      </c>
    </row>
    <row r="15" spans="1:10" x14ac:dyDescent="0.2">
      <c r="A15" s="90"/>
    </row>
    <row r="16" spans="1:10" x14ac:dyDescent="0.2">
      <c r="A16" s="90"/>
    </row>
    <row r="17" spans="1:11" ht="38.25" x14ac:dyDescent="0.2">
      <c r="A17" s="156" t="s">
        <v>15</v>
      </c>
      <c r="B17" s="156" t="s">
        <v>16</v>
      </c>
      <c r="C17" s="120" t="s">
        <v>237</v>
      </c>
      <c r="D17" s="156" t="s">
        <v>18</v>
      </c>
      <c r="E17" s="120" t="s">
        <v>19</v>
      </c>
      <c r="F17" s="120" t="s">
        <v>20</v>
      </c>
      <c r="G17" s="120" t="s">
        <v>238</v>
      </c>
      <c r="H17" s="120" t="s">
        <v>22</v>
      </c>
      <c r="I17" s="120" t="s">
        <v>7</v>
      </c>
      <c r="J17" s="120" t="s">
        <v>23</v>
      </c>
    </row>
    <row r="18" spans="1:11" x14ac:dyDescent="0.2">
      <c r="A18" s="127">
        <v>1</v>
      </c>
      <c r="B18" s="128" t="s">
        <v>24</v>
      </c>
      <c r="C18" s="128" t="s">
        <v>10</v>
      </c>
      <c r="D18" s="127">
        <v>240</v>
      </c>
      <c r="E18" s="157">
        <f>VLOOKUP(D18,$A$11:$B$14,2,TRUE)</f>
        <v>2</v>
      </c>
      <c r="F18" s="157"/>
      <c r="G18" s="157"/>
      <c r="H18" s="157"/>
      <c r="I18" s="157"/>
      <c r="J18" s="157"/>
    </row>
    <row r="19" spans="1:11" x14ac:dyDescent="0.2">
      <c r="A19" s="127">
        <v>2</v>
      </c>
      <c r="B19" s="128" t="s">
        <v>25</v>
      </c>
      <c r="C19" s="128" t="s">
        <v>10</v>
      </c>
      <c r="D19" s="127">
        <v>30</v>
      </c>
      <c r="E19" s="158">
        <f t="shared" ref="E19:E23" si="0">VLOOKUP(D19,$A$11:$B$14,2,TRUE)</f>
        <v>2.4500000000000002</v>
      </c>
      <c r="F19" s="158"/>
      <c r="G19" s="158"/>
      <c r="H19" s="158"/>
      <c r="I19" s="158"/>
      <c r="J19" s="158"/>
    </row>
    <row r="20" spans="1:11" x14ac:dyDescent="0.2">
      <c r="A20" s="127">
        <v>3</v>
      </c>
      <c r="B20" s="128" t="s">
        <v>26</v>
      </c>
      <c r="C20" s="128" t="s">
        <v>12</v>
      </c>
      <c r="D20" s="127">
        <v>160</v>
      </c>
      <c r="E20" s="158">
        <f t="shared" si="0"/>
        <v>2.12</v>
      </c>
      <c r="F20" s="158"/>
      <c r="G20" s="158"/>
      <c r="H20" s="158"/>
      <c r="I20" s="158"/>
      <c r="J20" s="158"/>
    </row>
    <row r="21" spans="1:11" x14ac:dyDescent="0.2">
      <c r="A21" s="127">
        <v>4</v>
      </c>
      <c r="B21" s="128" t="s">
        <v>27</v>
      </c>
      <c r="C21" s="128" t="s">
        <v>8</v>
      </c>
      <c r="D21" s="127">
        <v>215</v>
      </c>
      <c r="E21" s="158">
        <f t="shared" si="0"/>
        <v>2.12</v>
      </c>
      <c r="F21" s="158"/>
      <c r="G21" s="158"/>
      <c r="H21" s="158"/>
      <c r="I21" s="158"/>
      <c r="J21" s="158"/>
    </row>
    <row r="22" spans="1:11" x14ac:dyDescent="0.2">
      <c r="A22" s="127">
        <v>5</v>
      </c>
      <c r="B22" s="128" t="s">
        <v>28</v>
      </c>
      <c r="C22" s="128" t="s">
        <v>8</v>
      </c>
      <c r="D22" s="127">
        <v>90</v>
      </c>
      <c r="E22" s="158">
        <f t="shared" si="0"/>
        <v>2.27</v>
      </c>
      <c r="F22" s="158"/>
      <c r="G22" s="158"/>
      <c r="H22" s="158"/>
      <c r="I22" s="158"/>
      <c r="J22" s="158"/>
    </row>
    <row r="23" spans="1:11" x14ac:dyDescent="0.2">
      <c r="A23" s="127">
        <v>6</v>
      </c>
      <c r="B23" s="128" t="s">
        <v>29</v>
      </c>
      <c r="C23" s="128" t="s">
        <v>14</v>
      </c>
      <c r="D23" s="127">
        <v>15</v>
      </c>
      <c r="E23" s="158">
        <f t="shared" si="0"/>
        <v>2.4500000000000002</v>
      </c>
      <c r="F23" s="158"/>
      <c r="G23" s="158"/>
      <c r="H23" s="158"/>
      <c r="I23" s="158"/>
      <c r="J23" s="158"/>
    </row>
    <row r="24" spans="1:11" s="99" customFormat="1" x14ac:dyDescent="0.2"/>
  </sheetData>
  <phoneticPr fontId="2" type="noConversion"/>
  <pageMargins left="0.75" right="0.75" top="1" bottom="1" header="0.5" footer="0.5"/>
  <pageSetup orientation="portrait" horizontalDpi="300" verticalDpi="300"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0">
    <pageSetUpPr autoPageBreaks="0"/>
  </sheetPr>
  <dimension ref="A1:N26"/>
  <sheetViews>
    <sheetView zoomScale="160" zoomScaleNormal="160" workbookViewId="0">
      <selection activeCell="B6" sqref="B6"/>
    </sheetView>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4" s="310" customFormat="1" ht="18" x14ac:dyDescent="0.25">
      <c r="A1" s="265" t="s">
        <v>207</v>
      </c>
      <c r="B1" s="309"/>
      <c r="C1" s="309"/>
      <c r="D1" s="309"/>
      <c r="E1" s="309"/>
      <c r="F1" s="309"/>
      <c r="G1" s="309"/>
      <c r="H1" s="309"/>
      <c r="I1" s="309"/>
      <c r="J1" s="309"/>
    </row>
    <row r="2" spans="1:14" s="298" customFormat="1" hidden="1" x14ac:dyDescent="0.2">
      <c r="A2" s="299"/>
      <c r="B2" s="299"/>
      <c r="C2" s="301"/>
      <c r="D2" s="299"/>
      <c r="E2" s="301"/>
      <c r="F2" s="299"/>
      <c r="G2" s="301"/>
      <c r="H2" s="299"/>
      <c r="I2" s="299"/>
      <c r="J2" s="299"/>
    </row>
    <row r="3" spans="1:14" s="273" customFormat="1" x14ac:dyDescent="0.2">
      <c r="A3" s="274" t="str">
        <f>IF(A2="","",IF(Disable_Video_Hyperlinks,A2,HYPERLINK(Video_website&amp;A2,A2)))</f>
        <v/>
      </c>
      <c r="B3" s="277"/>
      <c r="C3" s="311"/>
      <c r="D3" s="277"/>
      <c r="E3" s="311"/>
      <c r="F3" s="277"/>
      <c r="G3" s="311"/>
      <c r="H3" s="277"/>
      <c r="I3" s="277"/>
      <c r="J3" s="277"/>
    </row>
    <row r="4" spans="1:14" s="91" customFormat="1" x14ac:dyDescent="0.2">
      <c r="A4" s="305" t="str">
        <f>IF(B2="","",B2)</f>
        <v/>
      </c>
      <c r="B4" s="276"/>
      <c r="C4" s="278"/>
      <c r="D4" s="276"/>
      <c r="E4" s="278"/>
      <c r="F4" s="276"/>
      <c r="G4" s="278"/>
      <c r="H4" s="276"/>
      <c r="I4" s="276"/>
      <c r="J4" s="276"/>
      <c r="K4" s="270"/>
      <c r="L4" s="270"/>
      <c r="M4" s="270"/>
      <c r="N4" s="270"/>
    </row>
    <row r="6" spans="1:14" x14ac:dyDescent="0.2">
      <c r="A6" s="117" t="s">
        <v>0</v>
      </c>
      <c r="B6" s="118"/>
      <c r="C6" s="118"/>
      <c r="D6" s="118"/>
      <c r="E6" s="118"/>
      <c r="F6" s="118"/>
      <c r="G6" s="118"/>
      <c r="H6" s="118"/>
      <c r="I6" s="118"/>
      <c r="J6" s="118"/>
    </row>
    <row r="7" spans="1:14" ht="21" customHeight="1" x14ac:dyDescent="0.2">
      <c r="A7" s="117" t="s">
        <v>1</v>
      </c>
      <c r="B7" s="118"/>
      <c r="C7" s="118"/>
      <c r="D7" s="118"/>
      <c r="E7" s="118"/>
      <c r="F7" s="118"/>
      <c r="G7" s="118"/>
      <c r="H7" s="118"/>
      <c r="I7" s="118"/>
      <c r="J7" s="118"/>
    </row>
    <row r="8" spans="1:14" ht="12.75" customHeight="1" x14ac:dyDescent="0.2">
      <c r="H8" s="112"/>
    </row>
    <row r="9" spans="1:14" ht="12.75" customHeight="1" x14ac:dyDescent="0.2">
      <c r="A9" s="160" t="s">
        <v>2</v>
      </c>
      <c r="B9" s="171"/>
      <c r="H9" s="112"/>
    </row>
    <row r="10" spans="1:14" ht="13.5" thickBot="1" x14ac:dyDescent="0.25">
      <c r="A10" s="145" t="s">
        <v>4</v>
      </c>
      <c r="B10" s="146" t="s">
        <v>5</v>
      </c>
      <c r="H10" s="112"/>
    </row>
    <row r="11" spans="1:14" x14ac:dyDescent="0.2">
      <c r="A11" s="165">
        <v>0</v>
      </c>
      <c r="B11" s="166">
        <v>2.4500000000000002</v>
      </c>
      <c r="H11" s="112"/>
    </row>
    <row r="12" spans="1:14" x14ac:dyDescent="0.2">
      <c r="A12" s="167">
        <v>60</v>
      </c>
      <c r="B12" s="169">
        <v>2.27</v>
      </c>
      <c r="H12" s="112"/>
    </row>
    <row r="13" spans="1:14" x14ac:dyDescent="0.2">
      <c r="A13" s="167">
        <v>120</v>
      </c>
      <c r="B13" s="169">
        <v>2.12</v>
      </c>
      <c r="H13" s="112"/>
    </row>
    <row r="14" spans="1:14" ht="13.5" thickBot="1" x14ac:dyDescent="0.25">
      <c r="A14" s="168">
        <v>240</v>
      </c>
      <c r="B14" s="170">
        <v>2</v>
      </c>
      <c r="H14" s="112"/>
    </row>
    <row r="17" spans="1:10" ht="38.25" x14ac:dyDescent="0.2">
      <c r="A17" s="156" t="s">
        <v>15</v>
      </c>
      <c r="B17" s="156" t="s">
        <v>16</v>
      </c>
      <c r="C17" s="156" t="s">
        <v>237</v>
      </c>
      <c r="D17" s="156" t="s">
        <v>18</v>
      </c>
      <c r="E17" s="120" t="s">
        <v>19</v>
      </c>
      <c r="F17" s="120" t="s">
        <v>20</v>
      </c>
      <c r="G17" s="120" t="s">
        <v>238</v>
      </c>
      <c r="H17" s="120" t="s">
        <v>22</v>
      </c>
      <c r="I17" s="120" t="s">
        <v>7</v>
      </c>
      <c r="J17" s="120" t="s">
        <v>23</v>
      </c>
    </row>
    <row r="18" spans="1:10" x14ac:dyDescent="0.2">
      <c r="A18" s="127">
        <v>1</v>
      </c>
      <c r="B18" s="128" t="s">
        <v>24</v>
      </c>
      <c r="C18" s="128" t="s">
        <v>10</v>
      </c>
      <c r="D18" s="127">
        <v>240</v>
      </c>
      <c r="E18" s="157">
        <f>IF(D18=$A$11,$B$11,IF(D18&lt;$A$11,"#N/A",IF(D18&lt;$A$12,$B$11,IF(D18&lt;$A$13,$B$12,IF(D18&lt;$A$14,$B$13,$B$14)))))</f>
        <v>2</v>
      </c>
      <c r="F18" s="157"/>
      <c r="G18" s="157"/>
      <c r="H18" s="157"/>
      <c r="I18" s="157"/>
      <c r="J18" s="157"/>
    </row>
    <row r="19" spans="1:10" x14ac:dyDescent="0.2">
      <c r="A19" s="127">
        <v>2</v>
      </c>
      <c r="B19" s="128" t="s">
        <v>25</v>
      </c>
      <c r="C19" s="128" t="s">
        <v>10</v>
      </c>
      <c r="D19" s="127">
        <v>30</v>
      </c>
      <c r="E19" s="158">
        <f>IF(D19=$A$11,$B$11,IF(D19&lt;$A$11,"#N/A",IF(D19&lt;$A$12,$B$11,IF(D19&lt;$A$13,$B$12,IF(D19&lt;$A$14,$B$13,$B$14)))))</f>
        <v>2.4500000000000002</v>
      </c>
      <c r="F19" s="158"/>
      <c r="G19" s="158"/>
      <c r="H19" s="158"/>
      <c r="I19" s="158"/>
      <c r="J19" s="158"/>
    </row>
    <row r="20" spans="1:10" x14ac:dyDescent="0.2">
      <c r="A20" s="127">
        <v>3</v>
      </c>
      <c r="B20" s="128" t="s">
        <v>26</v>
      </c>
      <c r="C20" s="128" t="s">
        <v>12</v>
      </c>
      <c r="D20" s="127">
        <v>160</v>
      </c>
      <c r="E20" s="158">
        <f>IF(D20=$A$11,$B$11,IF(D20&lt;$A$11,"#N/A",IF(D20&lt;$A$12,$B$11,IF(D20&lt;$A$13,$B$12,IF(D20&lt;$A$14,$B$13,$B$14)))))</f>
        <v>2.12</v>
      </c>
      <c r="F20" s="158"/>
      <c r="G20" s="158"/>
      <c r="H20" s="158"/>
      <c r="I20" s="158"/>
      <c r="J20" s="158"/>
    </row>
    <row r="21" spans="1:10" x14ac:dyDescent="0.2">
      <c r="A21" s="127">
        <v>4</v>
      </c>
      <c r="B21" s="128" t="s">
        <v>27</v>
      </c>
      <c r="C21" s="128" t="s">
        <v>8</v>
      </c>
      <c r="D21" s="127">
        <v>215</v>
      </c>
      <c r="E21" s="158">
        <f>IF(D21=$A$11,$B$11,IF(D21&lt;$A$11,"#N/A",IF(D21&lt;$A$12,$B$11,IF(D21&lt;$A$13,$B$12,IF(D21&lt;$A$14,$B$13,$B$14)))))</f>
        <v>2.12</v>
      </c>
      <c r="F21" s="158"/>
      <c r="G21" s="158"/>
      <c r="H21" s="158"/>
      <c r="I21" s="158"/>
      <c r="J21" s="158"/>
    </row>
    <row r="22" spans="1:10" x14ac:dyDescent="0.2">
      <c r="A22" s="127">
        <v>5</v>
      </c>
      <c r="B22" s="128" t="s">
        <v>28</v>
      </c>
      <c r="C22" s="128" t="s">
        <v>8</v>
      </c>
      <c r="D22" s="127">
        <v>90</v>
      </c>
      <c r="E22" s="158">
        <f>IF(D22=$A$11,$B$11,IF(D22&lt;$A$11,"#N/A",IF(D22&lt;$A$12,$B$11,IF(D22&lt;$A$13,$B$12,IF(D22&lt;$A$14,$B$13,$B$14)))))</f>
        <v>2.27</v>
      </c>
      <c r="F22" s="158"/>
      <c r="G22" s="158"/>
      <c r="H22" s="158"/>
      <c r="I22" s="158"/>
      <c r="J22" s="158"/>
    </row>
    <row r="23" spans="1:10" x14ac:dyDescent="0.2">
      <c r="A23" s="127">
        <v>6</v>
      </c>
      <c r="B23" s="128" t="s">
        <v>29</v>
      </c>
      <c r="C23" s="128" t="s">
        <v>14</v>
      </c>
      <c r="D23" s="127">
        <v>15</v>
      </c>
      <c r="E23" s="158">
        <f>VLOOKUP(D23,$A$11:$B$14,2,TRUE)</f>
        <v>2.4500000000000002</v>
      </c>
      <c r="F23" s="158"/>
      <c r="G23" s="158"/>
      <c r="H23" s="158"/>
      <c r="I23" s="158"/>
      <c r="J23" s="158"/>
    </row>
    <row r="24" spans="1:10" s="99" customFormat="1" x14ac:dyDescent="0.2"/>
    <row r="26" spans="1:10" x14ac:dyDescent="0.2"/>
  </sheetData>
  <phoneticPr fontId="2" type="noConversion"/>
  <pageMargins left="0.75" right="0.75" top="1" bottom="1" header="0.5" footer="0.5"/>
  <pageSetup orientation="portrait" horizontalDpi="300" verticalDpi="300" r:id="rId1"/>
  <headerFooter alignWithMargins="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1">
    <pageSetUpPr autoPageBreaks="0"/>
  </sheetPr>
  <dimension ref="A1:N24"/>
  <sheetViews>
    <sheetView zoomScale="145" zoomScaleNormal="145" workbookViewId="0">
      <selection activeCell="B6" sqref="B6"/>
    </sheetView>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4" s="310" customFormat="1" ht="18" x14ac:dyDescent="0.25">
      <c r="A1" s="265" t="s">
        <v>208</v>
      </c>
      <c r="B1" s="309"/>
      <c r="C1" s="309"/>
      <c r="D1" s="309"/>
      <c r="E1" s="309"/>
      <c r="F1" s="309"/>
      <c r="G1" s="309"/>
      <c r="H1" s="309"/>
      <c r="I1" s="309"/>
      <c r="J1" s="309"/>
    </row>
    <row r="2" spans="1:14" s="298" customFormat="1" hidden="1" x14ac:dyDescent="0.2">
      <c r="A2" s="299"/>
      <c r="B2" s="299"/>
      <c r="C2" s="301"/>
      <c r="D2" s="299"/>
      <c r="E2" s="301"/>
      <c r="F2" s="299"/>
      <c r="G2" s="301"/>
      <c r="H2" s="299"/>
      <c r="I2" s="299"/>
      <c r="J2" s="299"/>
    </row>
    <row r="3" spans="1:14" s="273" customFormat="1" x14ac:dyDescent="0.2">
      <c r="A3" s="274" t="str">
        <f>IF(A2="","",IF(Disable_Video_Hyperlinks,A2,HYPERLINK(Video_website&amp;A2,A2)))</f>
        <v/>
      </c>
      <c r="B3" s="277"/>
      <c r="C3" s="311"/>
      <c r="D3" s="277"/>
      <c r="E3" s="311"/>
      <c r="F3" s="277"/>
      <c r="G3" s="311"/>
      <c r="H3" s="277"/>
      <c r="I3" s="277"/>
      <c r="J3" s="277"/>
    </row>
    <row r="4" spans="1:14" s="91" customFormat="1" x14ac:dyDescent="0.2">
      <c r="A4" s="305" t="str">
        <f>IF(B2="","",B2)</f>
        <v/>
      </c>
      <c r="B4" s="276"/>
      <c r="C4" s="278"/>
      <c r="D4" s="276"/>
      <c r="E4" s="278"/>
      <c r="F4" s="276"/>
      <c r="G4" s="278"/>
      <c r="H4" s="276"/>
      <c r="I4" s="276"/>
      <c r="J4" s="276"/>
      <c r="K4" s="270"/>
      <c r="L4" s="270"/>
      <c r="M4" s="270"/>
      <c r="N4" s="270"/>
    </row>
    <row r="6" spans="1:14" x14ac:dyDescent="0.2">
      <c r="A6" s="117" t="s">
        <v>0</v>
      </c>
      <c r="B6" s="118"/>
      <c r="C6" s="118"/>
      <c r="D6" s="118"/>
      <c r="E6" s="118"/>
      <c r="F6" s="118"/>
      <c r="G6" s="118"/>
      <c r="H6" s="118"/>
      <c r="I6" s="118"/>
      <c r="J6" s="118"/>
    </row>
    <row r="7" spans="1:14" ht="21" customHeight="1" x14ac:dyDescent="0.2">
      <c r="A7" s="117" t="s">
        <v>1</v>
      </c>
      <c r="B7" s="118"/>
      <c r="C7" s="118"/>
      <c r="D7" s="118"/>
      <c r="E7" s="118"/>
      <c r="F7" s="118"/>
      <c r="G7" s="118"/>
      <c r="H7" s="118"/>
      <c r="I7" s="118"/>
      <c r="J7" s="118"/>
    </row>
    <row r="9" spans="1:14" ht="12.75" customHeight="1" x14ac:dyDescent="0.2">
      <c r="A9" s="160" t="s">
        <v>2</v>
      </c>
      <c r="B9" s="171"/>
    </row>
    <row r="10" spans="1:14" ht="13.5" thickBot="1" x14ac:dyDescent="0.25">
      <c r="A10" s="145" t="s">
        <v>4</v>
      </c>
      <c r="B10" s="146" t="s">
        <v>5</v>
      </c>
    </row>
    <row r="11" spans="1:14" x14ac:dyDescent="0.2">
      <c r="A11" s="165">
        <v>0</v>
      </c>
      <c r="B11" s="166">
        <v>2.4500000000000002</v>
      </c>
    </row>
    <row r="12" spans="1:14" x14ac:dyDescent="0.2">
      <c r="A12" s="167">
        <v>60</v>
      </c>
      <c r="B12" s="169">
        <v>2.27</v>
      </c>
    </row>
    <row r="13" spans="1:14" x14ac:dyDescent="0.2">
      <c r="A13" s="167">
        <v>120</v>
      </c>
      <c r="B13" s="169">
        <v>2.12</v>
      </c>
    </row>
    <row r="14" spans="1:14" ht="13.5" thickBot="1" x14ac:dyDescent="0.25">
      <c r="A14" s="168">
        <v>240</v>
      </c>
      <c r="B14" s="170">
        <v>2</v>
      </c>
    </row>
    <row r="17" spans="1:10" ht="38.25" x14ac:dyDescent="0.2">
      <c r="A17" s="156" t="s">
        <v>15</v>
      </c>
      <c r="B17" s="156" t="s">
        <v>16</v>
      </c>
      <c r="C17" s="156" t="s">
        <v>237</v>
      </c>
      <c r="D17" s="156" t="s">
        <v>18</v>
      </c>
      <c r="E17" s="120" t="s">
        <v>19</v>
      </c>
      <c r="F17" s="120" t="s">
        <v>20</v>
      </c>
      <c r="G17" s="120" t="s">
        <v>238</v>
      </c>
      <c r="H17" s="120" t="s">
        <v>22</v>
      </c>
      <c r="I17" s="120" t="s">
        <v>7</v>
      </c>
      <c r="J17" s="120" t="s">
        <v>23</v>
      </c>
    </row>
    <row r="18" spans="1:10" x14ac:dyDescent="0.2">
      <c r="A18" s="127">
        <v>1</v>
      </c>
      <c r="B18" s="128" t="s">
        <v>24</v>
      </c>
      <c r="C18" s="128" t="s">
        <v>10</v>
      </c>
      <c r="D18" s="127">
        <v>240</v>
      </c>
      <c r="E18" s="157">
        <f>IF(D18&gt;=$A$11,IF(D18&gt;=$A$12,IF(D18&gt;=$A$13,IF(D18&gt;=$A$14,$B$14,$B$13),$B$12),$B$11),"#N/A")</f>
        <v>2</v>
      </c>
      <c r="F18" s="157"/>
      <c r="G18" s="157"/>
      <c r="H18" s="157"/>
      <c r="I18" s="157"/>
      <c r="J18" s="157"/>
    </row>
    <row r="19" spans="1:10" x14ac:dyDescent="0.2">
      <c r="A19" s="127">
        <v>2</v>
      </c>
      <c r="B19" s="128" t="s">
        <v>25</v>
      </c>
      <c r="C19" s="128" t="s">
        <v>10</v>
      </c>
      <c r="D19" s="127">
        <v>30</v>
      </c>
      <c r="E19" s="158">
        <f>IF(D19&gt;=$A$11,IF(D19&gt;=$A$12,IF(D19&gt;=$A$13,IF(D19&gt;=$A$14,$B$14,$B$13),$B$12),$B$11),"#N/A")</f>
        <v>2.4500000000000002</v>
      </c>
      <c r="F19" s="158"/>
      <c r="G19" s="158"/>
      <c r="H19" s="158"/>
      <c r="I19" s="158"/>
      <c r="J19" s="158"/>
    </row>
    <row r="20" spans="1:10" x14ac:dyDescent="0.2">
      <c r="A20" s="127">
        <v>3</v>
      </c>
      <c r="B20" s="128" t="s">
        <v>26</v>
      </c>
      <c r="C20" s="128" t="s">
        <v>12</v>
      </c>
      <c r="D20" s="127">
        <v>160</v>
      </c>
      <c r="E20" s="158">
        <f>IF(D20&gt;=$A$11,IF(D20&gt;=$A$12,IF(D20&gt;=$A$13,IF(D20&gt;=$A$14,$B$14,$B$13),$B$12),$B$11),"#N/A")</f>
        <v>2.12</v>
      </c>
      <c r="F20" s="158"/>
      <c r="G20" s="158"/>
      <c r="H20" s="158"/>
      <c r="I20" s="158"/>
      <c r="J20" s="158"/>
    </row>
    <row r="21" spans="1:10" x14ac:dyDescent="0.2">
      <c r="A21" s="127">
        <v>4</v>
      </c>
      <c r="B21" s="128" t="s">
        <v>27</v>
      </c>
      <c r="C21" s="128" t="s">
        <v>8</v>
      </c>
      <c r="D21" s="127">
        <v>215</v>
      </c>
      <c r="E21" s="158">
        <f>IF(D21&gt;=$A$11,IF(D21&gt;=$A$12,IF(D21&gt;=$A$13,IF(D21&gt;=$A$14,$B$14,$B$13),$B$12),$B$11),"#N/A")</f>
        <v>2.12</v>
      </c>
      <c r="F21" s="158"/>
      <c r="G21" s="158"/>
      <c r="H21" s="158"/>
      <c r="I21" s="158"/>
      <c r="J21" s="158"/>
    </row>
    <row r="22" spans="1:10" x14ac:dyDescent="0.2">
      <c r="A22" s="127">
        <v>5</v>
      </c>
      <c r="B22" s="128" t="s">
        <v>28</v>
      </c>
      <c r="C22" s="128" t="s">
        <v>8</v>
      </c>
      <c r="D22" s="127">
        <v>90</v>
      </c>
      <c r="E22" s="158">
        <f>IF(D22&gt;=$A$11,IF(D22&gt;=$A$12,IF(D22&gt;=$A$13,IF(D22&gt;=$A$14,$B$14,$B$13),$B$12),$B$11),"#N/A")</f>
        <v>2.27</v>
      </c>
      <c r="F22" s="158"/>
      <c r="G22" s="158"/>
      <c r="H22" s="158"/>
      <c r="I22" s="158"/>
      <c r="J22" s="158"/>
    </row>
    <row r="23" spans="1:10" x14ac:dyDescent="0.2">
      <c r="A23" s="127">
        <v>6</v>
      </c>
      <c r="B23" s="128" t="s">
        <v>29</v>
      </c>
      <c r="C23" s="128" t="s">
        <v>14</v>
      </c>
      <c r="D23" s="127">
        <v>15</v>
      </c>
      <c r="E23" s="158">
        <f>VLOOKUP(D23,$A$11:$B$14,2,TRUE)</f>
        <v>2.4500000000000002</v>
      </c>
      <c r="F23" s="158"/>
      <c r="G23" s="158"/>
      <c r="H23" s="158"/>
      <c r="I23" s="158"/>
      <c r="J23" s="158"/>
    </row>
    <row r="24" spans="1:10" s="99" customFormat="1" x14ac:dyDescent="0.2"/>
  </sheetData>
  <phoneticPr fontId="2" type="noConversion"/>
  <pageMargins left="0.75" right="0.75" top="1" bottom="1" header="0.5" footer="0.5"/>
  <pageSetup orientation="portrait" horizontalDpi="300" verticalDpi="300" r:id="rId1"/>
  <headerFooter alignWithMargins="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8">
    <pageSetUpPr autoPageBreaks="0"/>
  </sheetPr>
  <dimension ref="A1:N24"/>
  <sheetViews>
    <sheetView zoomScale="145" zoomScaleNormal="145" workbookViewId="0">
      <selection activeCell="B6" sqref="B6"/>
    </sheetView>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4" s="310" customFormat="1" ht="18" x14ac:dyDescent="0.25">
      <c r="A1" s="265" t="s">
        <v>232</v>
      </c>
      <c r="B1" s="309"/>
      <c r="C1" s="309"/>
      <c r="D1" s="309"/>
      <c r="E1" s="309"/>
      <c r="F1" s="309"/>
      <c r="G1" s="309"/>
      <c r="H1" s="309"/>
      <c r="I1" s="309"/>
      <c r="J1" s="309"/>
    </row>
    <row r="2" spans="1:14" s="298" customFormat="1" hidden="1" x14ac:dyDescent="0.2">
      <c r="A2" s="299"/>
      <c r="B2" s="299"/>
      <c r="C2" s="301"/>
      <c r="D2" s="299"/>
      <c r="E2" s="301"/>
      <c r="F2" s="299"/>
      <c r="G2" s="301"/>
      <c r="H2" s="299"/>
      <c r="I2" s="299"/>
      <c r="J2" s="299"/>
    </row>
    <row r="3" spans="1:14" s="273" customFormat="1" x14ac:dyDescent="0.2">
      <c r="A3" s="274" t="str">
        <f>IF(A2="","",IF(Disable_Video_Hyperlinks,A2,HYPERLINK(Video_website&amp;A2,A2)))</f>
        <v/>
      </c>
      <c r="B3" s="277"/>
      <c r="C3" s="311"/>
      <c r="D3" s="277"/>
      <c r="E3" s="311"/>
      <c r="F3" s="277"/>
      <c r="G3" s="311"/>
      <c r="H3" s="277"/>
      <c r="I3" s="277"/>
      <c r="J3" s="277"/>
    </row>
    <row r="4" spans="1:14" s="91" customFormat="1" x14ac:dyDescent="0.2">
      <c r="A4" s="305" t="str">
        <f>IF(B2="","",B2)</f>
        <v/>
      </c>
      <c r="B4" s="276"/>
      <c r="C4" s="278"/>
      <c r="D4" s="276"/>
      <c r="E4" s="278"/>
      <c r="F4" s="276"/>
      <c r="G4" s="278"/>
      <c r="H4" s="276"/>
      <c r="I4" s="276"/>
      <c r="J4" s="276"/>
      <c r="K4" s="270"/>
      <c r="L4" s="270"/>
      <c r="M4" s="270"/>
      <c r="N4" s="270"/>
    </row>
    <row r="6" spans="1:14" x14ac:dyDescent="0.2">
      <c r="A6" s="117" t="s">
        <v>0</v>
      </c>
      <c r="B6" s="118"/>
      <c r="C6" s="118"/>
      <c r="D6" s="118"/>
      <c r="E6" s="118"/>
      <c r="F6" s="118"/>
      <c r="G6" s="118"/>
      <c r="H6" s="118"/>
      <c r="I6" s="118"/>
      <c r="J6" s="118"/>
    </row>
    <row r="7" spans="1:14" ht="21" customHeight="1" x14ac:dyDescent="0.2">
      <c r="A7" s="117" t="s">
        <v>1</v>
      </c>
      <c r="B7" s="118"/>
      <c r="C7" s="118"/>
      <c r="D7" s="118"/>
      <c r="E7" s="118"/>
      <c r="F7" s="118"/>
      <c r="G7" s="118"/>
      <c r="H7" s="118"/>
      <c r="I7" s="118"/>
      <c r="J7" s="118"/>
    </row>
    <row r="8" spans="1:14" x14ac:dyDescent="0.2"/>
    <row r="9" spans="1:14" ht="12.75" customHeight="1" x14ac:dyDescent="0.2">
      <c r="A9" s="160" t="s">
        <v>2</v>
      </c>
      <c r="B9" s="171"/>
    </row>
    <row r="10" spans="1:14" ht="13.5" thickBot="1" x14ac:dyDescent="0.25">
      <c r="A10" s="145" t="s">
        <v>4</v>
      </c>
      <c r="B10" s="146" t="s">
        <v>5</v>
      </c>
    </row>
    <row r="11" spans="1:14" x14ac:dyDescent="0.2">
      <c r="A11" s="165">
        <v>0</v>
      </c>
      <c r="B11" s="166">
        <v>2.4500000000000002</v>
      </c>
    </row>
    <row r="12" spans="1:14" x14ac:dyDescent="0.2">
      <c r="A12" s="167">
        <v>60</v>
      </c>
      <c r="B12" s="169">
        <v>2.27</v>
      </c>
    </row>
    <row r="13" spans="1:14" x14ac:dyDescent="0.2">
      <c r="A13" s="167">
        <v>120</v>
      </c>
      <c r="B13" s="169">
        <v>2.12</v>
      </c>
    </row>
    <row r="14" spans="1:14" ht="13.5" thickBot="1" x14ac:dyDescent="0.25">
      <c r="A14" s="168">
        <v>240</v>
      </c>
      <c r="B14" s="170">
        <v>2</v>
      </c>
    </row>
    <row r="17" spans="1:10" ht="38.25" x14ac:dyDescent="0.2">
      <c r="A17" s="156" t="s">
        <v>15</v>
      </c>
      <c r="B17" s="156" t="s">
        <v>16</v>
      </c>
      <c r="C17" s="156" t="s">
        <v>237</v>
      </c>
      <c r="D17" s="156" t="s">
        <v>18</v>
      </c>
      <c r="E17" s="120" t="s">
        <v>19</v>
      </c>
      <c r="F17" s="120" t="s">
        <v>20</v>
      </c>
      <c r="G17" s="120" t="s">
        <v>238</v>
      </c>
      <c r="H17" s="120" t="s">
        <v>22</v>
      </c>
      <c r="I17" s="120" t="s">
        <v>7</v>
      </c>
      <c r="J17" s="120" t="s">
        <v>23</v>
      </c>
    </row>
    <row r="18" spans="1:10" x14ac:dyDescent="0.2">
      <c r="A18" s="127">
        <v>1</v>
      </c>
      <c r="B18" s="128" t="s">
        <v>24</v>
      </c>
      <c r="C18" s="128" t="s">
        <v>10</v>
      </c>
      <c r="D18" s="127">
        <v>240</v>
      </c>
      <c r="E18" s="157">
        <f>IF(D18&gt;=$A$11,IF(D18&gt;=$A$12,IF(D18&gt;=$A$13,IF(D18&gt;=$A$14,$B$14,$B$13),$B$12),$B$11),"#N/A")</f>
        <v>2</v>
      </c>
      <c r="F18" s="157"/>
      <c r="G18" s="157"/>
      <c r="H18" s="157"/>
      <c r="I18" s="157"/>
      <c r="J18" s="157"/>
    </row>
    <row r="19" spans="1:10" x14ac:dyDescent="0.2">
      <c r="A19" s="127">
        <v>2</v>
      </c>
      <c r="B19" s="128" t="s">
        <v>25</v>
      </c>
      <c r="C19" s="128" t="s">
        <v>10</v>
      </c>
      <c r="D19" s="127">
        <v>30</v>
      </c>
      <c r="E19" s="158">
        <f>IF(D19&gt;=$A$11,IF(D19&gt;=$A$12,IF(D19&gt;=$A$13,IF(D19&gt;=$A$14,$B$14,$B$13),$B$12),$B$11),"#N/A")</f>
        <v>2.4500000000000002</v>
      </c>
      <c r="F19" s="158"/>
      <c r="G19" s="158"/>
      <c r="H19" s="158"/>
      <c r="I19" s="158"/>
      <c r="J19" s="158"/>
    </row>
    <row r="20" spans="1:10" x14ac:dyDescent="0.2">
      <c r="A20" s="127">
        <v>3</v>
      </c>
      <c r="B20" s="128" t="s">
        <v>26</v>
      </c>
      <c r="C20" s="128" t="s">
        <v>12</v>
      </c>
      <c r="D20" s="127">
        <v>160</v>
      </c>
      <c r="E20" s="158">
        <f>IF(D20&gt;=$A$11,IF(D20&gt;=$A$12,IF(D20&gt;=$A$13,IF(D20&gt;=$A$14,$B$14,$B$13),$B$12),$B$11),"#N/A")</f>
        <v>2.12</v>
      </c>
      <c r="F20" s="158"/>
      <c r="G20" s="158"/>
      <c r="H20" s="158"/>
      <c r="I20" s="158"/>
      <c r="J20" s="158"/>
    </row>
    <row r="21" spans="1:10" x14ac:dyDescent="0.2">
      <c r="A21" s="127">
        <v>4</v>
      </c>
      <c r="B21" s="128" t="s">
        <v>27</v>
      </c>
      <c r="C21" s="128" t="s">
        <v>8</v>
      </c>
      <c r="D21" s="127">
        <v>215</v>
      </c>
      <c r="E21" s="158">
        <f>IF(D21&gt;=$A$11,IF(D21&gt;=$A$12,IF(D21&gt;=$A$13,IF(D21&gt;=$A$14,$B$14,$B$13),$B$12),$B$11),"#N/A")</f>
        <v>2.12</v>
      </c>
      <c r="F21" s="158"/>
      <c r="G21" s="158"/>
      <c r="H21" s="158"/>
      <c r="I21" s="158"/>
      <c r="J21" s="158"/>
    </row>
    <row r="22" spans="1:10" x14ac:dyDescent="0.2">
      <c r="A22" s="127">
        <v>5</v>
      </c>
      <c r="B22" s="128" t="s">
        <v>28</v>
      </c>
      <c r="C22" s="128" t="s">
        <v>8</v>
      </c>
      <c r="D22" s="127">
        <v>90</v>
      </c>
      <c r="E22" s="158">
        <f>IF(D22&gt;=$A$11,IF(D22&gt;=$A$12,IF(D22&gt;=$A$13,IF(D22&gt;=$A$14,$B$14,$B$13),$B$12),$B$11),"#N/A")</f>
        <v>2.27</v>
      </c>
      <c r="F22" s="158"/>
      <c r="G22" s="158"/>
      <c r="H22" s="158"/>
      <c r="I22" s="158"/>
      <c r="J22" s="158"/>
    </row>
    <row r="23" spans="1:10" x14ac:dyDescent="0.2">
      <c r="A23" s="127">
        <v>6</v>
      </c>
      <c r="B23" s="128" t="s">
        <v>29</v>
      </c>
      <c r="C23" s="128" t="s">
        <v>14</v>
      </c>
      <c r="D23" s="127">
        <v>15</v>
      </c>
      <c r="E23" s="158">
        <f>VLOOKUP(D23,$A$11:$B$14,2,TRUE)</f>
        <v>2.4500000000000002</v>
      </c>
      <c r="F23" s="158"/>
      <c r="G23" s="158"/>
      <c r="H23" s="158"/>
      <c r="I23" s="158"/>
      <c r="J23" s="158"/>
    </row>
    <row r="24" spans="1:10" s="99" customFormat="1" x14ac:dyDescent="0.2"/>
  </sheetData>
  <phoneticPr fontId="2" type="noConversion"/>
  <pageMargins left="0.75" right="0.75" top="1" bottom="1" header="0.5" footer="0.5"/>
  <pageSetup orientation="portrait" horizontalDpi="300" verticalDpi="300" r:id="rId1"/>
  <headerFooter alignWithMargins="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5">
    <pageSetUpPr autoPageBreaks="0"/>
  </sheetPr>
  <dimension ref="A1:P24"/>
  <sheetViews>
    <sheetView zoomScale="145" zoomScaleNormal="145" workbookViewId="0"/>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2" s="310" customFormat="1" ht="18" x14ac:dyDescent="0.25">
      <c r="A1" s="265" t="s">
        <v>236</v>
      </c>
      <c r="B1" s="309"/>
      <c r="C1" s="309"/>
      <c r="D1" s="309"/>
      <c r="E1" s="309"/>
      <c r="F1" s="309"/>
      <c r="G1" s="309"/>
      <c r="H1" s="309"/>
      <c r="I1" s="309"/>
      <c r="J1" s="309"/>
      <c r="K1" s="309"/>
    </row>
    <row r="2" spans="1:12" s="298" customFormat="1" hidden="1" x14ac:dyDescent="0.2">
      <c r="A2" s="298" t="s">
        <v>335</v>
      </c>
      <c r="B2" s="314">
        <v>4.0509259259259257E-3</v>
      </c>
      <c r="C2" s="301"/>
      <c r="D2" s="299"/>
      <c r="E2" s="301"/>
      <c r="F2" s="299"/>
      <c r="G2" s="301"/>
      <c r="H2" s="299"/>
      <c r="I2" s="299"/>
      <c r="J2" s="299"/>
      <c r="K2" s="299"/>
    </row>
    <row r="3" spans="1:12" s="273" customFormat="1" x14ac:dyDescent="0.2">
      <c r="A3" s="274" t="str">
        <f>IF(A2="","",IF(Disable_Video_Hyperlinks,A2,HYPERLINK(Video_website&amp;A2,A2)))</f>
        <v>UNC_DAYT_EXCEL_3.2.4_LECTURE_RULES_FOR_CREATING_VLOOKUP_TABLE_ARRAYS.mp4</v>
      </c>
      <c r="B3" s="277"/>
      <c r="C3" s="311"/>
      <c r="D3" s="277"/>
      <c r="E3" s="311"/>
      <c r="F3" s="277"/>
      <c r="G3" s="311"/>
      <c r="H3" s="277"/>
      <c r="I3" s="277"/>
      <c r="J3" s="277"/>
      <c r="K3" s="277"/>
    </row>
    <row r="4" spans="1:12" s="91" customFormat="1" x14ac:dyDescent="0.2">
      <c r="A4" s="305">
        <f>IF(B2="","",B2)</f>
        <v>4.0509259259259257E-3</v>
      </c>
      <c r="B4" s="276"/>
      <c r="C4" s="278"/>
      <c r="D4" s="276"/>
      <c r="E4" s="278"/>
      <c r="F4" s="276"/>
      <c r="G4" s="278"/>
      <c r="H4" s="276"/>
      <c r="I4" s="276"/>
      <c r="J4" s="276"/>
      <c r="K4" s="276"/>
      <c r="L4" s="270"/>
    </row>
    <row r="6" spans="1:12" x14ac:dyDescent="0.2">
      <c r="A6" s="117" t="s">
        <v>0</v>
      </c>
      <c r="B6" s="118"/>
      <c r="C6" s="118"/>
      <c r="D6" s="118"/>
      <c r="E6" s="118"/>
      <c r="F6" s="118"/>
      <c r="G6" s="118"/>
      <c r="H6" s="118"/>
      <c r="I6" s="118"/>
      <c r="J6" s="118"/>
      <c r="K6" s="159"/>
    </row>
    <row r="7" spans="1:12" ht="21" customHeight="1" x14ac:dyDescent="0.2">
      <c r="A7" s="117" t="s">
        <v>1</v>
      </c>
      <c r="B7" s="118"/>
      <c r="C7" s="118"/>
      <c r="D7" s="118"/>
      <c r="E7" s="118"/>
      <c r="F7" s="118"/>
      <c r="G7" s="118"/>
      <c r="H7" s="118"/>
      <c r="I7" s="118"/>
      <c r="J7" s="118"/>
      <c r="K7" s="159"/>
    </row>
    <row r="9" spans="1:12" ht="12.75" customHeight="1" x14ac:dyDescent="0.2">
      <c r="D9" s="160" t="s">
        <v>3</v>
      </c>
      <c r="E9" s="160"/>
      <c r="G9" s="160" t="s">
        <v>3</v>
      </c>
      <c r="H9" s="160"/>
    </row>
    <row r="10" spans="1:12" ht="13.5" thickBot="1" x14ac:dyDescent="0.25">
      <c r="D10" s="172" t="s">
        <v>6</v>
      </c>
      <c r="E10" s="172" t="s">
        <v>5</v>
      </c>
      <c r="F10" s="7"/>
      <c r="G10" s="172" t="s">
        <v>5</v>
      </c>
      <c r="H10" s="172" t="s">
        <v>6</v>
      </c>
    </row>
    <row r="11" spans="1:12" x14ac:dyDescent="0.2">
      <c r="D11" s="165" t="s">
        <v>8</v>
      </c>
      <c r="E11" s="166">
        <v>0.25</v>
      </c>
      <c r="G11" s="173">
        <v>0.25</v>
      </c>
      <c r="H11" s="174" t="s">
        <v>8</v>
      </c>
    </row>
    <row r="12" spans="1:12" x14ac:dyDescent="0.2">
      <c r="D12" s="167" t="s">
        <v>10</v>
      </c>
      <c r="E12" s="169">
        <v>0.2</v>
      </c>
      <c r="G12" s="175">
        <v>0.2</v>
      </c>
      <c r="H12" s="176" t="s">
        <v>10</v>
      </c>
    </row>
    <row r="13" spans="1:12" x14ac:dyDescent="0.2">
      <c r="D13" s="167" t="s">
        <v>12</v>
      </c>
      <c r="E13" s="169">
        <v>0.15</v>
      </c>
      <c r="G13" s="175">
        <v>0.15</v>
      </c>
      <c r="H13" s="176" t="s">
        <v>12</v>
      </c>
    </row>
    <row r="14" spans="1:12" ht="13.5" thickBot="1" x14ac:dyDescent="0.25">
      <c r="D14" s="168" t="s">
        <v>14</v>
      </c>
      <c r="E14" s="170">
        <v>0</v>
      </c>
      <c r="G14" s="177">
        <v>0</v>
      </c>
      <c r="H14" s="178" t="s">
        <v>14</v>
      </c>
    </row>
    <row r="16" spans="1:12" x14ac:dyDescent="0.2"/>
    <row r="17" spans="1:16" ht="38.25" x14ac:dyDescent="0.2">
      <c r="A17" s="120" t="s">
        <v>15</v>
      </c>
      <c r="B17" s="120" t="s">
        <v>16</v>
      </c>
      <c r="C17" s="120" t="s">
        <v>237</v>
      </c>
      <c r="D17" s="120" t="s">
        <v>18</v>
      </c>
      <c r="E17" s="120" t="s">
        <v>19</v>
      </c>
      <c r="F17" s="120" t="s">
        <v>20</v>
      </c>
      <c r="G17" s="120" t="s">
        <v>238</v>
      </c>
      <c r="H17" s="120" t="s">
        <v>22</v>
      </c>
      <c r="I17" s="120" t="s">
        <v>7</v>
      </c>
      <c r="J17" s="120" t="s">
        <v>23</v>
      </c>
    </row>
    <row r="18" spans="1:16" x14ac:dyDescent="0.2">
      <c r="A18" s="127">
        <v>1</v>
      </c>
      <c r="B18" s="128" t="s">
        <v>24</v>
      </c>
      <c r="C18" s="128" t="s">
        <v>10</v>
      </c>
      <c r="D18" s="127">
        <v>240</v>
      </c>
      <c r="E18" s="157"/>
      <c r="F18" s="157"/>
      <c r="G18" s="157">
        <f t="shared" ref="G18:G23" si="0">VLOOKUP(C18,$D$11:$E$14,2,FALSE)</f>
        <v>0.2</v>
      </c>
      <c r="H18" s="157"/>
      <c r="I18" s="157"/>
      <c r="J18" s="157"/>
    </row>
    <row r="19" spans="1:16" x14ac:dyDescent="0.2">
      <c r="A19" s="127">
        <v>2</v>
      </c>
      <c r="B19" s="128" t="s">
        <v>25</v>
      </c>
      <c r="C19" s="128" t="s">
        <v>209</v>
      </c>
      <c r="D19" s="127">
        <v>30</v>
      </c>
      <c r="E19" s="158"/>
      <c r="F19" s="158"/>
      <c r="G19" s="158" t="e">
        <f t="shared" si="0"/>
        <v>#N/A</v>
      </c>
      <c r="H19" s="158"/>
      <c r="I19" s="158"/>
      <c r="J19" s="158"/>
    </row>
    <row r="20" spans="1:16" x14ac:dyDescent="0.2">
      <c r="A20" s="127">
        <v>3</v>
      </c>
      <c r="B20" s="128" t="s">
        <v>26</v>
      </c>
      <c r="C20" s="128" t="s">
        <v>12</v>
      </c>
      <c r="D20" s="127">
        <v>160</v>
      </c>
      <c r="E20" s="158"/>
      <c r="F20" s="158"/>
      <c r="G20" s="158">
        <f t="shared" si="0"/>
        <v>0.15</v>
      </c>
      <c r="H20" s="158"/>
      <c r="I20" s="158"/>
      <c r="J20" s="158"/>
    </row>
    <row r="21" spans="1:16" x14ac:dyDescent="0.2">
      <c r="A21" s="127">
        <v>4</v>
      </c>
      <c r="B21" s="128" t="s">
        <v>27</v>
      </c>
      <c r="C21" s="128" t="s">
        <v>215</v>
      </c>
      <c r="D21" s="127">
        <v>215</v>
      </c>
      <c r="E21" s="158"/>
      <c r="F21" s="158"/>
      <c r="G21" s="158" t="e">
        <f t="shared" si="0"/>
        <v>#N/A</v>
      </c>
      <c r="H21" s="158"/>
      <c r="I21" s="158"/>
      <c r="J21" s="158"/>
    </row>
    <row r="22" spans="1:16" x14ac:dyDescent="0.2">
      <c r="A22" s="127">
        <v>5</v>
      </c>
      <c r="B22" s="128" t="s">
        <v>28</v>
      </c>
      <c r="C22" s="128" t="s">
        <v>214</v>
      </c>
      <c r="D22" s="127">
        <v>90</v>
      </c>
      <c r="E22" s="158"/>
      <c r="F22" s="158"/>
      <c r="G22" s="158" t="e">
        <f t="shared" si="0"/>
        <v>#N/A</v>
      </c>
      <c r="H22" s="158"/>
      <c r="I22" s="158"/>
      <c r="J22" s="158"/>
    </row>
    <row r="23" spans="1:16" x14ac:dyDescent="0.2">
      <c r="A23" s="127">
        <v>6</v>
      </c>
      <c r="B23" s="128" t="s">
        <v>29</v>
      </c>
      <c r="C23" s="128" t="s">
        <v>14</v>
      </c>
      <c r="D23" s="127">
        <v>15</v>
      </c>
      <c r="E23" s="158"/>
      <c r="F23" s="158"/>
      <c r="G23" s="158">
        <f t="shared" si="0"/>
        <v>0</v>
      </c>
      <c r="H23" s="158"/>
      <c r="I23" s="158"/>
      <c r="J23" s="158"/>
    </row>
    <row r="24" spans="1:16" s="99" customFormat="1" x14ac:dyDescent="0.2">
      <c r="L24"/>
      <c r="M24"/>
      <c r="N24"/>
      <c r="O24"/>
      <c r="P24"/>
    </row>
  </sheetData>
  <autoFilter ref="A17:J24" xr:uid="{00000000-0009-0000-0000-00000A000000}"/>
  <phoneticPr fontId="2" type="noConversion"/>
  <pageMargins left="0.75" right="0.75" top="1" bottom="1" header="0.5" footer="0.5"/>
  <pageSetup orientation="portrait" horizontalDpi="300" verticalDpi="300"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4">
    <pageSetUpPr autoPageBreaks="0"/>
  </sheetPr>
  <dimension ref="A1:N24"/>
  <sheetViews>
    <sheetView zoomScale="160" zoomScaleNormal="160" workbookViewId="0">
      <selection activeCell="H22" sqref="H22"/>
    </sheetView>
  </sheetViews>
  <sheetFormatPr defaultRowHeight="12.75" x14ac:dyDescent="0.2"/>
  <cols>
    <col min="1" max="2" width="8.7109375" customWidth="1"/>
    <col min="4" max="4" width="9" customWidth="1"/>
    <col min="6" max="6" width="8.7109375" customWidth="1"/>
    <col min="7" max="7" width="9.140625" bestFit="1" customWidth="1"/>
    <col min="8" max="8" width="10" customWidth="1"/>
    <col min="9" max="9" width="9.5703125" customWidth="1"/>
  </cols>
  <sheetData>
    <row r="1" spans="1:14" s="310" customFormat="1" ht="18" x14ac:dyDescent="0.25">
      <c r="A1" s="265" t="s">
        <v>235</v>
      </c>
      <c r="B1" s="309"/>
      <c r="C1" s="309"/>
      <c r="D1" s="309"/>
      <c r="E1" s="309"/>
      <c r="F1" s="309"/>
      <c r="G1" s="309"/>
      <c r="H1" s="309"/>
      <c r="I1" s="309"/>
      <c r="J1" s="309"/>
    </row>
    <row r="2" spans="1:14" s="298" customFormat="1" hidden="1" x14ac:dyDescent="0.2">
      <c r="A2" s="299"/>
      <c r="B2" s="299"/>
      <c r="C2" s="301"/>
      <c r="D2" s="299"/>
      <c r="E2" s="301"/>
      <c r="F2" s="299"/>
      <c r="G2" s="301"/>
      <c r="H2" s="299"/>
      <c r="I2" s="299"/>
      <c r="J2" s="299"/>
    </row>
    <row r="3" spans="1:14" s="273" customFormat="1" x14ac:dyDescent="0.2">
      <c r="A3" s="274" t="str">
        <f>IF(A2="","",IF(Disable_Video_Hyperlinks,A2,HYPERLINK(Video_website&amp;A2,A2)))</f>
        <v/>
      </c>
      <c r="B3" s="277"/>
      <c r="C3" s="311"/>
      <c r="D3" s="277"/>
      <c r="E3" s="311"/>
      <c r="F3" s="277"/>
      <c r="G3" s="311"/>
      <c r="H3" s="277"/>
      <c r="I3" s="277"/>
      <c r="J3" s="277"/>
    </row>
    <row r="4" spans="1:14" s="91" customFormat="1" x14ac:dyDescent="0.2">
      <c r="A4" s="305" t="str">
        <f>IF(B2="","",B2)</f>
        <v/>
      </c>
      <c r="B4" s="276"/>
      <c r="C4" s="278"/>
      <c r="D4" s="276"/>
      <c r="E4" s="278"/>
      <c r="F4" s="276"/>
      <c r="G4" s="278"/>
      <c r="H4" s="276"/>
      <c r="I4" s="276"/>
      <c r="J4" s="276"/>
      <c r="K4" s="270"/>
    </row>
    <row r="6" spans="1:14" x14ac:dyDescent="0.2">
      <c r="A6" s="117" t="s">
        <v>0</v>
      </c>
      <c r="B6" s="118"/>
      <c r="C6" s="118"/>
      <c r="D6" s="118"/>
      <c r="E6" s="118"/>
      <c r="F6" s="118"/>
      <c r="G6" s="118"/>
      <c r="H6" s="118"/>
      <c r="I6" s="118"/>
      <c r="J6" s="118"/>
      <c r="K6" s="179"/>
      <c r="L6" s="179"/>
      <c r="M6" s="179"/>
      <c r="N6" s="179"/>
    </row>
    <row r="7" spans="1:14" ht="21" customHeight="1" x14ac:dyDescent="0.2">
      <c r="A7" s="117" t="s">
        <v>1</v>
      </c>
      <c r="B7" s="118"/>
      <c r="C7" s="118"/>
      <c r="D7" s="118"/>
      <c r="E7" s="118"/>
      <c r="F7" s="118"/>
      <c r="G7" s="118"/>
      <c r="H7" s="118"/>
      <c r="I7" s="118"/>
      <c r="J7" s="118"/>
      <c r="K7" s="179"/>
      <c r="L7" s="179"/>
      <c r="M7" s="179"/>
      <c r="N7" s="179"/>
    </row>
    <row r="8" spans="1:14" x14ac:dyDescent="0.2">
      <c r="A8" s="95" t="s">
        <v>234</v>
      </c>
      <c r="B8" s="87"/>
      <c r="D8" s="95" t="s">
        <v>325</v>
      </c>
      <c r="E8" s="87"/>
      <c r="G8" s="95" t="s">
        <v>326</v>
      </c>
      <c r="H8" s="87"/>
      <c r="J8" s="95" t="s">
        <v>327</v>
      </c>
      <c r="K8" s="87"/>
      <c r="M8" s="95" t="s">
        <v>233</v>
      </c>
      <c r="N8" s="87"/>
    </row>
    <row r="9" spans="1:14" ht="25.5" x14ac:dyDescent="0.2">
      <c r="A9" s="160" t="s">
        <v>2</v>
      </c>
      <c r="B9" s="171"/>
      <c r="C9" s="7"/>
      <c r="D9" s="160" t="s">
        <v>2</v>
      </c>
      <c r="E9" s="171"/>
      <c r="F9" s="7"/>
      <c r="G9" s="160" t="s">
        <v>2</v>
      </c>
      <c r="H9" s="171"/>
      <c r="I9" s="7"/>
      <c r="J9" s="160" t="s">
        <v>2</v>
      </c>
      <c r="K9" s="171"/>
      <c r="L9" s="7"/>
      <c r="M9" s="160" t="s">
        <v>2</v>
      </c>
      <c r="N9" s="171"/>
    </row>
    <row r="10" spans="1:14" x14ac:dyDescent="0.2">
      <c r="A10" s="122" t="s">
        <v>5</v>
      </c>
      <c r="B10" s="122" t="s">
        <v>4</v>
      </c>
      <c r="C10" s="7"/>
      <c r="D10" s="122" t="s">
        <v>5</v>
      </c>
      <c r="E10" s="122" t="s">
        <v>4</v>
      </c>
      <c r="F10" s="7"/>
      <c r="G10" s="122" t="s">
        <v>4</v>
      </c>
      <c r="H10" s="122" t="s">
        <v>5</v>
      </c>
      <c r="I10" s="7"/>
      <c r="J10" s="122" t="s">
        <v>4</v>
      </c>
      <c r="K10" s="122" t="s">
        <v>5</v>
      </c>
      <c r="L10" s="7"/>
      <c r="M10" s="122" t="s">
        <v>4</v>
      </c>
      <c r="N10" s="122" t="s">
        <v>5</v>
      </c>
    </row>
    <row r="11" spans="1:14" x14ac:dyDescent="0.2">
      <c r="A11" s="180">
        <v>2</v>
      </c>
      <c r="B11" s="181" t="s">
        <v>212</v>
      </c>
      <c r="C11" s="182"/>
      <c r="D11" s="180">
        <v>2.4500000000000002</v>
      </c>
      <c r="E11" s="183">
        <v>0</v>
      </c>
      <c r="G11" s="181" t="s">
        <v>213</v>
      </c>
      <c r="H11" s="180">
        <v>2.4500000000000002</v>
      </c>
      <c r="I11" s="182"/>
      <c r="J11" s="183">
        <v>240</v>
      </c>
      <c r="K11" s="180">
        <v>2</v>
      </c>
      <c r="L11" s="182"/>
      <c r="M11" s="183">
        <v>0</v>
      </c>
      <c r="N11" s="180">
        <v>2.4500000000000002</v>
      </c>
    </row>
    <row r="12" spans="1:14" x14ac:dyDescent="0.2">
      <c r="A12" s="184">
        <v>2.12</v>
      </c>
      <c r="B12" s="181" t="s">
        <v>211</v>
      </c>
      <c r="C12" s="182"/>
      <c r="D12" s="184">
        <v>2.27</v>
      </c>
      <c r="E12" s="183">
        <v>60</v>
      </c>
      <c r="G12" s="181" t="s">
        <v>210</v>
      </c>
      <c r="H12" s="184">
        <v>2.27</v>
      </c>
      <c r="I12" s="182"/>
      <c r="J12" s="183">
        <v>120</v>
      </c>
      <c r="K12" s="184">
        <v>2.12</v>
      </c>
      <c r="L12" s="182"/>
      <c r="M12" s="183">
        <v>60</v>
      </c>
      <c r="N12" s="184">
        <v>2.27</v>
      </c>
    </row>
    <row r="13" spans="1:14" x14ac:dyDescent="0.2">
      <c r="A13" s="184">
        <v>2.27</v>
      </c>
      <c r="B13" s="181" t="s">
        <v>210</v>
      </c>
      <c r="C13" s="182"/>
      <c r="D13" s="184">
        <v>2.12</v>
      </c>
      <c r="E13" s="183">
        <v>120</v>
      </c>
      <c r="G13" s="181" t="s">
        <v>348</v>
      </c>
      <c r="H13" s="184">
        <v>2.12</v>
      </c>
      <c r="I13" s="182"/>
      <c r="J13" s="183">
        <v>60</v>
      </c>
      <c r="K13" s="184">
        <v>2.27</v>
      </c>
      <c r="L13" s="182"/>
      <c r="M13" s="183">
        <v>120</v>
      </c>
      <c r="N13" s="184">
        <v>2.12</v>
      </c>
    </row>
    <row r="14" spans="1:14" x14ac:dyDescent="0.2">
      <c r="A14" s="184">
        <v>2.4500000000000002</v>
      </c>
      <c r="B14" s="181" t="s">
        <v>213</v>
      </c>
      <c r="C14" s="182"/>
      <c r="D14" s="184">
        <v>2</v>
      </c>
      <c r="E14" s="183">
        <v>240</v>
      </c>
      <c r="G14" s="181" t="s">
        <v>212</v>
      </c>
      <c r="H14" s="184">
        <v>2</v>
      </c>
      <c r="I14" s="182"/>
      <c r="J14" s="183">
        <v>0</v>
      </c>
      <c r="K14" s="184">
        <v>2.4500000000000002</v>
      </c>
      <c r="L14" s="182"/>
      <c r="M14" s="183">
        <v>240</v>
      </c>
      <c r="N14" s="184">
        <v>2</v>
      </c>
    </row>
    <row r="15" spans="1:14" x14ac:dyDescent="0.2">
      <c r="A15" s="7"/>
      <c r="B15" s="7"/>
      <c r="C15" s="7"/>
      <c r="D15" s="7"/>
      <c r="E15" s="7"/>
      <c r="F15" s="7"/>
      <c r="G15" s="7"/>
      <c r="H15" s="7"/>
      <c r="I15" s="7"/>
      <c r="J15" s="7"/>
      <c r="K15" s="7"/>
      <c r="L15" s="7"/>
      <c r="M15" s="7"/>
      <c r="N15" s="7"/>
    </row>
    <row r="16" spans="1:14" x14ac:dyDescent="0.2">
      <c r="A16" s="7"/>
      <c r="B16" s="7"/>
      <c r="C16" s="7"/>
      <c r="D16" s="7"/>
      <c r="E16" s="7"/>
      <c r="F16" s="7"/>
      <c r="G16" s="7"/>
      <c r="H16" s="7"/>
      <c r="I16" s="7"/>
      <c r="J16" s="7"/>
      <c r="K16" s="7"/>
      <c r="L16" s="7"/>
      <c r="M16" s="7"/>
      <c r="N16" s="7"/>
    </row>
    <row r="17" spans="1:14" ht="25.5" x14ac:dyDescent="0.2">
      <c r="A17" s="156" t="s">
        <v>15</v>
      </c>
      <c r="B17" s="156" t="s">
        <v>16</v>
      </c>
      <c r="C17" s="156" t="s">
        <v>17</v>
      </c>
      <c r="D17" s="156" t="s">
        <v>18</v>
      </c>
      <c r="E17" s="120" t="s">
        <v>19</v>
      </c>
      <c r="F17" s="7"/>
      <c r="G17" s="120" t="s">
        <v>19</v>
      </c>
      <c r="H17" s="7"/>
      <c r="I17" s="120" t="s">
        <v>19</v>
      </c>
      <c r="J17" s="7"/>
      <c r="K17" s="120" t="s">
        <v>19</v>
      </c>
      <c r="L17" s="7"/>
      <c r="M17" s="120" t="s">
        <v>19</v>
      </c>
      <c r="N17" s="7"/>
    </row>
    <row r="18" spans="1:14" x14ac:dyDescent="0.2">
      <c r="A18" s="127">
        <v>1</v>
      </c>
      <c r="B18" s="128" t="s">
        <v>24</v>
      </c>
      <c r="C18" s="128" t="s">
        <v>10</v>
      </c>
      <c r="D18" s="127">
        <v>240</v>
      </c>
      <c r="E18" s="157" t="str">
        <f>VLOOKUP(D18,$A$11:$B$14,2,TRUE)</f>
        <v>&lt; 60</v>
      </c>
      <c r="F18" s="20"/>
      <c r="G18" s="157">
        <f t="shared" ref="G18:G23" si="0">VLOOKUP(D18,$D$11:$E$14,2,TRUE)</f>
        <v>240</v>
      </c>
      <c r="H18" s="20"/>
      <c r="I18" s="157" t="e">
        <f t="shared" ref="I18:I23" si="1">VLOOKUP(D18,$G$11:$H$14,2,TRUE)</f>
        <v>#N/A</v>
      </c>
      <c r="J18" s="20"/>
      <c r="K18" s="157">
        <f t="shared" ref="K18:K23" si="2">VLOOKUP(D18,$J$11:$K$14,2,TRUE)</f>
        <v>2.4500000000000002</v>
      </c>
      <c r="L18" s="20"/>
      <c r="M18" s="157">
        <f>VLOOKUP(D18,$M$11:$N$14,2,TRUE)</f>
        <v>2</v>
      </c>
      <c r="N18" s="7"/>
    </row>
    <row r="19" spans="1:14" x14ac:dyDescent="0.2">
      <c r="A19" s="127">
        <v>2</v>
      </c>
      <c r="B19" s="128" t="s">
        <v>25</v>
      </c>
      <c r="C19" s="128" t="s">
        <v>10</v>
      </c>
      <c r="D19" s="127">
        <v>30</v>
      </c>
      <c r="E19" s="157" t="str">
        <f t="shared" ref="E19:E23" si="3">VLOOKUP(D19,$A$11:$B$14,2,TRUE)</f>
        <v>&lt; 60</v>
      </c>
      <c r="F19" s="20"/>
      <c r="G19" s="158">
        <f t="shared" si="0"/>
        <v>240</v>
      </c>
      <c r="H19" s="185"/>
      <c r="I19" s="158" t="e">
        <f t="shared" si="1"/>
        <v>#N/A</v>
      </c>
      <c r="J19" s="185"/>
      <c r="K19" s="158" t="e">
        <f t="shared" si="2"/>
        <v>#N/A</v>
      </c>
      <c r="L19" s="20"/>
      <c r="M19" s="158">
        <f t="shared" ref="M19:M23" si="4">VLOOKUP(D19,$M$11:$N$14,2,TRUE)</f>
        <v>2.4500000000000002</v>
      </c>
      <c r="N19" s="7"/>
    </row>
    <row r="20" spans="1:14" x14ac:dyDescent="0.2">
      <c r="A20" s="127">
        <v>3</v>
      </c>
      <c r="B20" s="128" t="s">
        <v>26</v>
      </c>
      <c r="C20" s="128" t="s">
        <v>12</v>
      </c>
      <c r="D20" s="127">
        <v>160</v>
      </c>
      <c r="E20" s="157" t="str">
        <f t="shared" si="3"/>
        <v>&lt; 60</v>
      </c>
      <c r="F20" s="20"/>
      <c r="G20" s="158">
        <f t="shared" si="0"/>
        <v>240</v>
      </c>
      <c r="H20" s="185"/>
      <c r="I20" s="158" t="e">
        <f t="shared" si="1"/>
        <v>#N/A</v>
      </c>
      <c r="J20" s="185"/>
      <c r="K20" s="158">
        <f t="shared" si="2"/>
        <v>2.4500000000000002</v>
      </c>
      <c r="L20" s="20"/>
      <c r="M20" s="158">
        <f t="shared" si="4"/>
        <v>2.12</v>
      </c>
      <c r="N20" s="7"/>
    </row>
    <row r="21" spans="1:14" x14ac:dyDescent="0.2">
      <c r="A21" s="127">
        <v>4</v>
      </c>
      <c r="B21" s="128" t="s">
        <v>27</v>
      </c>
      <c r="C21" s="128" t="s">
        <v>8</v>
      </c>
      <c r="D21" s="127">
        <v>215</v>
      </c>
      <c r="E21" s="157" t="str">
        <f t="shared" si="3"/>
        <v>&lt; 60</v>
      </c>
      <c r="F21" s="20"/>
      <c r="G21" s="158">
        <f t="shared" si="0"/>
        <v>240</v>
      </c>
      <c r="H21" s="185"/>
      <c r="I21" s="158" t="e">
        <f t="shared" si="1"/>
        <v>#N/A</v>
      </c>
      <c r="J21" s="185"/>
      <c r="K21" s="158">
        <f t="shared" si="2"/>
        <v>2.4500000000000002</v>
      </c>
      <c r="L21" s="20"/>
      <c r="M21" s="158">
        <f t="shared" si="4"/>
        <v>2.12</v>
      </c>
      <c r="N21" s="7"/>
    </row>
    <row r="22" spans="1:14" x14ac:dyDescent="0.2">
      <c r="A22" s="127">
        <v>5</v>
      </c>
      <c r="B22" s="128" t="s">
        <v>28</v>
      </c>
      <c r="C22" s="128" t="s">
        <v>8</v>
      </c>
      <c r="D22" s="127">
        <v>90</v>
      </c>
      <c r="E22" s="157" t="str">
        <f t="shared" si="3"/>
        <v>&lt; 60</v>
      </c>
      <c r="F22" s="20"/>
      <c r="G22" s="158">
        <f t="shared" si="0"/>
        <v>240</v>
      </c>
      <c r="H22" s="185"/>
      <c r="I22" s="158" t="e">
        <f t="shared" si="1"/>
        <v>#N/A</v>
      </c>
      <c r="J22" s="185"/>
      <c r="K22" s="158" t="e">
        <f t="shared" si="2"/>
        <v>#N/A</v>
      </c>
      <c r="L22" s="20"/>
      <c r="M22" s="158">
        <f t="shared" si="4"/>
        <v>2.27</v>
      </c>
      <c r="N22" s="7"/>
    </row>
    <row r="23" spans="1:14" x14ac:dyDescent="0.2">
      <c r="A23" s="127">
        <v>6</v>
      </c>
      <c r="B23" s="128" t="s">
        <v>29</v>
      </c>
      <c r="C23" s="128" t="s">
        <v>14</v>
      </c>
      <c r="D23" s="127">
        <v>15</v>
      </c>
      <c r="E23" s="157" t="str">
        <f t="shared" si="3"/>
        <v>&lt; 60</v>
      </c>
      <c r="F23" s="20"/>
      <c r="G23" s="158">
        <f t="shared" si="0"/>
        <v>240</v>
      </c>
      <c r="H23" s="185"/>
      <c r="I23" s="158" t="e">
        <f t="shared" si="1"/>
        <v>#N/A</v>
      </c>
      <c r="J23" s="185"/>
      <c r="K23" s="158" t="e">
        <f t="shared" si="2"/>
        <v>#N/A</v>
      </c>
      <c r="L23" s="20"/>
      <c r="M23" s="158">
        <f t="shared" si="4"/>
        <v>2.4500000000000002</v>
      </c>
      <c r="N23" s="7"/>
    </row>
    <row r="24" spans="1:14" s="99" customFormat="1" x14ac:dyDescent="0.2">
      <c r="A24" s="20"/>
      <c r="B24" s="20"/>
      <c r="C24" s="20"/>
      <c r="D24" s="20"/>
      <c r="E24" s="20"/>
      <c r="F24" s="20"/>
      <c r="G24" s="20"/>
      <c r="H24" s="20"/>
      <c r="I24" s="20"/>
      <c r="J24" s="20"/>
      <c r="K24" s="20"/>
      <c r="L24" s="20"/>
      <c r="M24" s="20"/>
      <c r="N24" s="20"/>
    </row>
  </sheetData>
  <sortState xmlns:xlrd2="http://schemas.microsoft.com/office/spreadsheetml/2017/richdata2" ref="A11:B14">
    <sortCondition ref="B38:B41"/>
  </sortState>
  <phoneticPr fontId="2" type="noConversion"/>
  <pageMargins left="0.75" right="0.75" top="1" bottom="1" header="0.5" footer="0.5"/>
  <pageSetup orientation="portrait" horizontalDpi="300" verticalDpi="300" r:id="rId1"/>
  <headerFooter alignWithMargins="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6">
    <pageSetUpPr autoPageBreaks="0"/>
  </sheetPr>
  <dimension ref="A1:T38"/>
  <sheetViews>
    <sheetView zoomScale="160" zoomScaleNormal="160" workbookViewId="0">
      <selection activeCell="H16" sqref="H16"/>
    </sheetView>
  </sheetViews>
  <sheetFormatPr defaultRowHeight="12.75" outlineLevelCol="1" x14ac:dyDescent="0.2"/>
  <cols>
    <col min="1" max="2" width="8.7109375" customWidth="1"/>
    <col min="3" max="3" width="15.7109375" customWidth="1"/>
    <col min="4" max="4" width="9" customWidth="1"/>
    <col min="6" max="7" width="8.7109375" customWidth="1"/>
    <col min="8" max="8" width="10" customWidth="1"/>
    <col min="9" max="9" width="9.5703125" customWidth="1"/>
    <col min="14" max="16" width="0" hidden="1" customWidth="1" outlineLevel="1"/>
    <col min="17" max="17" width="9.140625" collapsed="1"/>
  </cols>
  <sheetData>
    <row r="1" spans="1:20" s="310" customFormat="1" ht="18" x14ac:dyDescent="0.25">
      <c r="A1" s="265" t="s">
        <v>216</v>
      </c>
      <c r="B1" s="309"/>
      <c r="C1" s="309"/>
      <c r="D1" s="309"/>
      <c r="E1" s="309"/>
      <c r="F1" s="309"/>
      <c r="G1" s="309"/>
      <c r="H1" s="309"/>
      <c r="I1" s="309"/>
      <c r="J1" s="309"/>
    </row>
    <row r="2" spans="1:20" s="298" customFormat="1" hidden="1" x14ac:dyDescent="0.2">
      <c r="A2" s="299" t="s">
        <v>336</v>
      </c>
      <c r="B2" s="313">
        <v>3.1134259259259257E-3</v>
      </c>
      <c r="C2" s="301"/>
      <c r="D2" s="299"/>
      <c r="E2" s="301"/>
      <c r="F2" s="299"/>
      <c r="G2" s="301"/>
      <c r="H2" s="299"/>
      <c r="I2" s="299"/>
      <c r="J2" s="299"/>
    </row>
    <row r="3" spans="1:20" s="273" customFormat="1" x14ac:dyDescent="0.2">
      <c r="A3" s="274" t="str">
        <f>IF(A2="","",IF(Disable_Video_Hyperlinks,A2,HYPERLINK(Video_website&amp;A2,A2)))</f>
        <v>UNC_DAYT_EXCEL_3.2.5_LECTURE_CLEAR_VLOOKUP_TABLES.mp4</v>
      </c>
      <c r="B3" s="277"/>
      <c r="C3" s="311"/>
      <c r="D3" s="277"/>
      <c r="E3" s="311"/>
      <c r="F3" s="277"/>
      <c r="G3" s="311"/>
      <c r="H3" s="277"/>
      <c r="I3" s="277"/>
      <c r="J3" s="277"/>
    </row>
    <row r="4" spans="1:20" s="91" customFormat="1" x14ac:dyDescent="0.2">
      <c r="A4" s="305">
        <f>IF(B2="","",B2)</f>
        <v>3.1134259259259257E-3</v>
      </c>
      <c r="B4" s="276"/>
      <c r="C4" s="278"/>
      <c r="D4" s="276"/>
      <c r="E4" s="278"/>
      <c r="F4" s="276"/>
      <c r="G4" s="278"/>
      <c r="H4" s="276"/>
      <c r="I4" s="276"/>
      <c r="J4" s="276"/>
      <c r="K4" s="270"/>
      <c r="L4" s="270"/>
    </row>
    <row r="6" spans="1:20" x14ac:dyDescent="0.2">
      <c r="A6" s="117" t="s">
        <v>0</v>
      </c>
      <c r="B6" s="118"/>
      <c r="C6" s="118"/>
      <c r="D6" s="118"/>
      <c r="E6" s="118"/>
      <c r="F6" s="118"/>
      <c r="G6" s="118"/>
      <c r="H6" s="118"/>
      <c r="I6" s="118"/>
      <c r="J6" s="118"/>
      <c r="K6" s="179"/>
      <c r="L6" s="179"/>
      <c r="M6" s="179"/>
      <c r="N6" s="179"/>
      <c r="O6" s="179"/>
      <c r="P6" s="179"/>
      <c r="Q6" s="179"/>
      <c r="R6" s="179"/>
      <c r="S6" s="179"/>
      <c r="T6" s="179"/>
    </row>
    <row r="7" spans="1:20" ht="21" customHeight="1" x14ac:dyDescent="0.2">
      <c r="A7" s="117" t="s">
        <v>1</v>
      </c>
      <c r="B7" s="118"/>
      <c r="C7" s="118"/>
      <c r="D7" s="118"/>
      <c r="E7" s="118"/>
      <c r="F7" s="118"/>
      <c r="G7" s="118"/>
      <c r="H7" s="118"/>
      <c r="I7" s="118"/>
      <c r="J7" s="118"/>
      <c r="K7" s="179"/>
      <c r="L7" s="179"/>
      <c r="M7" s="179"/>
      <c r="N7" s="179"/>
      <c r="O7" s="179"/>
      <c r="P7" s="179"/>
      <c r="Q7" s="179"/>
      <c r="R7" s="179"/>
      <c r="S7" s="179"/>
      <c r="T7" s="179"/>
    </row>
    <row r="8" spans="1:20" x14ac:dyDescent="0.2">
      <c r="G8" s="95" t="s">
        <v>310</v>
      </c>
      <c r="H8" s="95"/>
      <c r="J8" s="95" t="s">
        <v>309</v>
      </c>
      <c r="K8" s="95"/>
      <c r="L8" s="95"/>
      <c r="N8" s="95" t="s">
        <v>309</v>
      </c>
      <c r="O8" s="95"/>
      <c r="P8" s="95"/>
      <c r="Q8" s="95" t="s">
        <v>309</v>
      </c>
      <c r="R8" s="95"/>
      <c r="S8" s="95"/>
    </row>
    <row r="9" spans="1:20" x14ac:dyDescent="0.2">
      <c r="D9" s="95" t="s">
        <v>217</v>
      </c>
      <c r="E9" s="87"/>
      <c r="G9" s="95" t="s">
        <v>311</v>
      </c>
      <c r="H9" s="95"/>
      <c r="J9" s="95" t="s">
        <v>349</v>
      </c>
      <c r="K9" s="87"/>
      <c r="L9" s="87"/>
      <c r="N9" s="95" t="s">
        <v>314</v>
      </c>
      <c r="O9" s="87"/>
      <c r="P9" s="87"/>
      <c r="Q9" s="95" t="s">
        <v>350</v>
      </c>
      <c r="R9" s="87"/>
      <c r="S9" s="87"/>
    </row>
    <row r="10" spans="1:20" ht="12.75" customHeight="1" x14ac:dyDescent="0.2">
      <c r="A10" s="7"/>
      <c r="B10" s="7"/>
      <c r="C10" s="7"/>
      <c r="D10" s="160" t="s">
        <v>2</v>
      </c>
      <c r="E10" s="171"/>
      <c r="F10" s="7"/>
      <c r="G10" s="160" t="s">
        <v>2</v>
      </c>
      <c r="H10" s="171"/>
      <c r="I10" s="7"/>
      <c r="J10" s="160" t="s">
        <v>2</v>
      </c>
      <c r="K10" s="160"/>
      <c r="L10" s="171"/>
      <c r="M10" s="7"/>
      <c r="N10" s="160" t="s">
        <v>2</v>
      </c>
      <c r="O10" s="160"/>
      <c r="P10" s="171"/>
      <c r="Q10" s="160" t="s">
        <v>2</v>
      </c>
      <c r="R10" s="160"/>
      <c r="S10" s="171"/>
    </row>
    <row r="11" spans="1:20" x14ac:dyDescent="0.2">
      <c r="A11" s="7"/>
      <c r="B11" s="7"/>
      <c r="C11" s="7"/>
      <c r="D11" s="122" t="s">
        <v>4</v>
      </c>
      <c r="E11" s="122" t="s">
        <v>5</v>
      </c>
      <c r="F11" s="7"/>
      <c r="G11" s="122" t="s">
        <v>4</v>
      </c>
      <c r="H11" s="122" t="s">
        <v>5</v>
      </c>
      <c r="I11" s="7"/>
      <c r="J11" s="114" t="s">
        <v>4</v>
      </c>
      <c r="K11" s="114"/>
      <c r="L11" s="122" t="s">
        <v>5</v>
      </c>
      <c r="M11" s="7"/>
      <c r="N11" s="114" t="s">
        <v>4</v>
      </c>
      <c r="O11" s="114"/>
      <c r="P11" s="122" t="s">
        <v>5</v>
      </c>
      <c r="Q11" s="114" t="s">
        <v>4</v>
      </c>
      <c r="R11" s="114"/>
      <c r="S11" s="122" t="s">
        <v>5</v>
      </c>
    </row>
    <row r="12" spans="1:20" x14ac:dyDescent="0.2">
      <c r="A12" s="7"/>
      <c r="B12" s="7"/>
      <c r="C12" s="7"/>
      <c r="D12" s="183">
        <v>0</v>
      </c>
      <c r="E12" s="180">
        <v>2.4500000000000002</v>
      </c>
      <c r="F12" s="20"/>
      <c r="G12" s="186">
        <v>0</v>
      </c>
      <c r="H12" s="180">
        <v>2.4500000000000002</v>
      </c>
      <c r="I12" s="20"/>
      <c r="J12" s="183">
        <v>0</v>
      </c>
      <c r="K12" s="291">
        <f>J13-1</f>
        <v>59</v>
      </c>
      <c r="L12" s="180">
        <v>2.4500000000000002</v>
      </c>
      <c r="M12" s="7"/>
      <c r="N12" s="186">
        <v>0</v>
      </c>
      <c r="O12" s="264">
        <f>N13</f>
        <v>60</v>
      </c>
      <c r="P12" s="180">
        <v>2.4500000000000002</v>
      </c>
      <c r="Q12" s="186">
        <v>0</v>
      </c>
      <c r="R12" s="296">
        <f>IF(Q13="","&amp; above",Q13)</f>
        <v>60</v>
      </c>
      <c r="S12" s="180">
        <v>2.4500000000000002</v>
      </c>
    </row>
    <row r="13" spans="1:20" x14ac:dyDescent="0.2">
      <c r="A13" s="7"/>
      <c r="B13" s="7"/>
      <c r="C13" s="7"/>
      <c r="D13" s="183">
        <v>60</v>
      </c>
      <c r="E13" s="184">
        <v>2.27</v>
      </c>
      <c r="F13" s="20"/>
      <c r="G13" s="186">
        <v>60</v>
      </c>
      <c r="H13" s="184">
        <v>2.27</v>
      </c>
      <c r="I13" s="20"/>
      <c r="J13" s="183">
        <v>60</v>
      </c>
      <c r="K13" s="291">
        <f>J14-1</f>
        <v>119</v>
      </c>
      <c r="L13" s="184">
        <v>2.27</v>
      </c>
      <c r="M13" s="7"/>
      <c r="N13" s="186">
        <v>60</v>
      </c>
      <c r="O13" s="264">
        <f t="shared" ref="O13:O14" si="0">N14</f>
        <v>120</v>
      </c>
      <c r="P13" s="184">
        <v>2.27</v>
      </c>
      <c r="Q13" s="186">
        <v>60</v>
      </c>
      <c r="R13" s="296">
        <f t="shared" ref="R13:R15" si="1">IF(Q14="","&amp; above",Q14)</f>
        <v>120</v>
      </c>
      <c r="S13" s="184">
        <v>2.27</v>
      </c>
    </row>
    <row r="14" spans="1:20" x14ac:dyDescent="0.2">
      <c r="A14" s="7"/>
      <c r="B14" s="7"/>
      <c r="C14" s="7"/>
      <c r="D14" s="183">
        <v>120</v>
      </c>
      <c r="E14" s="184">
        <v>2.12</v>
      </c>
      <c r="F14" s="20"/>
      <c r="G14" s="186">
        <v>120</v>
      </c>
      <c r="H14" s="184">
        <v>2.12</v>
      </c>
      <c r="I14" s="20"/>
      <c r="J14" s="183">
        <v>120</v>
      </c>
      <c r="K14" s="291">
        <f>J15-1</f>
        <v>239</v>
      </c>
      <c r="L14" s="184">
        <v>2.12</v>
      </c>
      <c r="M14" s="7"/>
      <c r="N14" s="186">
        <v>120</v>
      </c>
      <c r="O14" s="264">
        <f t="shared" si="0"/>
        <v>240</v>
      </c>
      <c r="P14" s="184">
        <v>2.12</v>
      </c>
      <c r="Q14" s="186">
        <v>120</v>
      </c>
      <c r="R14" s="296">
        <f t="shared" si="1"/>
        <v>240</v>
      </c>
      <c r="S14" s="184">
        <v>2.12</v>
      </c>
    </row>
    <row r="15" spans="1:20" x14ac:dyDescent="0.2">
      <c r="A15" s="7"/>
      <c r="B15" s="7"/>
      <c r="C15" s="7"/>
      <c r="D15" s="183">
        <v>240</v>
      </c>
      <c r="E15" s="184">
        <v>2</v>
      </c>
      <c r="F15" s="20"/>
      <c r="G15" s="186">
        <v>240</v>
      </c>
      <c r="H15" s="184">
        <v>2</v>
      </c>
      <c r="I15" s="20"/>
      <c r="J15" s="183">
        <v>240</v>
      </c>
      <c r="K15" s="291" t="s">
        <v>218</v>
      </c>
      <c r="L15" s="184">
        <v>2</v>
      </c>
      <c r="M15" s="7"/>
      <c r="N15" s="186">
        <v>240</v>
      </c>
      <c r="O15" s="187" t="s">
        <v>218</v>
      </c>
      <c r="P15" s="184">
        <v>2</v>
      </c>
      <c r="Q15" s="186">
        <v>240</v>
      </c>
      <c r="R15" s="296" t="str">
        <f t="shared" si="1"/>
        <v>&amp; above</v>
      </c>
      <c r="S15" s="184">
        <v>2</v>
      </c>
    </row>
    <row r="16" spans="1:20" x14ac:dyDescent="0.2">
      <c r="A16" s="7"/>
      <c r="B16" s="7"/>
      <c r="C16" s="7"/>
      <c r="D16" s="7"/>
      <c r="E16" s="7"/>
      <c r="F16" s="7"/>
      <c r="G16" s="7"/>
      <c r="H16" s="7"/>
      <c r="I16" s="7"/>
      <c r="J16" s="7"/>
      <c r="K16" s="7"/>
      <c r="L16" s="7"/>
      <c r="M16" s="7"/>
      <c r="Q16" s="186"/>
      <c r="R16" s="296"/>
    </row>
    <row r="17" spans="1:13" x14ac:dyDescent="0.2">
      <c r="A17" s="7"/>
      <c r="B17" s="7"/>
      <c r="C17" s="7"/>
      <c r="D17" s="7"/>
      <c r="E17" s="7"/>
      <c r="F17" s="7"/>
      <c r="G17" s="7"/>
      <c r="H17" s="7"/>
      <c r="I17" s="7"/>
      <c r="J17" s="7"/>
      <c r="K17" s="7"/>
      <c r="L17" s="7"/>
      <c r="M17" s="7"/>
    </row>
    <row r="18" spans="1:13" ht="25.5" x14ac:dyDescent="0.2">
      <c r="A18" s="376" t="s">
        <v>15</v>
      </c>
      <c r="B18" s="376" t="s">
        <v>16</v>
      </c>
      <c r="C18" s="377" t="s">
        <v>237</v>
      </c>
      <c r="D18" s="376" t="s">
        <v>18</v>
      </c>
      <c r="E18" s="377" t="s">
        <v>19</v>
      </c>
      <c r="F18" s="7"/>
      <c r="G18" s="7"/>
      <c r="H18" s="120" t="s">
        <v>19</v>
      </c>
      <c r="I18" s="7"/>
      <c r="J18" s="120" t="s">
        <v>19</v>
      </c>
      <c r="K18" s="7"/>
      <c r="L18" s="7"/>
      <c r="M18" s="7"/>
    </row>
    <row r="19" spans="1:13" x14ac:dyDescent="0.2">
      <c r="A19" s="127">
        <v>1</v>
      </c>
      <c r="B19" s="128" t="s">
        <v>24</v>
      </c>
      <c r="C19" s="128" t="s">
        <v>10</v>
      </c>
      <c r="D19" s="127">
        <v>240</v>
      </c>
      <c r="E19" s="157">
        <f t="shared" ref="E19:E26" si="2">IF(B19="","",VLOOKUP(D19,$D$12:$E$15,2,TRUE))</f>
        <v>2</v>
      </c>
      <c r="F19" s="20"/>
      <c r="G19" s="20"/>
      <c r="H19" s="157">
        <f t="shared" ref="H19:H24" si="3">VLOOKUP(D19,$G$12:$H$15,2,TRUE)</f>
        <v>2</v>
      </c>
      <c r="I19" s="20"/>
      <c r="J19" s="157">
        <f t="shared" ref="J19:J24" si="4">VLOOKUP(D19,$J$12:$L$15,3,TRUE)</f>
        <v>2</v>
      </c>
      <c r="K19" s="7"/>
      <c r="L19" s="7"/>
      <c r="M19" s="7"/>
    </row>
    <row r="20" spans="1:13" x14ac:dyDescent="0.2">
      <c r="A20" s="127">
        <v>2</v>
      </c>
      <c r="B20" s="128" t="s">
        <v>25</v>
      </c>
      <c r="C20" s="128" t="s">
        <v>10</v>
      </c>
      <c r="D20" s="127">
        <v>30</v>
      </c>
      <c r="E20" s="158">
        <f t="shared" si="2"/>
        <v>2.4500000000000002</v>
      </c>
      <c r="F20" s="185"/>
      <c r="G20" s="185"/>
      <c r="H20" s="158">
        <f t="shared" si="3"/>
        <v>2.4500000000000002</v>
      </c>
      <c r="I20" s="185"/>
      <c r="J20" s="158">
        <f t="shared" si="4"/>
        <v>2.4500000000000002</v>
      </c>
      <c r="K20" s="7"/>
      <c r="L20" s="7"/>
      <c r="M20" s="7"/>
    </row>
    <row r="21" spans="1:13" x14ac:dyDescent="0.2">
      <c r="A21" s="127">
        <v>3</v>
      </c>
      <c r="B21" s="128" t="s">
        <v>26</v>
      </c>
      <c r="C21" s="128" t="s">
        <v>12</v>
      </c>
      <c r="D21" s="127">
        <v>160</v>
      </c>
      <c r="E21" s="158">
        <f t="shared" si="2"/>
        <v>2.12</v>
      </c>
      <c r="F21" s="185"/>
      <c r="G21" s="185"/>
      <c r="H21" s="158">
        <f t="shared" si="3"/>
        <v>2.12</v>
      </c>
      <c r="I21" s="185"/>
      <c r="J21" s="158">
        <f t="shared" si="4"/>
        <v>2.12</v>
      </c>
      <c r="K21" s="7"/>
      <c r="L21" s="7"/>
      <c r="M21" s="7"/>
    </row>
    <row r="22" spans="1:13" x14ac:dyDescent="0.2">
      <c r="A22" s="127">
        <v>4</v>
      </c>
      <c r="B22" s="128" t="s">
        <v>27</v>
      </c>
      <c r="C22" s="128" t="s">
        <v>8</v>
      </c>
      <c r="D22" s="127">
        <v>215</v>
      </c>
      <c r="E22" s="158">
        <f t="shared" si="2"/>
        <v>2.12</v>
      </c>
      <c r="F22" s="185"/>
      <c r="G22" s="185"/>
      <c r="H22" s="158">
        <f t="shared" si="3"/>
        <v>2.12</v>
      </c>
      <c r="I22" s="185"/>
      <c r="J22" s="158">
        <f t="shared" si="4"/>
        <v>2.12</v>
      </c>
      <c r="K22" s="7"/>
      <c r="L22" s="7"/>
      <c r="M22" s="7"/>
    </row>
    <row r="23" spans="1:13" x14ac:dyDescent="0.2">
      <c r="A23" s="127">
        <v>5</v>
      </c>
      <c r="B23" s="128" t="s">
        <v>28</v>
      </c>
      <c r="C23" s="128" t="s">
        <v>8</v>
      </c>
      <c r="D23" s="127">
        <v>90</v>
      </c>
      <c r="E23" s="158">
        <f t="shared" si="2"/>
        <v>2.27</v>
      </c>
      <c r="F23" s="185"/>
      <c r="G23" s="185"/>
      <c r="H23" s="158">
        <f t="shared" si="3"/>
        <v>2.27</v>
      </c>
      <c r="I23" s="185"/>
      <c r="J23" s="158">
        <f t="shared" si="4"/>
        <v>2.27</v>
      </c>
      <c r="K23" s="7"/>
      <c r="L23" s="7"/>
      <c r="M23" s="7"/>
    </row>
    <row r="24" spans="1:13" x14ac:dyDescent="0.2">
      <c r="A24" s="127">
        <v>6</v>
      </c>
      <c r="B24" s="128" t="s">
        <v>29</v>
      </c>
      <c r="C24" s="128" t="s">
        <v>14</v>
      </c>
      <c r="D24" s="127">
        <v>15</v>
      </c>
      <c r="E24" s="158">
        <f t="shared" si="2"/>
        <v>2.4500000000000002</v>
      </c>
      <c r="F24" s="185"/>
      <c r="G24" s="185"/>
      <c r="H24" s="158">
        <f t="shared" si="3"/>
        <v>2.4500000000000002</v>
      </c>
      <c r="I24" s="185"/>
      <c r="J24" s="158">
        <f t="shared" si="4"/>
        <v>2.4500000000000002</v>
      </c>
      <c r="K24" s="7"/>
      <c r="L24" s="7"/>
      <c r="M24" s="7"/>
    </row>
    <row r="25" spans="1:13" s="99" customFormat="1" x14ac:dyDescent="0.2">
      <c r="A25" s="127">
        <v>6</v>
      </c>
      <c r="B25" s="128" t="s">
        <v>29</v>
      </c>
      <c r="C25" s="128" t="s">
        <v>14</v>
      </c>
      <c r="D25" s="127">
        <v>15</v>
      </c>
      <c r="E25" s="158">
        <f t="shared" si="2"/>
        <v>2.4500000000000002</v>
      </c>
      <c r="F25" s="20"/>
      <c r="G25" s="20"/>
      <c r="H25" s="20"/>
      <c r="I25" s="20"/>
      <c r="J25" s="20"/>
      <c r="K25" s="20"/>
      <c r="L25" s="20"/>
      <c r="M25" s="20"/>
    </row>
    <row r="26" spans="1:13" ht="12.75" customHeight="1" x14ac:dyDescent="0.2">
      <c r="A26" s="127">
        <v>6</v>
      </c>
      <c r="B26" s="128" t="s">
        <v>29</v>
      </c>
      <c r="C26" s="128" t="s">
        <v>14</v>
      </c>
      <c r="D26" s="127">
        <v>15</v>
      </c>
      <c r="E26" s="158">
        <f t="shared" si="2"/>
        <v>2.4500000000000002</v>
      </c>
      <c r="F26" s="7"/>
      <c r="G26" s="7"/>
      <c r="H26" s="7"/>
      <c r="I26" s="7"/>
      <c r="J26" s="7"/>
      <c r="K26" s="7"/>
      <c r="L26" s="7"/>
      <c r="M26" s="7"/>
    </row>
    <row r="27" spans="1:13" x14ac:dyDescent="0.2">
      <c r="E27" s="158"/>
    </row>
    <row r="28" spans="1:13" x14ac:dyDescent="0.2">
      <c r="E28" s="158"/>
    </row>
    <row r="29" spans="1:13" x14ac:dyDescent="0.2">
      <c r="E29" s="158"/>
    </row>
    <row r="30" spans="1:13" x14ac:dyDescent="0.2">
      <c r="E30" s="158"/>
    </row>
    <row r="31" spans="1:13" x14ac:dyDescent="0.2">
      <c r="B31" s="112"/>
      <c r="C31" s="112"/>
      <c r="D31" s="112"/>
      <c r="E31" s="158"/>
    </row>
    <row r="32" spans="1:13" x14ac:dyDescent="0.2">
      <c r="B32" s="112"/>
      <c r="C32" s="112"/>
      <c r="D32" s="112"/>
      <c r="E32" s="158"/>
    </row>
    <row r="33" spans="5:5" x14ac:dyDescent="0.2">
      <c r="E33" s="158"/>
    </row>
    <row r="34" spans="5:5" x14ac:dyDescent="0.2">
      <c r="E34" s="158"/>
    </row>
    <row r="35" spans="5:5" x14ac:dyDescent="0.2">
      <c r="E35" s="158"/>
    </row>
    <row r="36" spans="5:5" x14ac:dyDescent="0.2">
      <c r="E36" s="158"/>
    </row>
    <row r="37" spans="5:5" x14ac:dyDescent="0.2">
      <c r="E37" s="158"/>
    </row>
    <row r="38" spans="5:5" x14ac:dyDescent="0.2">
      <c r="E38" s="158"/>
    </row>
  </sheetData>
  <phoneticPr fontId="2" type="noConversion"/>
  <pageMargins left="0.75" right="0.75" top="1" bottom="1" header="0.5" footer="0.5"/>
  <pageSetup orientation="portrait" horizontalDpi="300" verticalDpi="300" r:id="rId1"/>
  <headerFooter alignWithMargins="0"/>
  <drawing r:id="rId2"/>
  <legacyDrawing r:id="rId3"/>
  <tableParts count="1">
    <tablePart r:id="rId4"/>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77990-6EE2-4610-B109-CF2222D60A87}">
  <sheetPr codeName="Sheet54">
    <pageSetUpPr autoPageBreaks="0"/>
  </sheetPr>
  <dimension ref="A1:L24"/>
  <sheetViews>
    <sheetView zoomScale="160" zoomScaleNormal="160" workbookViewId="0">
      <selection activeCell="D9" sqref="D9:E15"/>
    </sheetView>
  </sheetViews>
  <sheetFormatPr defaultRowHeight="12.75" x14ac:dyDescent="0.2"/>
  <cols>
    <col min="1" max="2" width="8.7109375" customWidth="1"/>
    <col min="4" max="4" width="9" customWidth="1"/>
    <col min="6" max="6" width="9.140625" bestFit="1" customWidth="1"/>
    <col min="7" max="7" width="8.7109375" customWidth="1"/>
    <col min="8" max="8" width="10" customWidth="1"/>
    <col min="9" max="9" width="9.5703125" customWidth="1"/>
    <col min="10" max="10" width="9.28515625" bestFit="1" customWidth="1"/>
    <col min="11" max="11" width="10.28515625" bestFit="1" customWidth="1"/>
    <col min="12" max="12" width="2.140625" customWidth="1"/>
  </cols>
  <sheetData>
    <row r="1" spans="1:12" s="310" customFormat="1" ht="18" x14ac:dyDescent="0.25">
      <c r="A1" s="309" t="s">
        <v>413</v>
      </c>
      <c r="B1" s="309"/>
      <c r="C1" s="309"/>
      <c r="D1" s="309"/>
      <c r="E1" s="309"/>
      <c r="F1" s="309"/>
      <c r="G1" s="309"/>
      <c r="H1" s="309"/>
      <c r="I1" s="309"/>
      <c r="J1" s="309"/>
      <c r="K1" s="309"/>
    </row>
    <row r="2" spans="1:12" s="130" customFormat="1" hidden="1" x14ac:dyDescent="0.2"/>
    <row r="3" spans="1:12" x14ac:dyDescent="0.2">
      <c r="A3" s="91" t="str">
        <f>IF(A2="","",IF(Disable_Video_Hyperlinks,A2,HYPERLINK(Video_website&amp;A2,A2)))</f>
        <v/>
      </c>
    </row>
    <row r="4" spans="1:12" x14ac:dyDescent="0.2">
      <c r="A4" s="91" t="str">
        <f>IF(B2="","",B2)</f>
        <v/>
      </c>
    </row>
    <row r="5" spans="1:12" x14ac:dyDescent="0.2">
      <c r="A5" s="91"/>
    </row>
    <row r="6" spans="1:12" x14ac:dyDescent="0.2">
      <c r="A6" s="117" t="s">
        <v>0</v>
      </c>
      <c r="B6" s="118"/>
      <c r="C6" s="118"/>
      <c r="D6" s="118"/>
      <c r="E6" s="118"/>
      <c r="F6" s="118"/>
      <c r="G6" s="118"/>
      <c r="H6" s="118"/>
      <c r="I6" s="118"/>
      <c r="J6" s="118"/>
      <c r="K6" s="118"/>
    </row>
    <row r="7" spans="1:12" ht="21" customHeight="1" x14ac:dyDescent="0.2">
      <c r="A7" s="117" t="s">
        <v>1</v>
      </c>
      <c r="B7" s="118"/>
      <c r="C7" s="118"/>
      <c r="D7" s="118"/>
      <c r="E7" s="118"/>
      <c r="F7" s="118"/>
      <c r="G7" s="118"/>
      <c r="H7" s="118"/>
      <c r="I7" s="118"/>
      <c r="J7" s="118"/>
      <c r="K7" s="118"/>
    </row>
    <row r="9" spans="1:12" ht="12.75" customHeight="1" x14ac:dyDescent="0.2">
      <c r="A9" s="143" t="s">
        <v>2</v>
      </c>
      <c r="B9" s="144"/>
      <c r="D9" s="143" t="s">
        <v>3</v>
      </c>
      <c r="E9" s="147"/>
    </row>
    <row r="10" spans="1:12" x14ac:dyDescent="0.2">
      <c r="A10" s="268" t="s">
        <v>18</v>
      </c>
      <c r="B10" s="267" t="s">
        <v>81</v>
      </c>
      <c r="D10" s="145" t="s">
        <v>6</v>
      </c>
      <c r="E10" s="146" t="s">
        <v>5</v>
      </c>
      <c r="G10" s="383" t="s">
        <v>7</v>
      </c>
      <c r="H10" s="384"/>
      <c r="I10" s="384"/>
      <c r="J10" s="384"/>
      <c r="K10" s="384"/>
      <c r="L10" s="371"/>
    </row>
    <row r="11" spans="1:12" x14ac:dyDescent="0.2">
      <c r="A11" s="150">
        <v>0</v>
      </c>
      <c r="B11" s="151">
        <v>2.4500000000000002</v>
      </c>
      <c r="D11" s="150" t="s">
        <v>8</v>
      </c>
      <c r="E11" s="151">
        <v>0.25</v>
      </c>
      <c r="G11" s="17" t="s">
        <v>9</v>
      </c>
      <c r="H11" s="7"/>
      <c r="I11" s="152">
        <v>0</v>
      </c>
      <c r="J11" s="152">
        <v>300</v>
      </c>
      <c r="K11" s="152">
        <v>1000</v>
      </c>
      <c r="L11" s="370"/>
    </row>
    <row r="12" spans="1:12" x14ac:dyDescent="0.2">
      <c r="A12" s="150">
        <v>60</v>
      </c>
      <c r="B12" s="155">
        <v>2.27</v>
      </c>
      <c r="D12" s="150" t="s">
        <v>10</v>
      </c>
      <c r="E12" s="155">
        <v>0.2</v>
      </c>
      <c r="G12" s="17" t="s">
        <v>11</v>
      </c>
      <c r="H12" s="7"/>
      <c r="I12" s="153">
        <v>0</v>
      </c>
      <c r="J12" s="153">
        <v>0.15</v>
      </c>
      <c r="K12" s="153">
        <v>0.25</v>
      </c>
      <c r="L12" s="370"/>
    </row>
    <row r="13" spans="1:12" x14ac:dyDescent="0.2">
      <c r="A13" s="150">
        <v>120</v>
      </c>
      <c r="B13" s="155">
        <v>2.12</v>
      </c>
      <c r="D13" s="150" t="s">
        <v>12</v>
      </c>
      <c r="E13" s="155">
        <v>0.15</v>
      </c>
      <c r="G13" s="148" t="s">
        <v>13</v>
      </c>
      <c r="H13" s="149"/>
      <c r="I13" s="154">
        <v>0</v>
      </c>
      <c r="J13" s="154">
        <v>0.1</v>
      </c>
      <c r="K13" s="154">
        <v>0.15</v>
      </c>
      <c r="L13" s="372"/>
    </row>
    <row r="14" spans="1:12" x14ac:dyDescent="0.2">
      <c r="A14" s="150">
        <v>240</v>
      </c>
      <c r="B14" s="155">
        <v>2</v>
      </c>
      <c r="D14" s="150" t="s">
        <v>14</v>
      </c>
      <c r="E14" s="155">
        <v>0</v>
      </c>
    </row>
    <row r="15" spans="1:12" x14ac:dyDescent="0.2">
      <c r="A15" s="369"/>
      <c r="B15" s="369"/>
      <c r="D15" s="369"/>
      <c r="E15" s="369"/>
    </row>
    <row r="17" spans="1:10" ht="38.25" x14ac:dyDescent="0.2">
      <c r="A17" s="156" t="s">
        <v>15</v>
      </c>
      <c r="B17" s="156" t="s">
        <v>16</v>
      </c>
      <c r="C17" s="120" t="s">
        <v>237</v>
      </c>
      <c r="D17" s="156" t="s">
        <v>18</v>
      </c>
      <c r="E17" s="120" t="s">
        <v>19</v>
      </c>
      <c r="F17" s="120" t="s">
        <v>20</v>
      </c>
      <c r="G17" s="120" t="s">
        <v>238</v>
      </c>
      <c r="H17" s="120" t="s">
        <v>22</v>
      </c>
      <c r="I17" s="120" t="s">
        <v>7</v>
      </c>
      <c r="J17" s="120" t="s">
        <v>23</v>
      </c>
    </row>
    <row r="18" spans="1:10" x14ac:dyDescent="0.2">
      <c r="A18" s="127">
        <v>1</v>
      </c>
      <c r="B18" s="128" t="s">
        <v>24</v>
      </c>
      <c r="C18" s="128" t="s">
        <v>10</v>
      </c>
      <c r="D18" s="127">
        <v>240</v>
      </c>
      <c r="E18" s="157">
        <f xml:space="preserve"> VLOOKUP( D18, A$11:B$15, 2, TRUE )</f>
        <v>2</v>
      </c>
      <c r="F18" s="157">
        <f xml:space="preserve"> D18 * E18</f>
        <v>480</v>
      </c>
      <c r="G18" s="157">
        <f xml:space="preserve"> VLOOKUP( C18, D$11:E$15, 2, FALSE )</f>
        <v>0.2</v>
      </c>
      <c r="H18" s="157">
        <f xml:space="preserve"> G18 * D18</f>
        <v>48</v>
      </c>
      <c r="I18" s="157">
        <f xml:space="preserve"> H18 * - HLOOKUP( F18, I$11:L$13, 3, TRUE )</f>
        <v>-4.8000000000000007</v>
      </c>
      <c r="J18" s="157">
        <f xml:space="preserve"> F18 + H18 + I18</f>
        <v>523.20000000000005</v>
      </c>
    </row>
    <row r="19" spans="1:10" x14ac:dyDescent="0.2">
      <c r="A19" s="127">
        <v>2</v>
      </c>
      <c r="B19" s="128" t="s">
        <v>25</v>
      </c>
      <c r="C19" s="128" t="s">
        <v>10</v>
      </c>
      <c r="D19" s="127">
        <v>30</v>
      </c>
      <c r="E19" s="158">
        <f t="shared" ref="E19:E23" si="0" xml:space="preserve"> VLOOKUP( D19, A$11:B$15, 2, TRUE )</f>
        <v>2.4500000000000002</v>
      </c>
      <c r="F19" s="158">
        <f t="shared" ref="F19:F23" si="1" xml:space="preserve"> D19 * E19</f>
        <v>73.5</v>
      </c>
      <c r="G19" s="158">
        <f t="shared" ref="G19:G23" si="2" xml:space="preserve"> VLOOKUP( C19, D$11:E$15, 2, FALSE )</f>
        <v>0.2</v>
      </c>
      <c r="H19" s="158">
        <f t="shared" ref="H19:H23" si="3" xml:space="preserve"> G19 * D19</f>
        <v>6</v>
      </c>
      <c r="I19" s="158">
        <f t="shared" ref="I19:I23" si="4" xml:space="preserve"> H19 * - HLOOKUP( F19, I$11:L$13, 3, TRUE )</f>
        <v>0</v>
      </c>
      <c r="J19" s="158">
        <f t="shared" ref="J19:J23" si="5" xml:space="preserve"> F19 + H19 + I19</f>
        <v>79.5</v>
      </c>
    </row>
    <row r="20" spans="1:10" x14ac:dyDescent="0.2">
      <c r="A20" s="127">
        <v>3</v>
      </c>
      <c r="B20" s="128" t="s">
        <v>26</v>
      </c>
      <c r="C20" s="128" t="s">
        <v>12</v>
      </c>
      <c r="D20" s="127">
        <v>160</v>
      </c>
      <c r="E20" s="158">
        <f t="shared" si="0"/>
        <v>2.12</v>
      </c>
      <c r="F20" s="158">
        <f t="shared" si="1"/>
        <v>339.20000000000005</v>
      </c>
      <c r="G20" s="158">
        <f t="shared" si="2"/>
        <v>0.15</v>
      </c>
      <c r="H20" s="158">
        <f t="shared" si="3"/>
        <v>24</v>
      </c>
      <c r="I20" s="158">
        <f t="shared" si="4"/>
        <v>-2.4000000000000004</v>
      </c>
      <c r="J20" s="158">
        <f t="shared" si="5"/>
        <v>360.80000000000007</v>
      </c>
    </row>
    <row r="21" spans="1:10" x14ac:dyDescent="0.2">
      <c r="A21" s="127">
        <v>4</v>
      </c>
      <c r="B21" s="128" t="s">
        <v>27</v>
      </c>
      <c r="C21" s="128" t="s">
        <v>8</v>
      </c>
      <c r="D21" s="127">
        <v>215</v>
      </c>
      <c r="E21" s="158">
        <f t="shared" si="0"/>
        <v>2.12</v>
      </c>
      <c r="F21" s="158">
        <f t="shared" si="1"/>
        <v>455.8</v>
      </c>
      <c r="G21" s="158">
        <f t="shared" si="2"/>
        <v>0.25</v>
      </c>
      <c r="H21" s="158">
        <f t="shared" si="3"/>
        <v>53.75</v>
      </c>
      <c r="I21" s="158">
        <f t="shared" si="4"/>
        <v>-5.375</v>
      </c>
      <c r="J21" s="158">
        <f t="shared" si="5"/>
        <v>504.17500000000001</v>
      </c>
    </row>
    <row r="22" spans="1:10" x14ac:dyDescent="0.2">
      <c r="A22" s="127">
        <v>5</v>
      </c>
      <c r="B22" s="128" t="s">
        <v>28</v>
      </c>
      <c r="C22" s="128" t="s">
        <v>8</v>
      </c>
      <c r="D22" s="127">
        <v>90</v>
      </c>
      <c r="E22" s="158">
        <f t="shared" si="0"/>
        <v>2.27</v>
      </c>
      <c r="F22" s="158">
        <f t="shared" si="1"/>
        <v>204.3</v>
      </c>
      <c r="G22" s="158">
        <f t="shared" si="2"/>
        <v>0.25</v>
      </c>
      <c r="H22" s="158">
        <f t="shared" si="3"/>
        <v>22.5</v>
      </c>
      <c r="I22" s="158">
        <f t="shared" si="4"/>
        <v>0</v>
      </c>
      <c r="J22" s="158">
        <f t="shared" si="5"/>
        <v>226.8</v>
      </c>
    </row>
    <row r="23" spans="1:10" x14ac:dyDescent="0.2">
      <c r="A23" s="127">
        <v>6</v>
      </c>
      <c r="B23" s="128" t="s">
        <v>29</v>
      </c>
      <c r="C23" s="128" t="s">
        <v>14</v>
      </c>
      <c r="D23" s="127">
        <v>15</v>
      </c>
      <c r="E23" s="158">
        <f t="shared" si="0"/>
        <v>2.4500000000000002</v>
      </c>
      <c r="F23" s="158">
        <f t="shared" si="1"/>
        <v>36.75</v>
      </c>
      <c r="G23" s="158">
        <f t="shared" si="2"/>
        <v>0</v>
      </c>
      <c r="H23" s="158">
        <f t="shared" si="3"/>
        <v>0</v>
      </c>
      <c r="I23" s="158">
        <f t="shared" si="4"/>
        <v>0</v>
      </c>
      <c r="J23" s="158">
        <f t="shared" si="5"/>
        <v>36.75</v>
      </c>
    </row>
    <row r="24" spans="1:10" x14ac:dyDescent="0.2">
      <c r="A24" s="368"/>
      <c r="B24" s="368"/>
      <c r="C24" s="368"/>
      <c r="D24" s="368"/>
      <c r="E24" s="368"/>
      <c r="F24" s="368"/>
      <c r="G24" s="368"/>
      <c r="H24" s="368"/>
      <c r="I24" s="368"/>
      <c r="J24" s="368"/>
    </row>
  </sheetData>
  <mergeCells count="1">
    <mergeCell ref="G10:K10"/>
  </mergeCells>
  <pageMargins left="0.75" right="0.75" top="1" bottom="1" header="0.5" footer="0.5"/>
  <pageSetup orientation="portrait" horizontalDpi="300" verticalDpi="300" r:id="rId1"/>
  <headerFooter alignWithMargins="0"/>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3F864-2E91-47E0-B638-14DD89001346}">
  <sheetPr codeName="Sheet43"/>
  <dimension ref="A1:B4"/>
  <sheetViews>
    <sheetView zoomScale="145" zoomScaleNormal="145" workbookViewId="0">
      <selection activeCell="B6" sqref="B6"/>
    </sheetView>
  </sheetViews>
  <sheetFormatPr defaultRowHeight="12.75" x14ac:dyDescent="0.2"/>
  <sheetData>
    <row r="1" spans="1:2" s="310" customFormat="1" ht="18" x14ac:dyDescent="0.25">
      <c r="A1" s="260" t="s">
        <v>316</v>
      </c>
    </row>
    <row r="2" spans="1:2" s="298" customFormat="1" hidden="1" x14ac:dyDescent="0.2">
      <c r="B2" s="298">
        <f>SUM(HLOOKUP:MATCH!B2)</f>
        <v>7.2685185185185179E-3</v>
      </c>
    </row>
    <row r="3" spans="1:2" s="273" customFormat="1" x14ac:dyDescent="0.2">
      <c r="A3" s="312" t="str">
        <f>Video_Lengths_Description</f>
        <v xml:space="preserve">Length of video clips in this segment: </v>
      </c>
    </row>
    <row r="4" spans="1:2" s="91" customFormat="1" x14ac:dyDescent="0.2">
      <c r="A4" s="305">
        <f>IF(B2="","",B2)</f>
        <v>7.2685185185185179E-3</v>
      </c>
    </row>
  </sheetData>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pageSetUpPr autoPageBreaks="0"/>
  </sheetPr>
  <dimension ref="A1:P26"/>
  <sheetViews>
    <sheetView zoomScale="160" zoomScaleNormal="160" workbookViewId="0">
      <selection activeCell="B6" sqref="B6"/>
    </sheetView>
  </sheetViews>
  <sheetFormatPr defaultRowHeight="12.75" x14ac:dyDescent="0.2"/>
  <cols>
    <col min="1" max="2" width="8.7109375" customWidth="1"/>
    <col min="4" max="4" width="9" customWidth="1"/>
    <col min="6" max="6" width="9.140625" bestFit="1" customWidth="1"/>
    <col min="7" max="7" width="8.7109375" customWidth="1"/>
    <col min="8" max="8" width="10" customWidth="1"/>
    <col min="9" max="9" width="9.5703125" customWidth="1"/>
    <col min="10" max="10" width="9.5703125" bestFit="1" customWidth="1"/>
    <col min="11" max="11" width="10" bestFit="1" customWidth="1"/>
  </cols>
  <sheetData>
    <row r="1" spans="1:12" s="310" customFormat="1" ht="18" x14ac:dyDescent="0.25">
      <c r="A1" s="265" t="s">
        <v>221</v>
      </c>
      <c r="B1" s="309"/>
      <c r="C1" s="309"/>
      <c r="D1" s="309"/>
      <c r="E1" s="309"/>
      <c r="F1" s="309"/>
      <c r="G1" s="309"/>
      <c r="H1" s="309"/>
      <c r="I1" s="309"/>
      <c r="J1" s="309"/>
      <c r="K1" s="309"/>
    </row>
    <row r="2" spans="1:12" s="298" customFormat="1" hidden="1" x14ac:dyDescent="0.2">
      <c r="A2" s="299" t="s">
        <v>337</v>
      </c>
      <c r="B2" s="313">
        <v>3.8425925925925923E-3</v>
      </c>
      <c r="C2" s="301"/>
      <c r="D2" s="299"/>
      <c r="E2" s="301"/>
      <c r="F2" s="299"/>
      <c r="G2" s="301"/>
      <c r="H2" s="299"/>
      <c r="I2" s="299"/>
      <c r="J2" s="299"/>
      <c r="K2" s="299"/>
    </row>
    <row r="3" spans="1:12" s="273" customFormat="1" x14ac:dyDescent="0.2">
      <c r="A3" s="274" t="str">
        <f>IF(A2="","",IF(Disable_Video_Hyperlinks,A2,HYPERLINK(Video_website&amp;A2,A2)))</f>
        <v>UNC_DAYT_EXCEL_3.3.1_LECTURE_HLOOKUP_LOOKUP_COLUMNS.mp4</v>
      </c>
      <c r="B3" s="277"/>
      <c r="C3" s="311"/>
      <c r="D3" s="277"/>
      <c r="E3" s="311"/>
      <c r="F3" s="277"/>
      <c r="G3" s="311"/>
      <c r="H3" s="277"/>
      <c r="I3" s="277"/>
      <c r="J3" s="277"/>
      <c r="K3" s="277"/>
    </row>
    <row r="4" spans="1:12" s="91" customFormat="1" x14ac:dyDescent="0.2">
      <c r="A4" s="305">
        <f>IF(B2="","",B2)</f>
        <v>3.8425925925925923E-3</v>
      </c>
      <c r="B4" s="276"/>
      <c r="C4" s="278"/>
      <c r="D4" s="276"/>
      <c r="E4" s="278"/>
      <c r="F4" s="276"/>
      <c r="G4" s="278"/>
      <c r="H4" s="276"/>
      <c r="I4" s="276"/>
      <c r="J4" s="276"/>
      <c r="K4" s="276"/>
    </row>
    <row r="6" spans="1:12" x14ac:dyDescent="0.2">
      <c r="A6" s="117" t="s">
        <v>0</v>
      </c>
      <c r="B6" s="118"/>
      <c r="C6" s="118"/>
      <c r="D6" s="118"/>
      <c r="E6" s="118"/>
      <c r="F6" s="118"/>
      <c r="G6" s="118"/>
      <c r="H6" s="118"/>
      <c r="I6" s="118"/>
      <c r="J6" s="118"/>
      <c r="K6" s="118"/>
    </row>
    <row r="7" spans="1:12" ht="21" customHeight="1" x14ac:dyDescent="0.2">
      <c r="A7" s="117" t="s">
        <v>1</v>
      </c>
      <c r="B7" s="118"/>
      <c r="C7" s="118"/>
      <c r="D7" s="118"/>
      <c r="E7" s="118"/>
      <c r="F7" s="118"/>
      <c r="G7" s="118"/>
      <c r="H7" s="118"/>
      <c r="I7" s="118"/>
      <c r="J7" s="118"/>
      <c r="K7" s="118"/>
    </row>
    <row r="8" spans="1:12" ht="12.75" customHeight="1" x14ac:dyDescent="0.2">
      <c r="A8" s="7"/>
      <c r="B8" s="7"/>
      <c r="C8" s="7"/>
      <c r="D8" s="7"/>
      <c r="E8" s="7"/>
      <c r="F8" s="7"/>
      <c r="G8" s="7"/>
      <c r="H8" s="7"/>
      <c r="I8" s="7"/>
      <c r="J8" s="7"/>
      <c r="K8" s="7"/>
      <c r="L8" s="7"/>
    </row>
    <row r="9" spans="1:12" ht="12.75" customHeight="1" x14ac:dyDescent="0.2">
      <c r="A9" s="210" t="s">
        <v>2</v>
      </c>
      <c r="B9" s="211"/>
      <c r="C9" s="7"/>
      <c r="D9" s="210" t="s">
        <v>3</v>
      </c>
      <c r="E9" s="210"/>
      <c r="F9" s="7"/>
      <c r="G9" s="7"/>
      <c r="H9" s="7"/>
      <c r="I9" s="7"/>
      <c r="J9" s="7"/>
      <c r="K9" s="7"/>
      <c r="L9" s="7"/>
    </row>
    <row r="10" spans="1:12" ht="39" thickBot="1" x14ac:dyDescent="0.25">
      <c r="A10" s="188" t="s">
        <v>241</v>
      </c>
      <c r="B10" s="188" t="s">
        <v>81</v>
      </c>
      <c r="C10" s="199"/>
      <c r="D10" s="188" t="s">
        <v>237</v>
      </c>
      <c r="E10" s="188" t="s">
        <v>238</v>
      </c>
      <c r="F10" s="7"/>
      <c r="G10" s="160" t="s">
        <v>7</v>
      </c>
      <c r="H10" s="160"/>
      <c r="I10" s="160"/>
      <c r="J10" s="160"/>
      <c r="K10" s="160"/>
      <c r="L10" s="7"/>
    </row>
    <row r="11" spans="1:12" x14ac:dyDescent="0.2">
      <c r="A11" s="200">
        <v>0</v>
      </c>
      <c r="B11" s="180">
        <v>2.4500000000000002</v>
      </c>
      <c r="C11" s="7"/>
      <c r="D11" s="183" t="s">
        <v>8</v>
      </c>
      <c r="E11" s="180">
        <v>0.25</v>
      </c>
      <c r="F11" s="7"/>
      <c r="G11" s="7" t="s">
        <v>9</v>
      </c>
      <c r="H11" s="7"/>
      <c r="I11" s="202">
        <v>0</v>
      </c>
      <c r="J11" s="203">
        <v>300</v>
      </c>
      <c r="K11" s="204">
        <v>1000</v>
      </c>
      <c r="L11" s="7"/>
    </row>
    <row r="12" spans="1:12" x14ac:dyDescent="0.2">
      <c r="A12" s="200">
        <v>60</v>
      </c>
      <c r="B12" s="184">
        <v>2.27</v>
      </c>
      <c r="C12" s="7"/>
      <c r="D12" s="183" t="s">
        <v>10</v>
      </c>
      <c r="E12" s="184">
        <v>0.2</v>
      </c>
      <c r="F12" s="7"/>
      <c r="G12" s="7" t="s">
        <v>13</v>
      </c>
      <c r="H12" s="7"/>
      <c r="I12" s="205">
        <v>0</v>
      </c>
      <c r="J12" s="153">
        <v>0.15</v>
      </c>
      <c r="K12" s="206">
        <v>0.25</v>
      </c>
      <c r="L12" s="7"/>
    </row>
    <row r="13" spans="1:12" ht="13.5" thickBot="1" x14ac:dyDescent="0.25">
      <c r="A13" s="200">
        <v>120</v>
      </c>
      <c r="B13" s="184">
        <v>2.12</v>
      </c>
      <c r="C13" s="7"/>
      <c r="D13" s="183" t="s">
        <v>12</v>
      </c>
      <c r="E13" s="184">
        <v>0.15</v>
      </c>
      <c r="F13" s="7"/>
      <c r="G13" s="7" t="s">
        <v>223</v>
      </c>
      <c r="H13" s="7"/>
      <c r="I13" s="207">
        <v>0</v>
      </c>
      <c r="J13" s="208">
        <v>0.1</v>
      </c>
      <c r="K13" s="209">
        <v>0.15</v>
      </c>
      <c r="L13" s="7"/>
    </row>
    <row r="14" spans="1:12" x14ac:dyDescent="0.2">
      <c r="A14" s="200">
        <v>240</v>
      </c>
      <c r="B14" s="184">
        <v>2</v>
      </c>
      <c r="C14" s="7"/>
      <c r="D14" s="183" t="s">
        <v>14</v>
      </c>
      <c r="E14" s="184">
        <v>0</v>
      </c>
      <c r="F14" s="7"/>
      <c r="G14" s="7"/>
      <c r="H14" s="7"/>
      <c r="I14" s="7"/>
      <c r="J14" s="7"/>
      <c r="K14" s="7"/>
      <c r="L14" s="7"/>
    </row>
    <row r="15" spans="1:12" x14ac:dyDescent="0.2">
      <c r="A15" s="97"/>
      <c r="B15" s="98"/>
      <c r="C15" s="20"/>
      <c r="D15" s="97"/>
      <c r="E15" s="98"/>
      <c r="F15" s="7"/>
      <c r="G15" s="7"/>
      <c r="H15" s="7"/>
      <c r="I15" s="7"/>
      <c r="J15" s="7"/>
      <c r="K15" s="7"/>
      <c r="L15" s="7"/>
    </row>
    <row r="16" spans="1:12" x14ac:dyDescent="0.2">
      <c r="A16" s="7"/>
      <c r="B16" s="7"/>
      <c r="C16" s="7"/>
      <c r="D16" s="7"/>
      <c r="E16" s="7"/>
      <c r="F16" s="7"/>
      <c r="G16" s="7"/>
      <c r="H16" s="7"/>
      <c r="I16" s="192">
        <v>2</v>
      </c>
      <c r="J16" s="7"/>
      <c r="K16" s="7"/>
      <c r="L16" s="7"/>
    </row>
    <row r="17" spans="1:16" ht="38.25" x14ac:dyDescent="0.2">
      <c r="A17" s="156" t="s">
        <v>15</v>
      </c>
      <c r="B17" s="156" t="s">
        <v>16</v>
      </c>
      <c r="C17" s="188" t="s">
        <v>237</v>
      </c>
      <c r="D17" s="156" t="s">
        <v>18</v>
      </c>
      <c r="E17" s="188" t="s">
        <v>81</v>
      </c>
      <c r="F17" s="120" t="s">
        <v>20</v>
      </c>
      <c r="G17" s="188" t="s">
        <v>238</v>
      </c>
      <c r="H17" s="188" t="s">
        <v>244</v>
      </c>
      <c r="I17" s="120" t="s">
        <v>7</v>
      </c>
      <c r="J17" s="120" t="s">
        <v>23</v>
      </c>
      <c r="K17" s="7"/>
      <c r="L17" s="7"/>
    </row>
    <row r="18" spans="1:16" x14ac:dyDescent="0.2">
      <c r="A18" s="182">
        <v>1</v>
      </c>
      <c r="B18" s="192" t="s">
        <v>24</v>
      </c>
      <c r="C18" s="192" t="s">
        <v>10</v>
      </c>
      <c r="D18" s="182">
        <v>240</v>
      </c>
      <c r="E18" s="157">
        <f t="shared" ref="E18:E23" si="0">VLOOKUP(D18,A$11:B$14,2,TRUE)</f>
        <v>2</v>
      </c>
      <c r="F18" s="157">
        <f t="shared" ref="F18:F23" si="1">D18*E18</f>
        <v>480</v>
      </c>
      <c r="G18" s="157">
        <f t="shared" ref="G18:G23" si="2">VLOOKUP(C18,D$11:E$14,2,FALSE)</f>
        <v>0.2</v>
      </c>
      <c r="H18" s="157">
        <f t="shared" ref="H18:H23" si="3">G18*D18</f>
        <v>48</v>
      </c>
      <c r="I18" s="157">
        <f t="shared" ref="I18:I23" si="4">-HLOOKUP(F18,I$11:K$13,$I$16,TRUE)*H18</f>
        <v>-7.1999999999999993</v>
      </c>
      <c r="J18" s="157">
        <f t="shared" ref="J18:J23" si="5">F18+H18+I18</f>
        <v>520.79999999999995</v>
      </c>
      <c r="K18" s="7"/>
      <c r="L18" s="7"/>
    </row>
    <row r="19" spans="1:16" x14ac:dyDescent="0.2">
      <c r="A19" s="182">
        <v>2</v>
      </c>
      <c r="B19" s="192" t="s">
        <v>25</v>
      </c>
      <c r="C19" s="192" t="s">
        <v>10</v>
      </c>
      <c r="D19" s="182">
        <v>30</v>
      </c>
      <c r="E19" s="158">
        <f t="shared" si="0"/>
        <v>2.4500000000000002</v>
      </c>
      <c r="F19" s="158">
        <f t="shared" si="1"/>
        <v>73.5</v>
      </c>
      <c r="G19" s="158">
        <f t="shared" si="2"/>
        <v>0.2</v>
      </c>
      <c r="H19" s="158">
        <f t="shared" si="3"/>
        <v>6</v>
      </c>
      <c r="I19" s="158">
        <f t="shared" si="4"/>
        <v>0</v>
      </c>
      <c r="J19" s="158">
        <f t="shared" si="5"/>
        <v>79.5</v>
      </c>
      <c r="K19" s="7"/>
      <c r="L19" s="7"/>
    </row>
    <row r="20" spans="1:16" x14ac:dyDescent="0.2">
      <c r="A20" s="182">
        <v>3</v>
      </c>
      <c r="B20" s="192" t="s">
        <v>26</v>
      </c>
      <c r="C20" s="192" t="s">
        <v>12</v>
      </c>
      <c r="D20" s="182">
        <v>160</v>
      </c>
      <c r="E20" s="158">
        <f t="shared" si="0"/>
        <v>2.12</v>
      </c>
      <c r="F20" s="158">
        <f t="shared" si="1"/>
        <v>339.20000000000005</v>
      </c>
      <c r="G20" s="158">
        <f t="shared" si="2"/>
        <v>0.15</v>
      </c>
      <c r="H20" s="158">
        <f t="shared" si="3"/>
        <v>24</v>
      </c>
      <c r="I20" s="158">
        <f t="shared" si="4"/>
        <v>-3.5999999999999996</v>
      </c>
      <c r="J20" s="158">
        <f t="shared" si="5"/>
        <v>359.6</v>
      </c>
      <c r="K20" s="7"/>
      <c r="L20" s="7"/>
    </row>
    <row r="21" spans="1:16" x14ac:dyDescent="0.2">
      <c r="A21" s="182">
        <v>4</v>
      </c>
      <c r="B21" s="192" t="s">
        <v>27</v>
      </c>
      <c r="C21" s="192" t="s">
        <v>8</v>
      </c>
      <c r="D21" s="182">
        <v>215</v>
      </c>
      <c r="E21" s="158">
        <f t="shared" si="0"/>
        <v>2.12</v>
      </c>
      <c r="F21" s="158">
        <f t="shared" si="1"/>
        <v>455.8</v>
      </c>
      <c r="G21" s="158">
        <f t="shared" si="2"/>
        <v>0.25</v>
      </c>
      <c r="H21" s="158">
        <f t="shared" si="3"/>
        <v>53.75</v>
      </c>
      <c r="I21" s="158">
        <f t="shared" si="4"/>
        <v>-8.0625</v>
      </c>
      <c r="J21" s="158">
        <f t="shared" si="5"/>
        <v>501.48750000000001</v>
      </c>
      <c r="K21" s="7"/>
      <c r="L21" s="7"/>
    </row>
    <row r="22" spans="1:16" x14ac:dyDescent="0.2">
      <c r="A22" s="182">
        <v>5</v>
      </c>
      <c r="B22" s="192" t="s">
        <v>28</v>
      </c>
      <c r="C22" s="192" t="s">
        <v>8</v>
      </c>
      <c r="D22" s="182">
        <v>90</v>
      </c>
      <c r="E22" s="158">
        <f t="shared" si="0"/>
        <v>2.27</v>
      </c>
      <c r="F22" s="158">
        <f t="shared" si="1"/>
        <v>204.3</v>
      </c>
      <c r="G22" s="158">
        <f t="shared" si="2"/>
        <v>0.25</v>
      </c>
      <c r="H22" s="158">
        <f t="shared" si="3"/>
        <v>22.5</v>
      </c>
      <c r="I22" s="158">
        <f t="shared" si="4"/>
        <v>0</v>
      </c>
      <c r="J22" s="158">
        <f t="shared" si="5"/>
        <v>226.8</v>
      </c>
      <c r="K22" s="7"/>
      <c r="L22" s="7"/>
    </row>
    <row r="23" spans="1:16" x14ac:dyDescent="0.2">
      <c r="A23" s="182">
        <v>6</v>
      </c>
      <c r="B23" s="192" t="s">
        <v>29</v>
      </c>
      <c r="C23" s="192" t="s">
        <v>14</v>
      </c>
      <c r="D23" s="182">
        <v>15</v>
      </c>
      <c r="E23" s="158">
        <f t="shared" si="0"/>
        <v>2.4500000000000002</v>
      </c>
      <c r="F23" s="158">
        <f t="shared" si="1"/>
        <v>36.75</v>
      </c>
      <c r="G23" s="158">
        <f t="shared" si="2"/>
        <v>0</v>
      </c>
      <c r="H23" s="158">
        <f t="shared" si="3"/>
        <v>0</v>
      </c>
      <c r="I23" s="158">
        <f t="shared" si="4"/>
        <v>0</v>
      </c>
      <c r="J23" s="158">
        <f t="shared" si="5"/>
        <v>36.75</v>
      </c>
      <c r="K23" s="7"/>
      <c r="L23" s="7"/>
    </row>
    <row r="24" spans="1:16" s="99" customFormat="1" x14ac:dyDescent="0.2">
      <c r="A24" s="20"/>
      <c r="B24" s="20"/>
      <c r="C24" s="20"/>
      <c r="D24" s="20"/>
      <c r="E24" s="20"/>
      <c r="F24" s="20"/>
      <c r="G24" s="20"/>
      <c r="H24" s="20"/>
      <c r="I24" s="20"/>
      <c r="J24" s="20"/>
      <c r="K24" s="20"/>
      <c r="L24" s="7"/>
      <c r="M24"/>
      <c r="N24"/>
      <c r="O24"/>
      <c r="P24"/>
    </row>
    <row r="25" spans="1:16" x14ac:dyDescent="0.2">
      <c r="A25" s="7"/>
      <c r="B25" s="7"/>
      <c r="C25" s="7"/>
      <c r="D25" s="7"/>
      <c r="E25" s="7"/>
      <c r="F25" s="7"/>
      <c r="G25" s="7"/>
      <c r="H25" s="7"/>
      <c r="I25" s="7"/>
      <c r="J25" s="7"/>
      <c r="K25" s="7"/>
      <c r="L25" s="7"/>
    </row>
    <row r="26" spans="1:16" x14ac:dyDescent="0.2">
      <c r="A26" s="7"/>
      <c r="B26" s="7"/>
      <c r="C26" s="7"/>
      <c r="D26" s="7"/>
      <c r="E26" s="7"/>
      <c r="F26" s="7"/>
      <c r="G26" s="7"/>
      <c r="H26" s="7"/>
      <c r="I26" s="7"/>
      <c r="J26" s="7"/>
      <c r="K26" s="7"/>
      <c r="L26" s="7"/>
    </row>
  </sheetData>
  <phoneticPr fontId="2" type="noConversion"/>
  <pageMargins left="0.75" right="0.75" top="1" bottom="1" header="0.5" footer="0.5"/>
  <pageSetup orientation="portrait" horizontalDpi="300" verticalDpi="300" r:id="rId1"/>
  <headerFooter alignWithMargins="0"/>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33">
    <pageSetUpPr autoPageBreaks="0"/>
  </sheetPr>
  <dimension ref="A1:L35"/>
  <sheetViews>
    <sheetView zoomScale="160" zoomScaleNormal="160" workbookViewId="0">
      <selection activeCell="B6" sqref="B6"/>
    </sheetView>
  </sheetViews>
  <sheetFormatPr defaultRowHeight="12.75" x14ac:dyDescent="0.2"/>
  <cols>
    <col min="1" max="2" width="8.7109375" customWidth="1"/>
    <col min="4" max="4" width="9" customWidth="1"/>
    <col min="6" max="6" width="9.140625" bestFit="1" customWidth="1"/>
    <col min="7" max="7" width="8.7109375" customWidth="1"/>
    <col min="8" max="8" width="10" customWidth="1"/>
    <col min="9" max="9" width="9.5703125" customWidth="1"/>
    <col min="10" max="10" width="9.5703125" bestFit="1" customWidth="1"/>
    <col min="11" max="11" width="10" bestFit="1" customWidth="1"/>
  </cols>
  <sheetData>
    <row r="1" spans="1:12" s="310" customFormat="1" ht="18" x14ac:dyDescent="0.25">
      <c r="A1" s="265" t="s">
        <v>221</v>
      </c>
      <c r="B1" s="309"/>
      <c r="C1" s="309"/>
      <c r="D1" s="309"/>
      <c r="E1" s="309"/>
      <c r="F1" s="309"/>
      <c r="G1" s="309"/>
      <c r="H1" s="309"/>
      <c r="I1" s="309"/>
      <c r="J1" s="309"/>
      <c r="K1" s="309"/>
    </row>
    <row r="2" spans="1:12" s="298" customFormat="1" hidden="1" x14ac:dyDescent="0.2">
      <c r="A2" s="299"/>
      <c r="B2" s="299"/>
      <c r="C2" s="301"/>
      <c r="D2" s="299"/>
      <c r="E2" s="301"/>
      <c r="F2" s="299"/>
      <c r="G2" s="301"/>
      <c r="H2" s="299"/>
      <c r="I2" s="299"/>
      <c r="J2" s="299"/>
      <c r="K2" s="299"/>
    </row>
    <row r="3" spans="1:12" s="273" customFormat="1" x14ac:dyDescent="0.2">
      <c r="A3" s="274" t="str">
        <f>IF(A2="","",IF(Disable_Video_Hyperlinks,A2,HYPERLINK(Video_website&amp;A2,A2)))</f>
        <v/>
      </c>
      <c r="B3" s="277"/>
      <c r="C3" s="311"/>
      <c r="D3" s="277"/>
      <c r="E3" s="311"/>
      <c r="F3" s="277"/>
      <c r="G3" s="311"/>
      <c r="H3" s="277"/>
      <c r="I3" s="277"/>
      <c r="J3" s="277"/>
      <c r="K3" s="277"/>
    </row>
    <row r="4" spans="1:12" s="91" customFormat="1" x14ac:dyDescent="0.2">
      <c r="A4" s="305" t="str">
        <f>IF(B2="","",B2)</f>
        <v/>
      </c>
      <c r="B4" s="275"/>
      <c r="C4" s="279"/>
      <c r="D4" s="275"/>
      <c r="E4" s="279"/>
      <c r="F4" s="275"/>
      <c r="G4" s="279"/>
      <c r="H4" s="275"/>
      <c r="I4" s="275"/>
      <c r="J4" s="275"/>
      <c r="K4" s="275"/>
    </row>
    <row r="5" spans="1:12" x14ac:dyDescent="0.2">
      <c r="A5" s="7"/>
      <c r="B5" s="7"/>
      <c r="C5" s="7"/>
      <c r="D5" s="7"/>
      <c r="E5" s="7"/>
      <c r="F5" s="7"/>
      <c r="G5" s="7"/>
      <c r="H5" s="7"/>
      <c r="I5" s="7"/>
      <c r="J5" s="7"/>
      <c r="K5" s="7"/>
      <c r="L5" s="7"/>
    </row>
    <row r="6" spans="1:12" x14ac:dyDescent="0.2">
      <c r="A6" s="212" t="s">
        <v>0</v>
      </c>
      <c r="B6" s="213"/>
      <c r="C6" s="213"/>
      <c r="D6" s="213"/>
      <c r="E6" s="213"/>
      <c r="F6" s="213"/>
      <c r="G6" s="213"/>
      <c r="H6" s="213"/>
      <c r="I6" s="213"/>
      <c r="J6" s="213"/>
      <c r="K6" s="213"/>
      <c r="L6" s="7"/>
    </row>
    <row r="7" spans="1:12" ht="21" customHeight="1" x14ac:dyDescent="0.2">
      <c r="A7" s="212" t="s">
        <v>1</v>
      </c>
      <c r="B7" s="213"/>
      <c r="C7" s="213"/>
      <c r="D7" s="213"/>
      <c r="E7" s="213"/>
      <c r="F7" s="213"/>
      <c r="G7" s="213"/>
      <c r="H7" s="213"/>
      <c r="I7" s="213"/>
      <c r="J7" s="213"/>
      <c r="K7" s="213"/>
      <c r="L7" s="7"/>
    </row>
    <row r="8" spans="1:12" x14ac:dyDescent="0.2">
      <c r="A8" s="7"/>
      <c r="B8" s="7"/>
      <c r="C8" s="7"/>
      <c r="D8" s="7"/>
      <c r="E8" s="7"/>
      <c r="F8" s="7"/>
      <c r="G8" s="7"/>
      <c r="H8" s="7"/>
      <c r="I8" s="7"/>
      <c r="J8" s="7"/>
      <c r="K8" s="7"/>
      <c r="L8" s="7"/>
    </row>
    <row r="9" spans="1:12" ht="12.75" customHeight="1" x14ac:dyDescent="0.2">
      <c r="A9" s="160" t="s">
        <v>2</v>
      </c>
      <c r="B9" s="171"/>
      <c r="C9" s="7"/>
      <c r="D9" s="160" t="s">
        <v>3</v>
      </c>
      <c r="E9" s="160"/>
      <c r="F9" s="7"/>
      <c r="G9" s="7"/>
      <c r="H9" s="7"/>
      <c r="I9" s="7"/>
      <c r="J9" s="7"/>
      <c r="K9" s="7"/>
      <c r="L9" s="7"/>
    </row>
    <row r="10" spans="1:12" ht="13.5" customHeight="1" x14ac:dyDescent="0.2">
      <c r="A10" s="122" t="s">
        <v>5</v>
      </c>
      <c r="B10" s="122" t="s">
        <v>4</v>
      </c>
      <c r="C10" s="7"/>
      <c r="D10" s="122" t="s">
        <v>6</v>
      </c>
      <c r="E10" s="122" t="s">
        <v>5</v>
      </c>
      <c r="F10" s="7"/>
      <c r="G10" s="160" t="s">
        <v>7</v>
      </c>
      <c r="H10" s="160"/>
      <c r="I10" s="160"/>
      <c r="J10" s="160"/>
      <c r="K10" s="160"/>
      <c r="L10" s="7"/>
    </row>
    <row r="11" spans="1:12" x14ac:dyDescent="0.2">
      <c r="A11" s="180">
        <v>2.4500000000000002</v>
      </c>
      <c r="B11" s="200">
        <v>0</v>
      </c>
      <c r="C11" s="20"/>
      <c r="D11" s="183" t="s">
        <v>8</v>
      </c>
      <c r="E11" s="180">
        <v>0.25</v>
      </c>
      <c r="F11" s="20"/>
      <c r="G11" s="20" t="s">
        <v>9</v>
      </c>
      <c r="H11" s="20"/>
      <c r="I11" s="201">
        <v>0</v>
      </c>
      <c r="J11" s="201">
        <v>300</v>
      </c>
      <c r="K11" s="201">
        <v>1000</v>
      </c>
      <c r="L11" s="7"/>
    </row>
    <row r="12" spans="1:12" x14ac:dyDescent="0.2">
      <c r="A12" s="184">
        <v>2.27</v>
      </c>
      <c r="B12" s="200">
        <v>60</v>
      </c>
      <c r="C12" s="20"/>
      <c r="D12" s="183" t="s">
        <v>10</v>
      </c>
      <c r="E12" s="184">
        <v>0.2</v>
      </c>
      <c r="F12" s="20"/>
      <c r="G12" s="20" t="s">
        <v>13</v>
      </c>
      <c r="H12" s="20"/>
      <c r="I12" s="153">
        <v>0</v>
      </c>
      <c r="J12" s="153">
        <v>0.15</v>
      </c>
      <c r="K12" s="153">
        <v>0.25</v>
      </c>
      <c r="L12" s="7"/>
    </row>
    <row r="13" spans="1:12" x14ac:dyDescent="0.2">
      <c r="A13" s="184">
        <v>2.12</v>
      </c>
      <c r="B13" s="200">
        <v>120</v>
      </c>
      <c r="C13" s="20"/>
      <c r="D13" s="183" t="s">
        <v>12</v>
      </c>
      <c r="E13" s="184">
        <v>0.15</v>
      </c>
      <c r="F13" s="20"/>
      <c r="G13" s="20" t="s">
        <v>223</v>
      </c>
      <c r="H13" s="20"/>
      <c r="I13" s="153">
        <v>0</v>
      </c>
      <c r="J13" s="153">
        <v>0.1</v>
      </c>
      <c r="K13" s="153">
        <v>0.15</v>
      </c>
      <c r="L13" s="7"/>
    </row>
    <row r="14" spans="1:12" x14ac:dyDescent="0.2">
      <c r="A14" s="184">
        <v>2</v>
      </c>
      <c r="B14" s="200">
        <v>240</v>
      </c>
      <c r="C14" s="20"/>
      <c r="D14" s="183" t="s">
        <v>14</v>
      </c>
      <c r="E14" s="184">
        <v>0</v>
      </c>
      <c r="F14" s="20"/>
      <c r="G14" s="20"/>
      <c r="H14" s="20"/>
      <c r="I14" s="20"/>
      <c r="J14" s="20"/>
      <c r="K14" s="20"/>
      <c r="L14" s="7"/>
    </row>
    <row r="15" spans="1:12" x14ac:dyDescent="0.2">
      <c r="A15" s="97"/>
      <c r="B15" s="98"/>
      <c r="C15" s="20"/>
      <c r="D15" s="97"/>
      <c r="E15" s="98"/>
      <c r="F15" s="20"/>
      <c r="G15" s="20"/>
      <c r="H15" s="20"/>
      <c r="I15" s="20"/>
      <c r="J15" s="20"/>
      <c r="K15" s="20"/>
      <c r="L15" s="7"/>
    </row>
    <row r="16" spans="1:12" x14ac:dyDescent="0.2">
      <c r="A16" s="7"/>
      <c r="B16" s="7"/>
      <c r="C16" s="7"/>
      <c r="D16" s="7"/>
      <c r="E16" s="7"/>
      <c r="F16" s="7"/>
      <c r="G16" s="7"/>
      <c r="H16" s="7"/>
      <c r="I16" s="7"/>
      <c r="J16" s="7"/>
      <c r="K16" s="7"/>
      <c r="L16" s="7"/>
    </row>
    <row r="17" spans="1:12" ht="38.25" x14ac:dyDescent="0.2">
      <c r="A17" s="156" t="s">
        <v>15</v>
      </c>
      <c r="B17" s="156" t="s">
        <v>16</v>
      </c>
      <c r="C17" s="120" t="s">
        <v>237</v>
      </c>
      <c r="D17" s="156" t="s">
        <v>18</v>
      </c>
      <c r="E17" s="120" t="s">
        <v>19</v>
      </c>
      <c r="F17" s="120" t="s">
        <v>20</v>
      </c>
      <c r="G17" s="120" t="s">
        <v>238</v>
      </c>
      <c r="H17" s="120" t="s">
        <v>288</v>
      </c>
      <c r="I17" s="120" t="s">
        <v>7</v>
      </c>
      <c r="J17" s="120" t="s">
        <v>23</v>
      </c>
      <c r="K17" s="7"/>
      <c r="L17" s="7"/>
    </row>
    <row r="18" spans="1:12" x14ac:dyDescent="0.2">
      <c r="A18" s="127">
        <v>1</v>
      </c>
      <c r="B18" s="128" t="s">
        <v>24</v>
      </c>
      <c r="C18" s="128" t="s">
        <v>10</v>
      </c>
      <c r="D18" s="127">
        <v>240</v>
      </c>
      <c r="E18" s="157">
        <f>LOOKUP(D18,$B$11:$B$14,$A$11:$A$14)</f>
        <v>2</v>
      </c>
      <c r="F18" s="157">
        <f t="shared" ref="F18:F23" si="0">D18*E18</f>
        <v>480</v>
      </c>
      <c r="G18" s="157">
        <f t="shared" ref="G18" si="1">VLOOKUP(C18,D$11:E$14,2,FALSE)</f>
        <v>0.2</v>
      </c>
      <c r="H18" s="157">
        <f t="shared" ref="H18:H23" si="2">G18*D18</f>
        <v>48</v>
      </c>
      <c r="I18" s="157">
        <f ca="1">-LOOKUP(F18,$I$11:$KI$11,$I$12:$K$12)*H18</f>
        <v>-7.1999999999999993</v>
      </c>
      <c r="J18" s="157">
        <f t="shared" ref="J18:J23" ca="1" si="3">F18+H18+I18</f>
        <v>520.79999999999995</v>
      </c>
      <c r="K18" s="7"/>
      <c r="L18" s="7"/>
    </row>
    <row r="19" spans="1:12" x14ac:dyDescent="0.2">
      <c r="A19" s="127">
        <v>2</v>
      </c>
      <c r="B19" s="128" t="s">
        <v>25</v>
      </c>
      <c r="C19" s="128" t="s">
        <v>10</v>
      </c>
      <c r="D19" s="127">
        <v>30</v>
      </c>
      <c r="E19" s="158">
        <f t="shared" ref="E19:E23" si="4">LOOKUP(D19,$B$11:$B$14,$A$11:$A$14)</f>
        <v>2.4500000000000002</v>
      </c>
      <c r="F19" s="158">
        <f t="shared" si="0"/>
        <v>73.5</v>
      </c>
      <c r="G19" s="158">
        <f>LOOKUP(C19,$D$11:$D$14,$E$11:$E$14)</f>
        <v>0.2</v>
      </c>
      <c r="H19" s="158">
        <f t="shared" si="2"/>
        <v>6</v>
      </c>
      <c r="I19" s="158">
        <f t="shared" ref="I19:I23" ca="1" si="5">-LOOKUP(F19,$I$11:$KI$11,$I$12:$K$12)*H19</f>
        <v>0</v>
      </c>
      <c r="J19" s="158">
        <f t="shared" ca="1" si="3"/>
        <v>79.5</v>
      </c>
      <c r="K19" s="7"/>
      <c r="L19" s="7"/>
    </row>
    <row r="20" spans="1:12" x14ac:dyDescent="0.2">
      <c r="A20" s="127">
        <v>3</v>
      </c>
      <c r="B20" s="128" t="s">
        <v>26</v>
      </c>
      <c r="C20" s="128" t="s">
        <v>12</v>
      </c>
      <c r="D20" s="127">
        <v>160</v>
      </c>
      <c r="E20" s="158">
        <f t="shared" si="4"/>
        <v>2.12</v>
      </c>
      <c r="F20" s="158">
        <f t="shared" si="0"/>
        <v>339.20000000000005</v>
      </c>
      <c r="G20" s="158">
        <f t="shared" ref="G20:G23" si="6">LOOKUP(C20,$D$11:$D$14,$E$11:$E$14)</f>
        <v>0.15</v>
      </c>
      <c r="H20" s="158">
        <f t="shared" si="2"/>
        <v>24</v>
      </c>
      <c r="I20" s="158">
        <f t="shared" ca="1" si="5"/>
        <v>-3.5999999999999996</v>
      </c>
      <c r="J20" s="158">
        <f t="shared" ca="1" si="3"/>
        <v>359.6</v>
      </c>
      <c r="K20" s="7"/>
      <c r="L20" s="7"/>
    </row>
    <row r="21" spans="1:12" x14ac:dyDescent="0.2">
      <c r="A21" s="127">
        <v>4</v>
      </c>
      <c r="B21" s="128" t="s">
        <v>27</v>
      </c>
      <c r="C21" s="128" t="s">
        <v>8</v>
      </c>
      <c r="D21" s="127">
        <v>215</v>
      </c>
      <c r="E21" s="158">
        <f t="shared" si="4"/>
        <v>2.12</v>
      </c>
      <c r="F21" s="158">
        <f t="shared" si="0"/>
        <v>455.8</v>
      </c>
      <c r="G21" s="158">
        <f t="shared" si="6"/>
        <v>0</v>
      </c>
      <c r="H21" s="158">
        <f t="shared" si="2"/>
        <v>0</v>
      </c>
      <c r="I21" s="158">
        <f t="shared" ca="1" si="5"/>
        <v>0</v>
      </c>
      <c r="J21" s="158">
        <f t="shared" ca="1" si="3"/>
        <v>455.8</v>
      </c>
      <c r="K21" s="7"/>
      <c r="L21" s="7"/>
    </row>
    <row r="22" spans="1:12" x14ac:dyDescent="0.2">
      <c r="A22" s="127">
        <v>5</v>
      </c>
      <c r="B22" s="128" t="s">
        <v>28</v>
      </c>
      <c r="C22" s="128" t="s">
        <v>8</v>
      </c>
      <c r="D22" s="127">
        <v>90</v>
      </c>
      <c r="E22" s="158">
        <f t="shared" si="4"/>
        <v>2.27</v>
      </c>
      <c r="F22" s="158">
        <f t="shared" si="0"/>
        <v>204.3</v>
      </c>
      <c r="G22" s="158">
        <f t="shared" si="6"/>
        <v>0</v>
      </c>
      <c r="H22" s="158">
        <f t="shared" si="2"/>
        <v>0</v>
      </c>
      <c r="I22" s="158">
        <f t="shared" ca="1" si="5"/>
        <v>0</v>
      </c>
      <c r="J22" s="158">
        <f t="shared" ca="1" si="3"/>
        <v>204.3</v>
      </c>
      <c r="K22" s="7"/>
      <c r="L22" s="7"/>
    </row>
    <row r="23" spans="1:12" x14ac:dyDescent="0.2">
      <c r="A23" s="127">
        <v>6</v>
      </c>
      <c r="B23" s="128" t="s">
        <v>29</v>
      </c>
      <c r="C23" s="128" t="s">
        <v>14</v>
      </c>
      <c r="D23" s="127">
        <v>15</v>
      </c>
      <c r="E23" s="158">
        <f t="shared" si="4"/>
        <v>2.4500000000000002</v>
      </c>
      <c r="F23" s="158">
        <f t="shared" si="0"/>
        <v>36.75</v>
      </c>
      <c r="G23" s="158" t="e">
        <f t="shared" si="6"/>
        <v>#N/A</v>
      </c>
      <c r="H23" s="158" t="e">
        <f t="shared" si="2"/>
        <v>#N/A</v>
      </c>
      <c r="I23" s="158" t="e">
        <f t="shared" ca="1" si="5"/>
        <v>#N/A</v>
      </c>
      <c r="J23" s="158" t="e">
        <f t="shared" ca="1" si="3"/>
        <v>#N/A</v>
      </c>
      <c r="K23" s="7"/>
      <c r="L23" s="7"/>
    </row>
    <row r="24" spans="1:12" s="99" customFormat="1" x14ac:dyDescent="0.2">
      <c r="A24" s="20"/>
      <c r="B24" s="20"/>
      <c r="C24" s="20"/>
      <c r="D24" s="20"/>
      <c r="E24" s="20"/>
      <c r="F24" s="20"/>
      <c r="G24" s="20"/>
      <c r="H24" s="20"/>
      <c r="I24" s="20"/>
      <c r="J24" s="20"/>
      <c r="K24" s="20"/>
      <c r="L24" s="20"/>
    </row>
    <row r="25" spans="1:12" x14ac:dyDescent="0.2">
      <c r="A25" s="7"/>
      <c r="B25" s="7"/>
      <c r="C25" s="7"/>
      <c r="D25" s="7"/>
      <c r="E25" s="7"/>
      <c r="F25" s="7"/>
      <c r="G25" s="7"/>
      <c r="H25" s="7"/>
      <c r="I25" s="7"/>
      <c r="J25" s="7"/>
      <c r="K25" s="7"/>
      <c r="L25" s="7"/>
    </row>
    <row r="26" spans="1:12" x14ac:dyDescent="0.2">
      <c r="A26" s="7"/>
      <c r="B26" s="7"/>
      <c r="C26" s="7"/>
      <c r="D26" s="7"/>
      <c r="E26" s="7"/>
      <c r="F26" s="7"/>
      <c r="G26" s="7"/>
      <c r="H26" s="7"/>
      <c r="I26" s="7"/>
      <c r="J26" s="7"/>
      <c r="K26" s="7"/>
      <c r="L26" s="7"/>
    </row>
    <row r="27" spans="1:12" x14ac:dyDescent="0.2">
      <c r="A27" s="7"/>
      <c r="B27" s="7"/>
      <c r="C27" s="7"/>
      <c r="D27" s="7"/>
      <c r="E27" s="7"/>
      <c r="F27" s="7"/>
      <c r="G27" s="7"/>
      <c r="H27" s="7"/>
      <c r="I27" s="7"/>
      <c r="J27" s="7"/>
      <c r="K27" s="7"/>
      <c r="L27" s="7"/>
    </row>
    <row r="28" spans="1:12" x14ac:dyDescent="0.2">
      <c r="A28" s="7"/>
      <c r="B28" s="7"/>
      <c r="C28" s="7"/>
      <c r="D28" s="7"/>
      <c r="E28" s="7"/>
      <c r="F28" s="7"/>
      <c r="G28" s="7"/>
      <c r="H28" s="7"/>
      <c r="I28" s="7"/>
      <c r="J28" s="7"/>
      <c r="K28" s="7"/>
      <c r="L28" s="7"/>
    </row>
    <row r="29" spans="1:12" x14ac:dyDescent="0.2">
      <c r="A29" s="7"/>
      <c r="B29" s="7"/>
      <c r="C29" s="7"/>
      <c r="D29" s="7"/>
      <c r="E29" s="7"/>
      <c r="F29" s="7"/>
      <c r="G29" s="7"/>
      <c r="H29" s="7"/>
      <c r="I29" s="7"/>
      <c r="J29" s="7"/>
      <c r="K29" s="7"/>
      <c r="L29" s="7"/>
    </row>
    <row r="30" spans="1:12" x14ac:dyDescent="0.2">
      <c r="A30" s="7"/>
      <c r="B30" s="7"/>
      <c r="C30" s="7"/>
      <c r="D30" s="7"/>
      <c r="E30" s="7"/>
      <c r="F30" s="7"/>
      <c r="G30" s="7"/>
      <c r="H30" s="7"/>
      <c r="I30" s="7"/>
      <c r="J30" s="7"/>
      <c r="K30" s="7"/>
      <c r="L30" s="7"/>
    </row>
    <row r="31" spans="1:12" x14ac:dyDescent="0.2">
      <c r="A31" s="7"/>
      <c r="B31" s="7"/>
      <c r="C31" s="7"/>
      <c r="D31" s="7"/>
      <c r="E31" s="7"/>
      <c r="F31" s="7"/>
      <c r="G31" s="7"/>
      <c r="H31" s="7"/>
      <c r="I31" s="7"/>
      <c r="J31" s="7"/>
      <c r="K31" s="7"/>
      <c r="L31" s="7"/>
    </row>
    <row r="32" spans="1:12" x14ac:dyDescent="0.2">
      <c r="A32" s="7"/>
      <c r="B32" s="7"/>
      <c r="C32" s="7"/>
      <c r="D32" s="7"/>
      <c r="E32" s="7"/>
      <c r="F32" s="7"/>
      <c r="G32" s="7"/>
      <c r="H32" s="7"/>
      <c r="I32" s="7"/>
      <c r="J32" s="7"/>
      <c r="K32" s="7"/>
      <c r="L32" s="7"/>
    </row>
    <row r="33" spans="1:12" x14ac:dyDescent="0.2">
      <c r="A33" s="7"/>
      <c r="B33" s="7"/>
      <c r="C33" s="7"/>
      <c r="D33" s="7"/>
      <c r="E33" s="7"/>
      <c r="F33" s="7"/>
      <c r="G33" s="7"/>
      <c r="H33" s="7"/>
      <c r="I33" s="7"/>
      <c r="J33" s="7"/>
      <c r="K33" s="7"/>
      <c r="L33" s="7"/>
    </row>
    <row r="34" spans="1:12" x14ac:dyDescent="0.2">
      <c r="A34" s="7"/>
      <c r="B34" s="7"/>
      <c r="C34" s="7"/>
      <c r="D34" s="7"/>
      <c r="E34" s="7"/>
      <c r="F34" s="7"/>
      <c r="G34" s="7"/>
      <c r="H34" s="7"/>
      <c r="I34" s="7"/>
      <c r="J34" s="7"/>
      <c r="K34" s="7"/>
      <c r="L34" s="7"/>
    </row>
    <row r="35" spans="1:12" x14ac:dyDescent="0.2">
      <c r="A35" s="7"/>
      <c r="B35" s="7"/>
      <c r="C35" s="7"/>
      <c r="D35" s="7"/>
      <c r="E35" s="7"/>
      <c r="F35" s="7"/>
      <c r="G35" s="7"/>
      <c r="H35" s="7"/>
      <c r="I35" s="7"/>
      <c r="J35" s="7"/>
      <c r="K35" s="7"/>
      <c r="L35" s="7"/>
    </row>
  </sheetData>
  <pageMargins left="0.75" right="0.75" top="1" bottom="1" header="0.5" footer="0.5"/>
  <pageSetup orientation="portrait" horizontalDpi="300" verticalDpi="300" r:id="rId1"/>
  <headerFooter alignWithMargins="0"/>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7">
    <pageSetUpPr autoPageBreaks="0"/>
  </sheetPr>
  <dimension ref="A1:R25"/>
  <sheetViews>
    <sheetView zoomScale="160" zoomScaleNormal="160" workbookViewId="0">
      <selection activeCell="B6" sqref="B6"/>
    </sheetView>
  </sheetViews>
  <sheetFormatPr defaultRowHeight="12.75" x14ac:dyDescent="0.2"/>
  <cols>
    <col min="1" max="2" width="8.7109375" customWidth="1"/>
    <col min="4" max="4" width="9" customWidth="1"/>
    <col min="6" max="7" width="8.7109375" customWidth="1"/>
    <col min="8" max="8" width="10" customWidth="1"/>
    <col min="9" max="9" width="9.5703125" customWidth="1"/>
  </cols>
  <sheetData>
    <row r="1" spans="1:10" s="310" customFormat="1" ht="18" x14ac:dyDescent="0.25">
      <c r="A1" s="265" t="s">
        <v>245</v>
      </c>
      <c r="B1" s="309"/>
      <c r="C1" s="309"/>
      <c r="D1" s="309"/>
      <c r="E1" s="309"/>
      <c r="F1" s="309"/>
      <c r="G1" s="309"/>
      <c r="H1" s="309"/>
      <c r="I1" s="309"/>
      <c r="J1" s="309"/>
    </row>
    <row r="2" spans="1:10" s="298" customFormat="1" hidden="1" x14ac:dyDescent="0.2">
      <c r="A2" s="299"/>
      <c r="B2" s="299"/>
      <c r="C2" s="301"/>
      <c r="D2" s="299"/>
      <c r="E2" s="301"/>
      <c r="F2" s="299"/>
      <c r="G2" s="301"/>
      <c r="H2" s="299"/>
      <c r="I2" s="299"/>
      <c r="J2" s="299"/>
    </row>
    <row r="3" spans="1:10" s="273" customFormat="1" x14ac:dyDescent="0.2">
      <c r="A3" s="274" t="str">
        <f>IF(A2="","",IF(Disable_Video_Hyperlinks,A2,HYPERLINK(Video_website&amp;A2,A2)))</f>
        <v/>
      </c>
      <c r="B3" s="277"/>
      <c r="C3" s="311"/>
      <c r="D3" s="277"/>
      <c r="E3" s="311"/>
      <c r="F3" s="277"/>
      <c r="G3" s="311"/>
      <c r="H3" s="277"/>
      <c r="I3" s="277"/>
      <c r="J3" s="277"/>
    </row>
    <row r="4" spans="1:10" s="91" customFormat="1" x14ac:dyDescent="0.2">
      <c r="A4" s="305" t="str">
        <f>IF(B2="","",B2)</f>
        <v/>
      </c>
      <c r="B4" s="276"/>
      <c r="C4" s="278"/>
      <c r="D4" s="276"/>
      <c r="E4" s="278"/>
      <c r="F4" s="276"/>
      <c r="G4" s="278"/>
      <c r="H4" s="276"/>
      <c r="I4" s="276"/>
      <c r="J4" s="276"/>
    </row>
    <row r="6" spans="1:10" x14ac:dyDescent="0.2">
      <c r="A6" s="117" t="s">
        <v>0</v>
      </c>
      <c r="B6" s="118"/>
      <c r="C6" s="118"/>
      <c r="D6" s="118"/>
      <c r="E6" s="118"/>
      <c r="F6" s="118"/>
      <c r="G6" s="118"/>
      <c r="H6" s="118"/>
      <c r="I6" s="118"/>
      <c r="J6" s="118"/>
    </row>
    <row r="7" spans="1:10" ht="21" customHeight="1" x14ac:dyDescent="0.2">
      <c r="A7" s="117" t="s">
        <v>1</v>
      </c>
      <c r="B7" s="118"/>
      <c r="C7" s="118"/>
      <c r="D7" s="118"/>
      <c r="E7" s="118"/>
      <c r="F7" s="118"/>
      <c r="G7" s="118"/>
      <c r="H7" s="118"/>
      <c r="I7" s="118"/>
      <c r="J7" s="118"/>
    </row>
    <row r="8" spans="1:10" x14ac:dyDescent="0.2">
      <c r="C8" s="95"/>
      <c r="D8" s="87"/>
      <c r="E8" s="87"/>
      <c r="F8" s="87"/>
      <c r="J8" s="95"/>
    </row>
    <row r="9" spans="1:10" ht="12.75" customHeight="1" x14ac:dyDescent="0.2">
      <c r="A9" s="7"/>
      <c r="B9" s="7"/>
      <c r="C9" s="160" t="s">
        <v>2</v>
      </c>
      <c r="D9" s="160"/>
      <c r="E9" s="171"/>
      <c r="F9" s="7"/>
      <c r="G9" s="7"/>
      <c r="H9" s="7"/>
    </row>
    <row r="10" spans="1:10" x14ac:dyDescent="0.2">
      <c r="A10" s="7"/>
      <c r="B10" s="7"/>
      <c r="C10" s="114" t="s">
        <v>4</v>
      </c>
      <c r="D10" s="114"/>
      <c r="E10" s="122" t="s">
        <v>5</v>
      </c>
      <c r="F10" s="7"/>
      <c r="G10" s="7"/>
      <c r="H10" s="7"/>
    </row>
    <row r="11" spans="1:10" x14ac:dyDescent="0.2">
      <c r="A11" s="7"/>
      <c r="B11" s="7"/>
      <c r="C11" s="183">
        <v>0</v>
      </c>
      <c r="D11" s="292">
        <f>C12-1</f>
        <v>59</v>
      </c>
      <c r="E11" s="180">
        <v>2.4500000000000002</v>
      </c>
      <c r="F11" s="7"/>
      <c r="G11" s="7"/>
      <c r="H11" s="7"/>
    </row>
    <row r="12" spans="1:10" x14ac:dyDescent="0.2">
      <c r="A12" s="7"/>
      <c r="B12" s="7"/>
      <c r="C12" s="183">
        <v>60</v>
      </c>
      <c r="D12" s="292">
        <f>C13-1</f>
        <v>119</v>
      </c>
      <c r="E12" s="184">
        <v>2.27</v>
      </c>
      <c r="F12" s="7"/>
      <c r="G12" s="7"/>
      <c r="H12" s="7"/>
    </row>
    <row r="13" spans="1:10" x14ac:dyDescent="0.2">
      <c r="A13" s="7"/>
      <c r="B13" s="7"/>
      <c r="C13" s="183">
        <v>120</v>
      </c>
      <c r="D13" s="292">
        <f>C14-1</f>
        <v>239</v>
      </c>
      <c r="E13" s="184">
        <v>2.12</v>
      </c>
      <c r="F13" s="7"/>
      <c r="G13" s="7"/>
      <c r="H13" s="7"/>
    </row>
    <row r="14" spans="1:10" x14ac:dyDescent="0.2">
      <c r="A14" s="7"/>
      <c r="B14" s="7"/>
      <c r="C14" s="183">
        <v>240</v>
      </c>
      <c r="D14" s="293" t="s">
        <v>218</v>
      </c>
      <c r="E14" s="184">
        <v>2</v>
      </c>
      <c r="F14" s="7"/>
      <c r="G14" s="7"/>
      <c r="H14" s="7"/>
    </row>
    <row r="15" spans="1:10" x14ac:dyDescent="0.2">
      <c r="A15" s="7"/>
      <c r="B15" s="7"/>
      <c r="C15" s="7"/>
      <c r="D15" s="7"/>
      <c r="E15" s="7"/>
      <c r="F15" s="7"/>
      <c r="G15" s="7"/>
      <c r="H15" s="7"/>
    </row>
    <row r="16" spans="1:10" x14ac:dyDescent="0.2">
      <c r="A16" s="7"/>
      <c r="B16" s="7"/>
      <c r="C16" s="7"/>
      <c r="D16" s="7"/>
      <c r="E16" s="7"/>
      <c r="F16" s="7"/>
      <c r="G16" s="7"/>
      <c r="H16" s="7"/>
    </row>
    <row r="17" spans="1:18" ht="25.5" x14ac:dyDescent="0.2">
      <c r="A17" s="156" t="s">
        <v>15</v>
      </c>
      <c r="B17" s="156" t="s">
        <v>16</v>
      </c>
      <c r="C17" s="188" t="s">
        <v>237</v>
      </c>
      <c r="D17" s="156" t="s">
        <v>18</v>
      </c>
      <c r="E17" s="120" t="s">
        <v>19</v>
      </c>
      <c r="F17" s="7"/>
      <c r="G17" s="7"/>
      <c r="H17" s="120" t="s">
        <v>19</v>
      </c>
    </row>
    <row r="18" spans="1:18" x14ac:dyDescent="0.2">
      <c r="A18" s="127">
        <v>1</v>
      </c>
      <c r="B18" s="128" t="s">
        <v>24</v>
      </c>
      <c r="C18" s="128" t="s">
        <v>10</v>
      </c>
      <c r="D18" s="127">
        <v>240</v>
      </c>
      <c r="E18" s="157">
        <f>VLOOKUP($D18,$C$11:$E$14,3,TRUE)</f>
        <v>2</v>
      </c>
      <c r="F18" s="20"/>
      <c r="G18" s="20"/>
      <c r="H18" s="157">
        <f>VLOOKUP($D18,$C$11:$E$14,COLUMNS($C$11:$E$14),TRUE)</f>
        <v>2</v>
      </c>
    </row>
    <row r="19" spans="1:18" x14ac:dyDescent="0.2">
      <c r="A19" s="127">
        <v>2</v>
      </c>
      <c r="B19" s="128" t="s">
        <v>25</v>
      </c>
      <c r="C19" s="128" t="s">
        <v>10</v>
      </c>
      <c r="D19" s="127">
        <v>30</v>
      </c>
      <c r="E19" s="158">
        <f t="shared" ref="E19:E23" si="0">VLOOKUP($D19,$C$11:$E$14,3,TRUE)</f>
        <v>2.4500000000000002</v>
      </c>
      <c r="F19" s="20"/>
      <c r="G19" s="20"/>
      <c r="H19" s="158">
        <f t="shared" ref="H19:H23" si="1">VLOOKUP($D19,$C$11:$E$14,COLUMNS($C$11:$E$14),TRUE)</f>
        <v>2.4500000000000002</v>
      </c>
    </row>
    <row r="20" spans="1:18" x14ac:dyDescent="0.2">
      <c r="A20" s="127">
        <v>3</v>
      </c>
      <c r="B20" s="128" t="s">
        <v>26</v>
      </c>
      <c r="C20" s="128" t="s">
        <v>12</v>
      </c>
      <c r="D20" s="127">
        <v>160</v>
      </c>
      <c r="E20" s="158">
        <f t="shared" si="0"/>
        <v>2.12</v>
      </c>
      <c r="F20" s="20"/>
      <c r="G20" s="20"/>
      <c r="H20" s="158">
        <f t="shared" si="1"/>
        <v>2.12</v>
      </c>
    </row>
    <row r="21" spans="1:18" x14ac:dyDescent="0.2">
      <c r="A21" s="127">
        <v>4</v>
      </c>
      <c r="B21" s="128" t="s">
        <v>27</v>
      </c>
      <c r="C21" s="128" t="s">
        <v>8</v>
      </c>
      <c r="D21" s="127">
        <v>215</v>
      </c>
      <c r="E21" s="158">
        <f t="shared" si="0"/>
        <v>2.12</v>
      </c>
      <c r="F21" s="20"/>
      <c r="G21" s="20"/>
      <c r="H21" s="158">
        <f t="shared" si="1"/>
        <v>2.12</v>
      </c>
    </row>
    <row r="22" spans="1:18" x14ac:dyDescent="0.2">
      <c r="A22" s="127">
        <v>5</v>
      </c>
      <c r="B22" s="128" t="s">
        <v>28</v>
      </c>
      <c r="C22" s="128" t="s">
        <v>8</v>
      </c>
      <c r="D22" s="127">
        <v>90</v>
      </c>
      <c r="E22" s="158">
        <f t="shared" si="0"/>
        <v>2.27</v>
      </c>
      <c r="F22" s="20"/>
      <c r="G22" s="20"/>
      <c r="H22" s="158">
        <f t="shared" si="1"/>
        <v>2.27</v>
      </c>
    </row>
    <row r="23" spans="1:18" x14ac:dyDescent="0.2">
      <c r="A23" s="127">
        <v>6</v>
      </c>
      <c r="B23" s="128" t="s">
        <v>29</v>
      </c>
      <c r="C23" s="128" t="s">
        <v>14</v>
      </c>
      <c r="D23" s="127">
        <v>15</v>
      </c>
      <c r="E23" s="158">
        <f t="shared" si="0"/>
        <v>2.4500000000000002</v>
      </c>
      <c r="F23" s="20"/>
      <c r="G23" s="20"/>
      <c r="H23" s="158">
        <f t="shared" si="1"/>
        <v>2.4500000000000002</v>
      </c>
    </row>
    <row r="24" spans="1:18" s="99" customFormat="1" x14ac:dyDescent="0.2">
      <c r="A24" s="20"/>
      <c r="B24" s="20"/>
      <c r="C24" s="20"/>
      <c r="D24" s="20"/>
      <c r="E24" s="20"/>
      <c r="F24" s="20"/>
      <c r="G24" s="20"/>
      <c r="H24" s="20"/>
      <c r="K24"/>
      <c r="L24"/>
      <c r="M24"/>
      <c r="N24"/>
      <c r="O24"/>
      <c r="P24"/>
      <c r="Q24"/>
      <c r="R24"/>
    </row>
    <row r="25" spans="1:18" ht="12.75" customHeight="1" x14ac:dyDescent="0.2"/>
  </sheetData>
  <phoneticPr fontId="2" type="noConversion"/>
  <pageMargins left="0.75" right="0.75" top="1" bottom="1" header="0.5" footer="0.5"/>
  <pageSetup orientation="portrait" horizontalDpi="300" verticalDpi="300" r:id="rId1"/>
  <headerFooter alignWithMargins="0"/>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9">
    <pageSetUpPr autoPageBreaks="0"/>
  </sheetPr>
  <dimension ref="A1:L25"/>
  <sheetViews>
    <sheetView zoomScale="160" zoomScaleNormal="160" workbookViewId="0">
      <selection activeCell="B6" sqref="B6"/>
    </sheetView>
  </sheetViews>
  <sheetFormatPr defaultRowHeight="12.75" x14ac:dyDescent="0.2"/>
  <cols>
    <col min="1" max="2" width="8.7109375" customWidth="1"/>
    <col min="4" max="4" width="9" customWidth="1"/>
    <col min="6" max="6" width="10" bestFit="1" customWidth="1"/>
    <col min="11" max="11" width="11.28515625" customWidth="1"/>
  </cols>
  <sheetData>
    <row r="1" spans="1:12" s="310" customFormat="1" ht="18" x14ac:dyDescent="0.25">
      <c r="A1" s="265" t="s">
        <v>246</v>
      </c>
      <c r="B1" s="309"/>
      <c r="C1" s="309"/>
      <c r="D1" s="309"/>
      <c r="E1" s="309"/>
      <c r="F1" s="309"/>
    </row>
    <row r="2" spans="1:12" s="298" customFormat="1" hidden="1" x14ac:dyDescent="0.2">
      <c r="A2" s="299" t="s">
        <v>338</v>
      </c>
      <c r="B2" s="313">
        <v>3.425925925925926E-3</v>
      </c>
      <c r="C2" s="301"/>
      <c r="D2" s="299"/>
      <c r="E2" s="301"/>
      <c r="F2" s="299"/>
    </row>
    <row r="3" spans="1:12" s="273" customFormat="1" x14ac:dyDescent="0.2">
      <c r="A3" s="274" t="str">
        <f>IF(A2="","",IF(Disable_Video_Hyperlinks,A2,HYPERLINK(Video_website&amp;A2,A2)))</f>
        <v>UNC_DAYT_EXCEL_3.3.2_LECTURE_USING_MATCH_TO_MAKE_VLOOKUP_MORE_FLEXIBLE.mp4</v>
      </c>
      <c r="B3" s="277"/>
      <c r="C3" s="311"/>
      <c r="D3" s="277"/>
      <c r="E3" s="311"/>
      <c r="F3" s="277"/>
    </row>
    <row r="4" spans="1:12" s="91" customFormat="1" x14ac:dyDescent="0.2">
      <c r="A4" s="305">
        <f>IF(B2="","",B2)</f>
        <v>3.425925925925926E-3</v>
      </c>
      <c r="B4" s="276"/>
      <c r="C4" s="278"/>
      <c r="D4" s="276"/>
      <c r="E4" s="278"/>
      <c r="F4" s="276"/>
      <c r="G4" s="270"/>
      <c r="H4" s="270"/>
      <c r="I4" s="270"/>
      <c r="J4" s="270"/>
      <c r="K4" s="270"/>
    </row>
    <row r="6" spans="1:12" x14ac:dyDescent="0.2">
      <c r="A6" s="117" t="s">
        <v>0</v>
      </c>
      <c r="B6" s="118"/>
      <c r="C6" s="118"/>
      <c r="D6" s="118"/>
      <c r="E6" s="118"/>
      <c r="F6" s="118"/>
      <c r="G6" s="179"/>
      <c r="H6" s="179"/>
      <c r="I6" s="179"/>
      <c r="J6" s="179"/>
      <c r="K6" s="179"/>
    </row>
    <row r="7" spans="1:12" ht="21" customHeight="1" x14ac:dyDescent="0.2">
      <c r="A7" s="117" t="s">
        <v>1</v>
      </c>
      <c r="B7" s="118"/>
      <c r="C7" s="118"/>
      <c r="D7" s="118"/>
      <c r="E7" s="118"/>
      <c r="F7" s="118"/>
      <c r="G7" s="179"/>
      <c r="H7" s="179"/>
      <c r="I7" s="179"/>
      <c r="J7" s="179"/>
      <c r="K7" s="179"/>
    </row>
    <row r="8" spans="1:12" x14ac:dyDescent="0.2">
      <c r="A8" s="20"/>
      <c r="B8" s="20"/>
      <c r="C8" s="189"/>
      <c r="D8" s="190"/>
      <c r="E8" s="193">
        <v>3</v>
      </c>
      <c r="F8" s="193">
        <v>4</v>
      </c>
      <c r="G8" s="20"/>
      <c r="H8" s="20"/>
      <c r="I8" s="20"/>
      <c r="J8" s="20"/>
      <c r="K8" s="20"/>
      <c r="L8" s="20"/>
    </row>
    <row r="9" spans="1:12" ht="12.75" customHeight="1" x14ac:dyDescent="0.2">
      <c r="A9" s="20"/>
      <c r="B9" s="20"/>
      <c r="C9" s="160" t="s">
        <v>2</v>
      </c>
      <c r="D9" s="160"/>
      <c r="E9" s="195" t="s">
        <v>219</v>
      </c>
      <c r="F9" s="196" t="s">
        <v>220</v>
      </c>
      <c r="G9" s="20"/>
      <c r="H9" s="20"/>
      <c r="I9" s="20"/>
      <c r="J9" s="20"/>
      <c r="K9" s="20"/>
      <c r="L9" s="20"/>
    </row>
    <row r="10" spans="1:12" x14ac:dyDescent="0.2">
      <c r="A10" s="20"/>
      <c r="B10" s="20"/>
      <c r="C10" s="171" t="s">
        <v>4</v>
      </c>
      <c r="D10" s="171"/>
      <c r="E10" s="156" t="s">
        <v>5</v>
      </c>
      <c r="F10" s="156" t="s">
        <v>5</v>
      </c>
      <c r="G10" s="20"/>
      <c r="H10" s="20"/>
      <c r="I10" s="20"/>
      <c r="J10" s="20"/>
      <c r="K10" s="20"/>
      <c r="L10" s="20"/>
    </row>
    <row r="11" spans="1:12" x14ac:dyDescent="0.2">
      <c r="A11" s="20"/>
      <c r="B11" s="20"/>
      <c r="C11" s="183">
        <v>0</v>
      </c>
      <c r="D11" s="292">
        <f>C12-1</f>
        <v>59</v>
      </c>
      <c r="E11" s="180">
        <v>2.4500000000000002</v>
      </c>
      <c r="F11" s="180">
        <v>2.35</v>
      </c>
      <c r="G11" s="20"/>
      <c r="H11" s="20"/>
      <c r="I11" s="20"/>
      <c r="J11" s="20"/>
      <c r="K11" s="20"/>
      <c r="L11" s="20"/>
    </row>
    <row r="12" spans="1:12" x14ac:dyDescent="0.2">
      <c r="A12" s="20"/>
      <c r="B12" s="20"/>
      <c r="C12" s="183">
        <v>60</v>
      </c>
      <c r="D12" s="292">
        <f>C13-1</f>
        <v>119</v>
      </c>
      <c r="E12" s="184">
        <v>2.27</v>
      </c>
      <c r="F12" s="184">
        <v>2.17</v>
      </c>
      <c r="G12" s="20"/>
      <c r="H12" s="20"/>
      <c r="I12" s="20"/>
      <c r="J12" s="20"/>
      <c r="K12" s="20"/>
      <c r="L12" s="20"/>
    </row>
    <row r="13" spans="1:12" x14ac:dyDescent="0.2">
      <c r="A13" s="20"/>
      <c r="B13" s="20"/>
      <c r="C13" s="183">
        <v>120</v>
      </c>
      <c r="D13" s="292">
        <f>C14-1</f>
        <v>239</v>
      </c>
      <c r="E13" s="184">
        <v>2.12</v>
      </c>
      <c r="F13" s="184">
        <v>2.02</v>
      </c>
      <c r="G13" s="20"/>
      <c r="H13" s="20"/>
      <c r="I13" s="20"/>
      <c r="J13" s="20"/>
      <c r="K13" s="20"/>
      <c r="L13" s="20"/>
    </row>
    <row r="14" spans="1:12" x14ac:dyDescent="0.2">
      <c r="A14" s="20"/>
      <c r="B14" s="20"/>
      <c r="C14" s="183">
        <v>240</v>
      </c>
      <c r="D14" s="293" t="s">
        <v>218</v>
      </c>
      <c r="E14" s="184">
        <v>2</v>
      </c>
      <c r="F14" s="184">
        <v>1.9</v>
      </c>
      <c r="G14" s="20"/>
      <c r="H14" s="20"/>
      <c r="I14" s="20"/>
      <c r="J14" s="20"/>
      <c r="K14" s="20"/>
      <c r="L14" s="20"/>
    </row>
    <row r="15" spans="1:12" x14ac:dyDescent="0.2">
      <c r="A15" s="20"/>
      <c r="B15" s="20"/>
      <c r="C15" s="20"/>
      <c r="D15" s="20"/>
      <c r="E15" s="20"/>
      <c r="F15" s="20"/>
      <c r="G15" s="20"/>
      <c r="H15" s="20"/>
      <c r="I15" s="20"/>
      <c r="J15" s="20"/>
      <c r="K15" s="20"/>
      <c r="L15" s="20"/>
    </row>
    <row r="16" spans="1:12" x14ac:dyDescent="0.2">
      <c r="A16" s="20"/>
      <c r="B16" s="20"/>
      <c r="C16" s="20"/>
      <c r="D16" s="20"/>
      <c r="E16" s="20"/>
      <c r="F16" s="20"/>
      <c r="G16" s="20"/>
      <c r="H16" s="192">
        <v>3</v>
      </c>
      <c r="I16" s="20"/>
      <c r="J16" s="20"/>
      <c r="K16" s="194" t="s">
        <v>220</v>
      </c>
      <c r="L16" s="20"/>
    </row>
    <row r="17" spans="1:12" ht="25.5" x14ac:dyDescent="0.2">
      <c r="A17" s="156" t="s">
        <v>15</v>
      </c>
      <c r="B17" s="156" t="s">
        <v>16</v>
      </c>
      <c r="C17" s="188" t="s">
        <v>237</v>
      </c>
      <c r="D17" s="156" t="s">
        <v>18</v>
      </c>
      <c r="E17" s="120" t="s">
        <v>19</v>
      </c>
      <c r="F17" s="20"/>
      <c r="G17" s="20"/>
      <c r="H17" s="120" t="s">
        <v>19</v>
      </c>
      <c r="I17" s="20"/>
      <c r="J17" s="20"/>
      <c r="K17" s="120" t="s">
        <v>19</v>
      </c>
      <c r="L17" s="20"/>
    </row>
    <row r="18" spans="1:12" x14ac:dyDescent="0.2">
      <c r="A18" s="182">
        <v>1</v>
      </c>
      <c r="B18" s="192" t="s">
        <v>24</v>
      </c>
      <c r="C18" s="192" t="s">
        <v>10</v>
      </c>
      <c r="D18" s="182">
        <v>240</v>
      </c>
      <c r="E18" s="157">
        <f t="shared" ref="E18:E23" si="0">VLOOKUP($D18,$C$11:$F$14,3,TRUE)</f>
        <v>2</v>
      </c>
      <c r="F18" s="20"/>
      <c r="G18" s="20"/>
      <c r="H18" s="157">
        <f t="shared" ref="H18:H23" si="1">VLOOKUP($D18,$C$11:$F$14,$H$16,TRUE)</f>
        <v>2</v>
      </c>
      <c r="I18" s="20"/>
      <c r="J18" s="20"/>
      <c r="K18" s="157">
        <f t="shared" ref="K18:K23" si="2">VLOOKUP($D18,$C$11:$F$14,MATCH($K$16,$C$9:$F$9,0),TRUE)</f>
        <v>1.9</v>
      </c>
      <c r="L18" s="20"/>
    </row>
    <row r="19" spans="1:12" x14ac:dyDescent="0.2">
      <c r="A19" s="182">
        <v>2</v>
      </c>
      <c r="B19" s="192" t="s">
        <v>25</v>
      </c>
      <c r="C19" s="192" t="s">
        <v>10</v>
      </c>
      <c r="D19" s="182">
        <v>30</v>
      </c>
      <c r="E19" s="158">
        <f t="shared" si="0"/>
        <v>2.4500000000000002</v>
      </c>
      <c r="F19" s="20"/>
      <c r="G19" s="20"/>
      <c r="H19" s="158">
        <f t="shared" si="1"/>
        <v>2.4500000000000002</v>
      </c>
      <c r="I19" s="20"/>
      <c r="J19" s="20"/>
      <c r="K19" s="158">
        <f t="shared" si="2"/>
        <v>2.35</v>
      </c>
      <c r="L19" s="20"/>
    </row>
    <row r="20" spans="1:12" x14ac:dyDescent="0.2">
      <c r="A20" s="182">
        <v>3</v>
      </c>
      <c r="B20" s="192" t="s">
        <v>26</v>
      </c>
      <c r="C20" s="192" t="s">
        <v>12</v>
      </c>
      <c r="D20" s="182">
        <v>160</v>
      </c>
      <c r="E20" s="158">
        <f t="shared" si="0"/>
        <v>2.12</v>
      </c>
      <c r="F20" s="20"/>
      <c r="G20" s="20"/>
      <c r="H20" s="158">
        <f t="shared" si="1"/>
        <v>2.12</v>
      </c>
      <c r="I20" s="20"/>
      <c r="J20" s="20"/>
      <c r="K20" s="158">
        <f t="shared" si="2"/>
        <v>2.02</v>
      </c>
      <c r="L20" s="20"/>
    </row>
    <row r="21" spans="1:12" x14ac:dyDescent="0.2">
      <c r="A21" s="182">
        <v>4</v>
      </c>
      <c r="B21" s="192" t="s">
        <v>27</v>
      </c>
      <c r="C21" s="192" t="s">
        <v>8</v>
      </c>
      <c r="D21" s="182">
        <v>215</v>
      </c>
      <c r="E21" s="158">
        <f t="shared" si="0"/>
        <v>2.12</v>
      </c>
      <c r="F21" s="20"/>
      <c r="G21" s="20"/>
      <c r="H21" s="158">
        <f t="shared" si="1"/>
        <v>2.12</v>
      </c>
      <c r="I21" s="20"/>
      <c r="J21" s="20"/>
      <c r="K21" s="158">
        <f t="shared" si="2"/>
        <v>2.02</v>
      </c>
      <c r="L21" s="20"/>
    </row>
    <row r="22" spans="1:12" x14ac:dyDescent="0.2">
      <c r="A22" s="182">
        <v>5</v>
      </c>
      <c r="B22" s="192" t="s">
        <v>28</v>
      </c>
      <c r="C22" s="192" t="s">
        <v>8</v>
      </c>
      <c r="D22" s="182">
        <v>90</v>
      </c>
      <c r="E22" s="158">
        <f t="shared" si="0"/>
        <v>2.27</v>
      </c>
      <c r="F22" s="20"/>
      <c r="G22" s="20"/>
      <c r="H22" s="158">
        <f t="shared" si="1"/>
        <v>2.27</v>
      </c>
      <c r="I22" s="20"/>
      <c r="J22" s="20"/>
      <c r="K22" s="158">
        <f t="shared" si="2"/>
        <v>2.17</v>
      </c>
      <c r="L22" s="20"/>
    </row>
    <row r="23" spans="1:12" x14ac:dyDescent="0.2">
      <c r="A23" s="182">
        <v>6</v>
      </c>
      <c r="B23" s="192" t="s">
        <v>29</v>
      </c>
      <c r="C23" s="192" t="s">
        <v>14</v>
      </c>
      <c r="D23" s="182">
        <v>15</v>
      </c>
      <c r="E23" s="158">
        <f t="shared" si="0"/>
        <v>2.4500000000000002</v>
      </c>
      <c r="F23" s="20"/>
      <c r="G23" s="20"/>
      <c r="H23" s="158">
        <f t="shared" si="1"/>
        <v>2.4500000000000002</v>
      </c>
      <c r="I23" s="20"/>
      <c r="J23" s="20"/>
      <c r="K23" s="158">
        <f t="shared" si="2"/>
        <v>2.35</v>
      </c>
      <c r="L23" s="20"/>
    </row>
    <row r="24" spans="1:12" s="99" customFormat="1" x14ac:dyDescent="0.2">
      <c r="A24" s="20"/>
      <c r="B24" s="20"/>
      <c r="C24" s="20"/>
      <c r="D24" s="20"/>
      <c r="E24" s="20"/>
      <c r="F24" s="20"/>
      <c r="G24" s="20"/>
      <c r="H24" s="20"/>
      <c r="I24" s="20"/>
      <c r="J24" s="20"/>
      <c r="K24" s="20"/>
      <c r="L24" s="20"/>
    </row>
    <row r="25" spans="1:12" x14ac:dyDescent="0.2">
      <c r="A25" s="20"/>
      <c r="B25" s="20"/>
      <c r="C25" s="20"/>
      <c r="D25" s="20"/>
      <c r="E25" s="20"/>
      <c r="F25" s="20"/>
      <c r="G25" s="20"/>
      <c r="H25" s="20"/>
      <c r="I25" s="20"/>
      <c r="J25" s="20"/>
      <c r="K25" s="20"/>
      <c r="L25" s="20"/>
    </row>
  </sheetData>
  <dataValidations count="1">
    <dataValidation type="list" allowBlank="1" showInputMessage="1" showErrorMessage="1" sqref="K16" xr:uid="{00000000-0002-0000-0E00-000000000000}">
      <formula1>$E$9:$F$9</formula1>
    </dataValidation>
  </dataValidations>
  <pageMargins left="0.75" right="0.75" top="1" bottom="1" header="0.5" footer="0.5"/>
  <pageSetup orientation="portrait" horizontalDpi="300" verticalDpi="300"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4DD0-ABDA-4857-A71A-B73132521F72}">
  <sheetPr codeName="Sheet44"/>
  <dimension ref="A1:B4"/>
  <sheetViews>
    <sheetView zoomScale="160" zoomScaleNormal="160" workbookViewId="0">
      <selection activeCell="B6" sqref="B6"/>
    </sheetView>
  </sheetViews>
  <sheetFormatPr defaultRowHeight="12.75" x14ac:dyDescent="0.2"/>
  <sheetData>
    <row r="1" spans="1:2" s="310" customFormat="1" ht="18" x14ac:dyDescent="0.25">
      <c r="A1" s="260" t="s">
        <v>317</v>
      </c>
    </row>
    <row r="2" spans="1:2" s="298" customFormat="1" hidden="1" x14ac:dyDescent="0.2">
      <c r="B2" s="298">
        <f>SUM('INDEX_MATCH_1D:2D_INDEX_Examples'!B2)</f>
        <v>2.1412037037037038E-2</v>
      </c>
    </row>
    <row r="3" spans="1:2" s="273" customFormat="1" x14ac:dyDescent="0.2">
      <c r="A3" s="312" t="str">
        <f>Video_Lengths_Description</f>
        <v xml:space="preserve">Length of video clips in this segment: </v>
      </c>
    </row>
    <row r="4" spans="1:2" s="91" customFormat="1" x14ac:dyDescent="0.2">
      <c r="A4" s="305">
        <f>IF(B2="","",B2)</f>
        <v>2.1412037037037038E-2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34"/>
  <dimension ref="A1:S38"/>
  <sheetViews>
    <sheetView zoomScale="130" zoomScaleNormal="130" workbookViewId="0">
      <selection activeCell="B6" sqref="B6"/>
    </sheetView>
  </sheetViews>
  <sheetFormatPr defaultRowHeight="12.75" x14ac:dyDescent="0.2"/>
  <cols>
    <col min="17" max="17" width="9.5703125" customWidth="1"/>
    <col min="18" max="18" width="11.28515625" customWidth="1"/>
  </cols>
  <sheetData>
    <row r="1" spans="1:19" s="310" customFormat="1" ht="18" x14ac:dyDescent="0.25">
      <c r="A1" s="260" t="s">
        <v>268</v>
      </c>
    </row>
    <row r="2" spans="1:19" s="298" customFormat="1" hidden="1" x14ac:dyDescent="0.2">
      <c r="A2" s="298" t="s">
        <v>339</v>
      </c>
      <c r="B2" s="314">
        <v>5.7986111111111112E-3</v>
      </c>
    </row>
    <row r="3" spans="1:19" s="273" customFormat="1" x14ac:dyDescent="0.2">
      <c r="A3" s="274" t="str">
        <f>IF(A2="","",IF(Disable_Video_Hyperlinks,A2,HYPERLINK(Video_website&amp;A2,A2)))</f>
        <v>UNC_DAYT_EXCEL_3.3.3_LECTURE_INDEX_1_DIMENSION.mp4</v>
      </c>
    </row>
    <row r="4" spans="1:19" s="91" customFormat="1" x14ac:dyDescent="0.2">
      <c r="A4" s="305">
        <f>IF(B2="","",B2)</f>
        <v>5.7986111111111112E-3</v>
      </c>
    </row>
    <row r="5" spans="1:19" s="91" customFormat="1" x14ac:dyDescent="0.2">
      <c r="A5" s="31"/>
    </row>
    <row r="6" spans="1:19" x14ac:dyDescent="0.2">
      <c r="B6" t="s">
        <v>286</v>
      </c>
    </row>
    <row r="7" spans="1:19" x14ac:dyDescent="0.2">
      <c r="B7" s="31" t="s">
        <v>282</v>
      </c>
      <c r="O7" s="31" t="s">
        <v>276</v>
      </c>
    </row>
    <row r="8" spans="1:19" x14ac:dyDescent="0.2">
      <c r="A8" s="99"/>
      <c r="B8" s="282">
        <v>10</v>
      </c>
      <c r="C8" s="282">
        <v>20</v>
      </c>
      <c r="D8" s="282">
        <v>30</v>
      </c>
      <c r="E8" s="282">
        <v>40</v>
      </c>
      <c r="F8" s="282">
        <v>50</v>
      </c>
      <c r="G8" s="282">
        <v>60</v>
      </c>
      <c r="H8" s="282">
        <v>70</v>
      </c>
      <c r="I8" s="282">
        <v>80</v>
      </c>
      <c r="J8" s="282">
        <v>90</v>
      </c>
      <c r="K8" s="282">
        <v>100</v>
      </c>
      <c r="L8" s="282">
        <v>110</v>
      </c>
      <c r="M8" s="282">
        <v>120</v>
      </c>
      <c r="Q8" s="106" t="s">
        <v>271</v>
      </c>
    </row>
    <row r="9" spans="1:19" x14ac:dyDescent="0.2">
      <c r="A9" s="282">
        <v>10</v>
      </c>
      <c r="B9" s="107">
        <v>100</v>
      </c>
      <c r="C9" s="107">
        <v>200</v>
      </c>
      <c r="D9" s="107">
        <v>300</v>
      </c>
      <c r="E9" s="107">
        <v>400</v>
      </c>
      <c r="F9" s="107">
        <v>500</v>
      </c>
      <c r="G9" s="107">
        <v>600</v>
      </c>
      <c r="H9" s="107">
        <v>700</v>
      </c>
      <c r="I9" s="107">
        <v>800</v>
      </c>
      <c r="J9" s="107">
        <v>900</v>
      </c>
      <c r="K9" s="107">
        <v>1000</v>
      </c>
      <c r="L9" s="107">
        <v>1100</v>
      </c>
      <c r="M9" s="107">
        <v>1200</v>
      </c>
      <c r="Q9" s="281">
        <v>6</v>
      </c>
    </row>
    <row r="10" spans="1:19" x14ac:dyDescent="0.2">
      <c r="A10" s="282">
        <v>20</v>
      </c>
      <c r="B10" s="107">
        <v>200</v>
      </c>
      <c r="C10" s="107">
        <v>400</v>
      </c>
      <c r="D10" s="107">
        <v>600</v>
      </c>
      <c r="E10" s="107">
        <v>800</v>
      </c>
      <c r="F10" s="107">
        <v>1000</v>
      </c>
      <c r="G10" s="107">
        <v>1200</v>
      </c>
      <c r="H10" s="107">
        <v>1400</v>
      </c>
      <c r="I10" s="107">
        <v>1600</v>
      </c>
      <c r="J10" s="107">
        <v>1800</v>
      </c>
      <c r="K10" s="107">
        <v>2000</v>
      </c>
      <c r="L10" s="107">
        <v>2200</v>
      </c>
      <c r="M10" s="107">
        <v>2400</v>
      </c>
      <c r="Q10" s="105"/>
      <c r="R10" s="105"/>
    </row>
    <row r="11" spans="1:19" x14ac:dyDescent="0.2">
      <c r="A11" s="282">
        <v>30</v>
      </c>
      <c r="B11" s="107">
        <v>300</v>
      </c>
      <c r="C11" s="107">
        <v>600</v>
      </c>
      <c r="D11" s="107">
        <v>900</v>
      </c>
      <c r="E11" s="107">
        <v>1200</v>
      </c>
      <c r="F11" s="107">
        <v>1500</v>
      </c>
      <c r="G11" s="107">
        <v>1800</v>
      </c>
      <c r="H11" s="107">
        <v>2100</v>
      </c>
      <c r="I11" s="107">
        <v>2400</v>
      </c>
      <c r="J11" s="107">
        <v>2700</v>
      </c>
      <c r="K11" s="107">
        <v>3000</v>
      </c>
      <c r="L11" s="107">
        <v>3300</v>
      </c>
      <c r="M11" s="107">
        <v>3600</v>
      </c>
      <c r="Q11" s="109" t="s">
        <v>273</v>
      </c>
      <c r="R11" s="108" cm="1">
        <f t="array" ref="R11" xml:space="preserve"> INDEX( $A$9:$A$20, $Q$9 )</f>
        <v>60</v>
      </c>
    </row>
    <row r="12" spans="1:19" x14ac:dyDescent="0.2">
      <c r="A12" s="282">
        <v>40</v>
      </c>
      <c r="B12" s="107">
        <v>400</v>
      </c>
      <c r="C12" s="107">
        <v>800</v>
      </c>
      <c r="D12" s="107">
        <v>1200</v>
      </c>
      <c r="E12" s="107">
        <v>1600</v>
      </c>
      <c r="F12" s="107">
        <v>2000</v>
      </c>
      <c r="G12" s="107">
        <v>2400</v>
      </c>
      <c r="H12" s="107">
        <v>2800</v>
      </c>
      <c r="I12" s="107">
        <v>3200</v>
      </c>
      <c r="J12" s="107">
        <v>3600</v>
      </c>
      <c r="K12" s="107">
        <v>4000</v>
      </c>
      <c r="L12" s="107">
        <v>4400</v>
      </c>
      <c r="M12" s="107">
        <v>4800</v>
      </c>
      <c r="P12" s="91"/>
      <c r="Q12" s="105"/>
    </row>
    <row r="13" spans="1:19" x14ac:dyDescent="0.2">
      <c r="A13" s="282">
        <v>50</v>
      </c>
      <c r="B13" s="107">
        <v>500</v>
      </c>
      <c r="C13" s="107">
        <v>1000</v>
      </c>
      <c r="D13" s="107">
        <v>1500</v>
      </c>
      <c r="E13" s="107">
        <v>2000</v>
      </c>
      <c r="F13" s="107">
        <v>2500</v>
      </c>
      <c r="G13" s="107">
        <v>3000</v>
      </c>
      <c r="H13" s="107">
        <v>3500</v>
      </c>
      <c r="I13" s="107">
        <v>4000</v>
      </c>
      <c r="J13" s="107">
        <v>4500</v>
      </c>
      <c r="K13" s="107">
        <v>5000</v>
      </c>
      <c r="L13" s="107">
        <v>5500</v>
      </c>
      <c r="M13" s="107">
        <v>6000</v>
      </c>
      <c r="P13" s="91"/>
      <c r="R13" s="113" t="s">
        <v>272</v>
      </c>
    </row>
    <row r="14" spans="1:19" x14ac:dyDescent="0.2">
      <c r="A14" s="282">
        <v>60</v>
      </c>
      <c r="B14" s="107">
        <v>600</v>
      </c>
      <c r="C14" s="107">
        <v>1200</v>
      </c>
      <c r="D14" s="107">
        <v>1800</v>
      </c>
      <c r="E14" s="107">
        <v>2400</v>
      </c>
      <c r="F14" s="107">
        <v>3000</v>
      </c>
      <c r="G14" s="107">
        <v>3600</v>
      </c>
      <c r="H14" s="107">
        <v>4200</v>
      </c>
      <c r="I14" s="107">
        <v>4800</v>
      </c>
      <c r="J14" s="107">
        <v>5400</v>
      </c>
      <c r="K14" s="107">
        <v>6000</v>
      </c>
      <c r="L14" s="107">
        <v>6600</v>
      </c>
      <c r="M14" s="107">
        <v>7200</v>
      </c>
      <c r="R14" s="281">
        <v>9</v>
      </c>
    </row>
    <row r="15" spans="1:19" x14ac:dyDescent="0.2">
      <c r="A15" s="282">
        <v>70</v>
      </c>
      <c r="B15" s="107">
        <v>700</v>
      </c>
      <c r="C15" s="107">
        <v>1400</v>
      </c>
      <c r="D15" s="107">
        <v>2100</v>
      </c>
      <c r="E15" s="107">
        <v>2800</v>
      </c>
      <c r="F15" s="107">
        <v>3500</v>
      </c>
      <c r="G15" s="107">
        <v>4200</v>
      </c>
      <c r="H15" s="107">
        <v>4900</v>
      </c>
      <c r="I15" s="107">
        <v>5600</v>
      </c>
      <c r="J15" s="107">
        <v>6300</v>
      </c>
      <c r="K15" s="107">
        <v>7000</v>
      </c>
      <c r="L15" s="107">
        <v>7700</v>
      </c>
      <c r="M15" s="107">
        <v>8400</v>
      </c>
      <c r="Q15" s="105"/>
      <c r="R15" s="105"/>
    </row>
    <row r="16" spans="1:19" x14ac:dyDescent="0.2">
      <c r="A16" s="282">
        <v>80</v>
      </c>
      <c r="B16" s="107">
        <v>800</v>
      </c>
      <c r="C16" s="107">
        <v>1600</v>
      </c>
      <c r="D16" s="107">
        <v>2400</v>
      </c>
      <c r="E16" s="107">
        <v>3200</v>
      </c>
      <c r="F16" s="107">
        <v>4000</v>
      </c>
      <c r="G16" s="107">
        <v>4800</v>
      </c>
      <c r="H16" s="107">
        <v>5600</v>
      </c>
      <c r="I16" s="107">
        <v>6400</v>
      </c>
      <c r="J16" s="107">
        <v>7200</v>
      </c>
      <c r="K16" s="107">
        <v>8000</v>
      </c>
      <c r="L16" s="107">
        <v>8800</v>
      </c>
      <c r="M16" s="107">
        <v>9600</v>
      </c>
      <c r="Q16" s="109" t="s">
        <v>274</v>
      </c>
      <c r="R16" s="108" cm="1">
        <f t="array" ref="R16" xml:space="preserve"> INDEX( $B$8:$M$8, , $R$14 )</f>
        <v>90</v>
      </c>
      <c r="S16" s="108" cm="1">
        <f t="array" ref="S16" xml:space="preserve"> INDEX( $B$8:$M$8, $R$14 )</f>
        <v>90</v>
      </c>
    </row>
    <row r="17" spans="1:18" x14ac:dyDescent="0.2">
      <c r="A17" s="282">
        <v>90</v>
      </c>
      <c r="B17" s="107">
        <v>900</v>
      </c>
      <c r="C17" s="107">
        <v>1800</v>
      </c>
      <c r="D17" s="107">
        <v>2700</v>
      </c>
      <c r="E17" s="107">
        <v>3600</v>
      </c>
      <c r="F17" s="107">
        <v>4500</v>
      </c>
      <c r="G17" s="107">
        <v>5400</v>
      </c>
      <c r="H17" s="107">
        <v>6300</v>
      </c>
      <c r="I17" s="107">
        <v>7200</v>
      </c>
      <c r="J17" s="107">
        <v>8100</v>
      </c>
      <c r="K17" s="107">
        <v>9000</v>
      </c>
      <c r="L17" s="107">
        <v>9900</v>
      </c>
      <c r="M17" s="107">
        <v>10800</v>
      </c>
    </row>
    <row r="18" spans="1:18" x14ac:dyDescent="0.2">
      <c r="A18" s="282">
        <v>100</v>
      </c>
      <c r="B18" s="107">
        <v>1000</v>
      </c>
      <c r="C18" s="107">
        <v>2000</v>
      </c>
      <c r="D18" s="107">
        <v>3000</v>
      </c>
      <c r="E18" s="107">
        <v>4000</v>
      </c>
      <c r="F18" s="107">
        <v>5000</v>
      </c>
      <c r="G18" s="107">
        <v>6000</v>
      </c>
      <c r="H18" s="107">
        <v>7000</v>
      </c>
      <c r="I18" s="107">
        <v>8000</v>
      </c>
      <c r="J18" s="107">
        <v>9000</v>
      </c>
      <c r="K18" s="107">
        <v>10000</v>
      </c>
      <c r="L18" s="107">
        <v>11000</v>
      </c>
      <c r="M18" s="107">
        <v>12000</v>
      </c>
      <c r="Q18" s="106" t="s">
        <v>271</v>
      </c>
      <c r="R18" s="113" t="s">
        <v>272</v>
      </c>
    </row>
    <row r="19" spans="1:18" x14ac:dyDescent="0.2">
      <c r="A19" s="282">
        <v>110</v>
      </c>
      <c r="B19" s="107">
        <v>1100</v>
      </c>
      <c r="C19" s="107">
        <v>2200</v>
      </c>
      <c r="D19" s="107">
        <v>3300</v>
      </c>
      <c r="E19" s="107">
        <v>4400</v>
      </c>
      <c r="F19" s="107">
        <v>5500</v>
      </c>
      <c r="G19" s="107">
        <v>6600</v>
      </c>
      <c r="H19" s="107">
        <v>7700</v>
      </c>
      <c r="I19" s="107">
        <v>8800</v>
      </c>
      <c r="J19" s="107">
        <v>9900</v>
      </c>
      <c r="K19" s="107">
        <v>11000</v>
      </c>
      <c r="L19" s="107">
        <v>12100</v>
      </c>
      <c r="M19" s="107">
        <v>13200</v>
      </c>
      <c r="Q19" s="281">
        <v>6</v>
      </c>
      <c r="R19" s="281">
        <v>9</v>
      </c>
    </row>
    <row r="20" spans="1:18" x14ac:dyDescent="0.2">
      <c r="A20" s="282">
        <v>120</v>
      </c>
      <c r="B20" s="107">
        <v>1200</v>
      </c>
      <c r="C20" s="107">
        <v>2400</v>
      </c>
      <c r="D20" s="107">
        <v>3600</v>
      </c>
      <c r="E20" s="107">
        <v>4800</v>
      </c>
      <c r="F20" s="107">
        <v>6000</v>
      </c>
      <c r="G20" s="107">
        <v>7200</v>
      </c>
      <c r="H20" s="107">
        <v>8400</v>
      </c>
      <c r="I20" s="107">
        <v>9600</v>
      </c>
      <c r="J20" s="107">
        <v>10800</v>
      </c>
      <c r="K20" s="107">
        <v>12000</v>
      </c>
      <c r="L20" s="107">
        <v>13200</v>
      </c>
      <c r="M20" s="107">
        <v>14400</v>
      </c>
      <c r="Q20" s="105"/>
      <c r="R20" s="105"/>
    </row>
    <row r="21" spans="1:18" x14ac:dyDescent="0.2">
      <c r="Q21" s="109" t="s">
        <v>275</v>
      </c>
      <c r="R21" s="108" cm="1">
        <f t="array" ref="R21" xml:space="preserve"> INDEX( $B$9:$M$20, $Q$19, $R$19 )</f>
        <v>5400</v>
      </c>
    </row>
    <row r="23" spans="1:18" x14ac:dyDescent="0.2">
      <c r="B23" t="s">
        <v>287</v>
      </c>
    </row>
    <row r="24" spans="1:18" x14ac:dyDescent="0.2">
      <c r="B24" s="31" t="s">
        <v>281</v>
      </c>
      <c r="C24" s="95"/>
      <c r="D24" s="95"/>
      <c r="E24" s="95"/>
      <c r="F24" s="95"/>
      <c r="G24" s="114"/>
      <c r="H24" s="115"/>
      <c r="I24" s="95"/>
      <c r="J24" s="95"/>
      <c r="K24" s="95"/>
      <c r="L24" s="95"/>
      <c r="M24" s="87"/>
      <c r="O24" s="31" t="s">
        <v>280</v>
      </c>
    </row>
    <row r="25" spans="1:18" x14ac:dyDescent="0.2">
      <c r="A25" s="99"/>
      <c r="B25" s="282">
        <v>10</v>
      </c>
      <c r="C25" s="282">
        <v>20</v>
      </c>
      <c r="D25" s="282">
        <v>30</v>
      </c>
      <c r="E25" s="282">
        <v>40</v>
      </c>
      <c r="F25" s="282">
        <v>50</v>
      </c>
      <c r="G25" s="283">
        <v>60</v>
      </c>
      <c r="H25" s="283">
        <v>70</v>
      </c>
      <c r="I25" s="282">
        <v>80</v>
      </c>
      <c r="J25" s="282">
        <v>90</v>
      </c>
      <c r="K25" s="282">
        <v>100</v>
      </c>
      <c r="L25" s="282">
        <v>110</v>
      </c>
      <c r="M25" s="282">
        <v>120</v>
      </c>
      <c r="Q25" s="106" t="s">
        <v>270</v>
      </c>
    </row>
    <row r="26" spans="1:18" x14ac:dyDescent="0.2">
      <c r="A26" s="282">
        <v>10</v>
      </c>
      <c r="B26" s="107">
        <v>100</v>
      </c>
      <c r="C26" s="107">
        <v>200</v>
      </c>
      <c r="D26" s="107">
        <v>300</v>
      </c>
      <c r="E26" s="107">
        <v>400</v>
      </c>
      <c r="F26" s="107">
        <v>500</v>
      </c>
      <c r="G26" s="116">
        <v>600</v>
      </c>
      <c r="H26" s="116">
        <v>700</v>
      </c>
      <c r="I26" s="107">
        <v>800</v>
      </c>
      <c r="J26" s="107">
        <v>900</v>
      </c>
      <c r="K26" s="107">
        <v>1000</v>
      </c>
      <c r="L26" s="107">
        <v>1100</v>
      </c>
      <c r="M26" s="107">
        <v>1200</v>
      </c>
      <c r="N26" s="107"/>
      <c r="Q26" s="281">
        <v>60</v>
      </c>
    </row>
    <row r="27" spans="1:18" x14ac:dyDescent="0.2">
      <c r="A27" s="282">
        <v>20</v>
      </c>
      <c r="B27" s="107">
        <v>200</v>
      </c>
      <c r="C27" s="107">
        <v>400</v>
      </c>
      <c r="D27" s="107">
        <v>600</v>
      </c>
      <c r="E27" s="107">
        <v>800</v>
      </c>
      <c r="F27" s="107">
        <v>1000</v>
      </c>
      <c r="G27" s="116">
        <v>1200</v>
      </c>
      <c r="H27" s="116">
        <v>1400</v>
      </c>
      <c r="I27" s="107">
        <v>1600</v>
      </c>
      <c r="J27" s="107">
        <v>1800</v>
      </c>
      <c r="K27" s="107">
        <v>2000</v>
      </c>
      <c r="L27" s="107">
        <v>2200</v>
      </c>
      <c r="M27" s="107">
        <v>2400</v>
      </c>
      <c r="N27" s="107"/>
      <c r="Q27" s="105"/>
      <c r="R27" s="105"/>
    </row>
    <row r="28" spans="1:18" x14ac:dyDescent="0.2">
      <c r="A28" s="282">
        <v>30</v>
      </c>
      <c r="B28" s="107">
        <v>300</v>
      </c>
      <c r="C28" s="107">
        <v>600</v>
      </c>
      <c r="D28" s="107">
        <v>900</v>
      </c>
      <c r="E28" s="107">
        <v>1200</v>
      </c>
      <c r="F28" s="107">
        <v>1500</v>
      </c>
      <c r="G28" s="116">
        <v>1800</v>
      </c>
      <c r="H28" s="116">
        <v>2100</v>
      </c>
      <c r="I28" s="107">
        <v>2400</v>
      </c>
      <c r="J28" s="107">
        <v>2700</v>
      </c>
      <c r="K28" s="107">
        <v>3000</v>
      </c>
      <c r="L28" s="107">
        <v>3300</v>
      </c>
      <c r="M28" s="107">
        <v>3600</v>
      </c>
      <c r="N28" s="107"/>
      <c r="Q28" s="109" t="s">
        <v>277</v>
      </c>
      <c r="R28" s="108">
        <f xml:space="preserve"> MATCH( $Q$26, $A$26:$A$37, 0 )</f>
        <v>6</v>
      </c>
    </row>
    <row r="29" spans="1:18" x14ac:dyDescent="0.2">
      <c r="A29" s="282">
        <v>40</v>
      </c>
      <c r="B29" s="107">
        <v>400</v>
      </c>
      <c r="C29" s="107">
        <v>800</v>
      </c>
      <c r="D29" s="107">
        <v>1200</v>
      </c>
      <c r="E29" s="107">
        <v>1600</v>
      </c>
      <c r="F29" s="107">
        <v>2000</v>
      </c>
      <c r="G29" s="116">
        <v>2400</v>
      </c>
      <c r="H29" s="116">
        <v>2800</v>
      </c>
      <c r="I29" s="107">
        <v>3200</v>
      </c>
      <c r="J29" s="107">
        <v>3600</v>
      </c>
      <c r="K29" s="107">
        <v>4000</v>
      </c>
      <c r="L29" s="107">
        <v>4400</v>
      </c>
      <c r="M29" s="107">
        <v>4800</v>
      </c>
      <c r="N29" s="107"/>
    </row>
    <row r="30" spans="1:18" x14ac:dyDescent="0.2">
      <c r="A30" s="282">
        <v>50</v>
      </c>
      <c r="B30" s="107">
        <v>500</v>
      </c>
      <c r="C30" s="107">
        <v>1000</v>
      </c>
      <c r="D30" s="107">
        <v>1500</v>
      </c>
      <c r="E30" s="107">
        <v>2000</v>
      </c>
      <c r="F30" s="107">
        <v>2500</v>
      </c>
      <c r="G30" s="116">
        <v>3000</v>
      </c>
      <c r="H30" s="116">
        <v>3500</v>
      </c>
      <c r="I30" s="107">
        <v>4000</v>
      </c>
      <c r="J30" s="107">
        <v>4500</v>
      </c>
      <c r="K30" s="107">
        <v>5000</v>
      </c>
      <c r="L30" s="107">
        <v>5500</v>
      </c>
      <c r="M30" s="107">
        <v>6000</v>
      </c>
      <c r="N30" s="107"/>
      <c r="R30" s="106" t="s">
        <v>269</v>
      </c>
    </row>
    <row r="31" spans="1:18" x14ac:dyDescent="0.2">
      <c r="A31" s="282">
        <v>60</v>
      </c>
      <c r="B31" s="107">
        <v>600</v>
      </c>
      <c r="C31" s="107">
        <v>1200</v>
      </c>
      <c r="D31" s="107">
        <v>1800</v>
      </c>
      <c r="E31" s="107">
        <v>2400</v>
      </c>
      <c r="F31" s="107">
        <v>3000</v>
      </c>
      <c r="G31" s="116">
        <v>3600</v>
      </c>
      <c r="H31" s="116">
        <v>4200</v>
      </c>
      <c r="I31" s="107">
        <v>4800</v>
      </c>
      <c r="J31" s="107">
        <v>5400</v>
      </c>
      <c r="K31" s="107">
        <v>6000</v>
      </c>
      <c r="L31" s="107">
        <v>6600</v>
      </c>
      <c r="M31" s="107">
        <v>7200</v>
      </c>
      <c r="N31" s="107"/>
      <c r="R31" s="281">
        <v>90</v>
      </c>
    </row>
    <row r="32" spans="1:18" x14ac:dyDescent="0.2">
      <c r="A32" s="282">
        <v>70</v>
      </c>
      <c r="B32" s="107">
        <v>700</v>
      </c>
      <c r="C32" s="107">
        <v>1400</v>
      </c>
      <c r="D32" s="107">
        <v>2100</v>
      </c>
      <c r="E32" s="107">
        <v>2800</v>
      </c>
      <c r="F32" s="107">
        <v>3500</v>
      </c>
      <c r="G32" s="116">
        <v>4200</v>
      </c>
      <c r="H32" s="116">
        <v>4900</v>
      </c>
      <c r="I32" s="107">
        <v>5600</v>
      </c>
      <c r="J32" s="107">
        <v>6300</v>
      </c>
      <c r="K32" s="107">
        <v>7000</v>
      </c>
      <c r="L32" s="107">
        <v>7700</v>
      </c>
      <c r="M32" s="107">
        <v>8400</v>
      </c>
      <c r="N32" s="107"/>
      <c r="Q32" s="105"/>
      <c r="R32" s="105"/>
    </row>
    <row r="33" spans="1:18" x14ac:dyDescent="0.2">
      <c r="A33" s="282">
        <v>80</v>
      </c>
      <c r="B33" s="107">
        <v>800</v>
      </c>
      <c r="C33" s="107">
        <v>1600</v>
      </c>
      <c r="D33" s="107">
        <v>2400</v>
      </c>
      <c r="E33" s="107">
        <v>3200</v>
      </c>
      <c r="F33" s="107">
        <v>4000</v>
      </c>
      <c r="G33" s="116">
        <v>4800</v>
      </c>
      <c r="H33" s="116">
        <v>5600</v>
      </c>
      <c r="I33" s="107">
        <v>6400</v>
      </c>
      <c r="J33" s="107">
        <v>7200</v>
      </c>
      <c r="K33" s="107">
        <v>8000</v>
      </c>
      <c r="L33" s="107">
        <v>8800</v>
      </c>
      <c r="M33" s="107">
        <v>9600</v>
      </c>
      <c r="N33" s="107"/>
      <c r="Q33" s="109" t="s">
        <v>278</v>
      </c>
      <c r="R33" s="108">
        <f xml:space="preserve"> MATCH( $R$31, $B$25:$M$25, 0 )</f>
        <v>9</v>
      </c>
    </row>
    <row r="34" spans="1:18" x14ac:dyDescent="0.2">
      <c r="A34" s="282">
        <v>90</v>
      </c>
      <c r="B34" s="107">
        <v>900</v>
      </c>
      <c r="C34" s="107">
        <v>1800</v>
      </c>
      <c r="D34" s="107">
        <v>2700</v>
      </c>
      <c r="E34" s="107">
        <v>3600</v>
      </c>
      <c r="F34" s="107">
        <v>4500</v>
      </c>
      <c r="G34" s="116">
        <v>5400</v>
      </c>
      <c r="H34" s="116">
        <v>6300</v>
      </c>
      <c r="I34" s="107">
        <v>7200</v>
      </c>
      <c r="J34" s="107">
        <v>8100</v>
      </c>
      <c r="K34" s="107">
        <v>9000</v>
      </c>
      <c r="L34" s="107">
        <v>9900</v>
      </c>
      <c r="M34" s="107">
        <v>10800</v>
      </c>
      <c r="N34" s="107"/>
    </row>
    <row r="35" spans="1:18" x14ac:dyDescent="0.2">
      <c r="A35" s="282">
        <v>100</v>
      </c>
      <c r="B35" s="107">
        <v>1000</v>
      </c>
      <c r="C35" s="107">
        <v>2000</v>
      </c>
      <c r="D35" s="107">
        <v>3000</v>
      </c>
      <c r="E35" s="107">
        <v>4000</v>
      </c>
      <c r="F35" s="107">
        <v>5000</v>
      </c>
      <c r="G35" s="116">
        <v>6000</v>
      </c>
      <c r="H35" s="116">
        <v>7000</v>
      </c>
      <c r="I35" s="107">
        <v>8000</v>
      </c>
      <c r="J35" s="107">
        <v>9000</v>
      </c>
      <c r="K35" s="107">
        <v>10000</v>
      </c>
      <c r="L35" s="107">
        <v>11000</v>
      </c>
      <c r="M35" s="107">
        <v>12000</v>
      </c>
      <c r="N35" s="107"/>
      <c r="Q35" s="106" t="s">
        <v>270</v>
      </c>
      <c r="R35" s="106" t="s">
        <v>269</v>
      </c>
    </row>
    <row r="36" spans="1:18" x14ac:dyDescent="0.2">
      <c r="A36" s="282">
        <v>110</v>
      </c>
      <c r="B36" s="107">
        <v>1100</v>
      </c>
      <c r="C36" s="107">
        <v>2200</v>
      </c>
      <c r="D36" s="107">
        <v>3300</v>
      </c>
      <c r="E36" s="107">
        <v>4400</v>
      </c>
      <c r="F36" s="107">
        <v>5500</v>
      </c>
      <c r="G36" s="116">
        <v>6600</v>
      </c>
      <c r="H36" s="116">
        <v>7700</v>
      </c>
      <c r="I36" s="107">
        <v>8800</v>
      </c>
      <c r="J36" s="107">
        <v>9900</v>
      </c>
      <c r="K36" s="107">
        <v>11000</v>
      </c>
      <c r="L36" s="107">
        <v>12100</v>
      </c>
      <c r="M36" s="107">
        <v>13200</v>
      </c>
      <c r="N36" s="107"/>
      <c r="Q36" s="281">
        <v>60</v>
      </c>
      <c r="R36" s="281">
        <v>90</v>
      </c>
    </row>
    <row r="37" spans="1:18" x14ac:dyDescent="0.2">
      <c r="A37" s="282">
        <v>120</v>
      </c>
      <c r="B37" s="107">
        <v>1200</v>
      </c>
      <c r="C37" s="107">
        <v>2400</v>
      </c>
      <c r="D37" s="107">
        <v>3600</v>
      </c>
      <c r="E37" s="107">
        <v>4800</v>
      </c>
      <c r="F37" s="107">
        <v>6000</v>
      </c>
      <c r="G37" s="116">
        <v>7200</v>
      </c>
      <c r="H37" s="116">
        <v>8400</v>
      </c>
      <c r="I37" s="107">
        <v>9600</v>
      </c>
      <c r="J37" s="107">
        <v>10800</v>
      </c>
      <c r="K37" s="107">
        <v>12000</v>
      </c>
      <c r="L37" s="107">
        <v>13200</v>
      </c>
      <c r="M37" s="107">
        <v>14400</v>
      </c>
      <c r="N37" s="107"/>
      <c r="Q37" s="105"/>
      <c r="R37" s="105"/>
    </row>
    <row r="38" spans="1:18" x14ac:dyDescent="0.2">
      <c r="Q38" s="109" t="s">
        <v>279</v>
      </c>
      <c r="R38" s="108">
        <f xml:space="preserve"> INDEX( $B$26:$M$37, MATCH( $Q$36, $A$26:$A$37, 0 ), MATCH( $R$36, $B$25:$M$25, 0 ) )</f>
        <v>5400</v>
      </c>
    </row>
  </sheetData>
  <conditionalFormatting sqref="A9:A20">
    <cfRule type="expression" dxfId="141" priority="21">
      <formula>$Q$19=ROWS($A$9:$A9)</formula>
    </cfRule>
  </conditionalFormatting>
  <conditionalFormatting sqref="B8:M8">
    <cfRule type="expression" dxfId="140" priority="22">
      <formula>$R$19=COLUMNS($B$8:B$8)</formula>
    </cfRule>
  </conditionalFormatting>
  <conditionalFormatting sqref="B9:M20">
    <cfRule type="expression" dxfId="139" priority="23">
      <formula>AND($R$19=COLUMNS($B$8:B$8),$Q$19=ROWS($A$9:$A9))</formula>
    </cfRule>
  </conditionalFormatting>
  <conditionalFormatting sqref="B25:M25">
    <cfRule type="expression" dxfId="138" priority="24">
      <formula>B$25=$R$36</formula>
    </cfRule>
  </conditionalFormatting>
  <conditionalFormatting sqref="A26:A37">
    <cfRule type="expression" dxfId="137" priority="25">
      <formula>$A26=$Q$36</formula>
    </cfRule>
  </conditionalFormatting>
  <conditionalFormatting sqref="B26:N37">
    <cfRule type="expression" dxfId="136" priority="26">
      <formula>AND(B$25=$R$36,$A26=$Q$36)</formula>
    </cfRule>
  </conditionalFormatting>
  <pageMargins left="0.7" right="0.7" top="0.75" bottom="0.75" header="0.3" footer="0.3"/>
  <pageSetup orientation="portrait"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70FD-49BB-4AF0-B590-61ED54A37C1E}">
  <sheetPr codeName="Sheet48"/>
  <dimension ref="A1:S38"/>
  <sheetViews>
    <sheetView zoomScale="130" zoomScaleNormal="130" workbookViewId="0">
      <selection activeCell="R38" sqref="R38"/>
    </sheetView>
  </sheetViews>
  <sheetFormatPr defaultRowHeight="12.75" x14ac:dyDescent="0.2"/>
  <cols>
    <col min="17" max="17" width="9.5703125" customWidth="1"/>
    <col min="18" max="18" width="11.28515625" customWidth="1"/>
  </cols>
  <sheetData>
    <row r="1" spans="1:19" s="310" customFormat="1" ht="18" x14ac:dyDescent="0.25">
      <c r="A1" s="260" t="s">
        <v>268</v>
      </c>
    </row>
    <row r="2" spans="1:19" s="298" customFormat="1" hidden="1" x14ac:dyDescent="0.2">
      <c r="A2" s="298" t="s">
        <v>340</v>
      </c>
      <c r="B2" s="314">
        <v>4.4560185185185189E-3</v>
      </c>
    </row>
    <row r="3" spans="1:19" s="273" customFormat="1" x14ac:dyDescent="0.2">
      <c r="A3" s="274" t="str">
        <f>IF(A2="","",IF(Disable_Video_Hyperlinks,A2,HYPERLINK(Video_website&amp;A2,A2)))</f>
        <v>UNC_DAYT_EXCEL_3.3.4_LECTURE_INDEX_2_DIMENSIONS_&amp;_MATCH.mp4</v>
      </c>
    </row>
    <row r="4" spans="1:19" s="91" customFormat="1" x14ac:dyDescent="0.2">
      <c r="A4" s="305">
        <f>IF(B2="","",B2)</f>
        <v>4.4560185185185189E-3</v>
      </c>
    </row>
    <row r="5" spans="1:19" s="91" customFormat="1" x14ac:dyDescent="0.2">
      <c r="A5" s="31"/>
    </row>
    <row r="6" spans="1:19" x14ac:dyDescent="0.2">
      <c r="B6" t="s">
        <v>286</v>
      </c>
    </row>
    <row r="7" spans="1:19" x14ac:dyDescent="0.2">
      <c r="B7" s="31" t="s">
        <v>282</v>
      </c>
      <c r="O7" s="31" t="s">
        <v>276</v>
      </c>
    </row>
    <row r="8" spans="1:19" x14ac:dyDescent="0.2">
      <c r="A8" s="99"/>
      <c r="B8" s="282">
        <v>10</v>
      </c>
      <c r="C8" s="282">
        <v>20</v>
      </c>
      <c r="D8" s="282">
        <v>30</v>
      </c>
      <c r="E8" s="282">
        <v>40</v>
      </c>
      <c r="F8" s="282">
        <v>50</v>
      </c>
      <c r="G8" s="282">
        <v>60</v>
      </c>
      <c r="H8" s="282">
        <v>70</v>
      </c>
      <c r="I8" s="282">
        <v>80</v>
      </c>
      <c r="J8" s="282">
        <v>90</v>
      </c>
      <c r="K8" s="282">
        <v>100</v>
      </c>
      <c r="L8" s="282">
        <v>110</v>
      </c>
      <c r="M8" s="282">
        <v>120</v>
      </c>
      <c r="Q8" s="106" t="s">
        <v>271</v>
      </c>
    </row>
    <row r="9" spans="1:19" x14ac:dyDescent="0.2">
      <c r="A9" s="282">
        <v>10</v>
      </c>
      <c r="B9" s="107">
        <v>100</v>
      </c>
      <c r="C9" s="107">
        <v>200</v>
      </c>
      <c r="D9" s="107">
        <v>300</v>
      </c>
      <c r="E9" s="107">
        <v>400</v>
      </c>
      <c r="F9" s="107">
        <v>500</v>
      </c>
      <c r="G9" s="107">
        <v>600</v>
      </c>
      <c r="H9" s="107">
        <v>700</v>
      </c>
      <c r="I9" s="107">
        <v>800</v>
      </c>
      <c r="J9" s="107">
        <v>900</v>
      </c>
      <c r="K9" s="107">
        <v>1000</v>
      </c>
      <c r="L9" s="107">
        <v>1100</v>
      </c>
      <c r="M9" s="107">
        <v>1200</v>
      </c>
      <c r="Q9" s="281">
        <v>6</v>
      </c>
    </row>
    <row r="10" spans="1:19" x14ac:dyDescent="0.2">
      <c r="A10" s="282">
        <v>20</v>
      </c>
      <c r="B10" s="107">
        <v>200</v>
      </c>
      <c r="C10" s="107">
        <v>400</v>
      </c>
      <c r="D10" s="107">
        <v>600</v>
      </c>
      <c r="E10" s="107">
        <v>800</v>
      </c>
      <c r="F10" s="107">
        <v>1000</v>
      </c>
      <c r="G10" s="107">
        <v>1200</v>
      </c>
      <c r="H10" s="107">
        <v>1400</v>
      </c>
      <c r="I10" s="107">
        <v>1600</v>
      </c>
      <c r="J10" s="107">
        <v>1800</v>
      </c>
      <c r="K10" s="107">
        <v>2000</v>
      </c>
      <c r="L10" s="107">
        <v>2200</v>
      </c>
      <c r="M10" s="107">
        <v>2400</v>
      </c>
      <c r="Q10" s="105"/>
      <c r="R10" s="105"/>
    </row>
    <row r="11" spans="1:19" x14ac:dyDescent="0.2">
      <c r="A11" s="282">
        <v>30</v>
      </c>
      <c r="B11" s="107">
        <v>300</v>
      </c>
      <c r="C11" s="107">
        <v>600</v>
      </c>
      <c r="D11" s="107">
        <v>900</v>
      </c>
      <c r="E11" s="107">
        <v>1200</v>
      </c>
      <c r="F11" s="107">
        <v>1500</v>
      </c>
      <c r="G11" s="107">
        <v>1800</v>
      </c>
      <c r="H11" s="107">
        <v>2100</v>
      </c>
      <c r="I11" s="107">
        <v>2400</v>
      </c>
      <c r="J11" s="107">
        <v>2700</v>
      </c>
      <c r="K11" s="107">
        <v>3000</v>
      </c>
      <c r="L11" s="107">
        <v>3300</v>
      </c>
      <c r="M11" s="107">
        <v>3600</v>
      </c>
      <c r="Q11" s="109" t="s">
        <v>273</v>
      </c>
      <c r="R11" s="108" cm="1">
        <f t="array" ref="R11" xml:space="preserve"> INDEX( $A$9:$A$20, $Q$9 )</f>
        <v>60</v>
      </c>
    </row>
    <row r="12" spans="1:19" x14ac:dyDescent="0.2">
      <c r="A12" s="282">
        <v>40</v>
      </c>
      <c r="B12" s="107">
        <v>400</v>
      </c>
      <c r="C12" s="107">
        <v>800</v>
      </c>
      <c r="D12" s="107">
        <v>1200</v>
      </c>
      <c r="E12" s="107">
        <v>1600</v>
      </c>
      <c r="F12" s="107">
        <v>2000</v>
      </c>
      <c r="G12" s="107">
        <v>2400</v>
      </c>
      <c r="H12" s="107">
        <v>2800</v>
      </c>
      <c r="I12" s="107">
        <v>3200</v>
      </c>
      <c r="J12" s="107">
        <v>3600</v>
      </c>
      <c r="K12" s="107">
        <v>4000</v>
      </c>
      <c r="L12" s="107">
        <v>4400</v>
      </c>
      <c r="M12" s="107">
        <v>4800</v>
      </c>
      <c r="P12" s="91"/>
      <c r="Q12" s="105"/>
    </row>
    <row r="13" spans="1:19" x14ac:dyDescent="0.2">
      <c r="A13" s="282">
        <v>50</v>
      </c>
      <c r="B13" s="107">
        <v>500</v>
      </c>
      <c r="C13" s="107">
        <v>1000</v>
      </c>
      <c r="D13" s="107">
        <v>1500</v>
      </c>
      <c r="E13" s="107">
        <v>2000</v>
      </c>
      <c r="F13" s="107">
        <v>2500</v>
      </c>
      <c r="G13" s="107">
        <v>3000</v>
      </c>
      <c r="H13" s="107">
        <v>3500</v>
      </c>
      <c r="I13" s="107">
        <v>4000</v>
      </c>
      <c r="J13" s="107">
        <v>4500</v>
      </c>
      <c r="K13" s="107">
        <v>5000</v>
      </c>
      <c r="L13" s="107">
        <v>5500</v>
      </c>
      <c r="M13" s="107">
        <v>6000</v>
      </c>
      <c r="P13" s="91"/>
      <c r="R13" s="113" t="s">
        <v>272</v>
      </c>
    </row>
    <row r="14" spans="1:19" x14ac:dyDescent="0.2">
      <c r="A14" s="282">
        <v>60</v>
      </c>
      <c r="B14" s="107">
        <v>600</v>
      </c>
      <c r="C14" s="107">
        <v>1200</v>
      </c>
      <c r="D14" s="107">
        <v>1800</v>
      </c>
      <c r="E14" s="107">
        <v>2400</v>
      </c>
      <c r="F14" s="107">
        <v>3000</v>
      </c>
      <c r="G14" s="107">
        <v>3600</v>
      </c>
      <c r="H14" s="107">
        <v>4200</v>
      </c>
      <c r="I14" s="107">
        <v>4800</v>
      </c>
      <c r="J14" s="107">
        <v>5400</v>
      </c>
      <c r="K14" s="107">
        <v>6000</v>
      </c>
      <c r="L14" s="107">
        <v>6600</v>
      </c>
      <c r="M14" s="107">
        <v>7200</v>
      </c>
      <c r="R14" s="281">
        <v>9</v>
      </c>
    </row>
    <row r="15" spans="1:19" x14ac:dyDescent="0.2">
      <c r="A15" s="282">
        <v>70</v>
      </c>
      <c r="B15" s="107">
        <v>700</v>
      </c>
      <c r="C15" s="107">
        <v>1400</v>
      </c>
      <c r="D15" s="107">
        <v>2100</v>
      </c>
      <c r="E15" s="107">
        <v>2800</v>
      </c>
      <c r="F15" s="107">
        <v>3500</v>
      </c>
      <c r="G15" s="107">
        <v>4200</v>
      </c>
      <c r="H15" s="107">
        <v>4900</v>
      </c>
      <c r="I15" s="107">
        <v>5600</v>
      </c>
      <c r="J15" s="107">
        <v>6300</v>
      </c>
      <c r="K15" s="107">
        <v>7000</v>
      </c>
      <c r="L15" s="107">
        <v>7700</v>
      </c>
      <c r="M15" s="107">
        <v>8400</v>
      </c>
      <c r="Q15" s="105"/>
      <c r="R15" s="105"/>
    </row>
    <row r="16" spans="1:19" x14ac:dyDescent="0.2">
      <c r="A16" s="282">
        <v>80</v>
      </c>
      <c r="B16" s="107">
        <v>800</v>
      </c>
      <c r="C16" s="107">
        <v>1600</v>
      </c>
      <c r="D16" s="107">
        <v>2400</v>
      </c>
      <c r="E16" s="107">
        <v>3200</v>
      </c>
      <c r="F16" s="107">
        <v>4000</v>
      </c>
      <c r="G16" s="107">
        <v>4800</v>
      </c>
      <c r="H16" s="107">
        <v>5600</v>
      </c>
      <c r="I16" s="107">
        <v>6400</v>
      </c>
      <c r="J16" s="107">
        <v>7200</v>
      </c>
      <c r="K16" s="107">
        <v>8000</v>
      </c>
      <c r="L16" s="107">
        <v>8800</v>
      </c>
      <c r="M16" s="107">
        <v>9600</v>
      </c>
      <c r="Q16" s="109" t="s">
        <v>274</v>
      </c>
      <c r="R16" s="108" cm="1">
        <f t="array" ref="R16" xml:space="preserve"> INDEX( $B$8:$M$8, , $R$14 )</f>
        <v>90</v>
      </c>
      <c r="S16" s="108" cm="1">
        <f t="array" ref="S16" xml:space="preserve"> INDEX( $B$8:$M$8, $R$14 )</f>
        <v>90</v>
      </c>
    </row>
    <row r="17" spans="1:18" x14ac:dyDescent="0.2">
      <c r="A17" s="282">
        <v>90</v>
      </c>
      <c r="B17" s="107">
        <v>900</v>
      </c>
      <c r="C17" s="107">
        <v>1800</v>
      </c>
      <c r="D17" s="107">
        <v>2700</v>
      </c>
      <c r="E17" s="107">
        <v>3600</v>
      </c>
      <c r="F17" s="107">
        <v>4500</v>
      </c>
      <c r="G17" s="107">
        <v>5400</v>
      </c>
      <c r="H17" s="107">
        <v>6300</v>
      </c>
      <c r="I17" s="107">
        <v>7200</v>
      </c>
      <c r="J17" s="107">
        <v>8100</v>
      </c>
      <c r="K17" s="107">
        <v>9000</v>
      </c>
      <c r="L17" s="107">
        <v>9900</v>
      </c>
      <c r="M17" s="107">
        <v>10800</v>
      </c>
    </row>
    <row r="18" spans="1:18" x14ac:dyDescent="0.2">
      <c r="A18" s="282">
        <v>100</v>
      </c>
      <c r="B18" s="107">
        <v>1000</v>
      </c>
      <c r="C18" s="107">
        <v>2000</v>
      </c>
      <c r="D18" s="107">
        <v>3000</v>
      </c>
      <c r="E18" s="107">
        <v>4000</v>
      </c>
      <c r="F18" s="107">
        <v>5000</v>
      </c>
      <c r="G18" s="107">
        <v>6000</v>
      </c>
      <c r="H18" s="107">
        <v>7000</v>
      </c>
      <c r="I18" s="107">
        <v>8000</v>
      </c>
      <c r="J18" s="107">
        <v>9000</v>
      </c>
      <c r="K18" s="107">
        <v>10000</v>
      </c>
      <c r="L18" s="107">
        <v>11000</v>
      </c>
      <c r="M18" s="107">
        <v>12000</v>
      </c>
      <c r="Q18" s="106" t="s">
        <v>271</v>
      </c>
      <c r="R18" s="113" t="s">
        <v>272</v>
      </c>
    </row>
    <row r="19" spans="1:18" x14ac:dyDescent="0.2">
      <c r="A19" s="282">
        <v>110</v>
      </c>
      <c r="B19" s="107">
        <v>1100</v>
      </c>
      <c r="C19" s="107">
        <v>2200</v>
      </c>
      <c r="D19" s="107">
        <v>3300</v>
      </c>
      <c r="E19" s="107">
        <v>4400</v>
      </c>
      <c r="F19" s="107">
        <v>5500</v>
      </c>
      <c r="G19" s="107">
        <v>6600</v>
      </c>
      <c r="H19" s="107">
        <v>7700</v>
      </c>
      <c r="I19" s="107">
        <v>8800</v>
      </c>
      <c r="J19" s="107">
        <v>9900</v>
      </c>
      <c r="K19" s="107">
        <v>11000</v>
      </c>
      <c r="L19" s="107">
        <v>12100</v>
      </c>
      <c r="M19" s="107">
        <v>13200</v>
      </c>
      <c r="Q19" s="281">
        <v>6</v>
      </c>
      <c r="R19" s="281">
        <v>9</v>
      </c>
    </row>
    <row r="20" spans="1:18" x14ac:dyDescent="0.2">
      <c r="A20" s="282">
        <v>120</v>
      </c>
      <c r="B20" s="107">
        <v>1200</v>
      </c>
      <c r="C20" s="107">
        <v>2400</v>
      </c>
      <c r="D20" s="107">
        <v>3600</v>
      </c>
      <c r="E20" s="107">
        <v>4800</v>
      </c>
      <c r="F20" s="107">
        <v>6000</v>
      </c>
      <c r="G20" s="107">
        <v>7200</v>
      </c>
      <c r="H20" s="107">
        <v>8400</v>
      </c>
      <c r="I20" s="107">
        <v>9600</v>
      </c>
      <c r="J20" s="107">
        <v>10800</v>
      </c>
      <c r="K20" s="107">
        <v>12000</v>
      </c>
      <c r="L20" s="107">
        <v>13200</v>
      </c>
      <c r="M20" s="107">
        <v>14400</v>
      </c>
      <c r="Q20" s="105"/>
      <c r="R20" s="105"/>
    </row>
    <row r="21" spans="1:18" x14ac:dyDescent="0.2">
      <c r="A21" s="284"/>
      <c r="Q21" s="109" t="s">
        <v>275</v>
      </c>
      <c r="R21" s="108" cm="1">
        <f t="array" ref="R21" xml:space="preserve"> INDEX( $B$9:$M$20, $Q$19, $R$19 )</f>
        <v>5400</v>
      </c>
    </row>
    <row r="22" spans="1:18" x14ac:dyDescent="0.2">
      <c r="A22" s="284"/>
    </row>
    <row r="23" spans="1:18" x14ac:dyDescent="0.2">
      <c r="A23" s="284"/>
      <c r="B23" t="s">
        <v>287</v>
      </c>
    </row>
    <row r="24" spans="1:18" x14ac:dyDescent="0.2">
      <c r="A24" s="284"/>
      <c r="B24" s="31" t="s">
        <v>281</v>
      </c>
      <c r="C24" s="95"/>
      <c r="D24" s="95"/>
      <c r="E24" s="95"/>
      <c r="F24" s="95"/>
      <c r="G24" s="114"/>
      <c r="H24" s="115"/>
      <c r="I24" s="95"/>
      <c r="J24" s="95"/>
      <c r="K24" s="95"/>
      <c r="L24" s="95"/>
      <c r="M24" s="87"/>
      <c r="O24" s="31" t="s">
        <v>280</v>
      </c>
    </row>
    <row r="25" spans="1:18" x14ac:dyDescent="0.2">
      <c r="A25" s="285"/>
      <c r="B25" s="282">
        <v>10</v>
      </c>
      <c r="C25" s="282">
        <v>20</v>
      </c>
      <c r="D25" s="282">
        <v>30</v>
      </c>
      <c r="E25" s="282">
        <v>40</v>
      </c>
      <c r="F25" s="282">
        <v>50</v>
      </c>
      <c r="G25" s="283">
        <v>60</v>
      </c>
      <c r="H25" s="283">
        <v>70</v>
      </c>
      <c r="I25" s="282">
        <v>80</v>
      </c>
      <c r="J25" s="282">
        <v>90</v>
      </c>
      <c r="K25" s="282">
        <v>100</v>
      </c>
      <c r="L25" s="282">
        <v>110</v>
      </c>
      <c r="M25" s="282">
        <v>120</v>
      </c>
      <c r="Q25" s="106" t="s">
        <v>270</v>
      </c>
    </row>
    <row r="26" spans="1:18" x14ac:dyDescent="0.2">
      <c r="A26" s="282">
        <v>10</v>
      </c>
      <c r="B26" s="107">
        <v>100</v>
      </c>
      <c r="C26" s="107">
        <v>200</v>
      </c>
      <c r="D26" s="107">
        <v>300</v>
      </c>
      <c r="E26" s="107">
        <v>400</v>
      </c>
      <c r="F26" s="107">
        <v>500</v>
      </c>
      <c r="G26" s="116">
        <v>600</v>
      </c>
      <c r="H26" s="116">
        <v>700</v>
      </c>
      <c r="I26" s="107">
        <v>800</v>
      </c>
      <c r="J26" s="107">
        <v>900</v>
      </c>
      <c r="K26" s="107">
        <v>1000</v>
      </c>
      <c r="L26" s="107">
        <v>1100</v>
      </c>
      <c r="M26" s="107">
        <v>1200</v>
      </c>
      <c r="N26" s="107"/>
      <c r="Q26" s="96">
        <v>60</v>
      </c>
    </row>
    <row r="27" spans="1:18" x14ac:dyDescent="0.2">
      <c r="A27" s="282">
        <v>20</v>
      </c>
      <c r="B27" s="107">
        <v>200</v>
      </c>
      <c r="C27" s="107">
        <v>400</v>
      </c>
      <c r="D27" s="107">
        <v>600</v>
      </c>
      <c r="E27" s="107">
        <v>800</v>
      </c>
      <c r="F27" s="107">
        <v>1000</v>
      </c>
      <c r="G27" s="116">
        <v>1200</v>
      </c>
      <c r="H27" s="116">
        <v>1400</v>
      </c>
      <c r="I27" s="107">
        <v>1600</v>
      </c>
      <c r="J27" s="107">
        <v>1800</v>
      </c>
      <c r="K27" s="107">
        <v>2000</v>
      </c>
      <c r="L27" s="107">
        <v>2200</v>
      </c>
      <c r="M27" s="107">
        <v>2400</v>
      </c>
      <c r="N27" s="107"/>
      <c r="Q27" s="286"/>
      <c r="R27" s="105"/>
    </row>
    <row r="28" spans="1:18" x14ac:dyDescent="0.2">
      <c r="A28" s="282">
        <v>30</v>
      </c>
      <c r="B28" s="107">
        <v>300</v>
      </c>
      <c r="C28" s="107">
        <v>600</v>
      </c>
      <c r="D28" s="107">
        <v>900</v>
      </c>
      <c r="E28" s="107">
        <v>1200</v>
      </c>
      <c r="F28" s="107">
        <v>1500</v>
      </c>
      <c r="G28" s="116">
        <v>1800</v>
      </c>
      <c r="H28" s="116">
        <v>2100</v>
      </c>
      <c r="I28" s="107">
        <v>2400</v>
      </c>
      <c r="J28" s="107">
        <v>2700</v>
      </c>
      <c r="K28" s="107">
        <v>3000</v>
      </c>
      <c r="L28" s="107">
        <v>3300</v>
      </c>
      <c r="M28" s="107">
        <v>3600</v>
      </c>
      <c r="N28" s="107"/>
      <c r="Q28" s="109" t="s">
        <v>277</v>
      </c>
      <c r="R28" s="108">
        <f xml:space="preserve"> MATCH( $Q$26, $A$26:$A$37, 0 )</f>
        <v>6</v>
      </c>
    </row>
    <row r="29" spans="1:18" x14ac:dyDescent="0.2">
      <c r="A29" s="282">
        <v>40</v>
      </c>
      <c r="B29" s="107">
        <v>400</v>
      </c>
      <c r="C29" s="107">
        <v>800</v>
      </c>
      <c r="D29" s="107">
        <v>1200</v>
      </c>
      <c r="E29" s="107">
        <v>1600</v>
      </c>
      <c r="F29" s="107">
        <v>2000</v>
      </c>
      <c r="G29" s="116">
        <v>2400</v>
      </c>
      <c r="H29" s="116">
        <v>2800</v>
      </c>
      <c r="I29" s="107">
        <v>3200</v>
      </c>
      <c r="J29" s="107">
        <v>3600</v>
      </c>
      <c r="K29" s="107">
        <v>4000</v>
      </c>
      <c r="L29" s="107">
        <v>4400</v>
      </c>
      <c r="M29" s="107">
        <v>4800</v>
      </c>
      <c r="N29" s="107"/>
    </row>
    <row r="30" spans="1:18" x14ac:dyDescent="0.2">
      <c r="A30" s="282">
        <v>50</v>
      </c>
      <c r="B30" s="107">
        <v>500</v>
      </c>
      <c r="C30" s="107">
        <v>1000</v>
      </c>
      <c r="D30" s="107">
        <v>1500</v>
      </c>
      <c r="E30" s="107">
        <v>2000</v>
      </c>
      <c r="F30" s="107">
        <v>2500</v>
      </c>
      <c r="G30" s="116">
        <v>3000</v>
      </c>
      <c r="H30" s="116">
        <v>3500</v>
      </c>
      <c r="I30" s="107">
        <v>4000</v>
      </c>
      <c r="J30" s="107">
        <v>4500</v>
      </c>
      <c r="K30" s="107">
        <v>5000</v>
      </c>
      <c r="L30" s="107">
        <v>5500</v>
      </c>
      <c r="M30" s="107">
        <v>6000</v>
      </c>
      <c r="N30" s="107"/>
      <c r="R30" s="106" t="s">
        <v>269</v>
      </c>
    </row>
    <row r="31" spans="1:18" x14ac:dyDescent="0.2">
      <c r="A31" s="282">
        <v>60</v>
      </c>
      <c r="B31" s="107">
        <v>600</v>
      </c>
      <c r="C31" s="107">
        <v>1200</v>
      </c>
      <c r="D31" s="107">
        <v>1800</v>
      </c>
      <c r="E31" s="107">
        <v>2400</v>
      </c>
      <c r="F31" s="107">
        <v>3000</v>
      </c>
      <c r="G31" s="116">
        <v>3600</v>
      </c>
      <c r="H31" s="116">
        <v>4200</v>
      </c>
      <c r="I31" s="107">
        <v>4800</v>
      </c>
      <c r="J31" s="107">
        <v>5400</v>
      </c>
      <c r="K31" s="107">
        <v>6000</v>
      </c>
      <c r="L31" s="107">
        <v>6600</v>
      </c>
      <c r="M31" s="107">
        <v>7200</v>
      </c>
      <c r="N31" s="107"/>
      <c r="R31" s="281">
        <v>90</v>
      </c>
    </row>
    <row r="32" spans="1:18" x14ac:dyDescent="0.2">
      <c r="A32" s="282">
        <v>70</v>
      </c>
      <c r="B32" s="107">
        <v>700</v>
      </c>
      <c r="C32" s="107">
        <v>1400</v>
      </c>
      <c r="D32" s="107">
        <v>2100</v>
      </c>
      <c r="E32" s="107">
        <v>2800</v>
      </c>
      <c r="F32" s="107">
        <v>3500</v>
      </c>
      <c r="G32" s="116">
        <v>4200</v>
      </c>
      <c r="H32" s="116">
        <v>4900</v>
      </c>
      <c r="I32" s="107">
        <v>5600</v>
      </c>
      <c r="J32" s="107">
        <v>6300</v>
      </c>
      <c r="K32" s="107">
        <v>7000</v>
      </c>
      <c r="L32" s="107">
        <v>7700</v>
      </c>
      <c r="M32" s="107">
        <v>8400</v>
      </c>
      <c r="N32" s="107"/>
      <c r="Q32" s="105"/>
      <c r="R32" s="105"/>
    </row>
    <row r="33" spans="1:18" x14ac:dyDescent="0.2">
      <c r="A33" s="282">
        <v>80</v>
      </c>
      <c r="B33" s="107">
        <v>800</v>
      </c>
      <c r="C33" s="107">
        <v>1600</v>
      </c>
      <c r="D33" s="107">
        <v>2400</v>
      </c>
      <c r="E33" s="107">
        <v>3200</v>
      </c>
      <c r="F33" s="107">
        <v>4000</v>
      </c>
      <c r="G33" s="116">
        <v>4800</v>
      </c>
      <c r="H33" s="116">
        <v>5600</v>
      </c>
      <c r="I33" s="107">
        <v>6400</v>
      </c>
      <c r="J33" s="107">
        <v>7200</v>
      </c>
      <c r="K33" s="107">
        <v>8000</v>
      </c>
      <c r="L33" s="107">
        <v>8800</v>
      </c>
      <c r="M33" s="107">
        <v>9600</v>
      </c>
      <c r="N33" s="107"/>
      <c r="Q33" s="109" t="s">
        <v>278</v>
      </c>
      <c r="R33" s="108">
        <f xml:space="preserve"> MATCH( $R$31, $B$25:$M$25, 0 )</f>
        <v>9</v>
      </c>
    </row>
    <row r="34" spans="1:18" x14ac:dyDescent="0.2">
      <c r="A34" s="282">
        <v>90</v>
      </c>
      <c r="B34" s="107">
        <v>900</v>
      </c>
      <c r="C34" s="107">
        <v>1800</v>
      </c>
      <c r="D34" s="107">
        <v>2700</v>
      </c>
      <c r="E34" s="107">
        <v>3600</v>
      </c>
      <c r="F34" s="107">
        <v>4500</v>
      </c>
      <c r="G34" s="116">
        <v>5400</v>
      </c>
      <c r="H34" s="116">
        <v>6300</v>
      </c>
      <c r="I34" s="107">
        <v>7200</v>
      </c>
      <c r="J34" s="107">
        <v>8100</v>
      </c>
      <c r="K34" s="107">
        <v>9000</v>
      </c>
      <c r="L34" s="107">
        <v>9900</v>
      </c>
      <c r="M34" s="107">
        <v>10800</v>
      </c>
      <c r="N34" s="107"/>
    </row>
    <row r="35" spans="1:18" x14ac:dyDescent="0.2">
      <c r="A35" s="282">
        <v>100</v>
      </c>
      <c r="B35" s="107">
        <v>1000</v>
      </c>
      <c r="C35" s="107">
        <v>2000</v>
      </c>
      <c r="D35" s="107">
        <v>3000</v>
      </c>
      <c r="E35" s="107">
        <v>4000</v>
      </c>
      <c r="F35" s="107">
        <v>5000</v>
      </c>
      <c r="G35" s="116">
        <v>6000</v>
      </c>
      <c r="H35" s="116">
        <v>7000</v>
      </c>
      <c r="I35" s="107">
        <v>8000</v>
      </c>
      <c r="J35" s="107">
        <v>9000</v>
      </c>
      <c r="K35" s="107">
        <v>10000</v>
      </c>
      <c r="L35" s="107">
        <v>11000</v>
      </c>
      <c r="M35" s="107">
        <v>12000</v>
      </c>
      <c r="N35" s="107"/>
      <c r="Q35" s="106" t="s">
        <v>270</v>
      </c>
      <c r="R35" s="106" t="s">
        <v>269</v>
      </c>
    </row>
    <row r="36" spans="1:18" x14ac:dyDescent="0.2">
      <c r="A36" s="282">
        <v>110</v>
      </c>
      <c r="B36" s="107">
        <v>1100</v>
      </c>
      <c r="C36" s="107">
        <v>2200</v>
      </c>
      <c r="D36" s="107">
        <v>3300</v>
      </c>
      <c r="E36" s="107">
        <v>4400</v>
      </c>
      <c r="F36" s="107">
        <v>5500</v>
      </c>
      <c r="G36" s="116">
        <v>6600</v>
      </c>
      <c r="H36" s="116">
        <v>7700</v>
      </c>
      <c r="I36" s="107">
        <v>8800</v>
      </c>
      <c r="J36" s="107">
        <v>9900</v>
      </c>
      <c r="K36" s="107">
        <v>11000</v>
      </c>
      <c r="L36" s="107">
        <v>12100</v>
      </c>
      <c r="M36" s="107">
        <v>13200</v>
      </c>
      <c r="N36" s="107"/>
      <c r="Q36" s="281">
        <v>60</v>
      </c>
      <c r="R36" s="281">
        <v>90</v>
      </c>
    </row>
    <row r="37" spans="1:18" x14ac:dyDescent="0.2">
      <c r="A37" s="282">
        <v>120</v>
      </c>
      <c r="B37" s="107">
        <v>1200</v>
      </c>
      <c r="C37" s="107">
        <v>2400</v>
      </c>
      <c r="D37" s="107">
        <v>3600</v>
      </c>
      <c r="E37" s="107">
        <v>4800</v>
      </c>
      <c r="F37" s="107">
        <v>6000</v>
      </c>
      <c r="G37" s="116">
        <v>7200</v>
      </c>
      <c r="H37" s="116">
        <v>8400</v>
      </c>
      <c r="I37" s="107">
        <v>9600</v>
      </c>
      <c r="J37" s="107">
        <v>10800</v>
      </c>
      <c r="K37" s="107">
        <v>12000</v>
      </c>
      <c r="L37" s="107">
        <v>13200</v>
      </c>
      <c r="M37" s="107">
        <v>14400</v>
      </c>
      <c r="N37" s="107"/>
      <c r="Q37" s="105"/>
      <c r="R37" s="105"/>
    </row>
    <row r="38" spans="1:18" x14ac:dyDescent="0.2">
      <c r="Q38" s="109" t="s">
        <v>279</v>
      </c>
      <c r="R38" s="108">
        <f xml:space="preserve"> INDEX( $B$26:$M$37, MATCH( $Q$36, $A$26:$A$37, 0 ), MATCH( $R$36, $B$25:$M$25, 0 ) )</f>
        <v>5400</v>
      </c>
    </row>
  </sheetData>
  <conditionalFormatting sqref="A9:A20">
    <cfRule type="expression" dxfId="135" priority="1">
      <formula>$Q$19=ROWS($A$9:$A9)</formula>
    </cfRule>
  </conditionalFormatting>
  <conditionalFormatting sqref="B8:M8">
    <cfRule type="expression" dxfId="134" priority="2">
      <formula>$R$19=COLUMNS($B$8:B$8)</formula>
    </cfRule>
  </conditionalFormatting>
  <conditionalFormatting sqref="B9:M20">
    <cfRule type="expression" dxfId="133" priority="3">
      <formula>AND($R$19=COLUMNS($B$8:B$8),$Q$19=ROWS($A$9:$A9))</formula>
    </cfRule>
  </conditionalFormatting>
  <conditionalFormatting sqref="B25:M25">
    <cfRule type="expression" dxfId="132" priority="4">
      <formula>B$25=$R$36</formula>
    </cfRule>
  </conditionalFormatting>
  <conditionalFormatting sqref="A26:A37">
    <cfRule type="expression" dxfId="131" priority="5">
      <formula>$A26=$Q$36</formula>
    </cfRule>
  </conditionalFormatting>
  <conditionalFormatting sqref="B26:N37">
    <cfRule type="expression" dxfId="130" priority="6">
      <formula>AND(B$25=$R$36,$A26=$Q$36)</formula>
    </cfRule>
  </conditionalFormatting>
  <pageMargins left="0.7" right="0.7" top="0.75" bottom="0.75" header="0.3" footer="0.3"/>
  <pageSetup orientation="portrait"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35EBD-94C1-41CB-86F2-8811E5819520}">
  <dimension ref="A1:AE49"/>
  <sheetViews>
    <sheetView topLeftCell="A7" zoomScale="130" zoomScaleNormal="130" workbookViewId="0">
      <selection activeCell="Q39" sqref="Q39"/>
    </sheetView>
  </sheetViews>
  <sheetFormatPr defaultRowHeight="12.75" x14ac:dyDescent="0.2"/>
  <cols>
    <col min="17" max="17" width="9.5703125" customWidth="1"/>
    <col min="18" max="18" width="11.28515625" customWidth="1"/>
  </cols>
  <sheetData>
    <row r="1" spans="1:19" s="310" customFormat="1" ht="18" x14ac:dyDescent="0.25">
      <c r="A1" s="260" t="s">
        <v>268</v>
      </c>
    </row>
    <row r="2" spans="1:19" s="298" customFormat="1" hidden="1" x14ac:dyDescent="0.2">
      <c r="A2" s="298" t="s">
        <v>340</v>
      </c>
      <c r="B2" s="314">
        <v>4.4560185185185189E-3</v>
      </c>
    </row>
    <row r="3" spans="1:19" s="273" customFormat="1" x14ac:dyDescent="0.2">
      <c r="A3" s="274" t="str">
        <f>IF(A2="","",IF(Disable_Video_Hyperlinks,A2,HYPERLINK(Video_website&amp;A2,A2)))</f>
        <v>UNC_DAYT_EXCEL_3.3.4_LECTURE_INDEX_2_DIMENSIONS_&amp;_MATCH.mp4</v>
      </c>
    </row>
    <row r="4" spans="1:19" s="91" customFormat="1" x14ac:dyDescent="0.2">
      <c r="A4" s="305">
        <f>IF(B2="","",B2)</f>
        <v>4.4560185185185189E-3</v>
      </c>
    </row>
    <row r="5" spans="1:19" s="91" customFormat="1" x14ac:dyDescent="0.2">
      <c r="A5" s="31"/>
    </row>
    <row r="6" spans="1:19" x14ac:dyDescent="0.2">
      <c r="B6" t="s">
        <v>286</v>
      </c>
    </row>
    <row r="7" spans="1:19" x14ac:dyDescent="0.2">
      <c r="B7" s="31" t="s">
        <v>282</v>
      </c>
      <c r="O7" s="31" t="s">
        <v>276</v>
      </c>
    </row>
    <row r="8" spans="1:19" x14ac:dyDescent="0.2">
      <c r="A8" s="99"/>
      <c r="B8" s="282">
        <v>10</v>
      </c>
      <c r="C8" s="282">
        <v>20</v>
      </c>
      <c r="D8" s="282">
        <v>30</v>
      </c>
      <c r="E8" s="282">
        <v>40</v>
      </c>
      <c r="F8" s="282">
        <v>50</v>
      </c>
      <c r="G8" s="282">
        <v>60</v>
      </c>
      <c r="H8" s="282">
        <v>70</v>
      </c>
      <c r="I8" s="282">
        <v>80</v>
      </c>
      <c r="J8" s="282">
        <v>90</v>
      </c>
      <c r="K8" s="282">
        <v>100</v>
      </c>
      <c r="L8" s="282">
        <v>110</v>
      </c>
      <c r="M8" s="282">
        <v>120</v>
      </c>
      <c r="Q8" s="106" t="s">
        <v>271</v>
      </c>
    </row>
    <row r="9" spans="1:19" x14ac:dyDescent="0.2">
      <c r="A9" s="282">
        <v>10</v>
      </c>
      <c r="B9" s="107">
        <v>100</v>
      </c>
      <c r="C9" s="107">
        <v>200</v>
      </c>
      <c r="D9" s="107">
        <v>300</v>
      </c>
      <c r="E9" s="107">
        <v>400</v>
      </c>
      <c r="F9" s="107">
        <v>500</v>
      </c>
      <c r="G9" s="107">
        <v>600</v>
      </c>
      <c r="H9" s="107">
        <v>700</v>
      </c>
      <c r="I9" s="107">
        <v>800</v>
      </c>
      <c r="J9" s="107">
        <v>900</v>
      </c>
      <c r="K9" s="107">
        <v>1000</v>
      </c>
      <c r="L9" s="107">
        <v>1100</v>
      </c>
      <c r="M9" s="107">
        <v>1200</v>
      </c>
      <c r="Q9" s="281">
        <v>6</v>
      </c>
    </row>
    <row r="10" spans="1:19" x14ac:dyDescent="0.2">
      <c r="A10" s="282">
        <v>20</v>
      </c>
      <c r="B10" s="107">
        <v>200</v>
      </c>
      <c r="C10" s="107">
        <v>400</v>
      </c>
      <c r="D10" s="107">
        <v>600</v>
      </c>
      <c r="E10" s="107">
        <v>800</v>
      </c>
      <c r="F10" s="107">
        <v>1000</v>
      </c>
      <c r="G10" s="107">
        <v>1200</v>
      </c>
      <c r="H10" s="107">
        <v>1400</v>
      </c>
      <c r="I10" s="107">
        <v>1600</v>
      </c>
      <c r="J10" s="107">
        <v>1800</v>
      </c>
      <c r="K10" s="107">
        <v>2000</v>
      </c>
      <c r="L10" s="107">
        <v>2200</v>
      </c>
      <c r="M10" s="107">
        <v>2400</v>
      </c>
      <c r="Q10" s="105"/>
      <c r="R10" s="105"/>
    </row>
    <row r="11" spans="1:19" x14ac:dyDescent="0.2">
      <c r="A11" s="282">
        <v>30</v>
      </c>
      <c r="B11" s="107">
        <v>300</v>
      </c>
      <c r="C11" s="107">
        <v>600</v>
      </c>
      <c r="D11" s="107">
        <v>900</v>
      </c>
      <c r="E11" s="107">
        <v>1200</v>
      </c>
      <c r="F11" s="107">
        <v>1500</v>
      </c>
      <c r="G11" s="107">
        <v>1800</v>
      </c>
      <c r="H11" s="107">
        <v>2100</v>
      </c>
      <c r="I11" s="107">
        <v>2400</v>
      </c>
      <c r="J11" s="107">
        <v>2700</v>
      </c>
      <c r="K11" s="107">
        <v>3000</v>
      </c>
      <c r="L11" s="107">
        <v>3300</v>
      </c>
      <c r="M11" s="107">
        <v>3600</v>
      </c>
      <c r="Q11" s="109" t="s">
        <v>273</v>
      </c>
      <c r="R11" s="108" cm="1">
        <f t="array" ref="R11" xml:space="preserve"> INDEX( $A$9:$A$20, $Q$9 )</f>
        <v>60</v>
      </c>
    </row>
    <row r="12" spans="1:19" x14ac:dyDescent="0.2">
      <c r="A12" s="282">
        <v>40</v>
      </c>
      <c r="B12" s="107">
        <v>400</v>
      </c>
      <c r="C12" s="107">
        <v>800</v>
      </c>
      <c r="D12" s="107">
        <v>1200</v>
      </c>
      <c r="E12" s="107">
        <v>1600</v>
      </c>
      <c r="F12" s="107">
        <v>2000</v>
      </c>
      <c r="G12" s="107">
        <v>2400</v>
      </c>
      <c r="H12" s="107">
        <v>2800</v>
      </c>
      <c r="I12" s="107">
        <v>3200</v>
      </c>
      <c r="J12" s="107">
        <v>3600</v>
      </c>
      <c r="K12" s="107">
        <v>4000</v>
      </c>
      <c r="L12" s="107">
        <v>4400</v>
      </c>
      <c r="M12" s="107">
        <v>4800</v>
      </c>
      <c r="P12" s="91"/>
      <c r="Q12" s="105"/>
    </row>
    <row r="13" spans="1:19" x14ac:dyDescent="0.2">
      <c r="A13" s="282">
        <v>50</v>
      </c>
      <c r="B13" s="107">
        <v>500</v>
      </c>
      <c r="C13" s="107">
        <v>1000</v>
      </c>
      <c r="D13" s="107">
        <v>1500</v>
      </c>
      <c r="E13" s="107">
        <v>2000</v>
      </c>
      <c r="F13" s="107">
        <v>2500</v>
      </c>
      <c r="G13" s="107">
        <v>3000</v>
      </c>
      <c r="H13" s="107">
        <v>3500</v>
      </c>
      <c r="I13" s="107">
        <v>4000</v>
      </c>
      <c r="J13" s="107">
        <v>4500</v>
      </c>
      <c r="K13" s="107">
        <v>5000</v>
      </c>
      <c r="L13" s="107">
        <v>5500</v>
      </c>
      <c r="M13" s="107">
        <v>6000</v>
      </c>
      <c r="P13" s="91"/>
      <c r="R13" s="113" t="s">
        <v>272</v>
      </c>
    </row>
    <row r="14" spans="1:19" x14ac:dyDescent="0.2">
      <c r="A14" s="282">
        <v>60</v>
      </c>
      <c r="B14" s="107">
        <v>600</v>
      </c>
      <c r="C14" s="107">
        <v>1200</v>
      </c>
      <c r="D14" s="107">
        <v>1800</v>
      </c>
      <c r="E14" s="107">
        <v>2400</v>
      </c>
      <c r="F14" s="107">
        <v>3000</v>
      </c>
      <c r="G14" s="107">
        <v>3600</v>
      </c>
      <c r="H14" s="107">
        <v>4200</v>
      </c>
      <c r="I14" s="107">
        <v>4800</v>
      </c>
      <c r="J14" s="107">
        <v>5400</v>
      </c>
      <c r="K14" s="107">
        <v>6000</v>
      </c>
      <c r="L14" s="107">
        <v>6600</v>
      </c>
      <c r="M14" s="107">
        <v>7200</v>
      </c>
      <c r="R14" s="281">
        <v>9</v>
      </c>
    </row>
    <row r="15" spans="1:19" x14ac:dyDescent="0.2">
      <c r="A15" s="282">
        <v>70</v>
      </c>
      <c r="B15" s="107">
        <v>700</v>
      </c>
      <c r="C15" s="107">
        <v>1400</v>
      </c>
      <c r="D15" s="107">
        <v>2100</v>
      </c>
      <c r="E15" s="107">
        <v>2800</v>
      </c>
      <c r="F15" s="107">
        <v>3500</v>
      </c>
      <c r="G15" s="107">
        <v>4200</v>
      </c>
      <c r="H15" s="107">
        <v>4900</v>
      </c>
      <c r="I15" s="107">
        <v>5600</v>
      </c>
      <c r="J15" s="107">
        <v>6300</v>
      </c>
      <c r="K15" s="107">
        <v>7000</v>
      </c>
      <c r="L15" s="107">
        <v>7700</v>
      </c>
      <c r="M15" s="107">
        <v>8400</v>
      </c>
      <c r="Q15" s="105"/>
      <c r="R15" s="105"/>
    </row>
    <row r="16" spans="1:19" x14ac:dyDescent="0.2">
      <c r="A16" s="282">
        <v>80</v>
      </c>
      <c r="B16" s="107">
        <v>800</v>
      </c>
      <c r="C16" s="107">
        <v>1600</v>
      </c>
      <c r="D16" s="107">
        <v>2400</v>
      </c>
      <c r="E16" s="107">
        <v>3200</v>
      </c>
      <c r="F16" s="107">
        <v>4000</v>
      </c>
      <c r="G16" s="107">
        <v>4800</v>
      </c>
      <c r="H16" s="107">
        <v>5600</v>
      </c>
      <c r="I16" s="107">
        <v>6400</v>
      </c>
      <c r="J16" s="107">
        <v>7200</v>
      </c>
      <c r="K16" s="107">
        <v>8000</v>
      </c>
      <c r="L16" s="107">
        <v>8800</v>
      </c>
      <c r="M16" s="107">
        <v>9600</v>
      </c>
      <c r="Q16" s="109" t="s">
        <v>274</v>
      </c>
      <c r="R16" s="108" cm="1">
        <f t="array" ref="R16" xml:space="preserve"> INDEX( $B$8:$M$8, , $R$14 )</f>
        <v>90</v>
      </c>
      <c r="S16" s="108" cm="1">
        <f t="array" ref="S16" xml:space="preserve"> INDEX( $B$8:$M$8, $R$14 )</f>
        <v>90</v>
      </c>
    </row>
    <row r="17" spans="1:18" x14ac:dyDescent="0.2">
      <c r="A17" s="282">
        <v>90</v>
      </c>
      <c r="B17" s="107">
        <v>900</v>
      </c>
      <c r="C17" s="107">
        <v>1800</v>
      </c>
      <c r="D17" s="107">
        <v>2700</v>
      </c>
      <c r="E17" s="107">
        <v>3600</v>
      </c>
      <c r="F17" s="107">
        <v>4500</v>
      </c>
      <c r="G17" s="107">
        <v>5400</v>
      </c>
      <c r="H17" s="107">
        <v>6300</v>
      </c>
      <c r="I17" s="107">
        <v>7200</v>
      </c>
      <c r="J17" s="107">
        <v>8100</v>
      </c>
      <c r="K17" s="107">
        <v>9000</v>
      </c>
      <c r="L17" s="107">
        <v>9900</v>
      </c>
      <c r="M17" s="107">
        <v>10800</v>
      </c>
    </row>
    <row r="18" spans="1:18" x14ac:dyDescent="0.2">
      <c r="A18" s="282">
        <v>100</v>
      </c>
      <c r="B18" s="107">
        <v>1000</v>
      </c>
      <c r="C18" s="107">
        <v>2000</v>
      </c>
      <c r="D18" s="107">
        <v>3000</v>
      </c>
      <c r="E18" s="107">
        <v>4000</v>
      </c>
      <c r="F18" s="107">
        <v>5000</v>
      </c>
      <c r="G18" s="107">
        <v>6000</v>
      </c>
      <c r="H18" s="107">
        <v>7000</v>
      </c>
      <c r="I18" s="107">
        <v>8000</v>
      </c>
      <c r="J18" s="107">
        <v>9000</v>
      </c>
      <c r="K18" s="107">
        <v>10000</v>
      </c>
      <c r="L18" s="107">
        <v>11000</v>
      </c>
      <c r="M18" s="107">
        <v>12000</v>
      </c>
      <c r="Q18" s="106" t="s">
        <v>271</v>
      </c>
      <c r="R18" s="113" t="s">
        <v>272</v>
      </c>
    </row>
    <row r="19" spans="1:18" x14ac:dyDescent="0.2">
      <c r="A19" s="282">
        <v>110</v>
      </c>
      <c r="B19" s="107">
        <v>1100</v>
      </c>
      <c r="C19" s="107">
        <v>2200</v>
      </c>
      <c r="D19" s="107">
        <v>3300</v>
      </c>
      <c r="E19" s="107">
        <v>4400</v>
      </c>
      <c r="F19" s="107">
        <v>5500</v>
      </c>
      <c r="G19" s="107">
        <v>6600</v>
      </c>
      <c r="H19" s="107">
        <v>7700</v>
      </c>
      <c r="I19" s="107">
        <v>8800</v>
      </c>
      <c r="J19" s="107">
        <v>9900</v>
      </c>
      <c r="K19" s="107">
        <v>11000</v>
      </c>
      <c r="L19" s="107">
        <v>12100</v>
      </c>
      <c r="M19" s="107">
        <v>13200</v>
      </c>
      <c r="Q19" s="281">
        <v>6</v>
      </c>
      <c r="R19" s="281">
        <v>9</v>
      </c>
    </row>
    <row r="20" spans="1:18" x14ac:dyDescent="0.2">
      <c r="A20" s="282">
        <v>120</v>
      </c>
      <c r="B20" s="107">
        <v>1200</v>
      </c>
      <c r="C20" s="107">
        <v>2400</v>
      </c>
      <c r="D20" s="107">
        <v>3600</v>
      </c>
      <c r="E20" s="107">
        <v>4800</v>
      </c>
      <c r="F20" s="107">
        <v>6000</v>
      </c>
      <c r="G20" s="107">
        <v>7200</v>
      </c>
      <c r="H20" s="107">
        <v>8400</v>
      </c>
      <c r="I20" s="107">
        <v>9600</v>
      </c>
      <c r="J20" s="107">
        <v>10800</v>
      </c>
      <c r="K20" s="107">
        <v>12000</v>
      </c>
      <c r="L20" s="107">
        <v>13200</v>
      </c>
      <c r="M20" s="107">
        <v>14400</v>
      </c>
      <c r="Q20" s="105"/>
      <c r="R20" s="105"/>
    </row>
    <row r="21" spans="1:18" x14ac:dyDescent="0.2">
      <c r="A21" s="284"/>
      <c r="Q21" s="109" t="s">
        <v>275</v>
      </c>
      <c r="R21" s="108" cm="1">
        <f t="array" ref="R21" xml:space="preserve"> INDEX( $B$9:$M$20, $Q$19, $R$19 )</f>
        <v>5400</v>
      </c>
    </row>
    <row r="22" spans="1:18" x14ac:dyDescent="0.2">
      <c r="A22" s="284"/>
    </row>
    <row r="23" spans="1:18" x14ac:dyDescent="0.2">
      <c r="A23" s="284"/>
      <c r="B23" t="s">
        <v>287</v>
      </c>
    </row>
    <row r="24" spans="1:18" x14ac:dyDescent="0.2">
      <c r="A24" s="284"/>
      <c r="B24" s="31" t="s">
        <v>281</v>
      </c>
      <c r="C24" s="95"/>
      <c r="D24" s="95"/>
      <c r="E24" s="95"/>
      <c r="F24" s="95"/>
      <c r="G24" s="114"/>
      <c r="H24" s="115"/>
      <c r="I24" s="95"/>
      <c r="J24" s="95"/>
      <c r="K24" s="95"/>
      <c r="L24" s="95"/>
      <c r="M24" s="87"/>
      <c r="O24" s="31" t="s">
        <v>280</v>
      </c>
    </row>
    <row r="25" spans="1:18" x14ac:dyDescent="0.2">
      <c r="A25" s="285"/>
      <c r="B25" s="282">
        <v>10</v>
      </c>
      <c r="C25" s="282">
        <v>20</v>
      </c>
      <c r="D25" s="282">
        <v>30</v>
      </c>
      <c r="E25" s="282">
        <v>40</v>
      </c>
      <c r="F25" s="282">
        <v>50</v>
      </c>
      <c r="G25" s="283">
        <v>60</v>
      </c>
      <c r="H25" s="283">
        <v>70</v>
      </c>
      <c r="I25" s="282">
        <v>80</v>
      </c>
      <c r="J25" s="282">
        <v>90</v>
      </c>
      <c r="K25" s="282">
        <v>100</v>
      </c>
      <c r="L25" s="282">
        <v>110</v>
      </c>
      <c r="M25" s="282">
        <v>120</v>
      </c>
      <c r="Q25" s="106" t="s">
        <v>270</v>
      </c>
    </row>
    <row r="26" spans="1:18" x14ac:dyDescent="0.2">
      <c r="A26" s="282">
        <v>10</v>
      </c>
      <c r="B26" s="107">
        <v>100</v>
      </c>
      <c r="C26" s="107">
        <v>200</v>
      </c>
      <c r="D26" s="107">
        <v>300</v>
      </c>
      <c r="E26" s="107">
        <v>400</v>
      </c>
      <c r="F26" s="107">
        <v>500</v>
      </c>
      <c r="G26" s="116">
        <v>600</v>
      </c>
      <c r="H26" s="116">
        <v>700</v>
      </c>
      <c r="I26" s="107">
        <v>800</v>
      </c>
      <c r="J26" s="107">
        <v>900</v>
      </c>
      <c r="K26" s="107">
        <v>1000</v>
      </c>
      <c r="L26" s="107">
        <v>1100</v>
      </c>
      <c r="M26" s="107">
        <v>1200</v>
      </c>
      <c r="N26" s="107"/>
      <c r="Q26" s="96">
        <v>60</v>
      </c>
    </row>
    <row r="27" spans="1:18" x14ac:dyDescent="0.2">
      <c r="A27" s="282">
        <v>20</v>
      </c>
      <c r="B27" s="107">
        <v>200</v>
      </c>
      <c r="C27" s="107">
        <v>400</v>
      </c>
      <c r="D27" s="107">
        <v>600</v>
      </c>
      <c r="E27" s="107">
        <v>800</v>
      </c>
      <c r="F27" s="107">
        <v>1000</v>
      </c>
      <c r="G27" s="116">
        <v>1200</v>
      </c>
      <c r="H27" s="116">
        <v>1400</v>
      </c>
      <c r="I27" s="107">
        <v>1600</v>
      </c>
      <c r="J27" s="107">
        <v>1800</v>
      </c>
      <c r="K27" s="107">
        <v>2000</v>
      </c>
      <c r="L27" s="107">
        <v>2200</v>
      </c>
      <c r="M27" s="107">
        <v>2400</v>
      </c>
      <c r="N27" s="107"/>
      <c r="Q27" s="286"/>
      <c r="R27" s="105"/>
    </row>
    <row r="28" spans="1:18" x14ac:dyDescent="0.2">
      <c r="A28" s="282">
        <v>30</v>
      </c>
      <c r="B28" s="107">
        <v>300</v>
      </c>
      <c r="C28" s="107">
        <v>600</v>
      </c>
      <c r="D28" s="107">
        <v>900</v>
      </c>
      <c r="E28" s="107">
        <v>1200</v>
      </c>
      <c r="F28" s="107">
        <v>1500</v>
      </c>
      <c r="G28" s="116">
        <v>1800</v>
      </c>
      <c r="H28" s="116">
        <v>2100</v>
      </c>
      <c r="I28" s="107">
        <v>2400</v>
      </c>
      <c r="J28" s="107">
        <v>2700</v>
      </c>
      <c r="K28" s="107">
        <v>3000</v>
      </c>
      <c r="L28" s="107">
        <v>3300</v>
      </c>
      <c r="M28" s="107">
        <v>3600</v>
      </c>
      <c r="N28" s="107"/>
      <c r="Q28" s="109" t="s">
        <v>277</v>
      </c>
      <c r="R28" s="108">
        <f xml:space="preserve"> MATCH( $Q$26, $A$26:$A$37, 0 )</f>
        <v>6</v>
      </c>
    </row>
    <row r="29" spans="1:18" x14ac:dyDescent="0.2">
      <c r="A29" s="282">
        <v>40</v>
      </c>
      <c r="B29" s="107">
        <v>400</v>
      </c>
      <c r="C29" s="107">
        <v>800</v>
      </c>
      <c r="D29" s="107">
        <v>1200</v>
      </c>
      <c r="E29" s="107">
        <v>1600</v>
      </c>
      <c r="F29" s="107">
        <v>2000</v>
      </c>
      <c r="G29" s="116">
        <v>2400</v>
      </c>
      <c r="H29" s="116">
        <v>2800</v>
      </c>
      <c r="I29" s="107">
        <v>3200</v>
      </c>
      <c r="J29" s="107">
        <v>3600</v>
      </c>
      <c r="K29" s="107">
        <v>4000</v>
      </c>
      <c r="L29" s="107">
        <v>4400</v>
      </c>
      <c r="M29" s="107">
        <v>4800</v>
      </c>
      <c r="N29" s="107"/>
    </row>
    <row r="30" spans="1:18" x14ac:dyDescent="0.2">
      <c r="A30" s="282">
        <v>50</v>
      </c>
      <c r="B30" s="107">
        <v>500</v>
      </c>
      <c r="C30" s="107">
        <v>1000</v>
      </c>
      <c r="D30" s="107">
        <v>1500</v>
      </c>
      <c r="E30" s="107">
        <v>2000</v>
      </c>
      <c r="F30" s="107">
        <v>2500</v>
      </c>
      <c r="G30" s="116">
        <v>3000</v>
      </c>
      <c r="H30" s="116">
        <v>3500</v>
      </c>
      <c r="I30" s="107">
        <v>4000</v>
      </c>
      <c r="J30" s="107">
        <v>4500</v>
      </c>
      <c r="K30" s="107">
        <v>5000</v>
      </c>
      <c r="L30" s="107">
        <v>5500</v>
      </c>
      <c r="M30" s="107">
        <v>6000</v>
      </c>
      <c r="N30" s="107"/>
      <c r="R30" s="106" t="s">
        <v>269</v>
      </c>
    </row>
    <row r="31" spans="1:18" x14ac:dyDescent="0.2">
      <c r="A31" s="282">
        <v>60</v>
      </c>
      <c r="B31" s="107">
        <v>600</v>
      </c>
      <c r="C31" s="107">
        <v>1200</v>
      </c>
      <c r="D31" s="107">
        <v>1800</v>
      </c>
      <c r="E31" s="107">
        <v>2400</v>
      </c>
      <c r="F31" s="107">
        <v>3000</v>
      </c>
      <c r="G31" s="116">
        <v>3600</v>
      </c>
      <c r="H31" s="116">
        <v>4200</v>
      </c>
      <c r="I31" s="107">
        <v>4800</v>
      </c>
      <c r="J31" s="107">
        <v>5400</v>
      </c>
      <c r="K31" s="107">
        <v>6000</v>
      </c>
      <c r="L31" s="107">
        <v>6600</v>
      </c>
      <c r="M31" s="107">
        <v>7200</v>
      </c>
      <c r="N31" s="107"/>
      <c r="R31" s="281">
        <v>90</v>
      </c>
    </row>
    <row r="32" spans="1:18" x14ac:dyDescent="0.2">
      <c r="A32" s="282">
        <v>70</v>
      </c>
      <c r="B32" s="107">
        <v>700</v>
      </c>
      <c r="C32" s="107">
        <v>1400</v>
      </c>
      <c r="D32" s="107">
        <v>2100</v>
      </c>
      <c r="E32" s="107">
        <v>2800</v>
      </c>
      <c r="F32" s="107">
        <v>3500</v>
      </c>
      <c r="G32" s="116">
        <v>4200</v>
      </c>
      <c r="H32" s="116">
        <v>4900</v>
      </c>
      <c r="I32" s="107">
        <v>5600</v>
      </c>
      <c r="J32" s="107">
        <v>6300</v>
      </c>
      <c r="K32" s="107">
        <v>7000</v>
      </c>
      <c r="L32" s="107">
        <v>7700</v>
      </c>
      <c r="M32" s="107">
        <v>8400</v>
      </c>
      <c r="N32" s="107"/>
      <c r="Q32" s="105"/>
      <c r="R32" s="105"/>
    </row>
    <row r="33" spans="1:31" x14ac:dyDescent="0.2">
      <c r="A33" s="282">
        <v>80</v>
      </c>
      <c r="B33" s="107">
        <v>800</v>
      </c>
      <c r="C33" s="107">
        <v>1600</v>
      </c>
      <c r="D33" s="107">
        <v>2400</v>
      </c>
      <c r="E33" s="107">
        <v>3200</v>
      </c>
      <c r="F33" s="107">
        <v>4000</v>
      </c>
      <c r="G33" s="116">
        <v>4800</v>
      </c>
      <c r="H33" s="116">
        <v>5600</v>
      </c>
      <c r="I33" s="107">
        <v>6400</v>
      </c>
      <c r="J33" s="107">
        <v>7200</v>
      </c>
      <c r="K33" s="107">
        <v>8000</v>
      </c>
      <c r="L33" s="107">
        <v>8800</v>
      </c>
      <c r="M33" s="107">
        <v>9600</v>
      </c>
      <c r="N33" s="107"/>
      <c r="Q33" s="109" t="s">
        <v>278</v>
      </c>
      <c r="R33" s="108">
        <f xml:space="preserve"> MATCH( $R$31, $B$25:$M$25, 0 )</f>
        <v>9</v>
      </c>
    </row>
    <row r="34" spans="1:31" x14ac:dyDescent="0.2">
      <c r="A34" s="282">
        <v>90</v>
      </c>
      <c r="B34" s="107">
        <v>900</v>
      </c>
      <c r="C34" s="107">
        <v>1800</v>
      </c>
      <c r="D34" s="107">
        <v>2700</v>
      </c>
      <c r="E34" s="107">
        <v>3600</v>
      </c>
      <c r="F34" s="107">
        <v>4500</v>
      </c>
      <c r="G34" s="116">
        <v>5400</v>
      </c>
      <c r="H34" s="116">
        <v>6300</v>
      </c>
      <c r="I34" s="107">
        <v>7200</v>
      </c>
      <c r="J34" s="107">
        <v>8100</v>
      </c>
      <c r="K34" s="107">
        <v>9000</v>
      </c>
      <c r="L34" s="107">
        <v>9900</v>
      </c>
      <c r="M34" s="107">
        <v>10800</v>
      </c>
      <c r="N34" s="107"/>
    </row>
    <row r="35" spans="1:31" x14ac:dyDescent="0.2">
      <c r="A35" s="282">
        <v>100</v>
      </c>
      <c r="B35" s="107">
        <v>1000</v>
      </c>
      <c r="C35" s="107">
        <v>2000</v>
      </c>
      <c r="D35" s="107">
        <v>3000</v>
      </c>
      <c r="E35" s="107">
        <v>4000</v>
      </c>
      <c r="F35" s="107">
        <v>5000</v>
      </c>
      <c r="G35" s="116">
        <v>6000</v>
      </c>
      <c r="H35" s="116">
        <v>7000</v>
      </c>
      <c r="I35" s="107">
        <v>8000</v>
      </c>
      <c r="J35" s="107">
        <v>9000</v>
      </c>
      <c r="K35" s="107">
        <v>10000</v>
      </c>
      <c r="L35" s="107">
        <v>11000</v>
      </c>
      <c r="M35" s="107">
        <v>12000</v>
      </c>
      <c r="N35" s="107"/>
      <c r="Q35" s="106" t="s">
        <v>270</v>
      </c>
      <c r="R35" s="106" t="s">
        <v>269</v>
      </c>
    </row>
    <row r="36" spans="1:31" x14ac:dyDescent="0.2">
      <c r="A36" s="282">
        <v>110</v>
      </c>
      <c r="B36" s="107">
        <v>1100</v>
      </c>
      <c r="C36" s="107">
        <v>2200</v>
      </c>
      <c r="D36" s="107">
        <v>3300</v>
      </c>
      <c r="E36" s="107">
        <v>4400</v>
      </c>
      <c r="F36" s="107">
        <v>5500</v>
      </c>
      <c r="G36" s="116">
        <v>6600</v>
      </c>
      <c r="H36" s="116">
        <v>7700</v>
      </c>
      <c r="I36" s="107">
        <v>8800</v>
      </c>
      <c r="J36" s="107">
        <v>9900</v>
      </c>
      <c r="K36" s="107">
        <v>11000</v>
      </c>
      <c r="L36" s="107">
        <v>12100</v>
      </c>
      <c r="M36" s="107">
        <v>13200</v>
      </c>
      <c r="N36" s="107"/>
      <c r="Q36" s="281">
        <v>60</v>
      </c>
      <c r="R36" s="281">
        <v>90</v>
      </c>
    </row>
    <row r="37" spans="1:31" x14ac:dyDescent="0.2">
      <c r="A37" s="282">
        <v>120</v>
      </c>
      <c r="B37" s="107">
        <v>1200</v>
      </c>
      <c r="C37" s="107">
        <v>2400</v>
      </c>
      <c r="D37" s="107">
        <v>3600</v>
      </c>
      <c r="E37" s="107">
        <v>4800</v>
      </c>
      <c r="F37" s="107">
        <v>6000</v>
      </c>
      <c r="G37" s="116">
        <v>7200</v>
      </c>
      <c r="H37" s="116">
        <v>8400</v>
      </c>
      <c r="I37" s="107">
        <v>9600</v>
      </c>
      <c r="J37" s="107">
        <v>10800</v>
      </c>
      <c r="K37" s="107">
        <v>12000</v>
      </c>
      <c r="L37" s="107">
        <v>13200</v>
      </c>
      <c r="M37" s="107">
        <v>14400</v>
      </c>
      <c r="N37" s="107"/>
      <c r="Q37" s="105"/>
      <c r="R37" s="105"/>
      <c r="T37" s="273" t="s">
        <v>414</v>
      </c>
    </row>
    <row r="38" spans="1:31" x14ac:dyDescent="0.2">
      <c r="Q38" s="109" t="s">
        <v>415</v>
      </c>
      <c r="R38" s="108" cm="1">
        <f t="array" ref="R38:R49" xml:space="preserve"> INDEX( $B$26:$M$37, , MATCH( $R$36, $B$25:$M$25, 0 ) )</f>
        <v>900</v>
      </c>
      <c r="T38" s="108" cm="1">
        <f t="array" ref="T38:AE38" xml:space="preserve"> INDEX( $B$26:$M$37, MATCH( $Q$36, $A$26:$A$37, 0 ),  )</f>
        <v>600</v>
      </c>
      <c r="U38" s="108">
        <v>1200</v>
      </c>
      <c r="V38" s="108">
        <v>1800</v>
      </c>
      <c r="W38" s="108">
        <v>2400</v>
      </c>
      <c r="X38" s="108">
        <v>3000</v>
      </c>
      <c r="Y38" s="108">
        <v>3600</v>
      </c>
      <c r="Z38" s="108">
        <v>4200</v>
      </c>
      <c r="AA38" s="108">
        <v>4800</v>
      </c>
      <c r="AB38" s="108">
        <v>5400</v>
      </c>
      <c r="AC38" s="108">
        <v>6000</v>
      </c>
      <c r="AD38" s="108">
        <v>6600</v>
      </c>
      <c r="AE38" s="108">
        <v>7200</v>
      </c>
    </row>
    <row r="39" spans="1:31" x14ac:dyDescent="0.2">
      <c r="R39" s="108">
        <v>1800</v>
      </c>
    </row>
    <row r="40" spans="1:31" x14ac:dyDescent="0.2">
      <c r="R40" s="108">
        <v>2700</v>
      </c>
    </row>
    <row r="41" spans="1:31" x14ac:dyDescent="0.2">
      <c r="R41" s="108">
        <v>3600</v>
      </c>
    </row>
    <row r="42" spans="1:31" x14ac:dyDescent="0.2">
      <c r="R42" s="108">
        <v>4500</v>
      </c>
    </row>
    <row r="43" spans="1:31" x14ac:dyDescent="0.2">
      <c r="R43" s="108">
        <v>5400</v>
      </c>
    </row>
    <row r="44" spans="1:31" x14ac:dyDescent="0.2">
      <c r="R44" s="108">
        <v>6300</v>
      </c>
    </row>
    <row r="45" spans="1:31" x14ac:dyDescent="0.2">
      <c r="R45" s="108">
        <v>7200</v>
      </c>
    </row>
    <row r="46" spans="1:31" x14ac:dyDescent="0.2">
      <c r="R46" s="108">
        <v>8100</v>
      </c>
    </row>
    <row r="47" spans="1:31" x14ac:dyDescent="0.2">
      <c r="R47" s="108">
        <v>9000</v>
      </c>
    </row>
    <row r="48" spans="1:31" x14ac:dyDescent="0.2">
      <c r="R48" s="108">
        <v>9900</v>
      </c>
    </row>
    <row r="49" spans="18:18" x14ac:dyDescent="0.2">
      <c r="R49" s="108">
        <v>10800</v>
      </c>
    </row>
  </sheetData>
  <conditionalFormatting sqref="A9:A20">
    <cfRule type="expression" dxfId="129" priority="1">
      <formula>$Q$19=ROWS($A$9:$A9)</formula>
    </cfRule>
  </conditionalFormatting>
  <conditionalFormatting sqref="B8:M8">
    <cfRule type="expression" dxfId="128" priority="2">
      <formula>$R$19=COLUMNS($B$8:B$8)</formula>
    </cfRule>
  </conditionalFormatting>
  <conditionalFormatting sqref="B9:M20">
    <cfRule type="expression" dxfId="127" priority="3">
      <formula>AND($R$19=COLUMNS($B$8:B$8),$Q$19=ROWS($A$9:$A9))</formula>
    </cfRule>
  </conditionalFormatting>
  <conditionalFormatting sqref="B25:M25">
    <cfRule type="expression" dxfId="126" priority="4">
      <formula>B$25=$R$36</formula>
    </cfRule>
  </conditionalFormatting>
  <conditionalFormatting sqref="A26:A37">
    <cfRule type="expression" dxfId="125" priority="5">
      <formula>$A26=$Q$36</formula>
    </cfRule>
  </conditionalFormatting>
  <conditionalFormatting sqref="B26:N37">
    <cfRule type="expression" dxfId="124" priority="6">
      <formula>AND(B$25=$R$36,$A26=$Q$36)</formula>
    </cfRule>
  </conditionalFormatting>
  <pageMargins left="0.7" right="0.7" top="0.75" bottom="0.75" header="0.3" footer="0.3"/>
  <pageSetup orientation="portrait" r:id="rId1"/>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0">
    <pageSetUpPr autoPageBreaks="0"/>
  </sheetPr>
  <dimension ref="A1:N26"/>
  <sheetViews>
    <sheetView zoomScale="145" zoomScaleNormal="145" workbookViewId="0">
      <selection activeCell="F18" sqref="F18"/>
    </sheetView>
  </sheetViews>
  <sheetFormatPr defaultRowHeight="12.75" x14ac:dyDescent="0.2"/>
  <cols>
    <col min="1" max="2" width="8.7109375" customWidth="1"/>
    <col min="4" max="4" width="9" customWidth="1"/>
    <col min="6" max="6" width="11.85546875" bestFit="1" customWidth="1"/>
    <col min="7" max="7" width="8.7109375" customWidth="1"/>
    <col min="8" max="8" width="10" customWidth="1"/>
    <col min="9" max="9" width="9.5703125" customWidth="1"/>
    <col min="10" max="10" width="9.28515625" bestFit="1" customWidth="1"/>
    <col min="11" max="11" width="10.28515625" bestFit="1" customWidth="1"/>
  </cols>
  <sheetData>
    <row r="1" spans="1:14" s="310" customFormat="1" ht="18" x14ac:dyDescent="0.25">
      <c r="A1" s="309" t="s">
        <v>198</v>
      </c>
      <c r="B1" s="309"/>
      <c r="C1" s="309"/>
      <c r="D1" s="309"/>
      <c r="E1" s="309"/>
      <c r="F1" s="309"/>
      <c r="G1" s="309"/>
      <c r="H1" s="309"/>
      <c r="I1" s="309"/>
      <c r="J1" s="309"/>
      <c r="K1" s="309"/>
    </row>
    <row r="2" spans="1:14" s="298" customFormat="1" hidden="1" x14ac:dyDescent="0.2">
      <c r="A2" s="299"/>
      <c r="B2" s="299"/>
      <c r="C2" s="301"/>
      <c r="D2" s="299"/>
      <c r="E2" s="301"/>
      <c r="F2" s="299"/>
      <c r="G2" s="301"/>
      <c r="H2" s="299"/>
      <c r="I2" s="299"/>
      <c r="J2" s="299"/>
      <c r="K2" s="299"/>
    </row>
    <row r="3" spans="1:14" s="273" customFormat="1" x14ac:dyDescent="0.2">
      <c r="A3" s="274" t="str">
        <f>IF(A2="","",IF(Disable_Video_Hyperlinks,A2,HYPERLINK(Video_website&amp;A2,A2)))</f>
        <v/>
      </c>
      <c r="B3" s="277"/>
      <c r="C3" s="311"/>
      <c r="D3" s="277"/>
      <c r="E3" s="311"/>
      <c r="F3" s="277"/>
      <c r="G3" s="311"/>
      <c r="H3" s="277"/>
      <c r="I3" s="277"/>
      <c r="J3" s="277"/>
      <c r="K3" s="277"/>
    </row>
    <row r="4" spans="1:14" s="91" customFormat="1" x14ac:dyDescent="0.2">
      <c r="A4" s="305" t="str">
        <f>IF(B2="","",B2)</f>
        <v/>
      </c>
      <c r="B4" s="275"/>
      <c r="C4" s="279"/>
      <c r="D4" s="275"/>
      <c r="E4" s="279"/>
      <c r="F4" s="275"/>
      <c r="G4" s="279"/>
      <c r="H4" s="275"/>
      <c r="I4" s="275"/>
      <c r="J4" s="275"/>
      <c r="K4" s="275"/>
    </row>
    <row r="6" spans="1:14" x14ac:dyDescent="0.2">
      <c r="A6" s="117" t="s">
        <v>0</v>
      </c>
      <c r="B6" s="118"/>
      <c r="C6" s="118"/>
      <c r="D6" s="118"/>
      <c r="E6" s="118"/>
      <c r="F6" s="118"/>
      <c r="G6" s="118"/>
      <c r="H6" s="118"/>
      <c r="I6" s="118"/>
      <c r="J6" s="118"/>
      <c r="K6" s="118"/>
      <c r="L6" s="179"/>
    </row>
    <row r="7" spans="1:14" ht="21" customHeight="1" x14ac:dyDescent="0.2">
      <c r="A7" s="117" t="s">
        <v>1</v>
      </c>
      <c r="B7" s="118"/>
      <c r="C7" s="118"/>
      <c r="D7" s="118"/>
      <c r="E7" s="118"/>
      <c r="F7" s="118"/>
      <c r="G7" s="118"/>
      <c r="H7" s="118"/>
      <c r="I7" s="118"/>
      <c r="J7" s="118"/>
      <c r="K7" s="118"/>
      <c r="L7" s="179"/>
    </row>
    <row r="8" spans="1:14" x14ac:dyDescent="0.2"/>
    <row r="9" spans="1:14" ht="12.75" customHeight="1" x14ac:dyDescent="0.2">
      <c r="A9" s="210" t="s">
        <v>2</v>
      </c>
      <c r="B9" s="171"/>
      <c r="C9" s="171"/>
      <c r="D9" s="7"/>
      <c r="E9" s="210" t="s">
        <v>3</v>
      </c>
      <c r="F9" s="160"/>
      <c r="G9" s="7"/>
      <c r="H9" s="7"/>
      <c r="I9" s="7"/>
      <c r="J9" s="7"/>
      <c r="K9" s="7"/>
      <c r="L9" s="7"/>
      <c r="M9" s="7"/>
      <c r="N9" s="7"/>
    </row>
    <row r="10" spans="1:14" ht="38.25" x14ac:dyDescent="0.2">
      <c r="A10" s="214" t="s">
        <v>241</v>
      </c>
      <c r="B10" s="114"/>
      <c r="C10" s="198" t="s">
        <v>81</v>
      </c>
      <c r="D10" s="199"/>
      <c r="E10" s="198" t="s">
        <v>237</v>
      </c>
      <c r="F10" s="198" t="s">
        <v>238</v>
      </c>
      <c r="G10" s="7"/>
      <c r="H10" s="197" t="s">
        <v>323</v>
      </c>
      <c r="I10" s="160"/>
      <c r="J10" s="160"/>
      <c r="K10" s="160"/>
      <c r="L10" s="160"/>
      <c r="M10" s="7"/>
      <c r="N10" s="7"/>
    </row>
    <row r="11" spans="1:14" x14ac:dyDescent="0.2">
      <c r="A11" s="183">
        <v>0</v>
      </c>
      <c r="B11" s="292">
        <f>A12-1</f>
        <v>59</v>
      </c>
      <c r="C11" s="180">
        <v>2.4500000000000002</v>
      </c>
      <c r="D11" s="20"/>
      <c r="E11" s="183" t="s">
        <v>8</v>
      </c>
      <c r="F11" s="180">
        <v>0.25</v>
      </c>
      <c r="G11" s="20"/>
      <c r="H11" s="218" t="s">
        <v>20</v>
      </c>
      <c r="I11" s="20"/>
      <c r="J11" s="152">
        <v>0</v>
      </c>
      <c r="K11" s="152">
        <v>300</v>
      </c>
      <c r="L11" s="152">
        <v>1000</v>
      </c>
      <c r="M11" s="7"/>
      <c r="N11" s="7"/>
    </row>
    <row r="12" spans="1:14" x14ac:dyDescent="0.2">
      <c r="A12" s="183">
        <v>60</v>
      </c>
      <c r="B12" s="292">
        <f>A13-1</f>
        <v>119</v>
      </c>
      <c r="C12" s="184">
        <v>2.27</v>
      </c>
      <c r="D12" s="20"/>
      <c r="E12" s="183" t="s">
        <v>10</v>
      </c>
      <c r="F12" s="184">
        <v>0.2</v>
      </c>
      <c r="G12" s="20"/>
      <c r="H12" s="20" t="s">
        <v>11</v>
      </c>
      <c r="I12" s="20"/>
      <c r="J12" s="153">
        <v>0</v>
      </c>
      <c r="K12" s="153">
        <v>0.15</v>
      </c>
      <c r="L12" s="153">
        <v>0.25</v>
      </c>
      <c r="M12" s="7"/>
      <c r="N12" s="7"/>
    </row>
    <row r="13" spans="1:14" x14ac:dyDescent="0.2">
      <c r="A13" s="183">
        <v>120</v>
      </c>
      <c r="B13" s="292">
        <f>A14-1</f>
        <v>239</v>
      </c>
      <c r="C13" s="184">
        <v>2.12</v>
      </c>
      <c r="D13" s="20"/>
      <c r="E13" s="183" t="s">
        <v>12</v>
      </c>
      <c r="F13" s="184">
        <v>0.15</v>
      </c>
      <c r="G13" s="20"/>
      <c r="H13" s="20" t="s">
        <v>13</v>
      </c>
      <c r="I13" s="20"/>
      <c r="J13" s="153">
        <v>0</v>
      </c>
      <c r="K13" s="153">
        <v>0.1</v>
      </c>
      <c r="L13" s="153">
        <v>0.15</v>
      </c>
      <c r="M13" s="7"/>
      <c r="N13" s="7"/>
    </row>
    <row r="14" spans="1:14" x14ac:dyDescent="0.2">
      <c r="A14" s="183">
        <v>240</v>
      </c>
      <c r="B14" s="293" t="s">
        <v>218</v>
      </c>
      <c r="C14" s="184">
        <v>2</v>
      </c>
      <c r="D14" s="20"/>
      <c r="E14" s="183" t="s">
        <v>14</v>
      </c>
      <c r="F14" s="184">
        <v>0</v>
      </c>
      <c r="G14" s="7"/>
      <c r="H14" s="7"/>
      <c r="I14" s="7"/>
      <c r="J14" s="7"/>
      <c r="K14" s="7"/>
      <c r="L14" s="7"/>
      <c r="M14" s="7"/>
      <c r="N14" s="7"/>
    </row>
    <row r="15" spans="1:14" x14ac:dyDescent="0.2">
      <c r="A15" s="7"/>
      <c r="B15" s="7"/>
      <c r="C15" s="7"/>
      <c r="D15" s="7"/>
      <c r="E15" s="7"/>
      <c r="F15" s="7"/>
      <c r="G15" s="7"/>
      <c r="H15" s="7"/>
      <c r="I15" s="7"/>
      <c r="J15" s="7"/>
      <c r="K15" s="7"/>
      <c r="L15" s="7"/>
      <c r="M15" s="7"/>
      <c r="N15" s="7"/>
    </row>
    <row r="16" spans="1:14" x14ac:dyDescent="0.2">
      <c r="A16" s="7"/>
      <c r="B16" s="7"/>
      <c r="C16" s="7"/>
      <c r="D16" s="7"/>
      <c r="E16" s="7"/>
      <c r="F16" s="7"/>
      <c r="G16" s="7"/>
      <c r="H16" s="7"/>
      <c r="I16" s="7"/>
      <c r="J16" s="7"/>
      <c r="K16" s="7"/>
      <c r="L16" s="7"/>
      <c r="M16" s="7"/>
      <c r="N16" s="7"/>
    </row>
    <row r="17" spans="1:14" ht="38.25" x14ac:dyDescent="0.2">
      <c r="A17" s="156" t="s">
        <v>15</v>
      </c>
      <c r="B17" s="156" t="s">
        <v>16</v>
      </c>
      <c r="C17" s="120" t="s">
        <v>237</v>
      </c>
      <c r="D17" s="156" t="s">
        <v>18</v>
      </c>
      <c r="E17" s="120" t="s">
        <v>19</v>
      </c>
      <c r="F17" s="120" t="s">
        <v>20</v>
      </c>
      <c r="G17" s="188" t="s">
        <v>322</v>
      </c>
      <c r="H17" s="188" t="s">
        <v>288</v>
      </c>
      <c r="I17" s="120" t="s">
        <v>7</v>
      </c>
      <c r="J17" s="120" t="s">
        <v>23</v>
      </c>
      <c r="K17" s="7"/>
      <c r="L17" s="7"/>
      <c r="M17" s="7"/>
      <c r="N17" s="7"/>
    </row>
    <row r="18" spans="1:14" x14ac:dyDescent="0.2">
      <c r="A18" s="127">
        <v>1</v>
      </c>
      <c r="B18" s="128" t="s">
        <v>24</v>
      </c>
      <c r="C18" s="128" t="s">
        <v>10</v>
      </c>
      <c r="D18" s="127">
        <v>240</v>
      </c>
      <c r="E18" s="157">
        <f>VLOOKUP(D18,A$11:C$14,3,TRUE)</f>
        <v>2</v>
      </c>
      <c r="F18" s="157">
        <f t="shared" ref="F18:F23" si="0">D18*E18</f>
        <v>480</v>
      </c>
      <c r="G18" s="157">
        <f t="shared" ref="G18:G23" si="1">VLOOKUP(C18,E$11:F$14,2,FALSE)</f>
        <v>0.2</v>
      </c>
      <c r="H18" s="157">
        <f t="shared" ref="H18:H23" si="2">G18*D18</f>
        <v>48</v>
      </c>
      <c r="I18" s="157">
        <f t="shared" ref="I18:I23" si="3">-HLOOKUP(F18,J$11:L$13,3,TRUE)*H18</f>
        <v>-4.8000000000000007</v>
      </c>
      <c r="J18" s="157">
        <f t="shared" ref="J18:J23" si="4">F18+H18+I18</f>
        <v>523.20000000000005</v>
      </c>
      <c r="K18" s="7"/>
      <c r="L18" s="7"/>
      <c r="M18" s="7"/>
      <c r="N18" s="7"/>
    </row>
    <row r="19" spans="1:14" x14ac:dyDescent="0.2">
      <c r="A19" s="127">
        <v>2</v>
      </c>
      <c r="B19" s="128" t="s">
        <v>25</v>
      </c>
      <c r="C19" s="128" t="s">
        <v>10</v>
      </c>
      <c r="D19" s="127">
        <v>30</v>
      </c>
      <c r="E19" s="158">
        <f t="shared" ref="E19:E23" si="5">VLOOKUP(D19,A$11:C$14,3,TRUE)</f>
        <v>2.4500000000000002</v>
      </c>
      <c r="F19" s="158">
        <f t="shared" si="0"/>
        <v>73.5</v>
      </c>
      <c r="G19" s="158">
        <f t="shared" si="1"/>
        <v>0.2</v>
      </c>
      <c r="H19" s="158">
        <f t="shared" si="2"/>
        <v>6</v>
      </c>
      <c r="I19" s="158">
        <f t="shared" si="3"/>
        <v>0</v>
      </c>
      <c r="J19" s="158">
        <f t="shared" si="4"/>
        <v>79.5</v>
      </c>
      <c r="K19" s="7"/>
      <c r="L19" s="7"/>
      <c r="M19" s="7"/>
      <c r="N19" s="7"/>
    </row>
    <row r="20" spans="1:14" x14ac:dyDescent="0.2">
      <c r="A20" s="127">
        <v>3</v>
      </c>
      <c r="B20" s="128" t="s">
        <v>26</v>
      </c>
      <c r="C20" s="128" t="s">
        <v>12</v>
      </c>
      <c r="D20" s="127">
        <v>160</v>
      </c>
      <c r="E20" s="158">
        <f t="shared" si="5"/>
        <v>2.12</v>
      </c>
      <c r="F20" s="158">
        <f t="shared" si="0"/>
        <v>339.20000000000005</v>
      </c>
      <c r="G20" s="158">
        <f t="shared" si="1"/>
        <v>0.15</v>
      </c>
      <c r="H20" s="158">
        <f t="shared" si="2"/>
        <v>24</v>
      </c>
      <c r="I20" s="158">
        <f t="shared" si="3"/>
        <v>-2.4000000000000004</v>
      </c>
      <c r="J20" s="158">
        <f t="shared" si="4"/>
        <v>360.80000000000007</v>
      </c>
      <c r="K20" s="7"/>
      <c r="L20" s="7"/>
      <c r="M20" s="7"/>
      <c r="N20" s="7"/>
    </row>
    <row r="21" spans="1:14" x14ac:dyDescent="0.2">
      <c r="A21" s="127">
        <v>4</v>
      </c>
      <c r="B21" s="128" t="s">
        <v>27</v>
      </c>
      <c r="C21" s="128" t="s">
        <v>8</v>
      </c>
      <c r="D21" s="127">
        <v>215</v>
      </c>
      <c r="E21" s="158">
        <f t="shared" si="5"/>
        <v>2.12</v>
      </c>
      <c r="F21" s="158">
        <f t="shared" si="0"/>
        <v>455.8</v>
      </c>
      <c r="G21" s="158">
        <f t="shared" si="1"/>
        <v>0.25</v>
      </c>
      <c r="H21" s="158">
        <f t="shared" si="2"/>
        <v>53.75</v>
      </c>
      <c r="I21" s="158">
        <f t="shared" si="3"/>
        <v>-5.375</v>
      </c>
      <c r="J21" s="158">
        <f t="shared" si="4"/>
        <v>504.17500000000001</v>
      </c>
      <c r="K21" s="7"/>
      <c r="L21" s="7"/>
      <c r="M21" s="7"/>
      <c r="N21" s="7"/>
    </row>
    <row r="22" spans="1:14" x14ac:dyDescent="0.2">
      <c r="A22" s="127">
        <v>5</v>
      </c>
      <c r="B22" s="128" t="s">
        <v>28</v>
      </c>
      <c r="C22" s="128" t="s">
        <v>8</v>
      </c>
      <c r="D22" s="127">
        <v>90</v>
      </c>
      <c r="E22" s="158">
        <f t="shared" si="5"/>
        <v>2.27</v>
      </c>
      <c r="F22" s="158">
        <f t="shared" si="0"/>
        <v>204.3</v>
      </c>
      <c r="G22" s="158">
        <f t="shared" si="1"/>
        <v>0.25</v>
      </c>
      <c r="H22" s="158">
        <f t="shared" si="2"/>
        <v>22.5</v>
      </c>
      <c r="I22" s="158">
        <f t="shared" si="3"/>
        <v>0</v>
      </c>
      <c r="J22" s="158">
        <f t="shared" si="4"/>
        <v>226.8</v>
      </c>
      <c r="K22" s="7"/>
      <c r="L22" s="7"/>
      <c r="M22" s="7"/>
      <c r="N22" s="7"/>
    </row>
    <row r="23" spans="1:14" x14ac:dyDescent="0.2">
      <c r="A23" s="127">
        <v>6</v>
      </c>
      <c r="B23" s="128" t="s">
        <v>29</v>
      </c>
      <c r="C23" s="128" t="s">
        <v>14</v>
      </c>
      <c r="D23" s="127">
        <v>15</v>
      </c>
      <c r="E23" s="158">
        <f t="shared" si="5"/>
        <v>2.4500000000000002</v>
      </c>
      <c r="F23" s="158">
        <f t="shared" si="0"/>
        <v>36.75</v>
      </c>
      <c r="G23" s="158">
        <f t="shared" si="1"/>
        <v>0</v>
      </c>
      <c r="H23" s="158">
        <f t="shared" si="2"/>
        <v>0</v>
      </c>
      <c r="I23" s="158">
        <f t="shared" si="3"/>
        <v>0</v>
      </c>
      <c r="J23" s="158">
        <f t="shared" si="4"/>
        <v>36.75</v>
      </c>
      <c r="K23" s="7"/>
      <c r="L23" s="7"/>
      <c r="M23" s="7"/>
      <c r="N23" s="7"/>
    </row>
    <row r="24" spans="1:14" x14ac:dyDescent="0.2">
      <c r="A24" s="7"/>
      <c r="B24" s="7"/>
      <c r="C24" s="7"/>
      <c r="D24" s="7"/>
      <c r="E24" s="7"/>
      <c r="F24" s="7"/>
      <c r="G24" s="7"/>
      <c r="H24" s="7"/>
      <c r="I24" s="7"/>
      <c r="J24" s="7"/>
      <c r="K24" s="7"/>
      <c r="L24" s="7"/>
      <c r="M24" s="7"/>
      <c r="N24" s="7"/>
    </row>
    <row r="25" spans="1:14" x14ac:dyDescent="0.2">
      <c r="A25" s="7"/>
      <c r="B25" s="7"/>
      <c r="C25" s="7"/>
      <c r="D25" s="7"/>
      <c r="E25" s="7"/>
      <c r="F25" s="7"/>
      <c r="G25" s="7"/>
      <c r="H25" s="7"/>
      <c r="I25" s="7"/>
      <c r="J25" s="7"/>
      <c r="K25" s="7"/>
      <c r="L25" s="7"/>
      <c r="M25" s="7"/>
      <c r="N25" s="7"/>
    </row>
    <row r="26" spans="1:14" x14ac:dyDescent="0.2">
      <c r="A26" s="7"/>
      <c r="B26" s="7"/>
      <c r="C26" s="7"/>
      <c r="D26" s="7"/>
      <c r="E26" s="7"/>
      <c r="F26" s="7"/>
      <c r="G26" s="7"/>
      <c r="H26" s="7"/>
      <c r="I26" s="7"/>
      <c r="J26" s="7"/>
      <c r="K26" s="7"/>
      <c r="L26" s="7"/>
      <c r="M26" s="7"/>
      <c r="N26" s="7"/>
    </row>
  </sheetData>
  <pageMargins left="0.75" right="0.75" top="1" bottom="1" header="0.5" footer="0.5"/>
  <pageSetup orientation="portrait" horizontalDpi="300" verticalDpi="300" r:id="rId1"/>
  <headerFooter alignWithMargins="0"/>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31">
    <pageSetUpPr autoPageBreaks="0"/>
  </sheetPr>
  <dimension ref="A1:Y28"/>
  <sheetViews>
    <sheetView zoomScale="145" zoomScaleNormal="145" workbookViewId="0">
      <selection activeCell="I18" sqref="I18"/>
    </sheetView>
  </sheetViews>
  <sheetFormatPr defaultRowHeight="12.75" x14ac:dyDescent="0.2"/>
  <cols>
    <col min="1" max="2" width="8.7109375" customWidth="1"/>
    <col min="4" max="5" width="9" customWidth="1"/>
    <col min="6" max="6" width="9.140625" bestFit="1" customWidth="1"/>
    <col min="7" max="7" width="8.7109375" customWidth="1"/>
    <col min="8" max="8" width="10" customWidth="1"/>
    <col min="9" max="9" width="9.5703125" customWidth="1"/>
    <col min="10" max="10" width="9.5703125" bestFit="1" customWidth="1"/>
    <col min="11" max="12" width="10" bestFit="1" customWidth="1"/>
    <col min="14" max="14" width="52.5703125" customWidth="1"/>
  </cols>
  <sheetData>
    <row r="1" spans="1:25" s="310" customFormat="1" ht="18" x14ac:dyDescent="0.25">
      <c r="A1" s="265" t="s">
        <v>239</v>
      </c>
      <c r="B1" s="309"/>
      <c r="C1" s="309"/>
      <c r="D1" s="309"/>
      <c r="E1" s="309"/>
      <c r="F1" s="309"/>
      <c r="G1" s="309"/>
      <c r="H1" s="309"/>
      <c r="I1" s="309"/>
      <c r="J1" s="309"/>
      <c r="K1" s="309"/>
    </row>
    <row r="2" spans="1:25" s="298" customFormat="1" hidden="1" x14ac:dyDescent="0.2">
      <c r="A2" s="299" t="s">
        <v>341</v>
      </c>
      <c r="B2" s="313">
        <v>6.7013888888888887E-3</v>
      </c>
      <c r="C2" s="301"/>
      <c r="D2" s="299"/>
      <c r="E2" s="301"/>
      <c r="F2" s="299"/>
      <c r="G2" s="301"/>
      <c r="H2" s="299"/>
      <c r="I2" s="299"/>
      <c r="J2" s="299"/>
      <c r="K2" s="299"/>
    </row>
    <row r="3" spans="1:25" s="273" customFormat="1" x14ac:dyDescent="0.2">
      <c r="A3" s="274" t="str">
        <f>IF(A2="","",IF(Disable_Video_Hyperlinks,A2,HYPERLINK(Video_website&amp;A2,A2)))</f>
        <v>UNC_DAYT_EXCEL_3.3.5_LECTURE_VLOOKUP_VS_INDEX_&amp;_MATCH.mp4</v>
      </c>
      <c r="B3" s="277"/>
      <c r="C3" s="311"/>
      <c r="D3" s="277"/>
      <c r="E3" s="311"/>
      <c r="F3" s="277"/>
      <c r="G3" s="311"/>
      <c r="H3" s="277"/>
      <c r="I3" s="277"/>
      <c r="J3" s="277"/>
      <c r="K3" s="277"/>
    </row>
    <row r="4" spans="1:25" s="91" customFormat="1" x14ac:dyDescent="0.2">
      <c r="A4" s="305">
        <f>IF(B2="","",B2)</f>
        <v>6.7013888888888887E-3</v>
      </c>
      <c r="B4" s="276"/>
      <c r="C4" s="278"/>
      <c r="D4" s="276"/>
      <c r="E4" s="278"/>
      <c r="F4" s="276"/>
      <c r="G4" s="278"/>
      <c r="H4" s="276"/>
      <c r="I4" s="276"/>
      <c r="J4" s="276"/>
      <c r="K4" s="276"/>
      <c r="L4" s="270"/>
    </row>
    <row r="5" spans="1:25" x14ac:dyDescent="0.2">
      <c r="A5" s="20"/>
      <c r="B5" s="20"/>
      <c r="C5" s="20"/>
      <c r="D5" s="20"/>
      <c r="E5" s="20"/>
      <c r="F5" s="20"/>
      <c r="G5" s="20"/>
      <c r="H5" s="20"/>
      <c r="I5" s="20"/>
      <c r="J5" s="20"/>
      <c r="K5" s="20"/>
      <c r="L5" s="20"/>
      <c r="M5" s="20"/>
    </row>
    <row r="6" spans="1:25" ht="12.75" customHeight="1" x14ac:dyDescent="0.2">
      <c r="A6" s="212" t="s">
        <v>0</v>
      </c>
      <c r="B6" s="213"/>
      <c r="C6" s="213"/>
      <c r="D6" s="213"/>
      <c r="E6" s="213"/>
      <c r="F6" s="213"/>
      <c r="G6" s="213"/>
      <c r="H6" s="213"/>
      <c r="I6" s="213"/>
      <c r="J6" s="213"/>
      <c r="K6" s="213"/>
      <c r="L6" s="171"/>
      <c r="M6" s="20"/>
      <c r="N6" s="385" t="s">
        <v>359</v>
      </c>
      <c r="O6" s="297"/>
      <c r="P6" s="297"/>
      <c r="Q6" s="297"/>
      <c r="R6" s="297"/>
      <c r="S6" s="297"/>
      <c r="T6" s="297"/>
      <c r="U6" s="297"/>
      <c r="V6" s="297"/>
      <c r="W6" s="297"/>
      <c r="X6" s="297"/>
      <c r="Y6" s="297"/>
    </row>
    <row r="7" spans="1:25" ht="21" customHeight="1" x14ac:dyDescent="0.2">
      <c r="A7" s="212" t="s">
        <v>1</v>
      </c>
      <c r="B7" s="213"/>
      <c r="C7" s="213"/>
      <c r="D7" s="213"/>
      <c r="E7" s="213"/>
      <c r="F7" s="213"/>
      <c r="G7" s="213"/>
      <c r="H7" s="213"/>
      <c r="I7" s="213"/>
      <c r="J7" s="213"/>
      <c r="K7" s="213"/>
      <c r="L7" s="171"/>
      <c r="M7" s="20"/>
      <c r="N7" s="385"/>
    </row>
    <row r="8" spans="1:25" x14ac:dyDescent="0.2">
      <c r="A8" s="20"/>
      <c r="B8" s="20"/>
      <c r="C8" s="20"/>
      <c r="D8" s="20"/>
      <c r="E8" s="20"/>
      <c r="F8" s="20"/>
      <c r="G8" s="20"/>
      <c r="H8" s="20"/>
      <c r="I8" s="20"/>
      <c r="J8" s="20"/>
      <c r="K8" s="20"/>
      <c r="L8" s="20"/>
      <c r="M8" s="20"/>
      <c r="N8" s="385"/>
    </row>
    <row r="9" spans="1:25" ht="12.75" customHeight="1" x14ac:dyDescent="0.2">
      <c r="A9" s="160" t="s">
        <v>2</v>
      </c>
      <c r="B9" s="171"/>
      <c r="C9" s="171"/>
      <c r="D9" s="20"/>
      <c r="E9" s="197" t="s">
        <v>3</v>
      </c>
      <c r="F9" s="160"/>
      <c r="G9" s="20"/>
      <c r="H9" s="20"/>
      <c r="I9" s="20"/>
      <c r="J9" s="20"/>
      <c r="K9" s="20"/>
      <c r="L9" s="20"/>
      <c r="M9" s="20"/>
      <c r="N9" s="385"/>
    </row>
    <row r="10" spans="1:25" s="103" customFormat="1" ht="38.25" x14ac:dyDescent="0.2">
      <c r="A10" s="216" t="s">
        <v>241</v>
      </c>
      <c r="B10" s="190"/>
      <c r="C10" s="191" t="s">
        <v>81</v>
      </c>
      <c r="D10" s="217"/>
      <c r="E10" s="191" t="s">
        <v>237</v>
      </c>
      <c r="F10" s="191" t="s">
        <v>238</v>
      </c>
      <c r="G10" s="217"/>
      <c r="H10" s="197" t="s">
        <v>323</v>
      </c>
      <c r="I10" s="160"/>
      <c r="J10" s="160"/>
      <c r="K10" s="160"/>
      <c r="L10" s="160"/>
      <c r="M10" s="217"/>
      <c r="N10" s="385"/>
    </row>
    <row r="11" spans="1:25" x14ac:dyDescent="0.2">
      <c r="A11" s="183">
        <v>0</v>
      </c>
      <c r="B11" s="292">
        <f>A12-1</f>
        <v>59</v>
      </c>
      <c r="C11" s="180">
        <v>2.4500000000000002</v>
      </c>
      <c r="D11" s="20"/>
      <c r="E11" s="183" t="s">
        <v>8</v>
      </c>
      <c r="F11" s="180">
        <v>0.25</v>
      </c>
      <c r="G11" s="20"/>
      <c r="H11" s="218" t="s">
        <v>9</v>
      </c>
      <c r="I11" s="20"/>
      <c r="J11" s="201">
        <v>0</v>
      </c>
      <c r="K11" s="201">
        <v>300</v>
      </c>
      <c r="L11" s="201">
        <v>1000</v>
      </c>
      <c r="M11" s="20"/>
      <c r="N11" s="385"/>
    </row>
    <row r="12" spans="1:25" x14ac:dyDescent="0.2">
      <c r="A12" s="183">
        <v>60</v>
      </c>
      <c r="B12" s="292">
        <f>A13-1</f>
        <v>119</v>
      </c>
      <c r="C12" s="184">
        <v>2.27</v>
      </c>
      <c r="D12" s="20"/>
      <c r="E12" s="183" t="s">
        <v>10</v>
      </c>
      <c r="F12" s="184">
        <v>0.2</v>
      </c>
      <c r="G12" s="20"/>
      <c r="H12" s="218" t="s">
        <v>7</v>
      </c>
      <c r="I12" s="20"/>
      <c r="J12" s="153">
        <v>0</v>
      </c>
      <c r="K12" s="153">
        <v>0.15</v>
      </c>
      <c r="L12" s="153">
        <v>0.25</v>
      </c>
      <c r="M12" s="20"/>
      <c r="N12" s="385"/>
    </row>
    <row r="13" spans="1:25" x14ac:dyDescent="0.2">
      <c r="A13" s="183">
        <v>120</v>
      </c>
      <c r="B13" s="292">
        <f>A14-1</f>
        <v>239</v>
      </c>
      <c r="C13" s="184">
        <v>2.12</v>
      </c>
      <c r="D13" s="20"/>
      <c r="E13" s="183" t="s">
        <v>12</v>
      </c>
      <c r="F13" s="184">
        <v>0.15</v>
      </c>
      <c r="G13" s="20"/>
      <c r="H13" s="20"/>
      <c r="I13" s="20"/>
      <c r="J13" s="20"/>
      <c r="K13" s="20"/>
      <c r="L13" s="20"/>
      <c r="M13" s="20"/>
      <c r="N13" s="385"/>
    </row>
    <row r="14" spans="1:25" x14ac:dyDescent="0.2">
      <c r="A14" s="183">
        <v>240</v>
      </c>
      <c r="B14" s="293" t="s">
        <v>218</v>
      </c>
      <c r="C14" s="184">
        <v>2</v>
      </c>
      <c r="D14" s="20"/>
      <c r="E14" s="183" t="s">
        <v>14</v>
      </c>
      <c r="F14" s="184">
        <v>0</v>
      </c>
      <c r="G14" s="20"/>
      <c r="H14" s="20"/>
      <c r="I14" s="20"/>
      <c r="J14" s="20"/>
      <c r="K14" s="20"/>
      <c r="L14" s="20"/>
      <c r="M14" s="20"/>
      <c r="N14" s="385"/>
    </row>
    <row r="15" spans="1:25" x14ac:dyDescent="0.2">
      <c r="A15" s="97"/>
      <c r="B15" s="98"/>
      <c r="C15" s="20"/>
      <c r="D15" s="97"/>
      <c r="E15" s="20"/>
      <c r="F15" s="98"/>
      <c r="G15" s="20"/>
      <c r="H15" s="20"/>
      <c r="I15" s="20"/>
      <c r="J15" s="20"/>
      <c r="K15" s="20"/>
      <c r="L15" s="20"/>
      <c r="M15" s="20"/>
      <c r="N15" s="385"/>
    </row>
    <row r="16" spans="1:25" x14ac:dyDescent="0.2">
      <c r="A16" s="20"/>
      <c r="B16" s="20"/>
      <c r="C16" s="20"/>
      <c r="D16" s="20"/>
      <c r="E16" s="20"/>
      <c r="F16" s="20"/>
      <c r="G16" s="20"/>
      <c r="H16" s="20"/>
      <c r="I16" s="20"/>
      <c r="J16" s="20"/>
      <c r="K16" s="20"/>
      <c r="L16" s="20"/>
      <c r="M16" s="20"/>
      <c r="N16" s="385"/>
    </row>
    <row r="17" spans="1:13" ht="38.25" x14ac:dyDescent="0.2">
      <c r="A17" s="156" t="s">
        <v>15</v>
      </c>
      <c r="B17" s="156" t="s">
        <v>16</v>
      </c>
      <c r="C17" s="188" t="s">
        <v>237</v>
      </c>
      <c r="D17" s="156" t="s">
        <v>18</v>
      </c>
      <c r="E17" s="188" t="s">
        <v>81</v>
      </c>
      <c r="F17" s="120" t="s">
        <v>20</v>
      </c>
      <c r="G17" s="188" t="s">
        <v>238</v>
      </c>
      <c r="H17" s="188" t="s">
        <v>288</v>
      </c>
      <c r="I17" s="120" t="s">
        <v>7</v>
      </c>
      <c r="J17" s="120" t="s">
        <v>23</v>
      </c>
      <c r="K17" s="20"/>
      <c r="L17" s="20"/>
      <c r="M17" s="20"/>
    </row>
    <row r="18" spans="1:13" x14ac:dyDescent="0.2">
      <c r="A18" s="182">
        <v>1</v>
      </c>
      <c r="B18" s="192" t="s">
        <v>24</v>
      </c>
      <c r="C18" s="192" t="s">
        <v>10</v>
      </c>
      <c r="D18" s="182">
        <v>245</v>
      </c>
      <c r="E18" s="157">
        <f xml:space="preserve"> INDEX( $C$11:$C$14, MATCH( D18, $A$11:$A$14, 1 ) )</f>
        <v>2</v>
      </c>
      <c r="F18" s="157">
        <f>D18 * E18</f>
        <v>490</v>
      </c>
      <c r="G18" s="157">
        <f xml:space="preserve"> INDEX( $F$11:$F$14, MATCH( C18, $E$11:$E$14, 0 ) )</f>
        <v>0.2</v>
      </c>
      <c r="H18" s="157">
        <f>G18 * D18</f>
        <v>49</v>
      </c>
      <c r="I18" s="157" cm="1">
        <f t="array" ref="I18" xml:space="preserve"> - INDEX( $J$12:$L$12, , MATCH( F18, $J$11:$L$11, 1 ) ) * H18</f>
        <v>-7.35</v>
      </c>
      <c r="J18" s="157">
        <f>F18 + H18 + I18</f>
        <v>531.65</v>
      </c>
      <c r="K18" s="20"/>
      <c r="L18" s="20"/>
      <c r="M18" s="20"/>
    </row>
    <row r="19" spans="1:13" x14ac:dyDescent="0.2">
      <c r="A19" s="182">
        <v>2</v>
      </c>
      <c r="B19" s="192" t="s">
        <v>25</v>
      </c>
      <c r="C19" s="192" t="s">
        <v>10</v>
      </c>
      <c r="D19" s="182">
        <v>30</v>
      </c>
      <c r="E19" s="158">
        <f t="shared" ref="E19:E23" si="0" xml:space="preserve"> INDEX( $C$11:$C$14, MATCH( D19, $A$11:$A$14, 1 ) )</f>
        <v>2.4500000000000002</v>
      </c>
      <c r="F19" s="158">
        <f t="shared" ref="F19:F23" si="1">D19 * E19</f>
        <v>73.5</v>
      </c>
      <c r="G19" s="158">
        <f t="shared" ref="G19:G23" si="2" xml:space="preserve"> INDEX( $F$11:$F$14, MATCH( C19, $E$11:$E$14, 0 ) )</f>
        <v>0.2</v>
      </c>
      <c r="H19" s="158">
        <f t="shared" ref="H19:H23" si="3">G19 * D19</f>
        <v>6</v>
      </c>
      <c r="I19" s="158" cm="1">
        <f t="array" ref="I19" xml:space="preserve"> - INDEX( $J$12:$L$12, , MATCH( F19, $J$11:$L$11, 1 ) ) * H19</f>
        <v>0</v>
      </c>
      <c r="J19" s="158">
        <f t="shared" ref="J19:J23" si="4">F19 + H19 + I19</f>
        <v>79.5</v>
      </c>
      <c r="K19" s="20"/>
      <c r="L19" s="20"/>
      <c r="M19" s="20"/>
    </row>
    <row r="20" spans="1:13" x14ac:dyDescent="0.2">
      <c r="A20" s="182">
        <v>3</v>
      </c>
      <c r="B20" s="192" t="s">
        <v>26</v>
      </c>
      <c r="C20" s="192" t="s">
        <v>12</v>
      </c>
      <c r="D20" s="182">
        <v>160</v>
      </c>
      <c r="E20" s="158">
        <f t="shared" si="0"/>
        <v>2.12</v>
      </c>
      <c r="F20" s="158">
        <f t="shared" si="1"/>
        <v>339.20000000000005</v>
      </c>
      <c r="G20" s="158">
        <f t="shared" si="2"/>
        <v>0.15</v>
      </c>
      <c r="H20" s="158">
        <f t="shared" si="3"/>
        <v>24</v>
      </c>
      <c r="I20" s="158" cm="1">
        <f t="array" ref="I20" xml:space="preserve"> - INDEX( $J$12:$L$12, , MATCH( F20, $J$11:$L$11, 1 ) ) * H20</f>
        <v>-3.5999999999999996</v>
      </c>
      <c r="J20" s="158">
        <f t="shared" si="4"/>
        <v>359.6</v>
      </c>
      <c r="K20" s="20"/>
      <c r="L20" s="20"/>
      <c r="M20" s="20"/>
    </row>
    <row r="21" spans="1:13" x14ac:dyDescent="0.2">
      <c r="A21" s="182">
        <v>4</v>
      </c>
      <c r="B21" s="192" t="s">
        <v>27</v>
      </c>
      <c r="C21" s="192" t="s">
        <v>8</v>
      </c>
      <c r="D21" s="182">
        <v>215</v>
      </c>
      <c r="E21" s="158">
        <f t="shared" si="0"/>
        <v>2.12</v>
      </c>
      <c r="F21" s="158">
        <f t="shared" si="1"/>
        <v>455.8</v>
      </c>
      <c r="G21" s="158">
        <f t="shared" si="2"/>
        <v>0.25</v>
      </c>
      <c r="H21" s="158">
        <f t="shared" si="3"/>
        <v>53.75</v>
      </c>
      <c r="I21" s="158" cm="1">
        <f t="array" ref="I21" xml:space="preserve"> - INDEX( $J$12:$L$12, , MATCH( F21, $J$11:$L$11, 1 ) ) * H21</f>
        <v>-8.0625</v>
      </c>
      <c r="J21" s="158">
        <f t="shared" si="4"/>
        <v>501.48750000000001</v>
      </c>
      <c r="K21" s="20"/>
      <c r="L21" s="20"/>
      <c r="M21" s="20"/>
    </row>
    <row r="22" spans="1:13" x14ac:dyDescent="0.2">
      <c r="A22" s="182">
        <v>5</v>
      </c>
      <c r="B22" s="192" t="s">
        <v>28</v>
      </c>
      <c r="C22" s="192" t="s">
        <v>8</v>
      </c>
      <c r="D22" s="182">
        <v>90</v>
      </c>
      <c r="E22" s="158">
        <f t="shared" si="0"/>
        <v>2.27</v>
      </c>
      <c r="F22" s="158">
        <f t="shared" si="1"/>
        <v>204.3</v>
      </c>
      <c r="G22" s="158">
        <f t="shared" si="2"/>
        <v>0.25</v>
      </c>
      <c r="H22" s="158">
        <f t="shared" si="3"/>
        <v>22.5</v>
      </c>
      <c r="I22" s="158" cm="1">
        <f t="array" ref="I22" xml:space="preserve"> - INDEX( $J$12:$L$12, , MATCH( F22, $J$11:$L$11, 1 ) ) * H22</f>
        <v>0</v>
      </c>
      <c r="J22" s="158">
        <f t="shared" si="4"/>
        <v>226.8</v>
      </c>
      <c r="K22" s="20"/>
      <c r="L22" s="20"/>
      <c r="M22" s="20"/>
    </row>
    <row r="23" spans="1:13" x14ac:dyDescent="0.2">
      <c r="A23" s="182">
        <v>6</v>
      </c>
      <c r="B23" s="192" t="s">
        <v>29</v>
      </c>
      <c r="C23" s="192" t="s">
        <v>14</v>
      </c>
      <c r="D23" s="182">
        <v>15</v>
      </c>
      <c r="E23" s="158">
        <f t="shared" si="0"/>
        <v>2.4500000000000002</v>
      </c>
      <c r="F23" s="158">
        <f t="shared" si="1"/>
        <v>36.75</v>
      </c>
      <c r="G23" s="158">
        <f t="shared" si="2"/>
        <v>0</v>
      </c>
      <c r="H23" s="158">
        <f t="shared" si="3"/>
        <v>0</v>
      </c>
      <c r="I23" s="158" cm="1">
        <f t="array" ref="I23" xml:space="preserve"> - INDEX( $J$12:$L$12, , MATCH( F23, $J$11:$L$11, 1 ) ) * H23</f>
        <v>0</v>
      </c>
      <c r="J23" s="158">
        <f t="shared" si="4"/>
        <v>36.75</v>
      </c>
      <c r="K23" s="20"/>
      <c r="L23" s="20"/>
      <c r="M23" s="20"/>
    </row>
    <row r="24" spans="1:13" s="99" customFormat="1" x14ac:dyDescent="0.2">
      <c r="A24" s="20"/>
      <c r="B24" s="20"/>
      <c r="C24" s="20"/>
      <c r="D24" s="20"/>
      <c r="E24" s="20"/>
      <c r="F24" s="20"/>
      <c r="G24" s="20"/>
      <c r="H24" s="20"/>
      <c r="I24" s="20"/>
      <c r="J24" s="20"/>
      <c r="K24" s="20"/>
      <c r="L24" s="20"/>
      <c r="M24" s="20"/>
    </row>
    <row r="25" spans="1:13" x14ac:dyDescent="0.2">
      <c r="A25" s="219" t="s">
        <v>240</v>
      </c>
      <c r="B25" s="20"/>
      <c r="C25" s="20"/>
      <c r="D25" s="20"/>
      <c r="E25" s="20"/>
      <c r="F25" s="20"/>
      <c r="G25" s="20"/>
      <c r="H25" s="20"/>
      <c r="I25" s="20"/>
      <c r="J25" s="20"/>
      <c r="K25" s="20"/>
      <c r="L25" s="20"/>
      <c r="M25" s="20"/>
    </row>
    <row r="26" spans="1:13" x14ac:dyDescent="0.2">
      <c r="A26" s="20"/>
      <c r="B26" s="20"/>
      <c r="C26" s="20"/>
      <c r="D26" s="20"/>
      <c r="E26" s="20"/>
      <c r="F26" s="20"/>
      <c r="G26" s="20"/>
      <c r="H26" s="20"/>
      <c r="I26" s="20"/>
      <c r="J26" s="20"/>
      <c r="K26" s="20"/>
      <c r="L26" s="20"/>
      <c r="M26" s="20"/>
    </row>
    <row r="27" spans="1:13" x14ac:dyDescent="0.2">
      <c r="A27" s="20"/>
      <c r="B27" s="20"/>
      <c r="C27" s="20"/>
      <c r="D27" s="20"/>
      <c r="E27" s="20"/>
      <c r="F27" s="20"/>
      <c r="G27" s="20"/>
      <c r="H27" s="20"/>
      <c r="I27" s="20"/>
      <c r="J27" s="20"/>
      <c r="K27" s="20"/>
      <c r="L27" s="20"/>
      <c r="M27" s="20"/>
    </row>
    <row r="28" spans="1:13" x14ac:dyDescent="0.2">
      <c r="A28" s="20"/>
      <c r="B28" s="20"/>
      <c r="C28" s="20"/>
      <c r="D28" s="20"/>
      <c r="E28" s="20"/>
      <c r="F28" s="20"/>
      <c r="G28" s="20"/>
      <c r="H28" s="20"/>
      <c r="I28" s="20"/>
      <c r="J28" s="20"/>
      <c r="K28" s="20"/>
      <c r="L28" s="20"/>
      <c r="M28" s="20"/>
    </row>
  </sheetData>
  <mergeCells count="1">
    <mergeCell ref="N6:N16"/>
  </mergeCells>
  <pageMargins left="0.75" right="0.75" top="1" bottom="1" header="0.5" footer="0.5"/>
  <pageSetup orientation="portrait" horizontalDpi="300" verticalDpi="300" r:id="rId1"/>
  <headerFooter alignWithMargins="0"/>
  <legacy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E4E9E-A254-415C-8167-06C8269A1059}">
  <sheetPr codeName="Sheet47">
    <pageSetUpPr autoPageBreaks="0"/>
  </sheetPr>
  <dimension ref="A1:M31"/>
  <sheetViews>
    <sheetView zoomScale="145" zoomScaleNormal="145" workbookViewId="0">
      <selection activeCell="I18" sqref="I18"/>
    </sheetView>
  </sheetViews>
  <sheetFormatPr defaultRowHeight="12.75" x14ac:dyDescent="0.2"/>
  <cols>
    <col min="1" max="2" width="8.7109375" customWidth="1"/>
    <col min="4" max="6" width="9" customWidth="1"/>
    <col min="7" max="7" width="8.7109375" customWidth="1"/>
    <col min="8" max="8" width="10" customWidth="1"/>
    <col min="9" max="9" width="9.5703125" customWidth="1"/>
    <col min="10" max="10" width="9.5703125" bestFit="1" customWidth="1"/>
    <col min="11" max="12" width="10" bestFit="1" customWidth="1"/>
  </cols>
  <sheetData>
    <row r="1" spans="1:13" s="310" customFormat="1" ht="18" x14ac:dyDescent="0.25">
      <c r="A1" s="265" t="s">
        <v>329</v>
      </c>
      <c r="B1" s="309"/>
      <c r="C1" s="309"/>
      <c r="D1" s="309"/>
      <c r="E1" s="309"/>
      <c r="F1" s="309"/>
      <c r="G1" s="309"/>
      <c r="H1" s="309"/>
      <c r="I1" s="309"/>
      <c r="J1" s="309"/>
      <c r="K1" s="309"/>
    </row>
    <row r="2" spans="1:13" s="298" customFormat="1" hidden="1" x14ac:dyDescent="0.2">
      <c r="A2" s="299"/>
      <c r="B2" s="299"/>
      <c r="C2" s="301"/>
      <c r="D2" s="299"/>
      <c r="E2" s="301"/>
      <c r="F2" s="299"/>
      <c r="G2" s="301"/>
      <c r="H2" s="299"/>
      <c r="I2" s="299"/>
      <c r="J2" s="299"/>
      <c r="K2" s="299"/>
    </row>
    <row r="3" spans="1:13" s="273" customFormat="1" x14ac:dyDescent="0.2">
      <c r="A3" s="274" t="str">
        <f>IF(A2="","",IF(Disable_Video_Hyperlinks,A2,HYPERLINK(Video_website&amp;A2,A2)))</f>
        <v/>
      </c>
      <c r="B3" s="277"/>
      <c r="C3" s="311"/>
      <c r="D3" s="277"/>
      <c r="E3" s="311"/>
      <c r="F3" s="277"/>
      <c r="G3" s="311"/>
      <c r="H3" s="277"/>
      <c r="I3" s="277"/>
      <c r="J3" s="277"/>
      <c r="K3" s="277"/>
    </row>
    <row r="4" spans="1:13" s="91" customFormat="1" x14ac:dyDescent="0.2">
      <c r="A4" s="305" t="str">
        <f>IF(B2="","",B2)</f>
        <v/>
      </c>
      <c r="B4" s="276"/>
      <c r="D4"/>
      <c r="E4"/>
      <c r="F4"/>
      <c r="G4"/>
      <c r="H4"/>
      <c r="I4" s="276"/>
      <c r="J4" s="276"/>
      <c r="K4" s="276"/>
      <c r="L4" s="270"/>
    </row>
    <row r="5" spans="1:13" x14ac:dyDescent="0.2">
      <c r="A5" s="20"/>
      <c r="B5" s="20"/>
      <c r="C5" s="20"/>
      <c r="D5" s="20"/>
      <c r="E5" s="20"/>
      <c r="F5" s="20"/>
      <c r="G5" s="20"/>
      <c r="H5" s="20"/>
      <c r="I5" s="20"/>
      <c r="J5" s="20"/>
      <c r="K5" s="20"/>
      <c r="L5" s="20"/>
      <c r="M5" s="20"/>
    </row>
    <row r="6" spans="1:13" x14ac:dyDescent="0.2">
      <c r="A6" s="212" t="s">
        <v>0</v>
      </c>
      <c r="B6" s="213"/>
      <c r="C6" s="213"/>
      <c r="D6" s="213"/>
      <c r="E6" s="213"/>
      <c r="F6" s="213"/>
      <c r="G6" s="213"/>
      <c r="H6" s="213"/>
      <c r="I6" s="213"/>
      <c r="J6" s="213"/>
      <c r="K6" s="213"/>
      <c r="L6" s="171"/>
      <c r="M6" s="20"/>
    </row>
    <row r="7" spans="1:13" ht="21" customHeight="1" x14ac:dyDescent="0.2">
      <c r="A7" s="212" t="s">
        <v>1</v>
      </c>
      <c r="B7" s="213"/>
      <c r="C7" s="213"/>
      <c r="D7" s="213"/>
      <c r="E7" s="213"/>
      <c r="F7" s="213"/>
      <c r="G7" s="213"/>
      <c r="H7" s="213"/>
      <c r="I7" s="213"/>
      <c r="J7" s="213"/>
      <c r="K7" s="213"/>
      <c r="L7" s="171"/>
      <c r="M7" s="20"/>
    </row>
    <row r="8" spans="1:13" x14ac:dyDescent="0.2">
      <c r="A8" s="20"/>
      <c r="B8" s="20"/>
      <c r="C8" s="20"/>
      <c r="D8" s="20"/>
      <c r="E8" s="20"/>
      <c r="F8" s="20"/>
      <c r="G8" s="20"/>
      <c r="H8" s="20"/>
      <c r="I8" s="20"/>
      <c r="J8" s="20"/>
      <c r="K8" s="20"/>
      <c r="L8" s="20"/>
      <c r="M8" s="20"/>
    </row>
    <row r="9" spans="1:13" ht="12.75" customHeight="1" x14ac:dyDescent="0.2">
      <c r="A9" s="197" t="s">
        <v>324</v>
      </c>
      <c r="B9" s="171"/>
      <c r="C9" s="171"/>
      <c r="D9" s="20"/>
      <c r="E9" s="197" t="s">
        <v>3</v>
      </c>
      <c r="F9" s="160"/>
      <c r="G9" s="20"/>
      <c r="H9" s="20"/>
      <c r="I9" s="20"/>
      <c r="J9" s="20"/>
      <c r="K9" s="20"/>
      <c r="L9" s="20"/>
      <c r="M9" s="20"/>
    </row>
    <row r="10" spans="1:13" s="103" customFormat="1" ht="38.25" x14ac:dyDescent="0.2">
      <c r="A10" s="216" t="s">
        <v>241</v>
      </c>
      <c r="B10" s="190"/>
      <c r="C10" s="191" t="s">
        <v>81</v>
      </c>
      <c r="D10" s="217"/>
      <c r="E10" s="191" t="s">
        <v>237</v>
      </c>
      <c r="F10" s="191" t="s">
        <v>238</v>
      </c>
      <c r="G10" s="217"/>
      <c r="H10" s="197" t="s">
        <v>323</v>
      </c>
      <c r="I10" s="160"/>
      <c r="J10" s="160"/>
      <c r="K10" s="160"/>
      <c r="L10" s="160"/>
      <c r="M10" s="217"/>
    </row>
    <row r="11" spans="1:13" x14ac:dyDescent="0.2">
      <c r="A11" s="183">
        <v>0</v>
      </c>
      <c r="B11" s="292">
        <f>A12-1</f>
        <v>59</v>
      </c>
      <c r="C11" s="180">
        <v>2.4500000000000002</v>
      </c>
      <c r="D11" s="20"/>
      <c r="E11" s="183" t="s">
        <v>8</v>
      </c>
      <c r="F11" s="180">
        <v>0.25</v>
      </c>
      <c r="G11" s="20"/>
      <c r="H11" s="218" t="s">
        <v>9</v>
      </c>
      <c r="I11" s="20"/>
      <c r="J11" s="201">
        <v>0</v>
      </c>
      <c r="K11" s="201">
        <v>300</v>
      </c>
      <c r="L11" s="201">
        <v>1000</v>
      </c>
      <c r="M11" s="20"/>
    </row>
    <row r="12" spans="1:13" x14ac:dyDescent="0.2">
      <c r="A12" s="183">
        <v>60</v>
      </c>
      <c r="B12" s="292">
        <f>A13-1</f>
        <v>119</v>
      </c>
      <c r="C12" s="184">
        <v>2.27</v>
      </c>
      <c r="D12" s="20"/>
      <c r="E12" s="183" t="s">
        <v>10</v>
      </c>
      <c r="F12" s="184">
        <v>0.2</v>
      </c>
      <c r="G12" s="20"/>
      <c r="H12" s="218" t="s">
        <v>7</v>
      </c>
      <c r="I12" s="20"/>
      <c r="J12" s="153">
        <v>0</v>
      </c>
      <c r="K12" s="153">
        <v>0.15</v>
      </c>
      <c r="L12" s="153">
        <v>0.25</v>
      </c>
      <c r="M12" s="20"/>
    </row>
    <row r="13" spans="1:13" x14ac:dyDescent="0.2">
      <c r="A13" s="183">
        <v>120</v>
      </c>
      <c r="B13" s="292">
        <f>A14-1</f>
        <v>239</v>
      </c>
      <c r="C13" s="184">
        <v>2.12</v>
      </c>
      <c r="D13" s="20"/>
      <c r="E13" s="183" t="s">
        <v>12</v>
      </c>
      <c r="F13" s="184">
        <v>0.15</v>
      </c>
      <c r="G13" s="20"/>
      <c r="H13" s="20"/>
      <c r="I13" s="20"/>
      <c r="J13" s="20"/>
      <c r="K13" s="20"/>
      <c r="L13" s="20"/>
      <c r="M13" s="20"/>
    </row>
    <row r="14" spans="1:13" x14ac:dyDescent="0.2">
      <c r="A14" s="183">
        <v>240</v>
      </c>
      <c r="B14" s="293" t="s">
        <v>218</v>
      </c>
      <c r="C14" s="184">
        <v>2</v>
      </c>
      <c r="D14" s="20"/>
      <c r="E14" s="183" t="s">
        <v>14</v>
      </c>
      <c r="F14" s="184">
        <v>0</v>
      </c>
      <c r="G14" s="20"/>
      <c r="H14" s="20"/>
      <c r="I14" s="20"/>
      <c r="J14" s="20"/>
      <c r="K14" s="20"/>
      <c r="L14" s="20"/>
      <c r="M14" s="20"/>
    </row>
    <row r="15" spans="1:13" x14ac:dyDescent="0.2">
      <c r="A15" s="97"/>
      <c r="B15" s="98"/>
      <c r="C15" s="20"/>
      <c r="D15" s="97"/>
      <c r="E15" s="20"/>
      <c r="F15" s="98"/>
      <c r="G15" s="20"/>
      <c r="H15" s="20"/>
      <c r="I15" s="20"/>
      <c r="J15" s="20"/>
      <c r="K15" s="20"/>
      <c r="L15" s="20"/>
      <c r="M15" s="20"/>
    </row>
    <row r="16" spans="1:13" x14ac:dyDescent="0.2">
      <c r="A16" s="20"/>
      <c r="B16" s="20"/>
      <c r="C16" s="20"/>
      <c r="D16" s="20"/>
      <c r="E16" s="20"/>
      <c r="F16" s="20"/>
      <c r="G16" s="20"/>
      <c r="H16" s="20"/>
      <c r="I16" s="20"/>
      <c r="J16" s="20"/>
      <c r="K16" s="20"/>
      <c r="L16" s="20"/>
      <c r="M16" s="20"/>
    </row>
    <row r="17" spans="1:13" ht="38.25" x14ac:dyDescent="0.2">
      <c r="A17" s="156" t="s">
        <v>15</v>
      </c>
      <c r="B17" s="156" t="s">
        <v>16</v>
      </c>
      <c r="C17" s="188" t="s">
        <v>237</v>
      </c>
      <c r="D17" s="156" t="s">
        <v>18</v>
      </c>
      <c r="E17" s="188" t="s">
        <v>81</v>
      </c>
      <c r="F17" s="120" t="s">
        <v>20</v>
      </c>
      <c r="G17" s="188" t="s">
        <v>238</v>
      </c>
      <c r="H17" s="188" t="s">
        <v>288</v>
      </c>
      <c r="I17" s="120" t="s">
        <v>7</v>
      </c>
      <c r="J17" s="120" t="s">
        <v>23</v>
      </c>
      <c r="K17" s="20"/>
      <c r="L17" s="20"/>
      <c r="M17" s="20"/>
    </row>
    <row r="18" spans="1:13" x14ac:dyDescent="0.2">
      <c r="A18" s="182">
        <v>1</v>
      </c>
      <c r="B18" s="192" t="s">
        <v>24</v>
      </c>
      <c r="C18" s="192" t="s">
        <v>10</v>
      </c>
      <c r="D18" s="182">
        <v>245</v>
      </c>
      <c r="E18" s="157">
        <f xml:space="preserve"> INDEX( $C$11:$C$14, MATCH( D18, $A$11:$A$14, 1 ) )</f>
        <v>2</v>
      </c>
      <c r="F18" s="157">
        <f>D18 * E18</f>
        <v>490</v>
      </c>
      <c r="G18" s="157">
        <f xml:space="preserve"> INDEX( $F$11:$F$14, MATCH( C18, $E$11:$E$14, 0 ) )</f>
        <v>0.2</v>
      </c>
      <c r="H18" s="157">
        <f>G18 * D18</f>
        <v>49</v>
      </c>
      <c r="I18" s="157" cm="1">
        <f t="array" ref="I18" xml:space="preserve"> - INDEX( $J$12:$L$12, , MATCH( F18, $J$11:$L$11, 1 ) ) * H18</f>
        <v>-7.35</v>
      </c>
      <c r="J18" s="157">
        <f xml:space="preserve"> F18 + H18 + I18</f>
        <v>531.65</v>
      </c>
      <c r="K18" s="20"/>
      <c r="L18" s="20"/>
      <c r="M18" s="20"/>
    </row>
    <row r="19" spans="1:13" x14ac:dyDescent="0.2">
      <c r="A19" s="182">
        <v>2</v>
      </c>
      <c r="B19" s="192" t="s">
        <v>25</v>
      </c>
      <c r="C19" s="192" t="s">
        <v>10</v>
      </c>
      <c r="D19" s="182">
        <v>30</v>
      </c>
      <c r="E19" s="158">
        <f t="shared" ref="E19:E23" si="0" xml:space="preserve"> INDEX( $C$11:$C$14, MATCH( D19, $A$11:$A$14, 1 ) )</f>
        <v>2.4500000000000002</v>
      </c>
      <c r="F19" s="158">
        <f t="shared" ref="F19:F23" si="1">D19 * E19</f>
        <v>73.5</v>
      </c>
      <c r="G19" s="158">
        <f t="shared" ref="G19:G23" si="2" xml:space="preserve"> INDEX( $F$11:$F$14, MATCH( C19, $E$11:$E$14, 0 ) )</f>
        <v>0.2</v>
      </c>
      <c r="H19" s="158">
        <f t="shared" ref="H19:H23" si="3">G19 * D19</f>
        <v>6</v>
      </c>
      <c r="I19" s="158" cm="1">
        <f t="array" ref="I19" xml:space="preserve"> - INDEX( $J$12:$L$12, , MATCH( F19, $J$11:$L$11, 1 ) ) * H19</f>
        <v>0</v>
      </c>
      <c r="J19" s="158">
        <f t="shared" ref="J19:J23" si="4" xml:space="preserve"> F19 + H19 + I19</f>
        <v>79.5</v>
      </c>
      <c r="K19" s="20"/>
      <c r="L19" s="20"/>
      <c r="M19" s="20"/>
    </row>
    <row r="20" spans="1:13" x14ac:dyDescent="0.2">
      <c r="A20" s="182">
        <v>3</v>
      </c>
      <c r="B20" s="192" t="s">
        <v>26</v>
      </c>
      <c r="C20" s="192" t="s">
        <v>12</v>
      </c>
      <c r="D20" s="182">
        <v>160</v>
      </c>
      <c r="E20" s="158">
        <f t="shared" si="0"/>
        <v>2.12</v>
      </c>
      <c r="F20" s="158">
        <f t="shared" si="1"/>
        <v>339.20000000000005</v>
      </c>
      <c r="G20" s="158">
        <f t="shared" si="2"/>
        <v>0.15</v>
      </c>
      <c r="H20" s="158">
        <f t="shared" si="3"/>
        <v>24</v>
      </c>
      <c r="I20" s="158" cm="1">
        <f t="array" ref="I20" xml:space="preserve"> - INDEX( $J$12:$L$12, , MATCH( F20, $J$11:$L$11, 1 ) ) * H20</f>
        <v>-3.5999999999999996</v>
      </c>
      <c r="J20" s="158">
        <f t="shared" si="4"/>
        <v>359.6</v>
      </c>
      <c r="K20" s="20"/>
      <c r="L20" s="20"/>
      <c r="M20" s="20"/>
    </row>
    <row r="21" spans="1:13" x14ac:dyDescent="0.2">
      <c r="A21" s="182">
        <v>4</v>
      </c>
      <c r="B21" s="192" t="s">
        <v>27</v>
      </c>
      <c r="C21" s="192" t="s">
        <v>8</v>
      </c>
      <c r="D21" s="182">
        <v>215</v>
      </c>
      <c r="E21" s="158">
        <f t="shared" si="0"/>
        <v>2.12</v>
      </c>
      <c r="F21" s="158">
        <f t="shared" si="1"/>
        <v>455.8</v>
      </c>
      <c r="G21" s="158">
        <f t="shared" si="2"/>
        <v>0.25</v>
      </c>
      <c r="H21" s="158">
        <f t="shared" si="3"/>
        <v>53.75</v>
      </c>
      <c r="I21" s="158" cm="1">
        <f t="array" ref="I21" xml:space="preserve"> - INDEX( $J$12:$L$12, , MATCH( F21, $J$11:$L$11, 1 ) ) * H21</f>
        <v>-8.0625</v>
      </c>
      <c r="J21" s="158">
        <f t="shared" si="4"/>
        <v>501.48750000000001</v>
      </c>
      <c r="K21" s="20"/>
      <c r="L21" s="20"/>
      <c r="M21" s="20"/>
    </row>
    <row r="22" spans="1:13" x14ac:dyDescent="0.2">
      <c r="A22" s="182">
        <v>5</v>
      </c>
      <c r="B22" s="192" t="s">
        <v>28</v>
      </c>
      <c r="C22" s="192" t="s">
        <v>8</v>
      </c>
      <c r="D22" s="182">
        <v>90</v>
      </c>
      <c r="E22" s="158">
        <f t="shared" si="0"/>
        <v>2.27</v>
      </c>
      <c r="F22" s="158">
        <f t="shared" si="1"/>
        <v>204.3</v>
      </c>
      <c r="G22" s="158">
        <f t="shared" si="2"/>
        <v>0.25</v>
      </c>
      <c r="H22" s="158">
        <f t="shared" si="3"/>
        <v>22.5</v>
      </c>
      <c r="I22" s="158" cm="1">
        <f t="array" ref="I22" xml:space="preserve"> - INDEX( $J$12:$L$12, , MATCH( F22, $J$11:$L$11, 1 ) ) * H22</f>
        <v>0</v>
      </c>
      <c r="J22" s="158">
        <f t="shared" si="4"/>
        <v>226.8</v>
      </c>
      <c r="K22" s="20"/>
      <c r="L22" s="20"/>
      <c r="M22" s="20"/>
    </row>
    <row r="23" spans="1:13" x14ac:dyDescent="0.2">
      <c r="A23" s="182">
        <v>6</v>
      </c>
      <c r="B23" s="192" t="s">
        <v>29</v>
      </c>
      <c r="C23" s="192" t="s">
        <v>14</v>
      </c>
      <c r="D23" s="182">
        <v>15</v>
      </c>
      <c r="E23" s="158">
        <f t="shared" si="0"/>
        <v>2.4500000000000002</v>
      </c>
      <c r="F23" s="158">
        <f t="shared" si="1"/>
        <v>36.75</v>
      </c>
      <c r="G23" s="158">
        <f t="shared" si="2"/>
        <v>0</v>
      </c>
      <c r="H23" s="158">
        <f t="shared" si="3"/>
        <v>0</v>
      </c>
      <c r="I23" s="158" cm="1">
        <f t="array" ref="I23" xml:space="preserve"> - INDEX( $J$12:$L$12, , MATCH( F23, $J$11:$L$11, 1 ) ) * H23</f>
        <v>0</v>
      </c>
      <c r="J23" s="158">
        <f t="shared" si="4"/>
        <v>36.75</v>
      </c>
      <c r="K23" s="20"/>
      <c r="L23" s="20"/>
      <c r="M23" s="20"/>
    </row>
    <row r="24" spans="1:13" s="99" customFormat="1" x14ac:dyDescent="0.2">
      <c r="A24" s="20"/>
      <c r="B24" s="20"/>
      <c r="C24" s="20"/>
      <c r="D24" s="20"/>
      <c r="E24" s="20"/>
      <c r="F24" s="20"/>
      <c r="G24" s="20"/>
      <c r="H24" s="20"/>
      <c r="I24" s="20"/>
      <c r="J24" s="20"/>
      <c r="K24" s="20"/>
      <c r="L24" s="20"/>
      <c r="M24" s="20"/>
    </row>
    <row r="25" spans="1:13" x14ac:dyDescent="0.2">
      <c r="A25" s="219"/>
      <c r="B25" s="20"/>
      <c r="C25" s="20"/>
      <c r="D25" s="20"/>
      <c r="E25" s="20"/>
      <c r="F25" s="20"/>
      <c r="G25" s="20"/>
      <c r="H25" s="20"/>
      <c r="I25" s="20"/>
      <c r="J25" s="20"/>
      <c r="K25" s="20"/>
      <c r="L25" s="20"/>
      <c r="M25" s="20"/>
    </row>
    <row r="26" spans="1:13" x14ac:dyDescent="0.2">
      <c r="A26" s="20"/>
      <c r="B26" s="20"/>
      <c r="C26" s="20"/>
      <c r="D26" s="20"/>
      <c r="E26" s="20"/>
      <c r="F26" s="20"/>
      <c r="G26" s="20"/>
      <c r="H26" s="20"/>
      <c r="I26" s="20"/>
      <c r="J26" s="20"/>
      <c r="K26" s="20"/>
      <c r="L26" s="20"/>
      <c r="M26" s="20"/>
    </row>
    <row r="27" spans="1:13" x14ac:dyDescent="0.2">
      <c r="A27" s="20"/>
      <c r="B27" s="20"/>
      <c r="C27" s="20"/>
      <c r="D27" s="20"/>
      <c r="E27" s="20"/>
      <c r="F27" s="20"/>
      <c r="G27" s="20"/>
      <c r="H27" s="20"/>
      <c r="I27" s="20"/>
      <c r="J27" s="20"/>
      <c r="K27" s="20"/>
      <c r="L27" s="20"/>
      <c r="M27" s="20"/>
    </row>
    <row r="28" spans="1:13" x14ac:dyDescent="0.2">
      <c r="A28" s="20"/>
      <c r="B28" s="20"/>
      <c r="C28" s="20"/>
      <c r="D28" s="20"/>
      <c r="E28" s="20"/>
      <c r="F28" s="20"/>
      <c r="G28" s="20"/>
      <c r="H28" s="20"/>
      <c r="I28" s="20"/>
      <c r="J28" s="20"/>
      <c r="K28" s="20"/>
      <c r="L28" s="20"/>
      <c r="M28" s="20"/>
    </row>
    <row r="29" spans="1:13" x14ac:dyDescent="0.2">
      <c r="A29" s="20"/>
      <c r="B29" s="20"/>
      <c r="C29" s="20"/>
      <c r="D29" s="20"/>
      <c r="E29" s="20"/>
      <c r="F29" s="20"/>
      <c r="G29" s="20"/>
      <c r="H29" s="20"/>
      <c r="I29" s="20"/>
      <c r="J29" s="20"/>
      <c r="K29" s="20"/>
      <c r="L29" s="20"/>
      <c r="M29" s="20"/>
    </row>
    <row r="30" spans="1:13" x14ac:dyDescent="0.2">
      <c r="M30" s="20"/>
    </row>
    <row r="31" spans="1:13" x14ac:dyDescent="0.2">
      <c r="A31" s="20"/>
      <c r="B31" s="20"/>
      <c r="C31" s="20"/>
      <c r="D31" s="20"/>
      <c r="E31" s="20"/>
      <c r="F31" s="20"/>
      <c r="G31" s="20"/>
      <c r="H31" s="20"/>
      <c r="I31" s="20"/>
      <c r="J31" s="20"/>
      <c r="K31" s="20"/>
      <c r="L31" s="20"/>
      <c r="M31" s="20"/>
    </row>
  </sheetData>
  <pageMargins left="0.75" right="0.75" top="1" bottom="1" header="0.5" footer="0.5"/>
  <pageSetup orientation="portrait" horizontalDpi="300" verticalDpi="300" r:id="rId1"/>
  <headerFooter alignWithMargins="0"/>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6">
    <pageSetUpPr autoPageBreaks="0"/>
  </sheetPr>
  <dimension ref="A1:N29"/>
  <sheetViews>
    <sheetView zoomScale="160" zoomScaleNormal="160" workbookViewId="0">
      <selection activeCell="E18" sqref="E18"/>
    </sheetView>
  </sheetViews>
  <sheetFormatPr defaultRowHeight="12.75" x14ac:dyDescent="0.2"/>
  <cols>
    <col min="1" max="2" width="8.7109375" customWidth="1"/>
    <col min="4" max="5" width="9" customWidth="1"/>
    <col min="6" max="6" width="9.140625" bestFit="1" customWidth="1"/>
    <col min="7" max="7" width="8.7109375" customWidth="1"/>
    <col min="8" max="8" width="10" customWidth="1"/>
    <col min="9" max="9" width="9.5703125" customWidth="1"/>
    <col min="10" max="10" width="9.5703125" bestFit="1" customWidth="1"/>
    <col min="11" max="12" width="10" bestFit="1" customWidth="1"/>
  </cols>
  <sheetData>
    <row r="1" spans="1:14" s="310" customFormat="1" ht="18" x14ac:dyDescent="0.25">
      <c r="A1" s="265" t="s">
        <v>318</v>
      </c>
      <c r="B1" s="309"/>
      <c r="C1" s="309"/>
      <c r="D1" s="309"/>
      <c r="E1" s="309"/>
      <c r="F1" s="309"/>
      <c r="G1" s="309"/>
      <c r="H1" s="309"/>
      <c r="I1" s="309"/>
      <c r="J1" s="309"/>
      <c r="K1" s="309"/>
    </row>
    <row r="2" spans="1:14" s="298" customFormat="1" hidden="1" x14ac:dyDescent="0.2">
      <c r="A2" s="299"/>
      <c r="B2" s="299"/>
      <c r="C2" s="301"/>
      <c r="D2" s="299"/>
      <c r="E2" s="301"/>
      <c r="F2" s="299"/>
      <c r="G2" s="301"/>
      <c r="H2" s="299"/>
      <c r="I2" s="299"/>
      <c r="J2" s="299"/>
      <c r="K2" s="299"/>
    </row>
    <row r="3" spans="1:14" s="273" customFormat="1" x14ac:dyDescent="0.2">
      <c r="A3" s="274" t="str">
        <f>IF(A2="","",IF(Disable_Video_Hyperlinks,A2,HYPERLINK(Video_website&amp;A2,A2)))</f>
        <v/>
      </c>
      <c r="B3" s="277"/>
      <c r="C3" s="311"/>
      <c r="D3" s="277"/>
      <c r="E3" s="311"/>
      <c r="F3" s="277"/>
      <c r="G3" s="311"/>
      <c r="H3" s="277"/>
      <c r="I3" s="277"/>
      <c r="J3" s="277"/>
      <c r="K3" s="277"/>
    </row>
    <row r="4" spans="1:14" s="91" customFormat="1" x14ac:dyDescent="0.2">
      <c r="A4" s="305" t="str">
        <f>IF(B2="","",B2)</f>
        <v/>
      </c>
      <c r="B4" s="276"/>
      <c r="C4" s="278"/>
      <c r="D4" s="276"/>
      <c r="E4" s="278"/>
      <c r="F4" s="276"/>
      <c r="G4" s="278"/>
      <c r="H4" s="276"/>
      <c r="I4" s="276"/>
      <c r="J4" s="276"/>
      <c r="K4" s="276"/>
      <c r="L4" s="270"/>
    </row>
    <row r="6" spans="1:14" x14ac:dyDescent="0.2">
      <c r="A6" s="117" t="s">
        <v>0</v>
      </c>
      <c r="B6" s="118"/>
      <c r="C6" s="118"/>
      <c r="D6" s="118"/>
      <c r="E6" s="118"/>
      <c r="F6" s="118"/>
      <c r="G6" s="118"/>
      <c r="H6" s="118"/>
      <c r="I6" s="118"/>
      <c r="J6" s="118"/>
      <c r="K6" s="118"/>
      <c r="L6" s="179"/>
    </row>
    <row r="7" spans="1:14" ht="21" customHeight="1" x14ac:dyDescent="0.2">
      <c r="A7" s="117" t="s">
        <v>1</v>
      </c>
      <c r="B7" s="118"/>
      <c r="C7" s="118"/>
      <c r="D7" s="118"/>
      <c r="E7" s="118"/>
      <c r="F7" s="118"/>
      <c r="G7" s="118"/>
      <c r="H7" s="118"/>
      <c r="I7" s="118"/>
      <c r="J7" s="118"/>
      <c r="K7" s="118"/>
      <c r="L7" s="179"/>
    </row>
    <row r="9" spans="1:14" ht="12.75" customHeight="1" x14ac:dyDescent="0.2">
      <c r="A9" s="210" t="s">
        <v>324</v>
      </c>
      <c r="B9" s="171"/>
      <c r="C9" s="171"/>
      <c r="D9" s="7"/>
      <c r="E9" s="210" t="s">
        <v>3</v>
      </c>
      <c r="F9" s="160"/>
      <c r="G9" s="7"/>
      <c r="H9" s="7"/>
      <c r="I9" s="7"/>
      <c r="J9" s="7"/>
      <c r="K9" s="7"/>
      <c r="L9" s="7"/>
      <c r="M9" s="7"/>
      <c r="N9" s="7"/>
    </row>
    <row r="10" spans="1:14" s="103" customFormat="1" ht="38.25" x14ac:dyDescent="0.2">
      <c r="A10" s="198" t="s">
        <v>81</v>
      </c>
      <c r="B10" s="214" t="s">
        <v>241</v>
      </c>
      <c r="C10" s="114"/>
      <c r="D10" s="199"/>
      <c r="E10" s="198" t="s">
        <v>238</v>
      </c>
      <c r="F10" s="198" t="s">
        <v>237</v>
      </c>
      <c r="G10" s="199"/>
      <c r="H10" s="197" t="s">
        <v>323</v>
      </c>
      <c r="I10" s="160"/>
      <c r="J10" s="160"/>
      <c r="K10" s="160"/>
      <c r="L10" s="160"/>
      <c r="M10" s="199"/>
      <c r="N10" s="199"/>
    </row>
    <row r="11" spans="1:14" x14ac:dyDescent="0.2">
      <c r="A11" s="180">
        <v>2.4500000000000002</v>
      </c>
      <c r="B11" s="183">
        <v>0</v>
      </c>
      <c r="C11" s="292">
        <f>B12-1</f>
        <v>59</v>
      </c>
      <c r="D11" s="20"/>
      <c r="E11" s="180">
        <v>0.25</v>
      </c>
      <c r="F11" s="183" t="s">
        <v>8</v>
      </c>
      <c r="G11" s="20"/>
      <c r="H11" s="218" t="s">
        <v>7</v>
      </c>
      <c r="I11" s="20"/>
      <c r="J11" s="153">
        <v>0</v>
      </c>
      <c r="K11" s="153">
        <v>0.15</v>
      </c>
      <c r="L11" s="153">
        <v>0.25</v>
      </c>
      <c r="M11" s="7"/>
      <c r="N11" s="7"/>
    </row>
    <row r="12" spans="1:14" x14ac:dyDescent="0.2">
      <c r="A12" s="184">
        <v>2.27</v>
      </c>
      <c r="B12" s="183">
        <v>60</v>
      </c>
      <c r="C12" s="292">
        <f>B13-1</f>
        <v>119</v>
      </c>
      <c r="D12" s="20"/>
      <c r="E12" s="184">
        <v>0.2</v>
      </c>
      <c r="F12" s="183" t="s">
        <v>10</v>
      </c>
      <c r="G12" s="20"/>
      <c r="H12" s="218" t="s">
        <v>20</v>
      </c>
      <c r="I12" s="20"/>
      <c r="J12" s="201">
        <v>0</v>
      </c>
      <c r="K12" s="201">
        <v>300</v>
      </c>
      <c r="L12" s="201">
        <v>1000</v>
      </c>
      <c r="M12" s="7"/>
      <c r="N12" s="7"/>
    </row>
    <row r="13" spans="1:14" x14ac:dyDescent="0.2">
      <c r="A13" s="184">
        <v>2.12</v>
      </c>
      <c r="B13" s="183">
        <v>120</v>
      </c>
      <c r="C13" s="292">
        <f>B14-1</f>
        <v>239</v>
      </c>
      <c r="D13" s="20"/>
      <c r="E13" s="184">
        <v>0.15</v>
      </c>
      <c r="F13" s="183" t="s">
        <v>12</v>
      </c>
      <c r="G13" s="20"/>
      <c r="M13" s="7"/>
      <c r="N13" s="7"/>
    </row>
    <row r="14" spans="1:14" x14ac:dyDescent="0.2">
      <c r="A14" s="184">
        <v>2</v>
      </c>
      <c r="B14" s="183">
        <v>240</v>
      </c>
      <c r="C14" s="293" t="s">
        <v>218</v>
      </c>
      <c r="D14" s="7"/>
      <c r="E14" s="184">
        <v>0</v>
      </c>
      <c r="F14" s="183" t="s">
        <v>14</v>
      </c>
      <c r="G14" s="7"/>
      <c r="H14" s="7"/>
      <c r="I14" s="7"/>
      <c r="J14" s="7"/>
      <c r="K14" s="7"/>
      <c r="L14" s="7"/>
      <c r="M14" s="7"/>
      <c r="N14" s="7"/>
    </row>
    <row r="15" spans="1:14" x14ac:dyDescent="0.2">
      <c r="A15" s="97"/>
      <c r="B15" s="98"/>
      <c r="C15" s="20"/>
      <c r="D15" s="97"/>
      <c r="E15" s="7"/>
      <c r="F15" s="98"/>
      <c r="G15" s="7"/>
      <c r="H15" s="7"/>
      <c r="I15" s="7"/>
      <c r="J15" s="7"/>
      <c r="K15" s="7"/>
      <c r="L15" s="7"/>
      <c r="M15" s="7"/>
      <c r="N15" s="7"/>
    </row>
    <row r="16" spans="1:14" x14ac:dyDescent="0.2">
      <c r="A16" s="7"/>
      <c r="B16" s="7"/>
      <c r="C16" s="7"/>
      <c r="D16" s="7"/>
      <c r="E16" s="7"/>
      <c r="F16" s="7"/>
      <c r="G16" s="7"/>
      <c r="H16" s="7"/>
      <c r="I16" s="7"/>
      <c r="J16" s="7"/>
      <c r="K16" s="7"/>
      <c r="L16" s="7"/>
      <c r="M16" s="7"/>
      <c r="N16" s="7"/>
    </row>
    <row r="17" spans="1:14" ht="38.25" x14ac:dyDescent="0.2">
      <c r="A17" s="156" t="s">
        <v>15</v>
      </c>
      <c r="B17" s="156" t="s">
        <v>16</v>
      </c>
      <c r="C17" s="188" t="s">
        <v>237</v>
      </c>
      <c r="D17" s="156" t="s">
        <v>18</v>
      </c>
      <c r="E17" s="188" t="s">
        <v>81</v>
      </c>
      <c r="F17" s="120" t="s">
        <v>20</v>
      </c>
      <c r="G17" s="188" t="s">
        <v>238</v>
      </c>
      <c r="H17" s="188" t="s">
        <v>288</v>
      </c>
      <c r="I17" s="120" t="s">
        <v>7</v>
      </c>
      <c r="J17" s="120" t="s">
        <v>23</v>
      </c>
      <c r="K17" s="7"/>
      <c r="L17" s="7"/>
      <c r="M17" s="7"/>
      <c r="N17" s="7"/>
    </row>
    <row r="18" spans="1:14" x14ac:dyDescent="0.2">
      <c r="A18" s="127">
        <v>1</v>
      </c>
      <c r="B18" s="128" t="s">
        <v>24</v>
      </c>
      <c r="C18" s="128" t="s">
        <v>10</v>
      </c>
      <c r="D18" s="127">
        <v>245</v>
      </c>
      <c r="E18" s="157">
        <f xml:space="preserve"> INDEX( $A$11:$A$14, MATCH( D18, $B$11:$B$14, 1 ) )</f>
        <v>2</v>
      </c>
      <c r="F18" s="157">
        <f xml:space="preserve"> D18 * E18</f>
        <v>490</v>
      </c>
      <c r="G18" s="157">
        <f xml:space="preserve"> INDEX( $E$11:$E$14, MATCH( C18, $F$11:$F$14, 0 ) )</f>
        <v>0.2</v>
      </c>
      <c r="H18" s="157">
        <f xml:space="preserve"> G18 * D18</f>
        <v>49</v>
      </c>
      <c r="I18" s="157">
        <f xml:space="preserve"> - INDEX( $J$11:$L$11, MATCH( F18, $J$12:$L$12, 1 ) ) * H18</f>
        <v>-7.35</v>
      </c>
      <c r="J18" s="157">
        <f xml:space="preserve"> F18 + H18 + I18</f>
        <v>531.65</v>
      </c>
      <c r="K18" s="7"/>
      <c r="L18" s="7"/>
      <c r="M18" s="7"/>
      <c r="N18" s="7"/>
    </row>
    <row r="19" spans="1:14" x14ac:dyDescent="0.2">
      <c r="A19" s="127">
        <v>2</v>
      </c>
      <c r="B19" s="128" t="s">
        <v>25</v>
      </c>
      <c r="C19" s="128" t="s">
        <v>10</v>
      </c>
      <c r="D19" s="127">
        <v>30</v>
      </c>
      <c r="E19" s="158">
        <f t="shared" ref="E19:E23" si="0" xml:space="preserve"> INDEX( $A$11:$A$14, MATCH( D19, $B$11:$B$14, 1 ) )</f>
        <v>2.4500000000000002</v>
      </c>
      <c r="F19" s="158">
        <f t="shared" ref="F19:F23" si="1" xml:space="preserve"> D19 * E19</f>
        <v>73.5</v>
      </c>
      <c r="G19" s="158">
        <f t="shared" ref="G19:G23" si="2" xml:space="preserve"> INDEX( $E$11:$E$14, MATCH( C19, $F$11:$F$14, 0 ) )</f>
        <v>0.2</v>
      </c>
      <c r="H19" s="158">
        <f t="shared" ref="H19:H23" si="3" xml:space="preserve"> G19 * D19</f>
        <v>6</v>
      </c>
      <c r="I19" s="158">
        <f t="shared" ref="I19:I23" si="4" xml:space="preserve"> - INDEX( $J$11:$L$11, MATCH( F19, $J$12:$L$12, 1 ) ) * H19</f>
        <v>0</v>
      </c>
      <c r="J19" s="158">
        <f t="shared" ref="J19:J23" si="5" xml:space="preserve"> F19 + H19 + I19</f>
        <v>79.5</v>
      </c>
      <c r="K19" s="7"/>
      <c r="L19" s="7"/>
      <c r="M19" s="7"/>
      <c r="N19" s="7"/>
    </row>
    <row r="20" spans="1:14" x14ac:dyDescent="0.2">
      <c r="A20" s="127">
        <v>3</v>
      </c>
      <c r="B20" s="128" t="s">
        <v>26</v>
      </c>
      <c r="C20" s="128" t="s">
        <v>12</v>
      </c>
      <c r="D20" s="127">
        <v>160</v>
      </c>
      <c r="E20" s="158">
        <f t="shared" si="0"/>
        <v>2.12</v>
      </c>
      <c r="F20" s="158">
        <f t="shared" si="1"/>
        <v>339.20000000000005</v>
      </c>
      <c r="G20" s="158">
        <f t="shared" si="2"/>
        <v>0.15</v>
      </c>
      <c r="H20" s="158">
        <f t="shared" si="3"/>
        <v>24</v>
      </c>
      <c r="I20" s="158">
        <f t="shared" si="4"/>
        <v>-3.5999999999999996</v>
      </c>
      <c r="J20" s="158">
        <f t="shared" si="5"/>
        <v>359.6</v>
      </c>
      <c r="K20" s="7"/>
      <c r="L20" s="7"/>
      <c r="M20" s="7"/>
      <c r="N20" s="7"/>
    </row>
    <row r="21" spans="1:14" x14ac:dyDescent="0.2">
      <c r="A21" s="127">
        <v>4</v>
      </c>
      <c r="B21" s="128" t="s">
        <v>27</v>
      </c>
      <c r="C21" s="128" t="s">
        <v>8</v>
      </c>
      <c r="D21" s="127">
        <v>215</v>
      </c>
      <c r="E21" s="158">
        <f t="shared" si="0"/>
        <v>2.12</v>
      </c>
      <c r="F21" s="158">
        <f t="shared" si="1"/>
        <v>455.8</v>
      </c>
      <c r="G21" s="158">
        <f t="shared" si="2"/>
        <v>0.25</v>
      </c>
      <c r="H21" s="158">
        <f t="shared" si="3"/>
        <v>53.75</v>
      </c>
      <c r="I21" s="158">
        <f t="shared" si="4"/>
        <v>-8.0625</v>
      </c>
      <c r="J21" s="158">
        <f t="shared" si="5"/>
        <v>501.48750000000001</v>
      </c>
      <c r="K21" s="7"/>
      <c r="L21" s="7"/>
      <c r="M21" s="7"/>
      <c r="N21" s="7"/>
    </row>
    <row r="22" spans="1:14" x14ac:dyDescent="0.2">
      <c r="A22" s="127">
        <v>5</v>
      </c>
      <c r="B22" s="128" t="s">
        <v>28</v>
      </c>
      <c r="C22" s="128" t="s">
        <v>8</v>
      </c>
      <c r="D22" s="127">
        <v>90</v>
      </c>
      <c r="E22" s="158">
        <f t="shared" si="0"/>
        <v>2.27</v>
      </c>
      <c r="F22" s="158">
        <f t="shared" si="1"/>
        <v>204.3</v>
      </c>
      <c r="G22" s="158">
        <f t="shared" si="2"/>
        <v>0.25</v>
      </c>
      <c r="H22" s="158">
        <f t="shared" si="3"/>
        <v>22.5</v>
      </c>
      <c r="I22" s="158">
        <f t="shared" si="4"/>
        <v>0</v>
      </c>
      <c r="J22" s="158">
        <f t="shared" si="5"/>
        <v>226.8</v>
      </c>
      <c r="K22" s="7"/>
      <c r="L22" s="7"/>
      <c r="M22" s="7"/>
      <c r="N22" s="7"/>
    </row>
    <row r="23" spans="1:14" x14ac:dyDescent="0.2">
      <c r="A23" s="127">
        <v>6</v>
      </c>
      <c r="B23" s="128" t="s">
        <v>29</v>
      </c>
      <c r="C23" s="128" t="s">
        <v>14</v>
      </c>
      <c r="D23" s="127">
        <v>15</v>
      </c>
      <c r="E23" s="158">
        <f t="shared" si="0"/>
        <v>2.4500000000000002</v>
      </c>
      <c r="F23" s="158">
        <f t="shared" si="1"/>
        <v>36.75</v>
      </c>
      <c r="G23" s="158">
        <f t="shared" si="2"/>
        <v>0</v>
      </c>
      <c r="H23" s="158">
        <f t="shared" si="3"/>
        <v>0</v>
      </c>
      <c r="I23" s="158">
        <f t="shared" si="4"/>
        <v>0</v>
      </c>
      <c r="J23" s="158">
        <f t="shared" si="5"/>
        <v>36.75</v>
      </c>
      <c r="K23" s="7"/>
      <c r="L23" s="7"/>
      <c r="M23" s="7"/>
      <c r="N23" s="7"/>
    </row>
    <row r="24" spans="1:14" s="99" customFormat="1" x14ac:dyDescent="0.2">
      <c r="A24" s="20"/>
      <c r="B24" s="20"/>
      <c r="C24" s="20"/>
      <c r="D24" s="20"/>
      <c r="E24" s="20"/>
      <c r="F24" s="20"/>
      <c r="G24" s="20"/>
      <c r="H24" s="20"/>
      <c r="I24" s="20"/>
      <c r="J24" s="20"/>
      <c r="K24" s="20"/>
      <c r="L24" s="20"/>
      <c r="M24" s="20"/>
      <c r="N24" s="20"/>
    </row>
    <row r="25" spans="1:14" x14ac:dyDescent="0.2">
      <c r="A25" s="215"/>
      <c r="B25" s="7"/>
      <c r="C25" s="7"/>
      <c r="D25" s="7"/>
      <c r="E25" s="7"/>
      <c r="F25" s="7"/>
      <c r="G25" s="7"/>
      <c r="H25" s="7"/>
      <c r="I25" s="7"/>
      <c r="J25" s="7"/>
      <c r="K25" s="7"/>
      <c r="L25" s="7"/>
      <c r="M25" s="7"/>
      <c r="N25" s="7"/>
    </row>
    <row r="26" spans="1:14" x14ac:dyDescent="0.2">
      <c r="A26" s="7"/>
      <c r="B26" s="7"/>
      <c r="C26" s="7"/>
      <c r="D26" s="7"/>
      <c r="E26" s="7"/>
      <c r="F26" s="7"/>
      <c r="G26" s="7"/>
      <c r="H26" s="7"/>
      <c r="I26" s="7"/>
      <c r="J26" s="7"/>
      <c r="K26" s="7"/>
      <c r="L26" s="7"/>
      <c r="M26" s="7"/>
      <c r="N26" s="7"/>
    </row>
    <row r="27" spans="1:14" x14ac:dyDescent="0.2">
      <c r="A27" s="7"/>
      <c r="B27" s="7"/>
      <c r="C27" s="7"/>
      <c r="D27" s="7"/>
      <c r="E27" s="7"/>
      <c r="F27" s="7"/>
      <c r="G27" s="7"/>
      <c r="H27" s="7"/>
      <c r="I27" s="7"/>
      <c r="J27" s="7"/>
      <c r="K27" s="7"/>
      <c r="L27" s="7"/>
      <c r="M27" s="7"/>
      <c r="N27" s="7"/>
    </row>
    <row r="28" spans="1:14" x14ac:dyDescent="0.2">
      <c r="A28" s="7"/>
      <c r="B28" s="7"/>
      <c r="C28" s="7"/>
      <c r="D28" s="7"/>
      <c r="E28" s="7"/>
      <c r="F28" s="7"/>
      <c r="G28" s="7"/>
      <c r="H28" s="7"/>
      <c r="I28" s="7"/>
      <c r="J28" s="7"/>
      <c r="K28" s="7"/>
      <c r="L28" s="7"/>
      <c r="M28" s="7"/>
      <c r="N28" s="7"/>
    </row>
    <row r="29" spans="1:14" x14ac:dyDescent="0.2">
      <c r="A29" s="7"/>
      <c r="B29" s="7"/>
      <c r="C29" s="7"/>
      <c r="D29" s="7"/>
      <c r="E29" s="7"/>
      <c r="F29" s="7"/>
      <c r="G29" s="7"/>
      <c r="H29" s="7"/>
      <c r="I29" s="7"/>
      <c r="J29" s="7"/>
      <c r="K29" s="7"/>
      <c r="L29" s="7"/>
      <c r="M29" s="7"/>
      <c r="N29" s="7"/>
    </row>
  </sheetData>
  <pageMargins left="0.75" right="0.75" top="1" bottom="1" header="0.5" footer="0.5"/>
  <pageSetup orientation="portrait" horizontalDpi="300" verticalDpi="300" r:id="rId1"/>
  <headerFooter alignWithMargins="0"/>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37">
    <pageSetUpPr autoPageBreaks="0"/>
  </sheetPr>
  <dimension ref="A1:M25"/>
  <sheetViews>
    <sheetView zoomScale="160" zoomScaleNormal="160" workbookViewId="0">
      <selection activeCell="G18" sqref="G18"/>
    </sheetView>
  </sheetViews>
  <sheetFormatPr defaultRowHeight="12.75" x14ac:dyDescent="0.2"/>
  <cols>
    <col min="1" max="2" width="8.7109375" customWidth="1"/>
    <col min="4" max="5" width="9" customWidth="1"/>
    <col min="6" max="6" width="9.140625" bestFit="1" customWidth="1"/>
    <col min="7" max="7" width="8.7109375" customWidth="1"/>
    <col min="8" max="8" width="10" customWidth="1"/>
    <col min="9" max="9" width="9.5703125" customWidth="1"/>
    <col min="10" max="10" width="9.5703125" bestFit="1" customWidth="1"/>
    <col min="11" max="13" width="10" bestFit="1" customWidth="1"/>
  </cols>
  <sheetData>
    <row r="1" spans="1:13" s="310" customFormat="1" ht="18" x14ac:dyDescent="0.25">
      <c r="A1" s="265" t="s">
        <v>319</v>
      </c>
      <c r="B1" s="309"/>
      <c r="C1" s="309"/>
      <c r="D1" s="309"/>
      <c r="E1" s="309"/>
      <c r="F1" s="309"/>
      <c r="G1" s="309"/>
      <c r="H1" s="309"/>
      <c r="I1" s="309"/>
      <c r="J1" s="309"/>
      <c r="K1" s="309"/>
    </row>
    <row r="2" spans="1:13" s="298" customFormat="1" hidden="1" x14ac:dyDescent="0.2">
      <c r="A2" s="299"/>
      <c r="B2" s="299"/>
      <c r="C2" s="301"/>
      <c r="D2" s="299"/>
      <c r="E2" s="301"/>
      <c r="F2" s="299"/>
      <c r="G2" s="301"/>
      <c r="H2" s="299"/>
      <c r="I2" s="299"/>
      <c r="J2" s="299"/>
      <c r="K2" s="299"/>
    </row>
    <row r="3" spans="1:13" s="273" customFormat="1" x14ac:dyDescent="0.2">
      <c r="A3" s="274" t="str">
        <f>IF(A2="","",IF(Disable_Video_Hyperlinks,A2,HYPERLINK(Video_website&amp;A2,A2)))</f>
        <v/>
      </c>
      <c r="B3" s="277"/>
      <c r="C3" s="311"/>
      <c r="D3" s="277"/>
      <c r="E3" s="311"/>
      <c r="F3" s="277"/>
      <c r="G3" s="311"/>
      <c r="H3" s="277"/>
      <c r="I3" s="277"/>
      <c r="J3" s="277"/>
      <c r="K3" s="277"/>
    </row>
    <row r="4" spans="1:13" s="91" customFormat="1" x14ac:dyDescent="0.2">
      <c r="A4" s="305" t="str">
        <f>IF(B2="","",B2)</f>
        <v/>
      </c>
      <c r="B4" s="276"/>
      <c r="C4" s="278"/>
      <c r="D4" s="276"/>
      <c r="E4" s="278"/>
      <c r="F4" s="276"/>
      <c r="G4" s="278"/>
      <c r="H4" s="276"/>
      <c r="I4" s="276"/>
      <c r="J4" s="276"/>
      <c r="K4" s="276"/>
      <c r="L4" s="270"/>
      <c r="M4" s="270"/>
    </row>
    <row r="5" spans="1:13" x14ac:dyDescent="0.2">
      <c r="A5" s="87"/>
      <c r="B5" s="87"/>
      <c r="C5" s="87"/>
      <c r="D5" s="87"/>
      <c r="E5" s="87"/>
      <c r="F5" s="87"/>
      <c r="G5" s="87"/>
      <c r="H5" s="87"/>
      <c r="I5" s="87"/>
      <c r="J5" s="87"/>
      <c r="K5" s="87"/>
      <c r="L5" s="87"/>
      <c r="M5" s="87"/>
    </row>
    <row r="6" spans="1:13" x14ac:dyDescent="0.2">
      <c r="A6" s="117" t="s">
        <v>0</v>
      </c>
      <c r="B6" s="118"/>
      <c r="C6" s="118"/>
      <c r="D6" s="118"/>
      <c r="E6" s="118"/>
      <c r="F6" s="118"/>
      <c r="G6" s="118"/>
      <c r="H6" s="118"/>
      <c r="I6" s="118"/>
      <c r="J6" s="118"/>
      <c r="K6" s="118"/>
      <c r="L6" s="179"/>
      <c r="M6" s="179"/>
    </row>
    <row r="7" spans="1:13" ht="21" customHeight="1" x14ac:dyDescent="0.2">
      <c r="A7" s="117" t="s">
        <v>1</v>
      </c>
      <c r="B7" s="118"/>
      <c r="C7" s="118"/>
      <c r="D7" s="118"/>
      <c r="E7" s="118"/>
      <c r="F7" s="118"/>
      <c r="G7" s="118"/>
      <c r="H7" s="118"/>
      <c r="I7" s="118"/>
      <c r="J7" s="118"/>
      <c r="K7" s="118"/>
      <c r="L7" s="179"/>
      <c r="M7" s="179"/>
    </row>
    <row r="8" spans="1:13" x14ac:dyDescent="0.2">
      <c r="A8" s="7"/>
      <c r="B8" s="7"/>
      <c r="C8" s="7"/>
      <c r="D8" s="7"/>
      <c r="E8" s="7"/>
      <c r="F8" s="7"/>
      <c r="G8" s="7"/>
      <c r="H8" s="7"/>
      <c r="I8" s="7"/>
      <c r="J8" s="7"/>
      <c r="K8" s="7"/>
      <c r="L8" s="7"/>
      <c r="M8" s="7"/>
    </row>
    <row r="9" spans="1:13" ht="12.75" customHeight="1" x14ac:dyDescent="0.2">
      <c r="A9" s="210" t="s">
        <v>324</v>
      </c>
      <c r="B9" s="171"/>
      <c r="C9" s="171"/>
      <c r="D9" s="7"/>
      <c r="E9" s="210" t="s">
        <v>3</v>
      </c>
      <c r="F9" s="160"/>
      <c r="G9" s="7"/>
      <c r="H9" s="7"/>
      <c r="I9" s="7"/>
      <c r="J9" s="7"/>
      <c r="K9" s="7"/>
      <c r="L9" s="7"/>
    </row>
    <row r="10" spans="1:13" s="103" customFormat="1" ht="38.25" x14ac:dyDescent="0.2">
      <c r="A10" s="216" t="s">
        <v>241</v>
      </c>
      <c r="B10" s="216"/>
      <c r="C10" s="216" t="s">
        <v>81</v>
      </c>
      <c r="D10" s="199"/>
      <c r="E10" s="216" t="s">
        <v>237</v>
      </c>
      <c r="F10" s="216" t="s">
        <v>238</v>
      </c>
      <c r="G10" s="199"/>
      <c r="H10" s="197" t="s">
        <v>323</v>
      </c>
      <c r="I10" s="160"/>
      <c r="J10" s="160"/>
      <c r="K10" s="160"/>
      <c r="L10" s="160"/>
    </row>
    <row r="11" spans="1:13" x14ac:dyDescent="0.2">
      <c r="A11" s="183">
        <v>240</v>
      </c>
      <c r="B11" s="294">
        <v>1000</v>
      </c>
      <c r="C11" s="180">
        <v>2</v>
      </c>
      <c r="D11" s="20"/>
      <c r="E11" s="183" t="s">
        <v>8</v>
      </c>
      <c r="F11" s="180">
        <v>0.25</v>
      </c>
      <c r="G11" s="20"/>
      <c r="H11" s="218" t="s">
        <v>20</v>
      </c>
      <c r="I11" s="20"/>
      <c r="J11" s="201">
        <v>0</v>
      </c>
      <c r="K11" s="201">
        <v>300</v>
      </c>
      <c r="L11" s="201">
        <v>1000</v>
      </c>
    </row>
    <row r="12" spans="1:13" x14ac:dyDescent="0.2">
      <c r="A12" s="183">
        <v>120</v>
      </c>
      <c r="B12" s="294">
        <v>239</v>
      </c>
      <c r="C12" s="184">
        <v>2.12</v>
      </c>
      <c r="D12" s="20"/>
      <c r="E12" s="183" t="s">
        <v>10</v>
      </c>
      <c r="F12" s="184">
        <v>0.2</v>
      </c>
      <c r="G12" s="20"/>
      <c r="H12" s="218" t="s">
        <v>7</v>
      </c>
      <c r="I12" s="20"/>
      <c r="J12" s="153">
        <v>0</v>
      </c>
      <c r="K12" s="153">
        <v>0.15</v>
      </c>
      <c r="L12" s="153">
        <v>0.25</v>
      </c>
    </row>
    <row r="13" spans="1:13" x14ac:dyDescent="0.2">
      <c r="A13" s="183">
        <v>60</v>
      </c>
      <c r="B13" s="294">
        <v>119</v>
      </c>
      <c r="C13" s="184">
        <v>2.27</v>
      </c>
      <c r="D13" s="20"/>
      <c r="E13" s="183" t="s">
        <v>12</v>
      </c>
      <c r="F13" s="184">
        <v>0.15</v>
      </c>
      <c r="G13" s="20"/>
      <c r="H13" s="20"/>
      <c r="I13" s="20"/>
      <c r="J13" s="20"/>
      <c r="K13" s="20"/>
      <c r="L13" s="20"/>
    </row>
    <row r="14" spans="1:13" x14ac:dyDescent="0.2">
      <c r="A14" s="183">
        <v>0</v>
      </c>
      <c r="B14" s="294">
        <v>59</v>
      </c>
      <c r="C14" s="184">
        <v>2.4500000000000002</v>
      </c>
      <c r="D14" s="20"/>
      <c r="E14" s="183" t="s">
        <v>14</v>
      </c>
      <c r="F14" s="184">
        <v>0</v>
      </c>
      <c r="G14" s="20"/>
      <c r="H14" s="20"/>
      <c r="I14" s="20"/>
      <c r="J14" s="20"/>
      <c r="K14" s="20"/>
      <c r="L14" s="20"/>
    </row>
    <row r="15" spans="1:13" x14ac:dyDescent="0.2">
      <c r="A15" s="97"/>
      <c r="B15" s="98"/>
      <c r="C15" s="20"/>
      <c r="D15" s="97"/>
      <c r="E15" s="7"/>
      <c r="F15" s="98"/>
      <c r="G15" s="7"/>
      <c r="H15" s="7"/>
      <c r="I15" s="7"/>
      <c r="J15" s="7"/>
      <c r="K15" s="7"/>
      <c r="L15" s="7"/>
      <c r="M15" s="7"/>
    </row>
    <row r="16" spans="1:13" x14ac:dyDescent="0.2">
      <c r="A16" s="7"/>
      <c r="B16" s="7"/>
      <c r="C16" s="7"/>
      <c r="D16" s="7"/>
      <c r="E16" s="7"/>
      <c r="F16" s="7"/>
      <c r="G16" s="7"/>
      <c r="H16" s="7"/>
      <c r="I16" s="7"/>
      <c r="J16" s="7"/>
      <c r="K16" s="7"/>
      <c r="L16" s="7"/>
      <c r="M16" s="7"/>
    </row>
    <row r="17" spans="1:13" ht="38.25" x14ac:dyDescent="0.2">
      <c r="A17" s="156" t="s">
        <v>15</v>
      </c>
      <c r="B17" s="156" t="s">
        <v>16</v>
      </c>
      <c r="C17" s="188" t="s">
        <v>237</v>
      </c>
      <c r="D17" s="156" t="s">
        <v>18</v>
      </c>
      <c r="E17" s="188" t="s">
        <v>81</v>
      </c>
      <c r="F17" s="120" t="s">
        <v>20</v>
      </c>
      <c r="G17" s="188" t="s">
        <v>238</v>
      </c>
      <c r="H17" s="188" t="s">
        <v>288</v>
      </c>
      <c r="I17" s="120" t="s">
        <v>7</v>
      </c>
      <c r="J17" s="120" t="s">
        <v>23</v>
      </c>
      <c r="L17" s="109" t="s">
        <v>353</v>
      </c>
    </row>
    <row r="18" spans="1:13" x14ac:dyDescent="0.2">
      <c r="A18" s="127">
        <v>1</v>
      </c>
      <c r="B18" s="128" t="s">
        <v>24</v>
      </c>
      <c r="C18" s="128" t="s">
        <v>10</v>
      </c>
      <c r="D18" s="127">
        <v>245</v>
      </c>
      <c r="E18" s="157">
        <f xml:space="preserve"> INDEX( $C$11:$C$14, MATCH( D18, $B$11:$B$14, -1 ) )</f>
        <v>2</v>
      </c>
      <c r="F18" s="157">
        <f xml:space="preserve"> D18 * E18</f>
        <v>490</v>
      </c>
      <c r="G18" s="157">
        <f xml:space="preserve"> INDEX( $F$11:$F$14, MATCH( C18, $E$11:$E$14, 0 ) )</f>
        <v>0.2</v>
      </c>
      <c r="H18" s="157">
        <f xml:space="preserve"> G18 * D18</f>
        <v>49</v>
      </c>
      <c r="I18" s="157">
        <f xml:space="preserve"> - INDEX( $J$12:$L$12, MATCH( F18, $J$11:$L$11, 1 ) ) * H18</f>
        <v>-7.35</v>
      </c>
      <c r="J18" s="157">
        <f xml:space="preserve"> F18 + H18 + I18</f>
        <v>531.65</v>
      </c>
      <c r="K18">
        <v>0</v>
      </c>
      <c r="L18" s="321" t="s">
        <v>283</v>
      </c>
    </row>
    <row r="19" spans="1:13" x14ac:dyDescent="0.2">
      <c r="A19" s="127">
        <v>2</v>
      </c>
      <c r="B19" s="128" t="s">
        <v>25</v>
      </c>
      <c r="C19" s="128" t="s">
        <v>10</v>
      </c>
      <c r="D19" s="127">
        <v>30</v>
      </c>
      <c r="E19" s="158">
        <f t="shared" ref="E19:E23" si="0" xml:space="preserve"> INDEX( $C$11:$C$14, MATCH( D19, $B$11:$B$14, -1 ) )</f>
        <v>2.4500000000000002</v>
      </c>
      <c r="F19" s="158">
        <f t="shared" ref="F19:F23" si="1" xml:space="preserve"> D19 * E19</f>
        <v>73.5</v>
      </c>
      <c r="G19" s="158">
        <f t="shared" ref="G19:G23" si="2" xml:space="preserve"> INDEX( $F$11:$F$14, MATCH( C19, $E$11:$E$14, 0 ) )</f>
        <v>0.2</v>
      </c>
      <c r="H19" s="158">
        <f t="shared" ref="H19:H23" si="3" xml:space="preserve"> G19 * D19</f>
        <v>6</v>
      </c>
      <c r="I19" s="158">
        <f t="shared" ref="I19:I23" si="4" xml:space="preserve"> - INDEX( $J$12:$L$12, MATCH( F19, $J$11:$L$11, 1 ) ) * H19</f>
        <v>0</v>
      </c>
      <c r="J19" s="158">
        <f t="shared" ref="J19:J23" si="5" xml:space="preserve"> F19 + H19 + I19</f>
        <v>79.5</v>
      </c>
      <c r="K19">
        <v>1</v>
      </c>
      <c r="L19" s="321" t="s">
        <v>284</v>
      </c>
    </row>
    <row r="20" spans="1:13" x14ac:dyDescent="0.2">
      <c r="A20" s="127">
        <v>3</v>
      </c>
      <c r="B20" s="128" t="s">
        <v>26</v>
      </c>
      <c r="C20" s="128" t="s">
        <v>12</v>
      </c>
      <c r="D20" s="127">
        <v>160</v>
      </c>
      <c r="E20" s="158">
        <f t="shared" si="0"/>
        <v>2.12</v>
      </c>
      <c r="F20" s="158">
        <f t="shared" si="1"/>
        <v>339.20000000000005</v>
      </c>
      <c r="G20" s="158">
        <f t="shared" si="2"/>
        <v>0.15</v>
      </c>
      <c r="H20" s="158">
        <f t="shared" si="3"/>
        <v>24</v>
      </c>
      <c r="I20" s="158">
        <f t="shared" si="4"/>
        <v>-3.5999999999999996</v>
      </c>
      <c r="J20" s="158">
        <f t="shared" si="5"/>
        <v>359.6</v>
      </c>
      <c r="K20">
        <v>-1</v>
      </c>
      <c r="L20" s="321" t="s">
        <v>285</v>
      </c>
    </row>
    <row r="21" spans="1:13" x14ac:dyDescent="0.2">
      <c r="A21" s="127">
        <v>4</v>
      </c>
      <c r="B21" s="128" t="s">
        <v>27</v>
      </c>
      <c r="C21" s="128" t="s">
        <v>8</v>
      </c>
      <c r="D21" s="127">
        <v>215</v>
      </c>
      <c r="E21" s="158">
        <f t="shared" si="0"/>
        <v>2.12</v>
      </c>
      <c r="F21" s="158">
        <f t="shared" si="1"/>
        <v>455.8</v>
      </c>
      <c r="G21" s="158">
        <f t="shared" si="2"/>
        <v>0.25</v>
      </c>
      <c r="H21" s="158">
        <f t="shared" si="3"/>
        <v>53.75</v>
      </c>
      <c r="I21" s="158">
        <f t="shared" si="4"/>
        <v>-8.0625</v>
      </c>
      <c r="J21" s="158">
        <f t="shared" si="5"/>
        <v>501.48750000000001</v>
      </c>
    </row>
    <row r="22" spans="1:13" x14ac:dyDescent="0.2">
      <c r="A22" s="127">
        <v>5</v>
      </c>
      <c r="B22" s="128" t="s">
        <v>28</v>
      </c>
      <c r="C22" s="128" t="s">
        <v>8</v>
      </c>
      <c r="D22" s="127">
        <v>90</v>
      </c>
      <c r="E22" s="158">
        <f t="shared" si="0"/>
        <v>2.27</v>
      </c>
      <c r="F22" s="158">
        <f t="shared" si="1"/>
        <v>204.3</v>
      </c>
      <c r="G22" s="158">
        <f t="shared" si="2"/>
        <v>0.25</v>
      </c>
      <c r="H22" s="158">
        <f t="shared" si="3"/>
        <v>22.5</v>
      </c>
      <c r="I22" s="158">
        <f t="shared" si="4"/>
        <v>0</v>
      </c>
      <c r="J22" s="158">
        <f t="shared" si="5"/>
        <v>226.8</v>
      </c>
      <c r="K22" s="7"/>
      <c r="L22" s="7"/>
      <c r="M22" s="295"/>
    </row>
    <row r="23" spans="1:13" x14ac:dyDescent="0.2">
      <c r="A23" s="127">
        <v>6</v>
      </c>
      <c r="B23" s="128" t="s">
        <v>29</v>
      </c>
      <c r="C23" s="128" t="s">
        <v>14</v>
      </c>
      <c r="D23" s="127">
        <v>15</v>
      </c>
      <c r="E23" s="158">
        <f t="shared" si="0"/>
        <v>2.4500000000000002</v>
      </c>
      <c r="F23" s="158">
        <f t="shared" si="1"/>
        <v>36.75</v>
      </c>
      <c r="G23" s="158">
        <f t="shared" si="2"/>
        <v>0</v>
      </c>
      <c r="H23" s="158">
        <f t="shared" si="3"/>
        <v>0</v>
      </c>
      <c r="I23" s="158">
        <f t="shared" si="4"/>
        <v>0</v>
      </c>
      <c r="J23" s="158">
        <f t="shared" si="5"/>
        <v>36.75</v>
      </c>
      <c r="K23" s="7"/>
      <c r="L23" s="7"/>
      <c r="M23" s="7"/>
    </row>
    <row r="24" spans="1:13" s="99" customFormat="1" x14ac:dyDescent="0.2">
      <c r="A24" s="20"/>
      <c r="B24" s="20"/>
      <c r="C24" s="20"/>
      <c r="D24" s="20"/>
      <c r="E24" s="20"/>
      <c r="F24" s="20"/>
      <c r="G24" s="20"/>
      <c r="H24" s="20"/>
      <c r="I24" s="20"/>
      <c r="J24" s="20"/>
      <c r="K24" s="20"/>
      <c r="L24" s="20"/>
      <c r="M24" s="20"/>
    </row>
    <row r="25" spans="1:13" x14ac:dyDescent="0.2">
      <c r="A25" s="104"/>
    </row>
  </sheetData>
  <sortState xmlns:xlrd2="http://schemas.microsoft.com/office/spreadsheetml/2017/richdata2" ref="C11:C14">
    <sortCondition ref="C11"/>
  </sortState>
  <pageMargins left="0.75" right="0.75" top="1" bottom="1" header="0.5" footer="0.5"/>
  <pageSetup orientation="portrait" horizontalDpi="300" verticalDpi="300" r:id="rId1"/>
  <headerFooter alignWithMargins="0"/>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DD619-F793-4697-BE48-A993F765B09E}">
  <sheetPr codeName="Sheet45">
    <pageSetUpPr autoPageBreaks="0"/>
  </sheetPr>
  <dimension ref="A1:L31"/>
  <sheetViews>
    <sheetView zoomScale="160" zoomScaleNormal="160" workbookViewId="0">
      <selection activeCell="A4" sqref="A4"/>
    </sheetView>
  </sheetViews>
  <sheetFormatPr defaultRowHeight="12.75" x14ac:dyDescent="0.2"/>
  <cols>
    <col min="1" max="2" width="8.7109375" customWidth="1"/>
    <col min="4" max="5" width="9" customWidth="1"/>
    <col min="6" max="6" width="10.42578125" customWidth="1"/>
    <col min="7" max="7" width="8.7109375" customWidth="1"/>
    <col min="8" max="8" width="10" customWidth="1"/>
    <col min="9" max="9" width="9.5703125" customWidth="1"/>
    <col min="10" max="10" width="9.5703125" bestFit="1" customWidth="1"/>
  </cols>
  <sheetData>
    <row r="1" spans="1:12" s="310" customFormat="1" ht="18" x14ac:dyDescent="0.25">
      <c r="A1" s="265" t="s">
        <v>328</v>
      </c>
      <c r="B1" s="309"/>
      <c r="C1" s="309"/>
      <c r="D1" s="309"/>
      <c r="E1" s="309"/>
      <c r="F1" s="309"/>
      <c r="G1" s="309"/>
      <c r="H1" s="309"/>
      <c r="I1" s="309"/>
      <c r="J1" s="309"/>
    </row>
    <row r="2" spans="1:12" s="298" customFormat="1" hidden="1" x14ac:dyDescent="0.2">
      <c r="A2" s="299"/>
      <c r="B2" s="299"/>
      <c r="C2" s="301"/>
      <c r="D2" s="299"/>
      <c r="E2" s="301"/>
      <c r="F2" s="299"/>
      <c r="G2" s="301"/>
      <c r="H2" s="299"/>
      <c r="I2" s="299"/>
      <c r="J2" s="299"/>
    </row>
    <row r="3" spans="1:12" s="273" customFormat="1" x14ac:dyDescent="0.2">
      <c r="A3" s="274" t="str">
        <f>IF(A2="","",IF(Disable_Video_Hyperlinks,A2,HYPERLINK(Video_website&amp;A2,A2)))</f>
        <v/>
      </c>
      <c r="B3" s="277"/>
      <c r="C3" s="311"/>
      <c r="D3" s="277"/>
      <c r="E3" s="311"/>
      <c r="F3" s="277"/>
      <c r="G3" s="311"/>
      <c r="H3" s="277"/>
      <c r="I3" s="277"/>
      <c r="J3" s="277"/>
    </row>
    <row r="4" spans="1:12" s="91" customFormat="1" x14ac:dyDescent="0.2">
      <c r="A4" s="305" t="str">
        <f>IF(B2="","",B2)</f>
        <v/>
      </c>
      <c r="B4" s="276"/>
      <c r="C4" s="278"/>
      <c r="D4" s="276"/>
      <c r="E4" s="278"/>
      <c r="F4" s="276"/>
      <c r="G4" s="278"/>
      <c r="H4" s="276"/>
      <c r="I4" s="276"/>
      <c r="J4" s="276"/>
    </row>
    <row r="5" spans="1:12" x14ac:dyDescent="0.2">
      <c r="A5" s="20"/>
      <c r="B5" s="20"/>
      <c r="C5" s="20"/>
      <c r="D5" s="20"/>
      <c r="E5" s="20"/>
      <c r="F5" s="20"/>
      <c r="G5" s="20"/>
      <c r="H5" s="20"/>
      <c r="I5" s="20"/>
      <c r="J5" s="20"/>
      <c r="K5" s="20"/>
      <c r="L5" s="20"/>
    </row>
    <row r="6" spans="1:12" x14ac:dyDescent="0.2">
      <c r="A6" s="212" t="s">
        <v>0</v>
      </c>
      <c r="B6" s="213"/>
      <c r="C6" s="213"/>
      <c r="D6" s="213"/>
      <c r="E6" s="213"/>
      <c r="F6" s="213"/>
      <c r="G6" s="213"/>
      <c r="H6" s="213"/>
      <c r="I6" s="213"/>
      <c r="J6" s="213"/>
      <c r="K6" s="20"/>
      <c r="L6" s="20"/>
    </row>
    <row r="7" spans="1:12" ht="21" customHeight="1" x14ac:dyDescent="0.2">
      <c r="A7" s="212" t="s">
        <v>1</v>
      </c>
      <c r="B7" s="213"/>
      <c r="C7" s="213"/>
      <c r="D7" s="213"/>
      <c r="E7" s="213"/>
      <c r="F7" s="213"/>
      <c r="G7" s="213"/>
      <c r="H7" s="213"/>
      <c r="I7" s="213"/>
      <c r="J7" s="213"/>
      <c r="K7" s="20"/>
      <c r="L7" s="20"/>
    </row>
    <row r="8" spans="1:12" x14ac:dyDescent="0.2">
      <c r="A8" s="20"/>
      <c r="B8" s="20"/>
      <c r="C8" s="20"/>
      <c r="D8" s="20"/>
      <c r="E8" s="20"/>
      <c r="F8" s="20"/>
      <c r="G8" s="20"/>
      <c r="H8" s="20"/>
      <c r="I8" s="20"/>
      <c r="J8" s="20"/>
      <c r="K8" s="20"/>
      <c r="L8" s="20"/>
    </row>
    <row r="9" spans="1:12" ht="12.75" customHeight="1" x14ac:dyDescent="0.2">
      <c r="A9" s="210" t="s">
        <v>324</v>
      </c>
      <c r="B9" s="171"/>
      <c r="C9" s="171"/>
      <c r="D9" s="7"/>
      <c r="E9" s="210" t="s">
        <v>3</v>
      </c>
      <c r="F9" s="160"/>
      <c r="G9" s="20"/>
      <c r="H9" s="210" t="s">
        <v>7</v>
      </c>
      <c r="I9" s="160"/>
      <c r="J9" s="160"/>
      <c r="K9" s="20"/>
      <c r="L9" s="20"/>
    </row>
    <row r="10" spans="1:12" s="103" customFormat="1" ht="38.25" x14ac:dyDescent="0.2">
      <c r="A10" s="197" t="s">
        <v>241</v>
      </c>
      <c r="B10" s="197"/>
      <c r="C10" s="197" t="s">
        <v>81</v>
      </c>
      <c r="D10" s="199"/>
      <c r="E10" s="197" t="s">
        <v>237</v>
      </c>
      <c r="F10" s="197" t="s">
        <v>238</v>
      </c>
      <c r="G10" s="217"/>
      <c r="H10" s="197" t="s">
        <v>20</v>
      </c>
      <c r="I10" s="197" t="s">
        <v>243</v>
      </c>
      <c r="J10" s="197" t="s">
        <v>242</v>
      </c>
      <c r="K10" s="217"/>
      <c r="L10" s="217"/>
    </row>
    <row r="11" spans="1:12" x14ac:dyDescent="0.2">
      <c r="A11" s="183">
        <v>0</v>
      </c>
      <c r="B11" s="292" cm="1">
        <f t="array" ref="B11">_xlfn.IFS(A11="","",A12="","&amp; above",TRUE,A12-1)</f>
        <v>59</v>
      </c>
      <c r="C11" s="180">
        <v>2.4500000000000002</v>
      </c>
      <c r="D11" s="20"/>
      <c r="E11" s="183" t="s">
        <v>8</v>
      </c>
      <c r="F11" s="180">
        <v>0.25</v>
      </c>
      <c r="G11" s="20"/>
      <c r="H11" s="201">
        <v>0</v>
      </c>
      <c r="I11" s="153">
        <v>0</v>
      </c>
      <c r="J11" s="153">
        <v>0</v>
      </c>
      <c r="K11" s="20"/>
      <c r="L11" s="20"/>
    </row>
    <row r="12" spans="1:12" x14ac:dyDescent="0.2">
      <c r="A12" s="183">
        <v>60</v>
      </c>
      <c r="B12" s="292" cm="1">
        <f t="array" ref="B12">_xlfn.IFS(A12="","",A13="","&amp; above",TRUE,A13-1)</f>
        <v>119</v>
      </c>
      <c r="C12" s="184">
        <v>2.27</v>
      </c>
      <c r="D12" s="20"/>
      <c r="E12" s="183" t="s">
        <v>10</v>
      </c>
      <c r="F12" s="184">
        <v>0.2</v>
      </c>
      <c r="G12" s="20"/>
      <c r="H12" s="201">
        <v>300</v>
      </c>
      <c r="I12" s="153">
        <v>0.15</v>
      </c>
      <c r="J12" s="153">
        <v>0.1</v>
      </c>
      <c r="K12" s="20"/>
      <c r="L12" s="20"/>
    </row>
    <row r="13" spans="1:12" x14ac:dyDescent="0.2">
      <c r="A13" s="183">
        <v>120</v>
      </c>
      <c r="B13" s="292" cm="1">
        <f t="array" ref="B13">_xlfn.IFS(A13="","",A14="","&amp; above",TRUE,A14-1)</f>
        <v>239</v>
      </c>
      <c r="C13" s="184">
        <v>2.12</v>
      </c>
      <c r="D13" s="20"/>
      <c r="E13" s="183" t="s">
        <v>12</v>
      </c>
      <c r="F13" s="184">
        <v>0.15</v>
      </c>
      <c r="G13" s="20"/>
      <c r="H13" s="201">
        <v>1000</v>
      </c>
      <c r="I13" s="153">
        <v>0.25</v>
      </c>
      <c r="J13" s="153">
        <v>0.15</v>
      </c>
      <c r="K13" s="20"/>
      <c r="L13" s="20"/>
    </row>
    <row r="14" spans="1:12" x14ac:dyDescent="0.2">
      <c r="A14" s="183">
        <v>240</v>
      </c>
      <c r="B14" s="292" t="str" cm="1">
        <f t="array" ref="B14">_xlfn.IFS(A14="","",A15="","&amp; above",TRUE,A15-1)</f>
        <v>&amp; above</v>
      </c>
      <c r="C14" s="184">
        <v>2</v>
      </c>
      <c r="D14" s="20"/>
      <c r="E14" s="183" t="s">
        <v>14</v>
      </c>
      <c r="F14" s="184">
        <v>0</v>
      </c>
      <c r="G14" s="20"/>
      <c r="H14" s="319"/>
      <c r="I14" s="319"/>
      <c r="J14" s="319"/>
      <c r="K14" s="20"/>
      <c r="L14" s="20"/>
    </row>
    <row r="15" spans="1:12" x14ac:dyDescent="0.2">
      <c r="A15" s="317"/>
      <c r="B15" s="318"/>
      <c r="C15" s="319"/>
      <c r="D15" s="97"/>
      <c r="E15" s="319"/>
      <c r="F15" s="319"/>
      <c r="G15" s="20"/>
      <c r="H15" s="20"/>
      <c r="I15" s="20"/>
      <c r="J15" s="20"/>
      <c r="K15" s="20"/>
      <c r="L15" s="20"/>
    </row>
    <row r="16" spans="1:12" x14ac:dyDescent="0.2">
      <c r="A16" s="20"/>
      <c r="B16" s="20"/>
      <c r="C16" s="20"/>
      <c r="D16" s="20"/>
      <c r="E16" s="20"/>
      <c r="F16" s="20"/>
      <c r="G16" s="20"/>
      <c r="H16" s="20"/>
      <c r="I16" s="20"/>
      <c r="J16" s="20"/>
      <c r="K16" s="20"/>
      <c r="L16" s="20"/>
    </row>
    <row r="17" spans="1:12" ht="38.25" x14ac:dyDescent="0.2">
      <c r="A17" s="156" t="s">
        <v>15</v>
      </c>
      <c r="B17" s="156" t="s">
        <v>16</v>
      </c>
      <c r="C17" s="188" t="s">
        <v>237</v>
      </c>
      <c r="D17" s="156" t="s">
        <v>18</v>
      </c>
      <c r="E17" s="188" t="s">
        <v>81</v>
      </c>
      <c r="F17" s="120" t="s">
        <v>20</v>
      </c>
      <c r="G17" s="188" t="s">
        <v>238</v>
      </c>
      <c r="H17" s="188" t="s">
        <v>288</v>
      </c>
      <c r="I17" s="120" t="s">
        <v>243</v>
      </c>
      <c r="J17" s="120" t="s">
        <v>23</v>
      </c>
      <c r="K17" s="20"/>
      <c r="L17" s="20"/>
    </row>
    <row r="18" spans="1:12" x14ac:dyDescent="0.2">
      <c r="A18" s="182">
        <v>1</v>
      </c>
      <c r="B18" s="192" t="s">
        <v>24</v>
      </c>
      <c r="C18" s="192" t="s">
        <v>10</v>
      </c>
      <c r="D18" s="182">
        <v>245</v>
      </c>
      <c r="E18" s="157">
        <f xml:space="preserve"> INDEX( $C$11:$C$15, MATCH( D18, $A$11:$A$15, 1 ) )</f>
        <v>2</v>
      </c>
      <c r="F18" s="157">
        <f xml:space="preserve"> D18 * E18</f>
        <v>490</v>
      </c>
      <c r="G18" s="157">
        <f xml:space="preserve"> INDEX( $F$10:$F$15, MATCH( C18, $E$10:$E$15,0 ) )</f>
        <v>0.2</v>
      </c>
      <c r="H18" s="157">
        <f xml:space="preserve"> G18 * D18</f>
        <v>49</v>
      </c>
      <c r="I18" s="157">
        <f xml:space="preserve"> $H18 *  - INDEX( $I$11:$J$14, MATCH( F18, $H$11:$H$14, 1 ), MATCH( I$17, $I$10:$J$10, 0 ) )</f>
        <v>-7.35</v>
      </c>
      <c r="J18" s="157">
        <f xml:space="preserve"> F18 + H18 + I18</f>
        <v>531.65</v>
      </c>
      <c r="K18" s="20"/>
      <c r="L18" s="20"/>
    </row>
    <row r="19" spans="1:12" x14ac:dyDescent="0.2">
      <c r="A19" s="182">
        <v>2</v>
      </c>
      <c r="B19" s="192" t="s">
        <v>25</v>
      </c>
      <c r="C19" s="192" t="s">
        <v>10</v>
      </c>
      <c r="D19" s="182">
        <v>30</v>
      </c>
      <c r="E19" s="158">
        <f t="shared" ref="E19:E23" si="0" xml:space="preserve"> INDEX( $C$11:$C$15, MATCH( D19, $A$11:$A$15, 1 ) )</f>
        <v>2.4500000000000002</v>
      </c>
      <c r="F19" s="158">
        <f t="shared" ref="F19:F23" si="1" xml:space="preserve"> D19 * E19</f>
        <v>73.5</v>
      </c>
      <c r="G19" s="158">
        <f t="shared" ref="G19:G23" si="2" xml:space="preserve"> INDEX( $F$10:$F$15, MATCH( C19, $E$10:$E$15,0 ) )</f>
        <v>0.2</v>
      </c>
      <c r="H19" s="158">
        <f t="shared" ref="H19:H23" si="3" xml:space="preserve"> G19 * D19</f>
        <v>6</v>
      </c>
      <c r="I19" s="158">
        <f t="shared" ref="I19:I23" si="4" xml:space="preserve"> $H19 *  - INDEX( $I$11:$J$14, MATCH( F19, $H$11:$H$14, 1 ), MATCH( I$17, $I$10:$J$10, 0 ) )</f>
        <v>0</v>
      </c>
      <c r="J19" s="158">
        <f t="shared" ref="J19:J23" si="5" xml:space="preserve"> F19 + H19 + I19</f>
        <v>79.5</v>
      </c>
      <c r="K19" s="20"/>
      <c r="L19" s="20"/>
    </row>
    <row r="20" spans="1:12" x14ac:dyDescent="0.2">
      <c r="A20" s="182">
        <v>3</v>
      </c>
      <c r="B20" s="192" t="s">
        <v>26</v>
      </c>
      <c r="C20" s="192" t="s">
        <v>12</v>
      </c>
      <c r="D20" s="182">
        <v>160</v>
      </c>
      <c r="E20" s="158">
        <f t="shared" si="0"/>
        <v>2.12</v>
      </c>
      <c r="F20" s="158">
        <f t="shared" si="1"/>
        <v>339.20000000000005</v>
      </c>
      <c r="G20" s="158">
        <f t="shared" si="2"/>
        <v>0.15</v>
      </c>
      <c r="H20" s="158">
        <f t="shared" si="3"/>
        <v>24</v>
      </c>
      <c r="I20" s="158">
        <f t="shared" si="4"/>
        <v>-3.5999999999999996</v>
      </c>
      <c r="J20" s="158">
        <f t="shared" si="5"/>
        <v>359.6</v>
      </c>
      <c r="K20" s="20"/>
      <c r="L20" s="20"/>
    </row>
    <row r="21" spans="1:12" x14ac:dyDescent="0.2">
      <c r="A21" s="182">
        <v>4</v>
      </c>
      <c r="B21" s="192" t="s">
        <v>27</v>
      </c>
      <c r="C21" s="192" t="s">
        <v>8</v>
      </c>
      <c r="D21" s="182">
        <v>215</v>
      </c>
      <c r="E21" s="158">
        <f t="shared" si="0"/>
        <v>2.12</v>
      </c>
      <c r="F21" s="158">
        <f t="shared" si="1"/>
        <v>455.8</v>
      </c>
      <c r="G21" s="158">
        <f t="shared" si="2"/>
        <v>0.25</v>
      </c>
      <c r="H21" s="158">
        <f t="shared" si="3"/>
        <v>53.75</v>
      </c>
      <c r="I21" s="158">
        <f t="shared" si="4"/>
        <v>-8.0625</v>
      </c>
      <c r="J21" s="158">
        <f t="shared" si="5"/>
        <v>501.48750000000001</v>
      </c>
      <c r="K21" s="20"/>
      <c r="L21" s="20"/>
    </row>
    <row r="22" spans="1:12" x14ac:dyDescent="0.2">
      <c r="A22" s="182">
        <v>5</v>
      </c>
      <c r="B22" s="192" t="s">
        <v>28</v>
      </c>
      <c r="C22" s="192" t="s">
        <v>8</v>
      </c>
      <c r="D22" s="182">
        <v>90</v>
      </c>
      <c r="E22" s="158">
        <f t="shared" si="0"/>
        <v>2.27</v>
      </c>
      <c r="F22" s="158">
        <f t="shared" si="1"/>
        <v>204.3</v>
      </c>
      <c r="G22" s="158">
        <f t="shared" si="2"/>
        <v>0.25</v>
      </c>
      <c r="H22" s="158">
        <f t="shared" si="3"/>
        <v>22.5</v>
      </c>
      <c r="I22" s="158">
        <f t="shared" si="4"/>
        <v>0</v>
      </c>
      <c r="J22" s="158">
        <f t="shared" si="5"/>
        <v>226.8</v>
      </c>
      <c r="K22" s="20"/>
      <c r="L22" s="20"/>
    </row>
    <row r="23" spans="1:12" x14ac:dyDescent="0.2">
      <c r="A23" s="182">
        <v>6</v>
      </c>
      <c r="B23" s="192" t="s">
        <v>29</v>
      </c>
      <c r="C23" s="192" t="s">
        <v>14</v>
      </c>
      <c r="D23" s="182">
        <v>15</v>
      </c>
      <c r="E23" s="158">
        <f t="shared" si="0"/>
        <v>2.4500000000000002</v>
      </c>
      <c r="F23" s="158">
        <f t="shared" si="1"/>
        <v>36.75</v>
      </c>
      <c r="G23" s="158">
        <f t="shared" si="2"/>
        <v>0</v>
      </c>
      <c r="H23" s="158">
        <f t="shared" si="3"/>
        <v>0</v>
      </c>
      <c r="I23" s="158">
        <f t="shared" si="4"/>
        <v>0</v>
      </c>
      <c r="J23" s="158">
        <f t="shared" si="5"/>
        <v>36.75</v>
      </c>
      <c r="K23" s="20"/>
      <c r="L23" s="20"/>
    </row>
    <row r="24" spans="1:12" s="99" customFormat="1" x14ac:dyDescent="0.2">
      <c r="A24" s="319"/>
      <c r="B24" s="319"/>
      <c r="C24" s="319"/>
      <c r="D24" s="319"/>
      <c r="E24" s="319"/>
      <c r="F24" s="319"/>
      <c r="G24" s="319"/>
      <c r="H24" s="319"/>
      <c r="I24" s="319"/>
      <c r="J24" s="319"/>
      <c r="K24" s="20"/>
      <c r="L24" s="20"/>
    </row>
    <row r="25" spans="1:12" s="99" customFormat="1" x14ac:dyDescent="0.2">
      <c r="A25" s="20"/>
      <c r="B25" s="20"/>
      <c r="C25" s="20"/>
      <c r="D25" s="20"/>
      <c r="E25" s="20"/>
      <c r="F25" s="20"/>
      <c r="G25" s="20"/>
      <c r="H25" s="20"/>
      <c r="I25" s="20"/>
      <c r="J25" s="20"/>
      <c r="K25" s="20"/>
      <c r="L25" s="20"/>
    </row>
    <row r="26" spans="1:12" x14ac:dyDescent="0.2">
      <c r="A26" s="219"/>
      <c r="B26" s="20"/>
      <c r="C26" s="20"/>
      <c r="D26" s="20"/>
      <c r="E26" s="20"/>
      <c r="F26" s="20"/>
      <c r="G26" s="20"/>
      <c r="H26" s="20"/>
      <c r="I26" s="20"/>
      <c r="J26" s="20"/>
      <c r="K26" s="20"/>
      <c r="L26" s="20"/>
    </row>
    <row r="27" spans="1:12" x14ac:dyDescent="0.2">
      <c r="A27" s="20"/>
      <c r="B27" s="20"/>
      <c r="C27" s="20"/>
      <c r="D27" s="20"/>
      <c r="E27" s="20"/>
      <c r="F27" s="20"/>
      <c r="G27" s="20"/>
      <c r="H27" s="20"/>
      <c r="I27" s="20"/>
      <c r="J27" s="20"/>
      <c r="K27" s="20"/>
      <c r="L27" s="20"/>
    </row>
    <row r="28" spans="1:12" x14ac:dyDescent="0.2">
      <c r="A28" s="20"/>
      <c r="B28" s="20"/>
      <c r="C28" s="20"/>
      <c r="D28" s="20"/>
      <c r="E28" s="20"/>
      <c r="F28" s="20"/>
      <c r="G28" s="20"/>
      <c r="H28" s="20"/>
      <c r="I28" s="20"/>
      <c r="J28" s="20"/>
      <c r="K28" s="20"/>
      <c r="L28" s="20"/>
    </row>
    <row r="29" spans="1:12" x14ac:dyDescent="0.2">
      <c r="A29" s="20"/>
      <c r="B29" s="20"/>
      <c r="C29" s="20"/>
      <c r="D29" s="20"/>
      <c r="E29" s="20"/>
      <c r="F29" s="20"/>
      <c r="G29" s="20"/>
      <c r="H29" s="20"/>
      <c r="I29" s="20"/>
      <c r="J29" s="20"/>
      <c r="K29" s="20"/>
      <c r="L29" s="20"/>
    </row>
    <row r="30" spans="1:12" x14ac:dyDescent="0.2">
      <c r="A30" s="20"/>
      <c r="B30" s="20"/>
      <c r="C30" s="20"/>
      <c r="D30" s="20"/>
      <c r="E30" s="20"/>
      <c r="F30" s="20"/>
      <c r="G30" s="20"/>
      <c r="H30" s="20"/>
      <c r="I30" s="20"/>
      <c r="J30" s="20"/>
      <c r="K30" s="20"/>
      <c r="L30" s="20"/>
    </row>
    <row r="31" spans="1:12" x14ac:dyDescent="0.2">
      <c r="A31" s="20"/>
      <c r="B31" s="20"/>
      <c r="C31" s="20"/>
      <c r="D31" s="20"/>
      <c r="E31" s="20"/>
      <c r="F31" s="20"/>
      <c r="G31" s="20"/>
      <c r="H31" s="20"/>
      <c r="I31" s="20"/>
      <c r="J31" s="20"/>
      <c r="K31" s="20"/>
      <c r="L31" s="20"/>
    </row>
  </sheetData>
  <dataValidations count="1">
    <dataValidation type="list" allowBlank="1" showInputMessage="1" showErrorMessage="1" sqref="I17" xr:uid="{A1CA727A-1326-45F9-9DB7-EDE11D31C987}">
      <formula1>$I$10:$J$10</formula1>
    </dataValidation>
  </dataValidations>
  <pageMargins left="0.75" right="0.75" top="1" bottom="1" header="0.5" footer="0.5"/>
  <pageSetup orientation="portrait" horizontalDpi="300" verticalDpi="300" r:id="rId1"/>
  <headerFooter alignWithMargins="0"/>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CF23-5A09-40E0-9878-AE2549E5E072}">
  <sheetPr codeName="Sheet46">
    <pageSetUpPr autoPageBreaks="0"/>
  </sheetPr>
  <dimension ref="A1:L32"/>
  <sheetViews>
    <sheetView zoomScale="160" zoomScaleNormal="160" workbookViewId="0">
      <selection activeCell="E18" sqref="E18"/>
    </sheetView>
  </sheetViews>
  <sheetFormatPr defaultRowHeight="12.75" x14ac:dyDescent="0.2"/>
  <cols>
    <col min="1" max="2" width="8.7109375" customWidth="1"/>
    <col min="4" max="5" width="9" customWidth="1"/>
    <col min="6" max="6" width="9.85546875" customWidth="1"/>
    <col min="7" max="7" width="8.7109375" customWidth="1"/>
    <col min="8" max="8" width="10" customWidth="1"/>
    <col min="9" max="9" width="9.5703125" customWidth="1"/>
    <col min="10" max="10" width="9.5703125" bestFit="1" customWidth="1"/>
  </cols>
  <sheetData>
    <row r="1" spans="1:12" s="310" customFormat="1" ht="18" x14ac:dyDescent="0.25">
      <c r="A1" s="265" t="s">
        <v>416</v>
      </c>
      <c r="B1" s="309"/>
      <c r="C1" s="309"/>
      <c r="D1" s="309"/>
      <c r="E1" s="309"/>
      <c r="F1" s="309"/>
      <c r="G1" s="309"/>
      <c r="H1" s="309"/>
      <c r="I1" s="309"/>
      <c r="J1" s="309"/>
    </row>
    <row r="2" spans="1:12" s="298" customFormat="1" hidden="1" x14ac:dyDescent="0.2">
      <c r="A2" s="299"/>
      <c r="B2" s="299"/>
      <c r="C2" s="301"/>
      <c r="D2" s="299"/>
      <c r="E2" s="301"/>
      <c r="F2" s="299"/>
      <c r="G2" s="301"/>
      <c r="H2" s="299"/>
      <c r="I2" s="299"/>
      <c r="J2" s="299"/>
    </row>
    <row r="3" spans="1:12" s="273" customFormat="1" x14ac:dyDescent="0.2">
      <c r="A3" s="274" t="str">
        <f>IF(A2="","",IF(Disable_Video_Hyperlinks,A2,HYPERLINK(Video_website&amp;A2,A2)))</f>
        <v/>
      </c>
      <c r="B3" s="277"/>
      <c r="C3" s="311"/>
      <c r="D3" s="277"/>
      <c r="E3" s="311"/>
      <c r="F3" s="277"/>
      <c r="G3" s="311"/>
      <c r="H3" s="277"/>
      <c r="I3" s="277"/>
      <c r="J3" s="277"/>
    </row>
    <row r="4" spans="1:12" s="91" customFormat="1" x14ac:dyDescent="0.2">
      <c r="A4" s="305" t="str">
        <f>IF(B2="","",B2)</f>
        <v/>
      </c>
      <c r="B4" s="276"/>
      <c r="C4" s="278"/>
      <c r="D4" s="276"/>
      <c r="E4" s="278"/>
      <c r="F4" s="276"/>
      <c r="G4" s="278"/>
      <c r="H4" s="276"/>
      <c r="I4" s="276"/>
      <c r="J4" s="276"/>
    </row>
    <row r="5" spans="1:12" x14ac:dyDescent="0.2">
      <c r="A5" s="20"/>
      <c r="B5" s="20"/>
      <c r="C5" s="20"/>
      <c r="D5" s="20"/>
      <c r="E5" s="20"/>
      <c r="F5" s="20"/>
      <c r="G5" s="20"/>
      <c r="H5" s="20"/>
      <c r="I5" s="20"/>
      <c r="J5" s="20"/>
      <c r="K5" s="20"/>
      <c r="L5" s="20"/>
    </row>
    <row r="6" spans="1:12" x14ac:dyDescent="0.2">
      <c r="A6" s="212" t="s">
        <v>0</v>
      </c>
      <c r="B6" s="213"/>
      <c r="C6" s="213"/>
      <c r="D6" s="213"/>
      <c r="E6" s="213"/>
      <c r="F6" s="213"/>
      <c r="G6" s="213"/>
      <c r="H6" s="213"/>
      <c r="I6" s="213"/>
      <c r="J6" s="213"/>
      <c r="K6" s="20"/>
      <c r="L6" s="20"/>
    </row>
    <row r="7" spans="1:12" ht="21" customHeight="1" x14ac:dyDescent="0.2">
      <c r="A7" s="212" t="s">
        <v>1</v>
      </c>
      <c r="B7" s="213"/>
      <c r="C7" s="213"/>
      <c r="D7" s="213"/>
      <c r="E7" s="213"/>
      <c r="F7" s="213"/>
      <c r="G7" s="213"/>
      <c r="H7" s="213"/>
      <c r="I7" s="213"/>
      <c r="J7" s="213"/>
      <c r="K7" s="20"/>
      <c r="L7" s="20"/>
    </row>
    <row r="8" spans="1:12" x14ac:dyDescent="0.2">
      <c r="A8" s="20"/>
      <c r="B8" s="20"/>
      <c r="C8" s="20"/>
      <c r="D8" s="20"/>
      <c r="E8" s="20"/>
      <c r="F8" s="20"/>
      <c r="G8" s="20"/>
      <c r="H8" s="20"/>
      <c r="I8" s="20"/>
      <c r="J8" s="20"/>
      <c r="K8" s="20"/>
      <c r="L8" s="20"/>
    </row>
    <row r="9" spans="1:12" ht="12.75" customHeight="1" x14ac:dyDescent="0.2">
      <c r="A9" s="210" t="s">
        <v>324</v>
      </c>
      <c r="B9" s="171"/>
      <c r="C9" s="171"/>
      <c r="D9" s="7"/>
      <c r="E9" s="210" t="s">
        <v>3</v>
      </c>
      <c r="F9" s="160"/>
      <c r="G9" s="20"/>
      <c r="H9" s="210" t="s">
        <v>7</v>
      </c>
      <c r="I9" s="160"/>
      <c r="J9" s="160"/>
      <c r="K9" s="20"/>
      <c r="L9" s="20"/>
    </row>
    <row r="10" spans="1:12" s="103" customFormat="1" ht="38.25" x14ac:dyDescent="0.2">
      <c r="A10" s="197" t="s">
        <v>241</v>
      </c>
      <c r="B10" s="197"/>
      <c r="C10" s="197" t="s">
        <v>81</v>
      </c>
      <c r="D10" s="199"/>
      <c r="E10" s="197" t="s">
        <v>237</v>
      </c>
      <c r="F10" s="197" t="s">
        <v>238</v>
      </c>
      <c r="G10" s="217"/>
      <c r="H10" s="197" t="s">
        <v>20</v>
      </c>
      <c r="I10" s="197" t="s">
        <v>243</v>
      </c>
      <c r="J10" s="197" t="s">
        <v>242</v>
      </c>
      <c r="K10" s="217"/>
      <c r="L10" s="217"/>
    </row>
    <row r="11" spans="1:12" x14ac:dyDescent="0.2">
      <c r="A11" s="183">
        <v>0</v>
      </c>
      <c r="B11" s="292" cm="1">
        <f t="array" ref="B11">_xlfn.IFS(A11="","",A12="","&amp; above",TRUE,A12-1)</f>
        <v>59</v>
      </c>
      <c r="C11" s="180">
        <v>2.4500000000000002</v>
      </c>
      <c r="D11" s="20"/>
      <c r="E11" s="183" t="s">
        <v>8</v>
      </c>
      <c r="F11" s="180">
        <v>0.25</v>
      </c>
      <c r="G11" s="20"/>
      <c r="H11" s="201">
        <v>0</v>
      </c>
      <c r="I11" s="153">
        <v>0</v>
      </c>
      <c r="J11" s="153">
        <v>0</v>
      </c>
      <c r="K11" s="20"/>
      <c r="L11" s="20"/>
    </row>
    <row r="12" spans="1:12" x14ac:dyDescent="0.2">
      <c r="A12" s="183">
        <v>60</v>
      </c>
      <c r="B12" s="292" cm="1">
        <f t="array" ref="B12">_xlfn.IFS(A12="","",A13="","&amp; above",TRUE,A13-1)</f>
        <v>119</v>
      </c>
      <c r="C12" s="184">
        <v>2.27</v>
      </c>
      <c r="D12" s="20"/>
      <c r="E12" s="183" t="s">
        <v>10</v>
      </c>
      <c r="F12" s="184">
        <v>0.2</v>
      </c>
      <c r="G12" s="20"/>
      <c r="H12" s="201">
        <v>300</v>
      </c>
      <c r="I12" s="153">
        <v>0.15</v>
      </c>
      <c r="J12" s="153">
        <v>0.1</v>
      </c>
      <c r="K12" s="20"/>
      <c r="L12" s="20"/>
    </row>
    <row r="13" spans="1:12" x14ac:dyDescent="0.2">
      <c r="A13" s="183">
        <v>120</v>
      </c>
      <c r="B13" s="292" cm="1">
        <f t="array" ref="B13">_xlfn.IFS(A13="","",A14="","&amp; above",TRUE,A14-1)</f>
        <v>239</v>
      </c>
      <c r="C13" s="184">
        <v>2.12</v>
      </c>
      <c r="D13" s="20"/>
      <c r="E13" s="183" t="s">
        <v>12</v>
      </c>
      <c r="F13" s="184">
        <v>0.15</v>
      </c>
      <c r="G13" s="20"/>
      <c r="H13" s="201">
        <v>1000</v>
      </c>
      <c r="I13" s="153">
        <v>0.25</v>
      </c>
      <c r="J13" s="153">
        <v>0.15</v>
      </c>
      <c r="K13" s="20"/>
      <c r="L13" s="20"/>
    </row>
    <row r="14" spans="1:12" x14ac:dyDescent="0.2">
      <c r="A14" s="183">
        <v>240</v>
      </c>
      <c r="B14" s="293" t="str" cm="1">
        <f t="array" ref="B14">_xlfn.IFS(A14="","",A15="","&amp; above",TRUE,A15-1)</f>
        <v>&amp; above</v>
      </c>
      <c r="C14" s="184">
        <v>2</v>
      </c>
      <c r="D14" s="20"/>
      <c r="E14" s="183" t="s">
        <v>14</v>
      </c>
      <c r="F14" s="184">
        <v>0</v>
      </c>
      <c r="G14" s="20"/>
      <c r="H14" s="319"/>
      <c r="I14" s="319"/>
      <c r="J14" s="319"/>
      <c r="K14" s="20"/>
      <c r="L14" s="20"/>
    </row>
    <row r="15" spans="1:12" x14ac:dyDescent="0.2">
      <c r="A15" s="317"/>
      <c r="B15" s="318"/>
      <c r="C15" s="319"/>
      <c r="D15" s="97"/>
      <c r="E15" s="319"/>
      <c r="F15" s="318"/>
      <c r="G15" s="20"/>
      <c r="H15" s="20"/>
      <c r="I15" s="20"/>
      <c r="J15" s="20"/>
      <c r="K15" s="20"/>
      <c r="L15" s="20"/>
    </row>
    <row r="16" spans="1:12" x14ac:dyDescent="0.2">
      <c r="A16" s="20"/>
      <c r="B16" s="20"/>
      <c r="C16" s="20"/>
      <c r="D16" s="20"/>
      <c r="E16" s="20"/>
      <c r="F16" s="20"/>
      <c r="G16" s="20"/>
      <c r="H16" s="20"/>
      <c r="I16" s="20"/>
      <c r="J16" s="20"/>
      <c r="K16" s="20"/>
      <c r="L16" s="20"/>
    </row>
    <row r="17" spans="1:12" ht="38.25" x14ac:dyDescent="0.2">
      <c r="A17" s="156" t="s">
        <v>15</v>
      </c>
      <c r="B17" s="156" t="s">
        <v>16</v>
      </c>
      <c r="C17" s="188" t="s">
        <v>237</v>
      </c>
      <c r="D17" s="156" t="s">
        <v>18</v>
      </c>
      <c r="E17" s="188" t="s">
        <v>81</v>
      </c>
      <c r="F17" s="120" t="s">
        <v>20</v>
      </c>
      <c r="G17" s="188" t="s">
        <v>238</v>
      </c>
      <c r="H17" s="188" t="s">
        <v>288</v>
      </c>
      <c r="I17" s="120" t="s">
        <v>7</v>
      </c>
      <c r="J17" s="120" t="s">
        <v>23</v>
      </c>
      <c r="K17" s="20"/>
      <c r="L17" s="20"/>
    </row>
    <row r="18" spans="1:12" x14ac:dyDescent="0.2">
      <c r="A18" s="182">
        <v>1</v>
      </c>
      <c r="B18" s="192" t="s">
        <v>24</v>
      </c>
      <c r="C18" s="192" t="s">
        <v>10</v>
      </c>
      <c r="D18" s="182">
        <v>245</v>
      </c>
      <c r="E18" s="157">
        <f xml:space="preserve"> INDEX( $C$10:$C$14, MATCH( D18, $A$11:$A$15, 1 ) )</f>
        <v>2.12</v>
      </c>
      <c r="F18" s="157">
        <f xml:space="preserve"> D18 * E18</f>
        <v>519.4</v>
      </c>
      <c r="G18" s="157">
        <f xml:space="preserve"> INDEX( $F$11:$F$14, MATCH( C18, $E$10:$E$14, 0 ) )</f>
        <v>0.15</v>
      </c>
      <c r="H18" s="157">
        <f xml:space="preserve"> G18 * D18</f>
        <v>36.75</v>
      </c>
      <c r="I18" s="157">
        <f xml:space="preserve"> - INDEX( $I$10:$I$14, MATCH( F18, $H$11:$H$14, 1 ) ) * H18</f>
        <v>0</v>
      </c>
      <c r="J18" s="157">
        <f xml:space="preserve"> F18 + H18 + I18</f>
        <v>556.15</v>
      </c>
      <c r="K18" s="20"/>
      <c r="L18" s="20"/>
    </row>
    <row r="19" spans="1:12" x14ac:dyDescent="0.2">
      <c r="A19" s="182">
        <v>2</v>
      </c>
      <c r="B19" s="192" t="s">
        <v>25</v>
      </c>
      <c r="C19" s="192" t="s">
        <v>10</v>
      </c>
      <c r="D19" s="182">
        <v>30</v>
      </c>
      <c r="E19" s="158" t="str">
        <f t="shared" ref="E19:E23" si="0" xml:space="preserve"> INDEX( $C$10:$C$14, MATCH( D19, $A$11:$A$15, 1 ) )</f>
        <v>Unit Price</v>
      </c>
      <c r="F19" s="158" t="e">
        <f t="shared" ref="F19:F23" si="1" xml:space="preserve"> D19 * E19</f>
        <v>#VALUE!</v>
      </c>
      <c r="G19" s="158">
        <f t="shared" ref="G19:G23" si="2" xml:space="preserve"> INDEX( $F$11:$F$14, MATCH( C19, $E$10:$E$14, 0 ) )</f>
        <v>0.15</v>
      </c>
      <c r="H19" s="158">
        <f t="shared" ref="H19:H23" si="3" xml:space="preserve"> G19 * D19</f>
        <v>4.5</v>
      </c>
      <c r="I19" s="158" t="e">
        <f t="shared" ref="I19:I23" si="4" xml:space="preserve"> - INDEX( $I$10:$I$14, MATCH( F19, $H$11:$H$14, 1 ) ) * H19</f>
        <v>#VALUE!</v>
      </c>
      <c r="J19" s="158" t="e">
        <f t="shared" ref="J19:J23" si="5" xml:space="preserve"> F19 + H19 + I19</f>
        <v>#VALUE!</v>
      </c>
      <c r="K19" s="20"/>
      <c r="L19" s="20"/>
    </row>
    <row r="20" spans="1:12" x14ac:dyDescent="0.2">
      <c r="A20" s="182">
        <v>3</v>
      </c>
      <c r="B20" s="192" t="s">
        <v>26</v>
      </c>
      <c r="C20" s="192" t="s">
        <v>12</v>
      </c>
      <c r="D20" s="182">
        <v>160</v>
      </c>
      <c r="E20" s="158">
        <f t="shared" si="0"/>
        <v>2.27</v>
      </c>
      <c r="F20" s="158">
        <f t="shared" si="1"/>
        <v>363.2</v>
      </c>
      <c r="G20" s="158">
        <f t="shared" si="2"/>
        <v>0</v>
      </c>
      <c r="H20" s="158">
        <f t="shared" si="3"/>
        <v>0</v>
      </c>
      <c r="I20" s="158">
        <f t="shared" si="4"/>
        <v>0</v>
      </c>
      <c r="J20" s="158">
        <f t="shared" si="5"/>
        <v>363.2</v>
      </c>
      <c r="K20" s="20"/>
      <c r="L20" s="20"/>
    </row>
    <row r="21" spans="1:12" x14ac:dyDescent="0.2">
      <c r="A21" s="182">
        <v>4</v>
      </c>
      <c r="B21" s="192" t="s">
        <v>27</v>
      </c>
      <c r="C21" s="192" t="s">
        <v>8</v>
      </c>
      <c r="D21" s="182">
        <v>215</v>
      </c>
      <c r="E21" s="158">
        <f t="shared" si="0"/>
        <v>2.27</v>
      </c>
      <c r="F21" s="158">
        <f t="shared" si="1"/>
        <v>488.05</v>
      </c>
      <c r="G21" s="158">
        <f t="shared" si="2"/>
        <v>0.2</v>
      </c>
      <c r="H21" s="158">
        <f t="shared" si="3"/>
        <v>43</v>
      </c>
      <c r="I21" s="158">
        <f t="shared" si="4"/>
        <v>0</v>
      </c>
      <c r="J21" s="158">
        <f t="shared" si="5"/>
        <v>531.04999999999995</v>
      </c>
      <c r="K21" s="20"/>
      <c r="L21" s="20"/>
    </row>
    <row r="22" spans="1:12" x14ac:dyDescent="0.2">
      <c r="A22" s="182">
        <v>5</v>
      </c>
      <c r="B22" s="192" t="s">
        <v>28</v>
      </c>
      <c r="C22" s="192" t="s">
        <v>8</v>
      </c>
      <c r="D22" s="182">
        <v>90</v>
      </c>
      <c r="E22" s="158">
        <f t="shared" si="0"/>
        <v>2.4500000000000002</v>
      </c>
      <c r="F22" s="158">
        <f t="shared" si="1"/>
        <v>220.50000000000003</v>
      </c>
      <c r="G22" s="158">
        <f t="shared" si="2"/>
        <v>0.2</v>
      </c>
      <c r="H22" s="158">
        <f t="shared" si="3"/>
        <v>18</v>
      </c>
      <c r="I22" s="158" t="e">
        <f t="shared" si="4"/>
        <v>#VALUE!</v>
      </c>
      <c r="J22" s="158" t="e">
        <f t="shared" si="5"/>
        <v>#VALUE!</v>
      </c>
      <c r="K22" s="20"/>
      <c r="L22" s="20"/>
    </row>
    <row r="23" spans="1:12" x14ac:dyDescent="0.2">
      <c r="A23" s="182">
        <v>6</v>
      </c>
      <c r="B23" s="192" t="s">
        <v>29</v>
      </c>
      <c r="C23" s="192" t="s">
        <v>14</v>
      </c>
      <c r="D23" s="182">
        <v>15</v>
      </c>
      <c r="E23" s="158" t="str">
        <f t="shared" si="0"/>
        <v>Unit Price</v>
      </c>
      <c r="F23" s="158" t="e">
        <f t="shared" si="1"/>
        <v>#VALUE!</v>
      </c>
      <c r="G23" s="158" t="e">
        <f t="shared" si="2"/>
        <v>#REF!</v>
      </c>
      <c r="H23" s="158" t="e">
        <f t="shared" si="3"/>
        <v>#REF!</v>
      </c>
      <c r="I23" s="158" t="e">
        <f t="shared" si="4"/>
        <v>#VALUE!</v>
      </c>
      <c r="J23" s="158" t="e">
        <f t="shared" si="5"/>
        <v>#VALUE!</v>
      </c>
      <c r="K23" s="20"/>
      <c r="L23" s="20"/>
    </row>
    <row r="24" spans="1:12" s="99" customFormat="1" x14ac:dyDescent="0.2">
      <c r="A24" s="319"/>
      <c r="B24" s="319"/>
      <c r="C24" s="319"/>
      <c r="D24" s="319"/>
      <c r="E24" s="319"/>
      <c r="F24" s="319"/>
      <c r="G24" s="319"/>
      <c r="H24" s="319"/>
      <c r="I24" s="319"/>
      <c r="J24" s="319"/>
      <c r="K24" s="20"/>
      <c r="L24" s="20"/>
    </row>
    <row r="25" spans="1:12" s="99" customFormat="1" x14ac:dyDescent="0.2">
      <c r="A25" s="20"/>
      <c r="B25" s="20"/>
      <c r="C25" s="20"/>
      <c r="D25" s="20"/>
      <c r="E25" s="20"/>
      <c r="F25" s="20"/>
      <c r="G25" s="20"/>
      <c r="H25" s="20"/>
      <c r="I25" s="20"/>
      <c r="J25" s="20"/>
      <c r="K25" s="20"/>
      <c r="L25" s="20"/>
    </row>
    <row r="26" spans="1:12" x14ac:dyDescent="0.2">
      <c r="A26" s="219"/>
      <c r="B26" s="20"/>
      <c r="C26" s="20"/>
      <c r="D26" s="20"/>
      <c r="E26" s="20"/>
      <c r="F26" s="20"/>
      <c r="G26" s="20"/>
      <c r="H26" s="20"/>
      <c r="I26" s="20"/>
      <c r="J26" s="20"/>
      <c r="K26" s="20"/>
      <c r="L26" s="20"/>
    </row>
    <row r="27" spans="1:12" x14ac:dyDescent="0.2">
      <c r="A27" s="386"/>
      <c r="B27" s="387"/>
      <c r="C27" s="387"/>
      <c r="D27" s="387"/>
      <c r="E27" s="387"/>
      <c r="F27" s="387"/>
      <c r="G27" s="387"/>
      <c r="H27" s="387"/>
      <c r="I27" s="387"/>
      <c r="J27" s="387"/>
      <c r="K27" s="20"/>
      <c r="L27" s="20"/>
    </row>
    <row r="28" spans="1:12" x14ac:dyDescent="0.2">
      <c r="A28" s="20"/>
      <c r="B28" s="20"/>
      <c r="C28" s="20"/>
      <c r="D28" s="20"/>
      <c r="E28" s="20"/>
      <c r="F28" s="20"/>
      <c r="G28" s="20"/>
      <c r="H28" s="20"/>
      <c r="I28" s="20"/>
      <c r="J28" s="20"/>
      <c r="K28" s="20"/>
      <c r="L28" s="20"/>
    </row>
    <row r="29" spans="1:12" x14ac:dyDescent="0.2">
      <c r="A29" s="20"/>
      <c r="B29" s="20"/>
      <c r="C29" s="20"/>
      <c r="D29" s="20"/>
      <c r="E29" s="20"/>
      <c r="F29" s="20"/>
      <c r="G29" s="20"/>
      <c r="H29" s="20"/>
      <c r="I29" s="20"/>
      <c r="J29" s="20"/>
      <c r="K29" s="20"/>
      <c r="L29" s="20"/>
    </row>
    <row r="30" spans="1:12" x14ac:dyDescent="0.2">
      <c r="A30" s="20"/>
      <c r="B30" s="20"/>
      <c r="C30" s="20"/>
      <c r="D30" s="20"/>
      <c r="E30" s="20"/>
      <c r="F30" s="20"/>
      <c r="G30" s="20"/>
      <c r="H30" s="20"/>
      <c r="I30" s="20"/>
      <c r="J30" s="20"/>
      <c r="K30" s="20"/>
      <c r="L30" s="20"/>
    </row>
    <row r="31" spans="1:12" x14ac:dyDescent="0.2">
      <c r="K31" s="20"/>
      <c r="L31" s="20"/>
    </row>
    <row r="32" spans="1:12" x14ac:dyDescent="0.2">
      <c r="A32" s="20"/>
      <c r="B32" s="20"/>
      <c r="C32" s="20"/>
      <c r="D32" s="20"/>
      <c r="E32" s="20"/>
      <c r="F32" s="20"/>
      <c r="G32" s="20"/>
      <c r="H32" s="20"/>
      <c r="I32" s="20"/>
      <c r="J32" s="20"/>
      <c r="K32" s="20"/>
      <c r="L32" s="20"/>
    </row>
  </sheetData>
  <mergeCells count="1">
    <mergeCell ref="A27:J27"/>
  </mergeCells>
  <pageMargins left="0.75" right="0.75" top="1" bottom="1" header="0.5" footer="0.5"/>
  <pageSetup orientation="portrait" horizontalDpi="300" verticalDpi="300" r:id="rId1"/>
  <headerFooter alignWithMargins="0"/>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56E9-CF9F-4D47-A508-D5777BEB1C35}">
  <sheetPr codeName="Sheet23">
    <pageSetUpPr autoPageBreaks="0"/>
  </sheetPr>
  <dimension ref="A1:O25"/>
  <sheetViews>
    <sheetView zoomScale="145" zoomScaleNormal="145" workbookViewId="0">
      <selection activeCell="M18" sqref="M18"/>
    </sheetView>
  </sheetViews>
  <sheetFormatPr defaultRowHeight="12.75" x14ac:dyDescent="0.2"/>
  <cols>
    <col min="1" max="2" width="8.7109375" customWidth="1"/>
    <col min="4" max="4" width="9" customWidth="1"/>
    <col min="6" max="6" width="10" bestFit="1" customWidth="1"/>
    <col min="8" max="8" width="10" bestFit="1" customWidth="1"/>
  </cols>
  <sheetData>
    <row r="1" spans="1:15" s="310" customFormat="1" ht="18" x14ac:dyDescent="0.25">
      <c r="A1" s="265" t="s">
        <v>330</v>
      </c>
      <c r="B1" s="309"/>
      <c r="C1" s="309"/>
      <c r="D1" s="309"/>
      <c r="E1" s="309"/>
      <c r="F1" s="309"/>
      <c r="H1" s="309"/>
    </row>
    <row r="2" spans="1:15" s="298" customFormat="1" hidden="1" x14ac:dyDescent="0.2">
      <c r="A2" s="299"/>
      <c r="B2" s="299"/>
      <c r="C2" s="301"/>
      <c r="D2" s="299"/>
      <c r="E2" s="301"/>
      <c r="F2" s="299"/>
      <c r="H2" s="299"/>
    </row>
    <row r="3" spans="1:15" s="273" customFormat="1" x14ac:dyDescent="0.2">
      <c r="A3" s="274" t="str">
        <f>IF(A2="","",IF(Disable_Video_Hyperlinks,A2,HYPERLINK(Video_website&amp;A2,A2)))</f>
        <v/>
      </c>
      <c r="B3" s="277"/>
      <c r="C3" s="311"/>
      <c r="D3" s="277"/>
      <c r="E3" s="311"/>
      <c r="F3" s="277"/>
      <c r="H3" s="277"/>
    </row>
    <row r="4" spans="1:15" s="91" customFormat="1" x14ac:dyDescent="0.2">
      <c r="A4" s="305" t="str">
        <f>IF(B2="","",B2)</f>
        <v/>
      </c>
      <c r="B4" s="276"/>
      <c r="C4" s="278"/>
      <c r="D4" s="276"/>
      <c r="E4" s="278"/>
      <c r="F4" s="276"/>
      <c r="G4" s="270"/>
      <c r="H4" s="276"/>
      <c r="I4" s="270"/>
      <c r="J4" s="270"/>
      <c r="K4" s="270"/>
      <c r="L4" s="270"/>
      <c r="M4" s="270"/>
      <c r="N4" s="270"/>
    </row>
    <row r="6" spans="1:15" x14ac:dyDescent="0.2">
      <c r="A6" s="117" t="s">
        <v>0</v>
      </c>
      <c r="B6" s="118"/>
      <c r="C6" s="118"/>
      <c r="D6" s="118"/>
      <c r="E6" s="118"/>
      <c r="F6" s="118"/>
      <c r="G6" s="179"/>
      <c r="H6" s="118"/>
      <c r="I6" s="179"/>
      <c r="J6" s="179"/>
      <c r="K6" s="179"/>
      <c r="L6" s="179"/>
      <c r="M6" s="179"/>
      <c r="N6" s="179"/>
    </row>
    <row r="7" spans="1:15" ht="21" customHeight="1" x14ac:dyDescent="0.2">
      <c r="A7" s="117" t="s">
        <v>1</v>
      </c>
      <c r="B7" s="118"/>
      <c r="C7" s="118"/>
      <c r="D7" s="118"/>
      <c r="E7" s="118"/>
      <c r="F7" s="118"/>
      <c r="G7" s="179"/>
      <c r="H7" s="118"/>
      <c r="I7" s="179"/>
      <c r="J7" s="179"/>
      <c r="K7" s="179"/>
      <c r="L7" s="179"/>
      <c r="M7" s="179"/>
      <c r="N7" s="179"/>
    </row>
    <row r="8" spans="1:15" x14ac:dyDescent="0.2">
      <c r="I8" s="20"/>
      <c r="J8" s="20"/>
      <c r="K8" s="20"/>
      <c r="L8" s="20"/>
      <c r="M8" s="20"/>
      <c r="N8" s="20"/>
    </row>
    <row r="9" spans="1:15" ht="12.75" customHeight="1" x14ac:dyDescent="0.2">
      <c r="A9" s="211" t="s">
        <v>324</v>
      </c>
      <c r="B9" s="160"/>
      <c r="C9" s="160"/>
      <c r="D9" s="160"/>
      <c r="G9" s="20"/>
      <c r="I9" s="20"/>
      <c r="J9" s="20"/>
      <c r="K9" s="20"/>
      <c r="L9" s="20"/>
      <c r="M9" s="20"/>
      <c r="N9" s="20"/>
    </row>
    <row r="10" spans="1:15" ht="38.25" x14ac:dyDescent="0.2">
      <c r="A10" s="266" t="s">
        <v>331</v>
      </c>
      <c r="B10" s="171"/>
      <c r="C10" s="315" t="s">
        <v>351</v>
      </c>
      <c r="D10" s="316" t="s">
        <v>352</v>
      </c>
      <c r="G10" s="20"/>
      <c r="I10" s="20"/>
      <c r="J10" s="20"/>
      <c r="K10" s="20"/>
      <c r="L10" s="20"/>
      <c r="M10" s="20"/>
      <c r="N10" s="20"/>
    </row>
    <row r="11" spans="1:15" x14ac:dyDescent="0.2">
      <c r="A11" s="183">
        <v>0</v>
      </c>
      <c r="B11" s="292" cm="1">
        <f t="array" ref="B11">_xlfn.IFS(A11="","",A12="","&amp; above",TRUE,A12-1)</f>
        <v>59</v>
      </c>
      <c r="C11" s="180">
        <v>2.4500000000000002</v>
      </c>
      <c r="D11" s="180">
        <v>2.35</v>
      </c>
      <c r="G11" s="20"/>
      <c r="I11" s="20"/>
      <c r="J11" s="20"/>
      <c r="K11" s="20"/>
      <c r="L11" s="20"/>
      <c r="M11" s="20"/>
      <c r="N11" s="20"/>
    </row>
    <row r="12" spans="1:15" x14ac:dyDescent="0.2">
      <c r="A12" s="183">
        <v>60</v>
      </c>
      <c r="B12" s="292" cm="1">
        <f t="array" ref="B12">_xlfn.IFS(A12="","",A13="","&amp; above",TRUE,A13-1)</f>
        <v>119</v>
      </c>
      <c r="C12" s="184">
        <v>2.27</v>
      </c>
      <c r="D12" s="184">
        <v>2.17</v>
      </c>
      <c r="G12" s="20"/>
      <c r="I12" s="20"/>
      <c r="J12" s="20"/>
      <c r="K12" s="20"/>
      <c r="L12" s="20"/>
      <c r="M12" s="20"/>
      <c r="N12" s="20"/>
    </row>
    <row r="13" spans="1:15" x14ac:dyDescent="0.2">
      <c r="A13" s="183">
        <v>120</v>
      </c>
      <c r="B13" s="292" cm="1">
        <f t="array" ref="B13">_xlfn.IFS(A13="","",A14="","&amp; above",TRUE,A14-1)</f>
        <v>239</v>
      </c>
      <c r="C13" s="184">
        <v>2.12</v>
      </c>
      <c r="D13" s="184">
        <v>2.02</v>
      </c>
      <c r="G13" s="20"/>
      <c r="I13" s="20"/>
      <c r="J13" s="20"/>
      <c r="K13" s="20"/>
      <c r="L13" s="20"/>
      <c r="M13" s="20"/>
      <c r="N13" s="20"/>
    </row>
    <row r="14" spans="1:15" x14ac:dyDescent="0.2">
      <c r="A14" s="183">
        <v>240</v>
      </c>
      <c r="B14" s="293" t="str" cm="1">
        <f t="array" ref="B14">_xlfn.IFS(A14="","",A15="","&amp; above",TRUE,A15-1)</f>
        <v>&amp; above</v>
      </c>
      <c r="C14" s="184">
        <v>2</v>
      </c>
      <c r="D14" s="184">
        <v>1.9</v>
      </c>
      <c r="G14" s="20"/>
      <c r="I14" s="20"/>
      <c r="J14" s="20"/>
      <c r="K14" s="20"/>
      <c r="L14" s="20"/>
      <c r="M14" s="20"/>
      <c r="N14" s="20"/>
    </row>
    <row r="15" spans="1:15" x14ac:dyDescent="0.2">
      <c r="A15" s="319"/>
      <c r="B15" s="319"/>
      <c r="C15" s="319"/>
      <c r="D15" s="319"/>
      <c r="E15" s="20"/>
      <c r="F15" s="20"/>
      <c r="G15" s="20"/>
      <c r="H15" s="20"/>
      <c r="I15" s="20"/>
      <c r="J15" s="20"/>
      <c r="K15" s="20"/>
      <c r="L15" s="20"/>
      <c r="M15" s="20"/>
      <c r="N15" s="20"/>
    </row>
    <row r="16" spans="1:15" x14ac:dyDescent="0.2">
      <c r="A16" s="20"/>
      <c r="B16" s="20"/>
      <c r="C16" s="20"/>
      <c r="D16" s="20"/>
      <c r="E16" s="20"/>
      <c r="F16" s="20"/>
      <c r="G16" s="192">
        <v>1</v>
      </c>
      <c r="H16" s="20"/>
      <c r="I16" s="192">
        <v>3</v>
      </c>
      <c r="J16" s="20"/>
      <c r="K16" s="192">
        <v>3</v>
      </c>
      <c r="L16" s="20"/>
      <c r="M16" s="194" t="s">
        <v>351</v>
      </c>
      <c r="O16" s="194" t="s">
        <v>352</v>
      </c>
    </row>
    <row r="17" spans="1:15" ht="25.5" x14ac:dyDescent="0.2">
      <c r="A17" s="156" t="s">
        <v>15</v>
      </c>
      <c r="B17" s="156" t="s">
        <v>16</v>
      </c>
      <c r="C17" s="188" t="s">
        <v>237</v>
      </c>
      <c r="D17" s="156" t="s">
        <v>18</v>
      </c>
      <c r="E17" s="120" t="s">
        <v>19</v>
      </c>
      <c r="F17" s="20"/>
      <c r="G17" s="120" t="s">
        <v>19</v>
      </c>
      <c r="H17" s="20"/>
      <c r="I17" s="120" t="s">
        <v>19</v>
      </c>
      <c r="J17" s="20"/>
      <c r="K17" s="120" t="s">
        <v>19</v>
      </c>
      <c r="L17" s="20"/>
      <c r="M17" s="120" t="s">
        <v>19</v>
      </c>
      <c r="O17" s="120" t="s">
        <v>19</v>
      </c>
    </row>
    <row r="18" spans="1:15" x14ac:dyDescent="0.2">
      <c r="A18" s="182">
        <v>1</v>
      </c>
      <c r="B18" s="192" t="s">
        <v>24</v>
      </c>
      <c r="C18" s="192" t="s">
        <v>10</v>
      </c>
      <c r="D18" s="182">
        <v>240</v>
      </c>
      <c r="E18" s="157">
        <f xml:space="preserve"> INDEX( $C$11:$C$15, MATCH( $D18, $A$11:$A$15, 1 ) )</f>
        <v>2</v>
      </c>
      <c r="F18" s="20"/>
      <c r="G18" s="157" cm="1">
        <f t="array" ref="G18" xml:space="preserve"> INDEX( $C$11:$D$15, MATCH( $D18, $A$11:$A$15, 1 ), $G$16 )</f>
        <v>2</v>
      </c>
      <c r="H18" s="20"/>
      <c r="I18" s="157" cm="1">
        <f t="array" ref="I18" xml:space="preserve"> INDEX( $A$11:$D$15, MATCH( $D18, $A$11:$A$15, 1 ), $I$16 )</f>
        <v>2</v>
      </c>
      <c r="J18" s="20"/>
      <c r="K18" s="157" cm="1">
        <f t="array" ref="K18" xml:space="preserve"> INDEX( $A$11:$D$15, MATCH( $D18, $A$11:$A$15, 1 ), $I$16 )</f>
        <v>2</v>
      </c>
      <c r="L18" s="20"/>
      <c r="M18" s="157">
        <f xml:space="preserve"> INDEX( $C$11:$D$15, MATCH( $D18, $A$11:$A$15, 1 ), MATCH( M$16, $C$10:$D$10, 0 ) )</f>
        <v>2</v>
      </c>
      <c r="O18" s="157">
        <f xml:space="preserve"> INDEX( $C$11:$D$15, MATCH( $D18, $A$11:$A$15, 1 ), MATCH( O$16, $C$10:$D$10, 0 ) )</f>
        <v>1.9</v>
      </c>
    </row>
    <row r="19" spans="1:15" x14ac:dyDescent="0.2">
      <c r="A19" s="182">
        <v>2</v>
      </c>
      <c r="B19" s="192" t="s">
        <v>25</v>
      </c>
      <c r="C19" s="192" t="s">
        <v>10</v>
      </c>
      <c r="D19" s="182">
        <v>30</v>
      </c>
      <c r="E19" s="158">
        <f t="shared" ref="E19:E23" si="0" xml:space="preserve"> INDEX( $C$11:$C$15, MATCH( $D19, $A$11:$A$15, 1 ) )</f>
        <v>2.4500000000000002</v>
      </c>
      <c r="F19" s="20"/>
      <c r="G19" s="158" cm="1">
        <f t="array" ref="G19" xml:space="preserve"> INDEX( $C$11:$D$15, MATCH( $D19, $A$11:$A$15, 1 ), $G$16 )</f>
        <v>2.4500000000000002</v>
      </c>
      <c r="H19" s="20"/>
      <c r="I19" s="158" cm="1">
        <f t="array" ref="I19" xml:space="preserve"> INDEX( $A$11:$D$15, MATCH( $D19, $A$11:$A$15, 1 ), $I$16 )</f>
        <v>2.4500000000000002</v>
      </c>
      <c r="J19" s="20"/>
      <c r="K19" s="158" cm="1">
        <f t="array" ref="K19" xml:space="preserve"> INDEX( $A$11:$D$15, MATCH( $D19, $A$11:$A$15, 1 ), $I$16 )</f>
        <v>2.4500000000000002</v>
      </c>
      <c r="L19" s="20"/>
      <c r="M19" s="158">
        <f t="shared" ref="M19:O23" si="1" xml:space="preserve"> INDEX( $C$11:$D$15, MATCH( $D19, $A$11:$A$15, 1 ), MATCH( M$16, $C$10:$D$10, 0 ) )</f>
        <v>2.4500000000000002</v>
      </c>
      <c r="O19" s="158">
        <f t="shared" si="1"/>
        <v>2.35</v>
      </c>
    </row>
    <row r="20" spans="1:15" x14ac:dyDescent="0.2">
      <c r="A20" s="182">
        <v>3</v>
      </c>
      <c r="B20" s="192" t="s">
        <v>26</v>
      </c>
      <c r="C20" s="192" t="s">
        <v>12</v>
      </c>
      <c r="D20" s="182">
        <v>160</v>
      </c>
      <c r="E20" s="158">
        <f t="shared" si="0"/>
        <v>2.12</v>
      </c>
      <c r="F20" s="20"/>
      <c r="G20" s="158" cm="1">
        <f t="array" ref="G20" xml:space="preserve"> INDEX( $C$11:$D$15, MATCH( $D20, $A$11:$A$15, 1 ), $G$16 )</f>
        <v>2.12</v>
      </c>
      <c r="H20" s="20"/>
      <c r="I20" s="158" cm="1">
        <f t="array" ref="I20" xml:space="preserve"> INDEX( $A$11:$D$15, MATCH( $D20, $A$11:$A$15, 1 ), $I$16 )</f>
        <v>2.12</v>
      </c>
      <c r="J20" s="20"/>
      <c r="K20" s="158" cm="1">
        <f t="array" ref="K20" xml:space="preserve"> INDEX( $A$11:$D$15, MATCH( $D20, $A$11:$A$15, 1 ), $I$16 )</f>
        <v>2.12</v>
      </c>
      <c r="L20" s="20"/>
      <c r="M20" s="158">
        <f t="shared" si="1"/>
        <v>2.12</v>
      </c>
      <c r="O20" s="158">
        <f t="shared" si="1"/>
        <v>2.02</v>
      </c>
    </row>
    <row r="21" spans="1:15" x14ac:dyDescent="0.2">
      <c r="A21" s="182">
        <v>4</v>
      </c>
      <c r="B21" s="192" t="s">
        <v>27</v>
      </c>
      <c r="C21" s="192" t="s">
        <v>8</v>
      </c>
      <c r="D21" s="182">
        <v>215</v>
      </c>
      <c r="E21" s="158">
        <f t="shared" si="0"/>
        <v>2.12</v>
      </c>
      <c r="F21" s="20"/>
      <c r="G21" s="158" cm="1">
        <f t="array" ref="G21" xml:space="preserve"> INDEX( $C$11:$D$15, MATCH( $D21, $A$11:$A$15, 1 ), $G$16 )</f>
        <v>2.12</v>
      </c>
      <c r="H21" s="20"/>
      <c r="I21" s="158" cm="1">
        <f t="array" ref="I21" xml:space="preserve"> INDEX( $A$11:$D$15, MATCH( $D21, $A$11:$A$15, 1 ), $I$16 )</f>
        <v>2.12</v>
      </c>
      <c r="J21" s="20"/>
      <c r="K21" s="158" cm="1">
        <f t="array" ref="K21" xml:space="preserve"> INDEX( $A$11:$D$15, MATCH( $D21, $A$11:$A$15, 1 ), $I$16 )</f>
        <v>2.12</v>
      </c>
      <c r="L21" s="20"/>
      <c r="M21" s="158">
        <f t="shared" si="1"/>
        <v>2.12</v>
      </c>
      <c r="O21" s="158">
        <f t="shared" si="1"/>
        <v>2.02</v>
      </c>
    </row>
    <row r="22" spans="1:15" x14ac:dyDescent="0.2">
      <c r="A22" s="182">
        <v>5</v>
      </c>
      <c r="B22" s="192" t="s">
        <v>28</v>
      </c>
      <c r="C22" s="192" t="s">
        <v>8</v>
      </c>
      <c r="D22" s="182">
        <v>90</v>
      </c>
      <c r="E22" s="158">
        <f t="shared" si="0"/>
        <v>2.27</v>
      </c>
      <c r="F22" s="20"/>
      <c r="G22" s="158" cm="1">
        <f t="array" ref="G22" xml:space="preserve"> INDEX( $C$11:$D$15, MATCH( $D22, $A$11:$A$15, 1 ), $G$16 )</f>
        <v>2.27</v>
      </c>
      <c r="H22" s="20"/>
      <c r="I22" s="158" cm="1">
        <f t="array" ref="I22" xml:space="preserve"> INDEX( $A$11:$D$15, MATCH( $D22, $A$11:$A$15, 1 ), $I$16 )</f>
        <v>2.27</v>
      </c>
      <c r="J22" s="20"/>
      <c r="K22" s="158" cm="1">
        <f t="array" ref="K22" xml:space="preserve"> INDEX( $A$11:$D$15, MATCH( $D22, $A$11:$A$15, 1 ), $I$16 )</f>
        <v>2.27</v>
      </c>
      <c r="L22" s="20"/>
      <c r="M22" s="158">
        <f t="shared" si="1"/>
        <v>2.27</v>
      </c>
      <c r="O22" s="158">
        <f t="shared" si="1"/>
        <v>2.17</v>
      </c>
    </row>
    <row r="23" spans="1:15" x14ac:dyDescent="0.2">
      <c r="A23" s="182">
        <v>6</v>
      </c>
      <c r="B23" s="192" t="s">
        <v>29</v>
      </c>
      <c r="C23" s="192" t="s">
        <v>14</v>
      </c>
      <c r="D23" s="182">
        <v>15</v>
      </c>
      <c r="E23" s="158">
        <f t="shared" si="0"/>
        <v>2.4500000000000002</v>
      </c>
      <c r="F23" s="20"/>
      <c r="G23" s="158" cm="1">
        <f t="array" ref="G23" xml:space="preserve"> INDEX( $C$11:$D$15, MATCH( $D23, $A$11:$A$15, 1 ), $G$16 )</f>
        <v>2.4500000000000002</v>
      </c>
      <c r="H23" s="20"/>
      <c r="I23" s="158" cm="1">
        <f t="array" ref="I23" xml:space="preserve"> INDEX( $A$11:$D$15, MATCH( $D23, $A$11:$A$15, 1 ), $I$16 )</f>
        <v>2.4500000000000002</v>
      </c>
      <c r="J23" s="20"/>
      <c r="K23" s="158" cm="1">
        <f t="array" ref="K23" xml:space="preserve"> INDEX( $A$11:$D$15, MATCH( $D23, $A$11:$A$15, 1 ), $I$16 )</f>
        <v>2.4500000000000002</v>
      </c>
      <c r="L23" s="20"/>
      <c r="M23" s="158">
        <f t="shared" si="1"/>
        <v>2.4500000000000002</v>
      </c>
      <c r="O23" s="158">
        <f t="shared" si="1"/>
        <v>2.35</v>
      </c>
    </row>
    <row r="24" spans="1:15" s="99" customFormat="1" x14ac:dyDescent="0.2">
      <c r="A24" s="319"/>
      <c r="B24" s="319"/>
      <c r="C24" s="319"/>
      <c r="D24" s="319"/>
      <c r="E24" s="319"/>
      <c r="F24" s="20"/>
      <c r="G24" s="319"/>
      <c r="H24" s="20"/>
      <c r="I24" s="319"/>
      <c r="J24" s="20"/>
      <c r="K24" s="319"/>
      <c r="L24" s="20"/>
      <c r="M24" s="319"/>
      <c r="N24" s="20"/>
      <c r="O24" s="319"/>
    </row>
    <row r="25" spans="1:15" x14ac:dyDescent="0.2">
      <c r="A25" s="20"/>
      <c r="B25" s="20"/>
      <c r="C25" s="20"/>
      <c r="D25" s="20"/>
      <c r="E25" s="20"/>
      <c r="F25" s="20"/>
      <c r="G25" s="20"/>
      <c r="H25" s="20"/>
      <c r="I25" s="20"/>
      <c r="J25" s="20"/>
      <c r="K25" s="20"/>
      <c r="L25" s="20"/>
      <c r="M25" s="20"/>
      <c r="N25" s="20"/>
    </row>
  </sheetData>
  <dataValidations count="1">
    <dataValidation type="list" allowBlank="1" showInputMessage="1" showErrorMessage="1" sqref="M16 O16" xr:uid="{5DAF94B8-F868-4144-B3F8-B7DAC70DC67D}">
      <formula1>$C$10:$D$10</formula1>
    </dataValidation>
  </dataValidations>
  <pageMargins left="0.75" right="0.75" top="1" bottom="1" header="0.5" footer="0.5"/>
  <pageSetup orientation="portrait" horizontalDpi="300" verticalDpi="300" r:id="rId1"/>
  <headerFooter alignWithMargins="0"/>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2">
    <pageSetUpPr autoPageBreaks="0"/>
  </sheetPr>
  <dimension ref="A1:S25"/>
  <sheetViews>
    <sheetView zoomScale="145" zoomScaleNormal="145" workbookViewId="0">
      <selection activeCell="B11" sqref="B11"/>
    </sheetView>
  </sheetViews>
  <sheetFormatPr defaultRowHeight="12.75" x14ac:dyDescent="0.2"/>
  <cols>
    <col min="1" max="2" width="8.7109375" customWidth="1"/>
    <col min="4" max="4" width="9.42578125" customWidth="1"/>
    <col min="6" max="6" width="9.140625" bestFit="1" customWidth="1"/>
    <col min="7" max="7" width="10" bestFit="1" customWidth="1"/>
    <col min="8" max="9" width="10" customWidth="1"/>
    <col min="10" max="10" width="10.5703125" customWidth="1"/>
    <col min="11" max="11" width="9.5703125" customWidth="1"/>
    <col min="12" max="12" width="10" bestFit="1" customWidth="1"/>
  </cols>
  <sheetData>
    <row r="1" spans="1:19" s="310" customFormat="1" ht="18" x14ac:dyDescent="0.25">
      <c r="A1" s="265" t="s">
        <v>412</v>
      </c>
      <c r="B1" s="309"/>
      <c r="C1" s="309"/>
      <c r="D1" s="309"/>
      <c r="E1" s="309"/>
      <c r="F1" s="309"/>
      <c r="G1" s="309"/>
      <c r="H1" s="309"/>
      <c r="I1" s="309"/>
      <c r="J1" s="309"/>
      <c r="K1" s="309"/>
      <c r="L1" s="309"/>
    </row>
    <row r="2" spans="1:19" s="298" customFormat="1" hidden="1" x14ac:dyDescent="0.2">
      <c r="A2" s="299"/>
      <c r="B2" s="299"/>
      <c r="C2" s="301"/>
      <c r="D2" s="299"/>
      <c r="E2" s="301"/>
      <c r="F2" s="299"/>
      <c r="G2" s="301"/>
      <c r="H2" s="299"/>
      <c r="I2" s="299"/>
      <c r="J2" s="299"/>
      <c r="K2" s="299"/>
      <c r="L2" s="299"/>
    </row>
    <row r="3" spans="1:19" s="273" customFormat="1" x14ac:dyDescent="0.2">
      <c r="A3" s="274" t="str">
        <f>IF(A2="","",IF(Disable_Video_Hyperlinks,A2,HYPERLINK(Video_website&amp;A2,A2)))</f>
        <v/>
      </c>
      <c r="B3" s="277"/>
      <c r="C3" s="311"/>
      <c r="D3" s="277"/>
      <c r="E3" s="311"/>
      <c r="F3" s="277"/>
      <c r="G3" s="311"/>
      <c r="H3" s="277"/>
      <c r="I3" s="277"/>
      <c r="J3" s="277"/>
      <c r="K3" s="277"/>
      <c r="L3" s="277"/>
    </row>
    <row r="4" spans="1:19" s="91" customFormat="1" x14ac:dyDescent="0.2">
      <c r="A4" s="305" t="str">
        <f>IF(B2="","",B2)</f>
        <v/>
      </c>
      <c r="B4" s="275"/>
      <c r="C4" s="279"/>
      <c r="D4" s="275"/>
      <c r="E4" s="279"/>
      <c r="F4" s="275"/>
      <c r="G4" s="279"/>
      <c r="H4" s="275"/>
      <c r="I4" s="275"/>
      <c r="J4" s="275"/>
      <c r="K4" s="275"/>
      <c r="L4" s="275"/>
    </row>
    <row r="6" spans="1:19" x14ac:dyDescent="0.2">
      <c r="A6" s="117" t="s">
        <v>0</v>
      </c>
      <c r="B6" s="118"/>
      <c r="C6" s="118"/>
      <c r="D6" s="118"/>
      <c r="E6" s="118"/>
      <c r="F6" s="118"/>
      <c r="G6" s="118"/>
      <c r="H6" s="118"/>
      <c r="I6" s="118"/>
      <c r="J6" s="118"/>
      <c r="K6" s="118"/>
      <c r="L6" s="118"/>
    </row>
    <row r="7" spans="1:19" ht="21" customHeight="1" x14ac:dyDescent="0.2">
      <c r="A7" s="117" t="s">
        <v>1</v>
      </c>
      <c r="B7" s="118"/>
      <c r="C7" s="118"/>
      <c r="D7" s="118"/>
      <c r="E7" s="118"/>
      <c r="F7" s="118"/>
      <c r="G7" s="118"/>
      <c r="H7" s="118"/>
      <c r="I7" s="118"/>
      <c r="J7" s="118"/>
      <c r="K7" s="118"/>
      <c r="L7" s="118"/>
    </row>
    <row r="9" spans="1:19" ht="12.75" customHeight="1" x14ac:dyDescent="0.2">
      <c r="A9" s="211" t="s">
        <v>324</v>
      </c>
      <c r="B9" s="160"/>
      <c r="C9" s="160"/>
      <c r="D9" s="160"/>
      <c r="F9" s="210" t="s">
        <v>3</v>
      </c>
      <c r="G9" s="210"/>
      <c r="H9" s="210"/>
      <c r="J9" s="210" t="s">
        <v>7</v>
      </c>
      <c r="K9" s="210"/>
      <c r="L9" s="210"/>
      <c r="M9" s="7"/>
      <c r="N9" s="7"/>
    </row>
    <row r="10" spans="1:19" ht="38.25" x14ac:dyDescent="0.2">
      <c r="A10" s="266" t="s">
        <v>331</v>
      </c>
      <c r="B10" s="171"/>
      <c r="C10" s="374" t="s">
        <v>410</v>
      </c>
      <c r="D10" s="374" t="s">
        <v>411</v>
      </c>
      <c r="F10" s="197" t="s">
        <v>237</v>
      </c>
      <c r="G10" s="373" t="s">
        <v>417</v>
      </c>
      <c r="H10" s="373" t="s">
        <v>418</v>
      </c>
      <c r="J10" s="197" t="s">
        <v>9</v>
      </c>
      <c r="K10" s="197" t="s">
        <v>243</v>
      </c>
      <c r="L10" s="197" t="s">
        <v>242</v>
      </c>
      <c r="S10" s="20"/>
    </row>
    <row r="11" spans="1:19" x14ac:dyDescent="0.2">
      <c r="A11" s="183">
        <v>0</v>
      </c>
      <c r="B11" s="292" cm="1">
        <f t="array" ref="B11">_xlfn.IFS(A11="","",A12="","&amp; above",TRUE,A12-1)</f>
        <v>59</v>
      </c>
      <c r="C11" s="180">
        <v>2.4500000000000002</v>
      </c>
      <c r="D11" s="180">
        <v>2.35</v>
      </c>
      <c r="F11" s="183" t="s">
        <v>8</v>
      </c>
      <c r="G11" s="180">
        <v>0.25</v>
      </c>
      <c r="H11" s="180">
        <v>0.22</v>
      </c>
      <c r="J11" s="201">
        <v>0</v>
      </c>
      <c r="K11" s="153">
        <v>0</v>
      </c>
      <c r="L11" s="153">
        <v>0</v>
      </c>
      <c r="S11" s="20"/>
    </row>
    <row r="12" spans="1:19" x14ac:dyDescent="0.2">
      <c r="A12" s="183">
        <v>60</v>
      </c>
      <c r="B12" s="292" cm="1">
        <f t="array" ref="B12">_xlfn.IFS(A12="","",A13="","&amp; above",TRUE,A13-1)</f>
        <v>119</v>
      </c>
      <c r="C12" s="184">
        <v>2.27</v>
      </c>
      <c r="D12" s="184">
        <v>2.17</v>
      </c>
      <c r="F12" s="183" t="s">
        <v>10</v>
      </c>
      <c r="G12" s="184">
        <v>0.2</v>
      </c>
      <c r="H12" s="184">
        <v>0.17</v>
      </c>
      <c r="J12" s="201">
        <v>300</v>
      </c>
      <c r="K12" s="153">
        <v>0.15</v>
      </c>
      <c r="L12" s="153">
        <v>0.1</v>
      </c>
      <c r="S12" s="20"/>
    </row>
    <row r="13" spans="1:19" x14ac:dyDescent="0.2">
      <c r="A13" s="183">
        <v>120</v>
      </c>
      <c r="B13" s="292" cm="1">
        <f t="array" ref="B13">_xlfn.IFS(A13="","",A14="","&amp; above",TRUE,A14-1)</f>
        <v>239</v>
      </c>
      <c r="C13" s="184">
        <v>2.12</v>
      </c>
      <c r="D13" s="184">
        <v>2.02</v>
      </c>
      <c r="F13" s="183" t="s">
        <v>12</v>
      </c>
      <c r="G13" s="184">
        <v>0.15</v>
      </c>
      <c r="H13" s="184">
        <v>0.12</v>
      </c>
      <c r="J13" s="201">
        <v>1000</v>
      </c>
      <c r="K13" s="153">
        <v>0.25</v>
      </c>
      <c r="L13" s="153">
        <v>0.15</v>
      </c>
      <c r="S13" s="20"/>
    </row>
    <row r="14" spans="1:19" x14ac:dyDescent="0.2">
      <c r="A14" s="183">
        <v>240</v>
      </c>
      <c r="B14" s="293" t="str" cm="1">
        <f t="array" ref="B14">_xlfn.IFS(A14="","",A15="","&amp; above",TRUE,A15-1)</f>
        <v>&amp; above</v>
      </c>
      <c r="C14" s="184">
        <v>2</v>
      </c>
      <c r="D14" s="184">
        <v>1.9</v>
      </c>
      <c r="F14" s="183" t="s">
        <v>14</v>
      </c>
      <c r="G14" s="184">
        <v>0</v>
      </c>
      <c r="H14" s="184">
        <v>0</v>
      </c>
      <c r="J14" s="320"/>
      <c r="K14" s="320"/>
      <c r="L14" s="320"/>
      <c r="S14" s="20"/>
    </row>
    <row r="15" spans="1:19" x14ac:dyDescent="0.2">
      <c r="A15" s="320"/>
      <c r="B15" s="320"/>
      <c r="C15" s="320"/>
      <c r="D15" s="320"/>
      <c r="E15" s="98"/>
      <c r="F15" s="320"/>
      <c r="G15" s="320"/>
      <c r="H15" s="320"/>
      <c r="I15" s="20"/>
      <c r="J15" s="20"/>
      <c r="K15" s="20"/>
      <c r="L15" s="20"/>
      <c r="M15" s="7"/>
      <c r="N15" s="7"/>
    </row>
    <row r="16" spans="1:19" x14ac:dyDescent="0.2">
      <c r="A16" s="20"/>
      <c r="B16" s="20"/>
      <c r="C16" s="20"/>
      <c r="D16" s="20"/>
      <c r="F16" s="20"/>
      <c r="G16" s="20"/>
      <c r="H16" s="20"/>
      <c r="J16" s="20"/>
      <c r="K16" s="20"/>
      <c r="L16" s="20"/>
      <c r="M16" s="7"/>
      <c r="N16" s="7"/>
    </row>
    <row r="17" spans="1:14" ht="38.25" x14ac:dyDescent="0.2">
      <c r="A17" s="156" t="s">
        <v>15</v>
      </c>
      <c r="B17" s="156" t="s">
        <v>16</v>
      </c>
      <c r="C17" s="188" t="s">
        <v>237</v>
      </c>
      <c r="D17" s="156" t="s">
        <v>18</v>
      </c>
      <c r="E17" s="220" t="s">
        <v>410</v>
      </c>
      <c r="F17" s="120" t="s">
        <v>20</v>
      </c>
      <c r="G17" s="375" t="s">
        <v>417</v>
      </c>
      <c r="H17" s="188" t="s">
        <v>288</v>
      </c>
      <c r="I17" s="220" t="s">
        <v>243</v>
      </c>
      <c r="J17" s="120" t="s">
        <v>23</v>
      </c>
      <c r="L17" s="7"/>
      <c r="M17" s="7"/>
      <c r="N17" s="7"/>
    </row>
    <row r="18" spans="1:14" x14ac:dyDescent="0.2">
      <c r="A18" s="127">
        <v>1</v>
      </c>
      <c r="B18" s="128" t="s">
        <v>24</v>
      </c>
      <c r="C18" s="128" t="s">
        <v>10</v>
      </c>
      <c r="D18" s="127">
        <v>240</v>
      </c>
      <c r="E18" s="157">
        <f xml:space="preserve"> INDEX( $C$11:$D$15, MATCH( $D18, $A$11:$A$15, 1 ), MATCH( $E$17, $C$10:$D$10, 0 ) )</f>
        <v>2</v>
      </c>
      <c r="F18" s="157">
        <f xml:space="preserve"> D18 * E18</f>
        <v>480</v>
      </c>
      <c r="G18" s="157">
        <f xml:space="preserve"> INDEX( $G$10:$H$15, MATCH( C18, $F$10:$F$15, 0 ), MATCH( G$17,  $G$10:$H$10, 0 ) )</f>
        <v>0.2</v>
      </c>
      <c r="H18" s="157">
        <f xml:space="preserve"> G18 * D18</f>
        <v>48</v>
      </c>
      <c r="I18" s="157">
        <f t="shared" ref="I18:I23" si="0" xml:space="preserve"> - INDEX( $J$10:$L$14, MATCH( F18, $J$10:$J$14, 1 ), MATCH( $I$17, $J$10:$L$10, 0 ) ) * H18</f>
        <v>-7.1999999999999993</v>
      </c>
      <c r="J18" s="157">
        <f xml:space="preserve"> F18 + H18 + I18</f>
        <v>520.79999999999995</v>
      </c>
      <c r="L18" s="7"/>
      <c r="M18" s="7"/>
      <c r="N18" s="7"/>
    </row>
    <row r="19" spans="1:14" x14ac:dyDescent="0.2">
      <c r="A19" s="127">
        <v>2</v>
      </c>
      <c r="B19" s="128" t="s">
        <v>25</v>
      </c>
      <c r="C19" s="128" t="s">
        <v>10</v>
      </c>
      <c r="D19" s="127">
        <v>30</v>
      </c>
      <c r="E19" s="158">
        <f t="shared" ref="E19:E23" si="1" xml:space="preserve"> INDEX( $C$11:$D$15, MATCH( $D19, $A$11:$A$15, 1 ), MATCH( $E$17, $C$10:$D$10, 0 ) )</f>
        <v>2.4500000000000002</v>
      </c>
      <c r="F19" s="158">
        <f t="shared" ref="F19:F23" si="2" xml:space="preserve"> D19 * E19</f>
        <v>73.5</v>
      </c>
      <c r="G19" s="158">
        <f t="shared" ref="G19:G23" si="3" xml:space="preserve"> INDEX( $G$10:$H$15, MATCH( C19, $F$10:$F$15, 0 ), MATCH( G$17,  $G$10:$H$10, 0 ) )</f>
        <v>0.2</v>
      </c>
      <c r="H19" s="158">
        <f t="shared" ref="H19:H23" si="4" xml:space="preserve"> G19 * D19</f>
        <v>6</v>
      </c>
      <c r="I19" s="158">
        <f t="shared" si="0"/>
        <v>0</v>
      </c>
      <c r="J19" s="158">
        <f t="shared" ref="J19:J23" si="5" xml:space="preserve"> F19 + H19 + I19</f>
        <v>79.5</v>
      </c>
      <c r="L19" s="7"/>
      <c r="M19" s="7"/>
      <c r="N19" s="7"/>
    </row>
    <row r="20" spans="1:14" x14ac:dyDescent="0.2">
      <c r="A20" s="127">
        <v>3</v>
      </c>
      <c r="B20" s="128" t="s">
        <v>26</v>
      </c>
      <c r="C20" s="128" t="s">
        <v>12</v>
      </c>
      <c r="D20" s="127">
        <v>160</v>
      </c>
      <c r="E20" s="158">
        <f t="shared" si="1"/>
        <v>2.12</v>
      </c>
      <c r="F20" s="158">
        <f t="shared" si="2"/>
        <v>339.20000000000005</v>
      </c>
      <c r="G20" s="158">
        <f t="shared" si="3"/>
        <v>0.15</v>
      </c>
      <c r="H20" s="158">
        <f t="shared" si="4"/>
        <v>24</v>
      </c>
      <c r="I20" s="158">
        <f t="shared" si="0"/>
        <v>-3.5999999999999996</v>
      </c>
      <c r="J20" s="158">
        <f t="shared" si="5"/>
        <v>359.6</v>
      </c>
      <c r="L20" s="7"/>
      <c r="M20" s="7"/>
      <c r="N20" s="7"/>
    </row>
    <row r="21" spans="1:14" x14ac:dyDescent="0.2">
      <c r="A21" s="127">
        <v>4</v>
      </c>
      <c r="B21" s="128" t="s">
        <v>27</v>
      </c>
      <c r="C21" s="128" t="s">
        <v>8</v>
      </c>
      <c r="D21" s="127">
        <v>215</v>
      </c>
      <c r="E21" s="158">
        <f t="shared" si="1"/>
        <v>2.12</v>
      </c>
      <c r="F21" s="158">
        <f t="shared" si="2"/>
        <v>455.8</v>
      </c>
      <c r="G21" s="158">
        <f t="shared" si="3"/>
        <v>0.25</v>
      </c>
      <c r="H21" s="158">
        <f t="shared" si="4"/>
        <v>53.75</v>
      </c>
      <c r="I21" s="158">
        <f t="shared" si="0"/>
        <v>-8.0625</v>
      </c>
      <c r="J21" s="158">
        <f t="shared" si="5"/>
        <v>501.48750000000001</v>
      </c>
      <c r="L21" s="7"/>
      <c r="M21" s="7"/>
      <c r="N21" s="7"/>
    </row>
    <row r="22" spans="1:14" x14ac:dyDescent="0.2">
      <c r="A22" s="127">
        <v>5</v>
      </c>
      <c r="B22" s="128" t="s">
        <v>28</v>
      </c>
      <c r="C22" s="128" t="s">
        <v>8</v>
      </c>
      <c r="D22" s="127">
        <v>90</v>
      </c>
      <c r="E22" s="158">
        <f t="shared" si="1"/>
        <v>2.27</v>
      </c>
      <c r="F22" s="158">
        <f t="shared" si="2"/>
        <v>204.3</v>
      </c>
      <c r="G22" s="158">
        <f t="shared" si="3"/>
        <v>0.25</v>
      </c>
      <c r="H22" s="158">
        <f t="shared" si="4"/>
        <v>22.5</v>
      </c>
      <c r="I22" s="158">
        <f t="shared" si="0"/>
        <v>0</v>
      </c>
      <c r="J22" s="158">
        <f t="shared" si="5"/>
        <v>226.8</v>
      </c>
      <c r="L22" s="7"/>
      <c r="M22" s="7"/>
      <c r="N22" s="7"/>
    </row>
    <row r="23" spans="1:14" x14ac:dyDescent="0.2">
      <c r="A23" s="127">
        <v>6</v>
      </c>
      <c r="B23" s="128" t="s">
        <v>29</v>
      </c>
      <c r="C23" s="128" t="s">
        <v>14</v>
      </c>
      <c r="D23" s="127">
        <v>15</v>
      </c>
      <c r="E23" s="158">
        <f t="shared" si="1"/>
        <v>2.4500000000000002</v>
      </c>
      <c r="F23" s="158">
        <f t="shared" si="2"/>
        <v>36.75</v>
      </c>
      <c r="G23" s="158">
        <f t="shared" si="3"/>
        <v>0</v>
      </c>
      <c r="H23" s="158">
        <f t="shared" si="4"/>
        <v>0</v>
      </c>
      <c r="I23" s="158">
        <f t="shared" si="0"/>
        <v>0</v>
      </c>
      <c r="J23" s="158">
        <f t="shared" si="5"/>
        <v>36.75</v>
      </c>
      <c r="L23" s="7"/>
      <c r="M23" s="7"/>
      <c r="N23" s="7"/>
    </row>
    <row r="24" spans="1:14" s="99" customFormat="1" x14ac:dyDescent="0.2">
      <c r="A24" s="320"/>
      <c r="B24" s="320"/>
      <c r="C24" s="320"/>
      <c r="D24" s="320"/>
      <c r="E24" s="320"/>
      <c r="F24" s="320"/>
      <c r="G24" s="320"/>
      <c r="H24" s="320"/>
      <c r="I24" s="320"/>
      <c r="J24" s="320"/>
      <c r="K24"/>
      <c r="L24" s="20"/>
      <c r="M24" s="20"/>
      <c r="N24" s="20"/>
    </row>
    <row r="25" spans="1:14" x14ac:dyDescent="0.2">
      <c r="A25" s="215"/>
      <c r="B25" s="7"/>
      <c r="C25" s="7"/>
      <c r="D25" s="7"/>
      <c r="E25" s="7"/>
      <c r="F25" s="7"/>
      <c r="G25" s="7"/>
      <c r="H25" s="7"/>
      <c r="I25" s="7"/>
      <c r="J25" s="7"/>
      <c r="K25" s="7"/>
      <c r="L25" s="7"/>
      <c r="M25" s="7"/>
      <c r="N25" s="7"/>
    </row>
  </sheetData>
  <dataConsolidate/>
  <dataValidations count="3">
    <dataValidation type="list" allowBlank="1" showInputMessage="1" showErrorMessage="1" sqref="E17" xr:uid="{5638F7F3-CF9C-4EDE-940E-2CDC4EFFB781}">
      <formula1>$C$10:$D$10</formula1>
    </dataValidation>
    <dataValidation type="list" allowBlank="1" showInputMessage="1" showErrorMessage="1" sqref="I17" xr:uid="{00000000-0002-0000-1600-000000000000}">
      <formula1>$K$10:$L$10</formula1>
    </dataValidation>
    <dataValidation type="list" allowBlank="1" showInputMessage="1" showErrorMessage="1" sqref="G17" xr:uid="{61D607C7-583F-4A94-BB7C-18B4E7F2595F}">
      <formula1>$G$10:$H$10</formula1>
    </dataValidation>
  </dataValidations>
  <pageMargins left="0.75" right="0.75" top="1" bottom="1" header="0.5" footer="0.5"/>
  <pageSetup orientation="portrait" horizontalDpi="300" verticalDpi="300" r:id="rId1"/>
  <headerFooter alignWithMargins="0"/>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1AAB5-5F3B-473F-B5C6-92AC03DBEAB1}">
  <sheetPr codeName="Sheet51">
    <pageSetUpPr autoPageBreaks="0"/>
  </sheetPr>
  <dimension ref="A1:X30"/>
  <sheetViews>
    <sheetView zoomScale="145" zoomScaleNormal="145" workbookViewId="0">
      <selection activeCell="A5" sqref="A5"/>
    </sheetView>
  </sheetViews>
  <sheetFormatPr defaultRowHeight="12.75" x14ac:dyDescent="0.2"/>
  <cols>
    <col min="1" max="2" width="8.7109375" customWidth="1"/>
    <col min="4" max="5" width="9" customWidth="1"/>
    <col min="6" max="6" width="9.140625" bestFit="1" customWidth="1"/>
    <col min="7" max="7" width="8.7109375" customWidth="1"/>
    <col min="8" max="8" width="10" customWidth="1"/>
    <col min="9" max="9" width="9.5703125" customWidth="1"/>
    <col min="10" max="10" width="9.5703125" bestFit="1" customWidth="1"/>
    <col min="11" max="12" width="10" bestFit="1" customWidth="1"/>
  </cols>
  <sheetData>
    <row r="1" spans="1:24" s="310" customFormat="1" ht="18" x14ac:dyDescent="0.25">
      <c r="A1" s="265" t="s">
        <v>357</v>
      </c>
      <c r="B1" s="309"/>
      <c r="C1" s="309"/>
      <c r="D1" s="309"/>
      <c r="E1" s="309"/>
      <c r="F1" s="309"/>
      <c r="G1" s="309"/>
      <c r="H1" s="309"/>
      <c r="I1" s="309"/>
      <c r="J1" s="309"/>
      <c r="K1" s="309"/>
    </row>
    <row r="2" spans="1:24" s="298" customFormat="1" hidden="1" x14ac:dyDescent="0.2">
      <c r="A2" s="299"/>
      <c r="B2" s="313"/>
      <c r="C2" s="301"/>
      <c r="D2" s="299"/>
      <c r="E2" s="301"/>
      <c r="F2" s="299"/>
      <c r="G2" s="301"/>
      <c r="H2" s="299"/>
      <c r="I2" s="299"/>
      <c r="J2" s="299"/>
      <c r="K2" s="299"/>
    </row>
    <row r="3" spans="1:24" s="273" customFormat="1" x14ac:dyDescent="0.2">
      <c r="A3" s="274" t="str">
        <f>IF(A2="","",IF(Disable_Video_Hyperlinks,A2,HYPERLINK(Video_website&amp;A2,A2)))</f>
        <v/>
      </c>
      <c r="B3" s="277"/>
      <c r="C3" s="311"/>
      <c r="D3" s="277"/>
      <c r="E3" s="311"/>
      <c r="F3" s="277"/>
      <c r="G3" s="311"/>
      <c r="H3" s="277"/>
      <c r="I3" s="277"/>
      <c r="J3" s="277"/>
      <c r="K3" s="277"/>
    </row>
    <row r="4" spans="1:24" s="91" customFormat="1" x14ac:dyDescent="0.2">
      <c r="A4" s="305" t="str">
        <f>IF(B2="","",B2)</f>
        <v/>
      </c>
      <c r="B4" s="276"/>
      <c r="C4" s="278"/>
      <c r="D4" s="276"/>
      <c r="E4" s="278"/>
      <c r="F4" s="276"/>
      <c r="G4" s="278"/>
      <c r="H4" s="276"/>
      <c r="I4" s="276"/>
      <c r="J4" s="276"/>
      <c r="K4" s="276"/>
      <c r="L4" s="270"/>
    </row>
    <row r="5" spans="1:24" x14ac:dyDescent="0.2">
      <c r="A5" s="20"/>
      <c r="B5" s="20"/>
      <c r="C5" s="20"/>
      <c r="D5" s="20"/>
      <c r="E5" s="20"/>
      <c r="F5" s="20"/>
      <c r="G5" s="20"/>
      <c r="H5" s="20"/>
      <c r="I5" s="20"/>
      <c r="J5" s="20"/>
      <c r="K5" s="20"/>
      <c r="L5" s="20"/>
      <c r="M5" s="20"/>
    </row>
    <row r="6" spans="1:24" ht="12.75" customHeight="1" x14ac:dyDescent="0.2">
      <c r="A6" s="212" t="s">
        <v>0</v>
      </c>
      <c r="B6" s="213"/>
      <c r="C6" s="213"/>
      <c r="D6" s="213"/>
      <c r="E6" s="213"/>
      <c r="F6" s="213"/>
      <c r="G6" s="213"/>
      <c r="H6" s="213"/>
      <c r="I6" s="213"/>
      <c r="J6" s="213"/>
      <c r="K6" s="213"/>
      <c r="L6" s="171"/>
      <c r="M6" s="20"/>
      <c r="N6" s="333"/>
      <c r="O6" s="333"/>
      <c r="P6" s="333"/>
      <c r="Q6" s="333"/>
      <c r="R6" s="333"/>
      <c r="S6" s="333"/>
      <c r="T6" s="333"/>
      <c r="U6" s="333"/>
      <c r="V6" s="333"/>
      <c r="W6" s="333"/>
      <c r="X6" s="333"/>
    </row>
    <row r="7" spans="1:24" ht="21" customHeight="1" x14ac:dyDescent="0.2">
      <c r="A7" s="212" t="s">
        <v>1</v>
      </c>
      <c r="B7" s="213"/>
      <c r="C7" s="213"/>
      <c r="D7" s="213"/>
      <c r="E7" s="213"/>
      <c r="F7" s="213"/>
      <c r="G7" s="213"/>
      <c r="H7" s="213"/>
      <c r="I7" s="213"/>
      <c r="J7" s="213"/>
      <c r="K7" s="213"/>
      <c r="L7" s="171"/>
      <c r="M7" s="20"/>
    </row>
    <row r="8" spans="1:24" x14ac:dyDescent="0.2">
      <c r="A8" s="20"/>
      <c r="B8" s="20"/>
      <c r="C8" s="20"/>
      <c r="D8" s="20"/>
      <c r="E8" s="20"/>
      <c r="F8" s="20"/>
      <c r="G8" s="20"/>
      <c r="H8" s="20"/>
      <c r="I8" s="20"/>
      <c r="J8" s="20"/>
      <c r="K8" s="20"/>
      <c r="L8" s="20"/>
      <c r="M8" s="20"/>
    </row>
    <row r="9" spans="1:24" ht="12.75" customHeight="1" x14ac:dyDescent="0.2">
      <c r="A9" s="160" t="s">
        <v>2</v>
      </c>
      <c r="B9" s="171"/>
      <c r="C9" s="171"/>
      <c r="D9" s="20"/>
      <c r="E9" s="197" t="s">
        <v>3</v>
      </c>
      <c r="F9" s="160"/>
      <c r="G9" s="20"/>
      <c r="H9" s="20"/>
      <c r="I9" s="20"/>
      <c r="J9" s="20"/>
      <c r="K9" s="20"/>
      <c r="L9" s="20"/>
      <c r="M9" s="20"/>
    </row>
    <row r="10" spans="1:24" s="103" customFormat="1" ht="38.25" x14ac:dyDescent="0.2">
      <c r="A10" s="216" t="s">
        <v>241</v>
      </c>
      <c r="B10" s="190"/>
      <c r="C10" s="191" t="s">
        <v>81</v>
      </c>
      <c r="D10" s="217"/>
      <c r="E10" s="191" t="s">
        <v>237</v>
      </c>
      <c r="F10" s="191" t="s">
        <v>238</v>
      </c>
      <c r="G10" s="217"/>
      <c r="H10" s="197" t="s">
        <v>323</v>
      </c>
      <c r="I10" s="160"/>
      <c r="J10" s="160"/>
      <c r="K10" s="160"/>
      <c r="L10" s="160"/>
      <c r="M10" s="217"/>
    </row>
    <row r="11" spans="1:24" x14ac:dyDescent="0.2">
      <c r="A11" s="183">
        <v>0</v>
      </c>
      <c r="B11" s="292">
        <f>A12-1</f>
        <v>59</v>
      </c>
      <c r="C11" s="180">
        <v>2.4500000000000002</v>
      </c>
      <c r="D11" s="20"/>
      <c r="E11" s="183" t="s">
        <v>8</v>
      </c>
      <c r="F11" s="180">
        <v>0.25</v>
      </c>
      <c r="G11" s="20"/>
      <c r="H11" s="218" t="s">
        <v>9</v>
      </c>
      <c r="I11" s="20"/>
      <c r="J11" s="201">
        <v>0</v>
      </c>
      <c r="K11" s="201">
        <v>300</v>
      </c>
      <c r="L11" s="201">
        <v>1000</v>
      </c>
      <c r="M11" s="20"/>
    </row>
    <row r="12" spans="1:24" x14ac:dyDescent="0.2">
      <c r="A12" s="183">
        <v>60</v>
      </c>
      <c r="B12" s="292">
        <f>A13-1</f>
        <v>119</v>
      </c>
      <c r="C12" s="184">
        <v>2.27</v>
      </c>
      <c r="D12" s="20"/>
      <c r="E12" s="183" t="s">
        <v>10</v>
      </c>
      <c r="F12" s="184">
        <v>0.2</v>
      </c>
      <c r="G12" s="20"/>
      <c r="H12" s="218" t="s">
        <v>7</v>
      </c>
      <c r="I12" s="20"/>
      <c r="J12" s="153">
        <v>0</v>
      </c>
      <c r="K12" s="153">
        <v>0.15</v>
      </c>
      <c r="L12" s="153">
        <v>0.25</v>
      </c>
      <c r="M12" s="20"/>
    </row>
    <row r="13" spans="1:24" x14ac:dyDescent="0.2">
      <c r="A13" s="183">
        <v>120</v>
      </c>
      <c r="B13" s="292">
        <f>A14-1</f>
        <v>239</v>
      </c>
      <c r="C13" s="184">
        <v>2.12</v>
      </c>
      <c r="D13" s="20"/>
      <c r="E13" s="183" t="s">
        <v>12</v>
      </c>
      <c r="F13" s="184">
        <v>0.15</v>
      </c>
      <c r="G13" s="20"/>
      <c r="H13" s="20"/>
      <c r="I13" s="20"/>
      <c r="J13" s="20"/>
      <c r="K13" s="20"/>
      <c r="L13" s="20"/>
      <c r="M13" s="20"/>
    </row>
    <row r="14" spans="1:24" x14ac:dyDescent="0.2">
      <c r="A14" s="183">
        <v>240</v>
      </c>
      <c r="B14" s="293" t="s">
        <v>218</v>
      </c>
      <c r="C14" s="184">
        <v>2</v>
      </c>
      <c r="D14" s="20"/>
      <c r="E14" s="183" t="s">
        <v>14</v>
      </c>
      <c r="F14" s="184">
        <v>0</v>
      </c>
      <c r="G14" s="20"/>
      <c r="H14" s="20"/>
      <c r="I14" s="20"/>
      <c r="J14" s="20"/>
      <c r="K14" s="20"/>
      <c r="L14" s="20"/>
      <c r="M14" s="20"/>
    </row>
    <row r="15" spans="1:24" x14ac:dyDescent="0.2">
      <c r="A15" s="160"/>
      <c r="B15" s="171"/>
      <c r="C15" s="171"/>
      <c r="D15" s="97"/>
      <c r="E15" s="197"/>
      <c r="F15" s="160"/>
      <c r="G15" s="20"/>
      <c r="H15" s="20"/>
      <c r="I15" s="20"/>
      <c r="J15" s="20"/>
      <c r="K15" s="20"/>
      <c r="L15" s="20"/>
      <c r="M15" s="20"/>
    </row>
    <row r="16" spans="1:24" x14ac:dyDescent="0.2">
      <c r="A16" s="20"/>
      <c r="B16" s="20"/>
      <c r="C16" s="20"/>
      <c r="D16" s="20"/>
      <c r="E16" s="20"/>
      <c r="F16" s="20"/>
      <c r="G16" s="20"/>
      <c r="H16" s="20"/>
      <c r="I16" s="20"/>
      <c r="J16" s="20"/>
      <c r="K16" s="20"/>
      <c r="L16" s="20"/>
      <c r="M16" s="20"/>
    </row>
    <row r="17" spans="1:13" ht="38.25" x14ac:dyDescent="0.2">
      <c r="A17" s="156" t="s">
        <v>15</v>
      </c>
      <c r="B17" s="156" t="s">
        <v>16</v>
      </c>
      <c r="C17" s="188" t="s">
        <v>237</v>
      </c>
      <c r="D17" s="156" t="s">
        <v>18</v>
      </c>
      <c r="E17" s="188" t="s">
        <v>81</v>
      </c>
      <c r="F17" s="120" t="s">
        <v>20</v>
      </c>
      <c r="G17" s="188" t="s">
        <v>238</v>
      </c>
      <c r="H17" s="188" t="s">
        <v>288</v>
      </c>
      <c r="I17" s="120" t="s">
        <v>7</v>
      </c>
      <c r="J17" s="120" t="s">
        <v>23</v>
      </c>
      <c r="K17" s="20"/>
      <c r="L17" s="20"/>
      <c r="M17" s="20"/>
    </row>
    <row r="18" spans="1:13" x14ac:dyDescent="0.2">
      <c r="A18" s="182">
        <v>1</v>
      </c>
      <c r="B18" s="192" t="s">
        <v>24</v>
      </c>
      <c r="C18" s="192" t="s">
        <v>10</v>
      </c>
      <c r="D18" s="182">
        <v>245</v>
      </c>
      <c r="E18" s="157">
        <f xml:space="preserve"> _xlfn.XLOOKUP(D18, $A$11:$A$15, $C$11:$C$15, "", -1 )</f>
        <v>2</v>
      </c>
      <c r="F18" s="157">
        <f>D18 * E18</f>
        <v>490</v>
      </c>
      <c r="G18" s="157">
        <f xml:space="preserve"> _xlfn.XLOOKUP(C18, $E$11:$E$15, $F$11:$F$15, "", 0 )</f>
        <v>0.2</v>
      </c>
      <c r="H18" s="157">
        <f>G18 * D18</f>
        <v>49</v>
      </c>
      <c r="I18" s="157">
        <f xml:space="preserve"> - _xlfn.XLOOKUP(F18, $J$11:$M$11, $J$12:$M$12, "", -1 ) * H18</f>
        <v>-7.35</v>
      </c>
      <c r="J18" s="157">
        <f>F18 + H18 + I18</f>
        <v>531.65</v>
      </c>
      <c r="K18" s="20"/>
      <c r="L18" s="20"/>
      <c r="M18" s="20"/>
    </row>
    <row r="19" spans="1:13" x14ac:dyDescent="0.2">
      <c r="A19" s="182">
        <v>2</v>
      </c>
      <c r="B19" s="192" t="s">
        <v>25</v>
      </c>
      <c r="C19" s="192" t="s">
        <v>10</v>
      </c>
      <c r="D19" s="182">
        <v>30</v>
      </c>
      <c r="E19" s="158">
        <f t="shared" ref="E19:E23" si="0" xml:space="preserve"> _xlfn.XLOOKUP(D19, $A$11:$A$15, $C$11:$C$15, "", -1 )</f>
        <v>2.4500000000000002</v>
      </c>
      <c r="F19" s="158">
        <f t="shared" ref="F19:F23" si="1">D19 * E19</f>
        <v>73.5</v>
      </c>
      <c r="G19" s="158">
        <f t="shared" ref="G19:G23" si="2" xml:space="preserve"> _xlfn.XLOOKUP(C19, $E$11:$E$15, $F$11:$F$15, "", 0 )</f>
        <v>0.2</v>
      </c>
      <c r="H19" s="158">
        <f t="shared" ref="H19:H23" si="3">G19 * D19</f>
        <v>6</v>
      </c>
      <c r="I19" s="158">
        <f t="shared" ref="I19:I23" si="4" xml:space="preserve"> - _xlfn.XLOOKUP(F19, $J$11:$M$11, $J$12:$M$12, "", -1 ) * H19</f>
        <v>0</v>
      </c>
      <c r="J19" s="158">
        <f t="shared" ref="J19:J23" si="5">F19 + H19 + I19</f>
        <v>79.5</v>
      </c>
      <c r="K19" s="20"/>
      <c r="L19" s="20"/>
      <c r="M19" s="20"/>
    </row>
    <row r="20" spans="1:13" x14ac:dyDescent="0.2">
      <c r="A20" s="182">
        <v>3</v>
      </c>
      <c r="B20" s="192" t="s">
        <v>26</v>
      </c>
      <c r="C20" s="192" t="s">
        <v>12</v>
      </c>
      <c r="D20" s="182">
        <v>160</v>
      </c>
      <c r="E20" s="158">
        <f t="shared" si="0"/>
        <v>2.12</v>
      </c>
      <c r="F20" s="158">
        <f t="shared" si="1"/>
        <v>339.20000000000005</v>
      </c>
      <c r="G20" s="158">
        <f t="shared" si="2"/>
        <v>0.15</v>
      </c>
      <c r="H20" s="158">
        <f t="shared" si="3"/>
        <v>24</v>
      </c>
      <c r="I20" s="158">
        <f t="shared" si="4"/>
        <v>-3.5999999999999996</v>
      </c>
      <c r="J20" s="158">
        <f t="shared" si="5"/>
        <v>359.6</v>
      </c>
      <c r="K20" s="20"/>
      <c r="L20" s="20"/>
      <c r="M20" s="20"/>
    </row>
    <row r="21" spans="1:13" x14ac:dyDescent="0.2">
      <c r="A21" s="182">
        <v>4</v>
      </c>
      <c r="B21" s="192" t="s">
        <v>27</v>
      </c>
      <c r="C21" s="192" t="s">
        <v>8</v>
      </c>
      <c r="D21" s="182">
        <v>215</v>
      </c>
      <c r="E21" s="158">
        <f t="shared" si="0"/>
        <v>2.12</v>
      </c>
      <c r="F21" s="158">
        <f t="shared" si="1"/>
        <v>455.8</v>
      </c>
      <c r="G21" s="158">
        <f t="shared" si="2"/>
        <v>0.25</v>
      </c>
      <c r="H21" s="158">
        <f t="shared" si="3"/>
        <v>53.75</v>
      </c>
      <c r="I21" s="158">
        <f t="shared" si="4"/>
        <v>-8.0625</v>
      </c>
      <c r="J21" s="158">
        <f t="shared" si="5"/>
        <v>501.48750000000001</v>
      </c>
      <c r="K21" s="20"/>
      <c r="L21" s="20"/>
      <c r="M21" s="20"/>
    </row>
    <row r="22" spans="1:13" x14ac:dyDescent="0.2">
      <c r="A22" s="182">
        <v>5</v>
      </c>
      <c r="B22" s="192" t="s">
        <v>28</v>
      </c>
      <c r="C22" s="192" t="s">
        <v>8</v>
      </c>
      <c r="D22" s="182">
        <v>90</v>
      </c>
      <c r="E22" s="158">
        <f t="shared" si="0"/>
        <v>2.27</v>
      </c>
      <c r="F22" s="158">
        <f t="shared" si="1"/>
        <v>204.3</v>
      </c>
      <c r="G22" s="158">
        <f t="shared" si="2"/>
        <v>0.25</v>
      </c>
      <c r="H22" s="158">
        <f t="shared" si="3"/>
        <v>22.5</v>
      </c>
      <c r="I22" s="158">
        <f t="shared" si="4"/>
        <v>0</v>
      </c>
      <c r="J22" s="158">
        <f t="shared" si="5"/>
        <v>226.8</v>
      </c>
      <c r="K22" s="20"/>
      <c r="L22" s="20"/>
      <c r="M22" s="20"/>
    </row>
    <row r="23" spans="1:13" x14ac:dyDescent="0.2">
      <c r="A23" s="182">
        <v>6</v>
      </c>
      <c r="B23" s="192" t="s">
        <v>29</v>
      </c>
      <c r="C23" s="192" t="s">
        <v>14</v>
      </c>
      <c r="D23" s="182">
        <v>15</v>
      </c>
      <c r="E23" s="158">
        <f t="shared" si="0"/>
        <v>2.4500000000000002</v>
      </c>
      <c r="F23" s="158">
        <f t="shared" si="1"/>
        <v>36.75</v>
      </c>
      <c r="G23" s="158">
        <f t="shared" si="2"/>
        <v>0</v>
      </c>
      <c r="H23" s="158">
        <f t="shared" si="3"/>
        <v>0</v>
      </c>
      <c r="I23" s="158">
        <f t="shared" si="4"/>
        <v>0</v>
      </c>
      <c r="J23" s="158">
        <f t="shared" si="5"/>
        <v>36.75</v>
      </c>
      <c r="K23" s="20"/>
      <c r="L23" s="20"/>
      <c r="M23" s="20"/>
    </row>
    <row r="24" spans="1:13" s="99" customFormat="1" x14ac:dyDescent="0.2">
      <c r="A24" s="20"/>
      <c r="B24" s="20"/>
      <c r="C24" s="20"/>
      <c r="D24" s="20"/>
      <c r="E24" s="20"/>
      <c r="F24" s="20"/>
      <c r="G24" s="20"/>
      <c r="H24" s="20"/>
      <c r="I24" s="20"/>
      <c r="J24" s="20"/>
      <c r="K24" s="20"/>
      <c r="L24" s="20"/>
      <c r="M24" s="20"/>
    </row>
    <row r="25" spans="1:13" x14ac:dyDescent="0.2">
      <c r="A25" s="219" t="s">
        <v>358</v>
      </c>
      <c r="B25" s="20"/>
      <c r="C25" s="20"/>
      <c r="D25" s="20"/>
      <c r="E25" s="20"/>
      <c r="F25" s="20"/>
      <c r="G25" s="20"/>
      <c r="H25" s="20"/>
      <c r="I25" s="20"/>
      <c r="J25" s="20"/>
      <c r="K25" s="20"/>
      <c r="L25" s="20"/>
      <c r="M25" s="20"/>
    </row>
    <row r="26" spans="1:13" x14ac:dyDescent="0.2">
      <c r="A26" s="20"/>
      <c r="B26" s="20"/>
      <c r="C26" s="20"/>
      <c r="D26" s="20"/>
      <c r="E26" s="20"/>
      <c r="F26" s="20"/>
      <c r="G26" s="20"/>
      <c r="H26" s="20"/>
      <c r="I26" s="20"/>
      <c r="J26" s="20"/>
      <c r="K26" s="20"/>
      <c r="L26" s="20"/>
      <c r="M26" s="20"/>
    </row>
    <row r="27" spans="1:13" x14ac:dyDescent="0.2">
      <c r="A27" s="20"/>
      <c r="B27" s="20"/>
      <c r="C27" s="20"/>
      <c r="D27" s="20"/>
      <c r="E27" s="20"/>
      <c r="F27" s="20"/>
      <c r="G27" s="20"/>
      <c r="H27" s="20"/>
      <c r="I27" s="20"/>
      <c r="J27" s="20"/>
      <c r="K27" s="20"/>
      <c r="L27" s="20"/>
      <c r="M27" s="20"/>
    </row>
    <row r="28" spans="1:13" x14ac:dyDescent="0.2">
      <c r="A28" s="20"/>
      <c r="B28" s="20"/>
      <c r="C28" s="20"/>
      <c r="D28" s="20"/>
      <c r="E28" s="20"/>
      <c r="F28" s="20"/>
      <c r="G28" s="20"/>
      <c r="H28" s="20"/>
      <c r="I28" s="20"/>
      <c r="J28" s="20"/>
      <c r="K28" s="20"/>
      <c r="L28" s="20"/>
      <c r="M28" s="20"/>
    </row>
    <row r="29" spans="1:13" x14ac:dyDescent="0.2">
      <c r="A29" t="s">
        <v>369</v>
      </c>
    </row>
    <row r="30" spans="1:13" x14ac:dyDescent="0.2">
      <c r="A30" s="334" t="s">
        <v>360</v>
      </c>
    </row>
  </sheetData>
  <hyperlinks>
    <hyperlink ref="A30" r:id="rId1" xr:uid="{EB252E97-AAE4-42CC-8A94-95AF3544DA78}"/>
  </hyperlinks>
  <pageMargins left="0.75" right="0.75" top="1" bottom="1" header="0.5" footer="0.5"/>
  <pageSetup orientation="portrait" horizontalDpi="300" verticalDpi="300" r:id="rId2"/>
  <headerFooter alignWithMargins="0"/>
  <legacyDrawing r:id="rId3"/>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B66C-CA65-4F4E-B07B-274E3275A030}">
  <sheetPr codeName="Sheet52">
    <pageSetUpPr autoPageBreaks="0"/>
  </sheetPr>
  <dimension ref="A1:R28"/>
  <sheetViews>
    <sheetView zoomScale="145" zoomScaleNormal="145" workbookViewId="0">
      <selection activeCell="I18" sqref="I18"/>
    </sheetView>
  </sheetViews>
  <sheetFormatPr defaultRowHeight="12.75" x14ac:dyDescent="0.2"/>
  <cols>
    <col min="1" max="2" width="8.7109375" customWidth="1"/>
    <col min="4" max="4" width="9" customWidth="1"/>
    <col min="6" max="6" width="9.140625" bestFit="1" customWidth="1"/>
    <col min="7" max="7" width="10" bestFit="1" customWidth="1"/>
    <col min="8" max="9" width="10" customWidth="1"/>
    <col min="10" max="10" width="9.5703125" bestFit="1" customWidth="1"/>
    <col min="11" max="11" width="10" bestFit="1" customWidth="1"/>
    <col min="12" max="12" width="3.28515625" customWidth="1"/>
  </cols>
  <sheetData>
    <row r="1" spans="1:18" s="310" customFormat="1" ht="18" x14ac:dyDescent="0.25">
      <c r="A1" s="265" t="s">
        <v>362</v>
      </c>
      <c r="B1" s="309"/>
      <c r="C1" s="309"/>
      <c r="D1" s="309"/>
      <c r="E1" s="309"/>
      <c r="F1" s="309"/>
      <c r="G1" s="309"/>
      <c r="H1" s="309"/>
      <c r="I1" s="309"/>
      <c r="J1" s="309"/>
      <c r="K1" s="309"/>
    </row>
    <row r="2" spans="1:18" s="298" customFormat="1" hidden="1" x14ac:dyDescent="0.2">
      <c r="A2" s="299"/>
      <c r="B2" s="299"/>
      <c r="C2" s="301"/>
      <c r="D2" s="299"/>
      <c r="E2" s="301"/>
      <c r="F2" s="299"/>
      <c r="G2" s="301"/>
      <c r="H2" s="299"/>
      <c r="I2" s="299"/>
      <c r="J2" s="299"/>
      <c r="K2" s="299"/>
    </row>
    <row r="3" spans="1:18" s="273" customFormat="1" x14ac:dyDescent="0.2">
      <c r="A3" s="274" t="str">
        <f>IF(A2="","",IF(Disable_Video_Hyperlinks,A2,HYPERLINK(Video_website&amp;A2,A2)))</f>
        <v/>
      </c>
      <c r="B3" s="277"/>
      <c r="C3" s="311"/>
      <c r="D3" s="277"/>
      <c r="E3" s="311"/>
      <c r="F3" s="277"/>
      <c r="G3" s="311"/>
      <c r="H3" s="277"/>
      <c r="I3" s="277"/>
      <c r="J3" s="277"/>
      <c r="K3" s="277"/>
    </row>
    <row r="4" spans="1:18" s="91" customFormat="1" x14ac:dyDescent="0.2">
      <c r="A4" s="305" t="str">
        <f>IF(B2="","",B2)</f>
        <v/>
      </c>
      <c r="B4" s="275"/>
      <c r="C4" s="279"/>
      <c r="D4" s="275"/>
      <c r="E4" s="279"/>
      <c r="F4" s="275"/>
      <c r="G4" s="279"/>
      <c r="H4" s="275"/>
      <c r="I4" s="275"/>
      <c r="J4" s="275"/>
      <c r="K4" s="275"/>
    </row>
    <row r="6" spans="1:18" x14ac:dyDescent="0.2">
      <c r="A6" s="117" t="s">
        <v>0</v>
      </c>
      <c r="B6" s="118"/>
      <c r="C6" s="118"/>
      <c r="D6" s="118"/>
      <c r="E6" s="118"/>
      <c r="F6" s="118"/>
      <c r="G6" s="118"/>
      <c r="H6" s="118"/>
      <c r="I6" s="118"/>
      <c r="J6" s="118"/>
      <c r="K6" s="118"/>
    </row>
    <row r="7" spans="1:18" ht="21" customHeight="1" x14ac:dyDescent="0.2">
      <c r="A7" s="117" t="s">
        <v>1</v>
      </c>
      <c r="B7" s="118"/>
      <c r="C7" s="118"/>
      <c r="D7" s="118"/>
      <c r="E7" s="118"/>
      <c r="F7" s="118"/>
      <c r="G7" s="118"/>
      <c r="H7" s="118"/>
      <c r="I7" s="118"/>
      <c r="J7" s="118"/>
      <c r="K7" s="118"/>
    </row>
    <row r="9" spans="1:18" ht="12.75" customHeight="1" x14ac:dyDescent="0.2">
      <c r="A9" s="211" t="s">
        <v>324</v>
      </c>
      <c r="B9" s="160"/>
      <c r="C9" s="160"/>
      <c r="D9" s="160"/>
      <c r="F9" s="210" t="s">
        <v>3</v>
      </c>
      <c r="G9" s="210"/>
      <c r="H9" s="7"/>
      <c r="I9" s="210" t="s">
        <v>7</v>
      </c>
      <c r="J9" s="210"/>
      <c r="K9" s="210"/>
      <c r="L9" s="319"/>
      <c r="M9" s="7"/>
    </row>
    <row r="10" spans="1:18" ht="38.25" x14ac:dyDescent="0.2">
      <c r="A10" s="266" t="s">
        <v>331</v>
      </c>
      <c r="B10" s="171"/>
      <c r="C10" s="315" t="s">
        <v>410</v>
      </c>
      <c r="D10" s="316" t="s">
        <v>411</v>
      </c>
      <c r="F10" s="197" t="s">
        <v>237</v>
      </c>
      <c r="G10" s="197" t="s">
        <v>238</v>
      </c>
      <c r="H10" s="199"/>
      <c r="I10" s="197" t="s">
        <v>9</v>
      </c>
      <c r="J10" s="197" t="s">
        <v>243</v>
      </c>
      <c r="K10" s="197" t="s">
        <v>242</v>
      </c>
      <c r="L10" s="159"/>
      <c r="R10" s="20"/>
    </row>
    <row r="11" spans="1:18" x14ac:dyDescent="0.2">
      <c r="A11" s="183">
        <v>0</v>
      </c>
      <c r="B11" s="292" cm="1">
        <f t="array" ref="B11">_xlfn.IFS(A11="","",A12="","&amp; above",TRUE,A12-1)</f>
        <v>59</v>
      </c>
      <c r="C11" s="180">
        <v>2.4500000000000002</v>
      </c>
      <c r="D11" s="180">
        <v>2.35</v>
      </c>
      <c r="F11" s="183" t="s">
        <v>8</v>
      </c>
      <c r="G11" s="180">
        <v>0.25</v>
      </c>
      <c r="H11" s="20"/>
      <c r="I11" s="201">
        <v>0</v>
      </c>
      <c r="J11" s="153">
        <v>0</v>
      </c>
      <c r="K11" s="153">
        <v>0</v>
      </c>
      <c r="L11" s="159"/>
      <c r="R11" s="20"/>
    </row>
    <row r="12" spans="1:18" x14ac:dyDescent="0.2">
      <c r="A12" s="183">
        <v>60</v>
      </c>
      <c r="B12" s="292" cm="1">
        <f t="array" ref="B12">_xlfn.IFS(A12="","",A13="","&amp; above",TRUE,A13-1)</f>
        <v>119</v>
      </c>
      <c r="C12" s="184">
        <v>2.27</v>
      </c>
      <c r="D12" s="184">
        <v>2.17</v>
      </c>
      <c r="F12" s="183" t="s">
        <v>10</v>
      </c>
      <c r="G12" s="184">
        <v>0.2</v>
      </c>
      <c r="H12" s="20"/>
      <c r="I12" s="201">
        <v>300</v>
      </c>
      <c r="J12" s="153">
        <v>0.15</v>
      </c>
      <c r="K12" s="153">
        <v>0.1</v>
      </c>
      <c r="L12" s="159"/>
      <c r="R12" s="20"/>
    </row>
    <row r="13" spans="1:18" x14ac:dyDescent="0.2">
      <c r="A13" s="183">
        <v>120</v>
      </c>
      <c r="B13" s="292" cm="1">
        <f t="array" ref="B13">_xlfn.IFS(A13="","",A14="","&amp; above",TRUE,A14-1)</f>
        <v>239</v>
      </c>
      <c r="C13" s="184">
        <v>2.12</v>
      </c>
      <c r="D13" s="184">
        <v>2.02</v>
      </c>
      <c r="F13" s="183" t="s">
        <v>12</v>
      </c>
      <c r="G13" s="184">
        <v>0.15</v>
      </c>
      <c r="H13" s="20"/>
      <c r="I13" s="201">
        <v>1000</v>
      </c>
      <c r="J13" s="153">
        <v>0.25</v>
      </c>
      <c r="K13" s="153">
        <v>0.15</v>
      </c>
      <c r="L13" s="159"/>
      <c r="R13" s="20"/>
    </row>
    <row r="14" spans="1:18" x14ac:dyDescent="0.2">
      <c r="A14" s="183">
        <v>240</v>
      </c>
      <c r="B14" s="293" t="str" cm="1">
        <f t="array" ref="B14">_xlfn.IFS(A14="","",A15="","&amp; above",TRUE,A15-1)</f>
        <v>&amp; above</v>
      </c>
      <c r="C14" s="184">
        <v>2</v>
      </c>
      <c r="D14" s="184">
        <v>1.9</v>
      </c>
      <c r="F14" s="183" t="s">
        <v>14</v>
      </c>
      <c r="G14" s="184">
        <v>0</v>
      </c>
      <c r="H14" s="20"/>
      <c r="I14" s="320"/>
      <c r="J14" s="320"/>
      <c r="K14" s="320"/>
      <c r="L14" s="159"/>
      <c r="R14" s="20"/>
    </row>
    <row r="15" spans="1:18" x14ac:dyDescent="0.2">
      <c r="A15" s="320"/>
      <c r="B15" s="320"/>
      <c r="C15" s="320"/>
      <c r="D15" s="320"/>
      <c r="E15" s="98"/>
      <c r="F15" s="320"/>
      <c r="G15" s="320"/>
      <c r="H15" s="20"/>
      <c r="I15" s="20"/>
      <c r="J15" s="20"/>
      <c r="K15" s="20"/>
      <c r="L15" s="7"/>
      <c r="M15" s="7"/>
      <c r="O15" s="156" t="str">
        <f>$B$17</f>
        <v>Cust ID</v>
      </c>
    </row>
    <row r="16" spans="1:18" x14ac:dyDescent="0.2">
      <c r="A16" s="20"/>
      <c r="B16" s="20"/>
      <c r="C16" s="20"/>
      <c r="D16" s="20"/>
      <c r="F16" s="20"/>
      <c r="G16" s="20"/>
      <c r="H16" s="20"/>
      <c r="J16" s="20"/>
      <c r="K16" s="20"/>
      <c r="L16" s="7"/>
      <c r="M16" s="7"/>
      <c r="O16" s="342" t="s">
        <v>368</v>
      </c>
    </row>
    <row r="17" spans="1:18" ht="38.25" x14ac:dyDescent="0.2">
      <c r="A17" s="156" t="s">
        <v>15</v>
      </c>
      <c r="B17" s="156" t="s">
        <v>16</v>
      </c>
      <c r="C17" s="188" t="s">
        <v>237</v>
      </c>
      <c r="D17" s="156" t="s">
        <v>18</v>
      </c>
      <c r="E17" s="220" t="s">
        <v>410</v>
      </c>
      <c r="F17" s="120" t="s">
        <v>20</v>
      </c>
      <c r="G17" s="188" t="s">
        <v>238</v>
      </c>
      <c r="H17" s="188" t="s">
        <v>288</v>
      </c>
      <c r="I17" s="220" t="s">
        <v>243</v>
      </c>
      <c r="J17" s="120" t="s">
        <v>23</v>
      </c>
      <c r="K17" s="7"/>
      <c r="L17" s="7"/>
      <c r="M17" s="7"/>
      <c r="N17" s="156" t="str" cm="1">
        <f t="array" ref="N17:Q17">A$17:D$17</f>
        <v>Order #</v>
      </c>
      <c r="O17" s="156" t="str">
        <v>Cust ID</v>
      </c>
      <c r="P17" s="188" t="str">
        <v>Shipping Method</v>
      </c>
      <c r="Q17" s="156" t="str">
        <v>Quantity</v>
      </c>
    </row>
    <row r="18" spans="1:18" x14ac:dyDescent="0.2">
      <c r="A18" s="127">
        <v>1</v>
      </c>
      <c r="B18" s="128" t="s">
        <v>24</v>
      </c>
      <c r="C18" s="128" t="s">
        <v>10</v>
      </c>
      <c r="D18" s="127">
        <v>240</v>
      </c>
      <c r="E18" s="157" cm="1">
        <f t="array" ref="E18" xml:space="preserve"> _xlfn.XLOOKUP( $D18, $A$11:$A$15, _xlfn.XLOOKUP( $E$17, $C$10:$D$10, $C$11:$D$15, "", 0 ), "", -1)</f>
        <v>2</v>
      </c>
      <c r="F18" s="157">
        <f xml:space="preserve"> D18 * E18</f>
        <v>480</v>
      </c>
      <c r="G18" s="157">
        <f xml:space="preserve"> _xlfn.XLOOKUP( $C18, $F$11:$F$15, $G$11:$G$15, "", 0 )</f>
        <v>0.2</v>
      </c>
      <c r="H18" s="157">
        <f xml:space="preserve"> G18 * D18</f>
        <v>48</v>
      </c>
      <c r="I18" s="157" cm="1">
        <f t="array" ref="I18">-_xlfn.XLOOKUP($F18,$I$11:$I$14,_xlfn.XLOOKUP($I$17,$J$10:$L$10,$J$11:$L$14,"",0),"",-1)*H18</f>
        <v>-7.1999999999999993</v>
      </c>
      <c r="J18" s="157">
        <f xml:space="preserve"> F18 + H18 + I18</f>
        <v>520.79999999999995</v>
      </c>
      <c r="K18" s="7"/>
      <c r="L18" s="7"/>
      <c r="M18" s="7"/>
      <c r="N18" s="105" cm="1">
        <f t="array" ref="N18:Q18" xml:space="preserve"> _xlfn.XLOOKUP( $O$16, $B$18:$B$24, $A$18:$D$24, "", 2 )</f>
        <v>4</v>
      </c>
      <c r="O18" s="105" t="str">
        <v>X271</v>
      </c>
      <c r="P18" s="105" t="str">
        <v>Truck</v>
      </c>
      <c r="Q18" s="105">
        <v>215</v>
      </c>
    </row>
    <row r="19" spans="1:18" x14ac:dyDescent="0.2">
      <c r="A19" s="127">
        <v>2</v>
      </c>
      <c r="B19" s="128" t="s">
        <v>25</v>
      </c>
      <c r="C19" s="128" t="s">
        <v>10</v>
      </c>
      <c r="D19" s="127">
        <v>30</v>
      </c>
      <c r="E19" s="158" cm="1">
        <f t="array" ref="E19" xml:space="preserve"> _xlfn.XLOOKUP( $D19, $A$11:$A$15, _xlfn.XLOOKUP( $E$17, $C$10:$D$10, $C$11:$D$15, "", 0 ), "", -1)</f>
        <v>2.4500000000000002</v>
      </c>
      <c r="F19" s="158">
        <f t="shared" ref="F19:F23" si="0" xml:space="preserve"> D19 * E19</f>
        <v>73.5</v>
      </c>
      <c r="G19" s="158">
        <f t="shared" ref="G19:G23" si="1" xml:space="preserve"> _xlfn.XLOOKUP( $C19, $F$11:$F$15, $G$11:$G$15, "", 0 )</f>
        <v>0.2</v>
      </c>
      <c r="H19" s="158">
        <f t="shared" ref="H19:H23" si="2" xml:space="preserve"> G19 * D19</f>
        <v>6</v>
      </c>
      <c r="I19" s="158" cm="1">
        <f t="array" ref="I19">-_xlfn.XLOOKUP($F19,$I$11:$I$14,_xlfn.XLOOKUP($I$17,$J$10:$L$10,$J$11:$L$14,"",0),"",-1)*H19</f>
        <v>0</v>
      </c>
      <c r="J19" s="158">
        <f t="shared" ref="J19:J23" si="3" xml:space="preserve"> F19 + H19 + I19</f>
        <v>79.5</v>
      </c>
      <c r="K19" s="7"/>
      <c r="L19" s="7"/>
      <c r="M19" s="7"/>
    </row>
    <row r="20" spans="1:18" x14ac:dyDescent="0.2">
      <c r="A20" s="127">
        <v>3</v>
      </c>
      <c r="B20" s="128" t="s">
        <v>26</v>
      </c>
      <c r="C20" s="128" t="s">
        <v>12</v>
      </c>
      <c r="D20" s="127">
        <v>160</v>
      </c>
      <c r="E20" s="158" cm="1">
        <f t="array" ref="E20" xml:space="preserve"> _xlfn.XLOOKUP( $D20, $A$11:$A$15, _xlfn.XLOOKUP( $E$17, $C$10:$D$10, $C$11:$D$15, "", 0 ), "", -1)</f>
        <v>2.12</v>
      </c>
      <c r="F20" s="158">
        <f t="shared" si="0"/>
        <v>339.20000000000005</v>
      </c>
      <c r="G20" s="158">
        <f t="shared" si="1"/>
        <v>0.15</v>
      </c>
      <c r="H20" s="158">
        <f t="shared" si="2"/>
        <v>24</v>
      </c>
      <c r="I20" s="158" cm="1">
        <f t="array" ref="I20">-_xlfn.XLOOKUP($F20,$I$11:$I$14,_xlfn.XLOOKUP($I$17,$J$10:$L$10,$J$11:$L$14,"",0),"",-1)*H20</f>
        <v>-3.5999999999999996</v>
      </c>
      <c r="J20" s="158">
        <f t="shared" si="3"/>
        <v>359.6</v>
      </c>
      <c r="K20" s="7"/>
      <c r="L20" s="7"/>
      <c r="M20" s="7"/>
    </row>
    <row r="21" spans="1:18" x14ac:dyDescent="0.2">
      <c r="A21" s="127">
        <v>4</v>
      </c>
      <c r="B21" s="128" t="s">
        <v>27</v>
      </c>
      <c r="C21" s="128" t="s">
        <v>8</v>
      </c>
      <c r="D21" s="127">
        <v>215</v>
      </c>
      <c r="E21" s="158" cm="1">
        <f t="array" ref="E21" xml:space="preserve"> _xlfn.XLOOKUP( $D21, $A$11:$A$15, _xlfn.XLOOKUP( $E$17, $C$10:$D$10, $C$11:$D$15, "", 0 ), "", -1)</f>
        <v>2.12</v>
      </c>
      <c r="F21" s="158">
        <f t="shared" si="0"/>
        <v>455.8</v>
      </c>
      <c r="G21" s="158">
        <f t="shared" si="1"/>
        <v>0.25</v>
      </c>
      <c r="H21" s="158">
        <f t="shared" si="2"/>
        <v>53.75</v>
      </c>
      <c r="I21" s="158" cm="1">
        <f t="array" ref="I21">-_xlfn.XLOOKUP($F21,$I$11:$I$14,_xlfn.XLOOKUP($I$17,$J$10:$L$10,$J$11:$L$14,"",0),"",-1)*H21</f>
        <v>-8.0625</v>
      </c>
      <c r="J21" s="158">
        <f t="shared" si="3"/>
        <v>501.48750000000001</v>
      </c>
      <c r="K21" s="7"/>
      <c r="L21" s="7"/>
      <c r="M21" s="7"/>
    </row>
    <row r="22" spans="1:18" x14ac:dyDescent="0.2">
      <c r="A22" s="127">
        <v>5</v>
      </c>
      <c r="B22" s="128" t="s">
        <v>28</v>
      </c>
      <c r="C22" s="128" t="s">
        <v>8</v>
      </c>
      <c r="D22" s="127">
        <v>90</v>
      </c>
      <c r="E22" s="158" cm="1">
        <f t="array" ref="E22" xml:space="preserve"> _xlfn.XLOOKUP( $D22, $A$11:$A$15, _xlfn.XLOOKUP( $E$17, $C$10:$D$10, $C$11:$D$15, "", 0 ), "", -1)</f>
        <v>2.27</v>
      </c>
      <c r="F22" s="158">
        <f t="shared" si="0"/>
        <v>204.3</v>
      </c>
      <c r="G22" s="158">
        <f t="shared" si="1"/>
        <v>0.25</v>
      </c>
      <c r="H22" s="158">
        <f t="shared" si="2"/>
        <v>22.5</v>
      </c>
      <c r="I22" s="158" cm="1">
        <f t="array" ref="I22">-_xlfn.XLOOKUP($F22,$I$11:$I$14,_xlfn.XLOOKUP($I$17,$J$10:$L$10,$J$11:$L$14,"",0),"",-1)*H22</f>
        <v>0</v>
      </c>
      <c r="J22" s="158">
        <f t="shared" si="3"/>
        <v>226.8</v>
      </c>
      <c r="K22" s="7"/>
      <c r="L22" s="7"/>
      <c r="M22" s="7"/>
      <c r="O22" s="156" t="str">
        <f>$B$17</f>
        <v>Cust ID</v>
      </c>
    </row>
    <row r="23" spans="1:18" x14ac:dyDescent="0.2">
      <c r="A23" s="127">
        <v>6</v>
      </c>
      <c r="B23" s="192" t="s">
        <v>370</v>
      </c>
      <c r="C23" s="128" t="s">
        <v>14</v>
      </c>
      <c r="D23" s="127">
        <v>15</v>
      </c>
      <c r="E23" s="158" cm="1">
        <f t="array" ref="E23" xml:space="preserve"> _xlfn.XLOOKUP( $D23, $A$11:$A$15, _xlfn.XLOOKUP( $E$17, $C$10:$D$10, $C$11:$D$15, "", 0 ), "", -1)</f>
        <v>2.4500000000000002</v>
      </c>
      <c r="F23" s="158">
        <f t="shared" si="0"/>
        <v>36.75</v>
      </c>
      <c r="G23" s="158">
        <f t="shared" si="1"/>
        <v>0</v>
      </c>
      <c r="H23" s="158">
        <f t="shared" si="2"/>
        <v>0</v>
      </c>
      <c r="I23" s="158" cm="1">
        <f t="array" ref="I23">-_xlfn.XLOOKUP($F23,$I$11:$I$14,_xlfn.XLOOKUP($I$17,$J$10:$L$10,$J$11:$L$14,"",0),"",-1)*H23</f>
        <v>0</v>
      </c>
      <c r="J23" s="158">
        <f t="shared" si="3"/>
        <v>36.75</v>
      </c>
      <c r="K23" s="7"/>
      <c r="L23" s="7"/>
      <c r="M23" s="7"/>
      <c r="O23" s="342" t="s">
        <v>368</v>
      </c>
    </row>
    <row r="24" spans="1:18" s="99" customFormat="1" x14ac:dyDescent="0.2">
      <c r="A24" s="320"/>
      <c r="B24" s="320"/>
      <c r="C24" s="320"/>
      <c r="D24" s="320"/>
      <c r="E24" s="320"/>
      <c r="F24" s="320"/>
      <c r="G24" s="320"/>
      <c r="H24" s="320"/>
      <c r="I24" s="320"/>
      <c r="J24" s="320"/>
      <c r="K24" s="20"/>
      <c r="L24" s="20"/>
      <c r="M24" s="20"/>
    </row>
    <row r="25" spans="1:18" ht="25.5" x14ac:dyDescent="0.2">
      <c r="A25" s="215"/>
      <c r="B25" s="7"/>
      <c r="C25" s="7"/>
      <c r="D25" s="7"/>
      <c r="E25" s="7"/>
      <c r="F25" s="7"/>
      <c r="G25" s="7"/>
      <c r="H25" s="7"/>
      <c r="I25" s="7"/>
      <c r="J25" s="7"/>
      <c r="K25" s="7"/>
      <c r="L25" s="7"/>
      <c r="M25" s="7"/>
      <c r="N25" s="120" t="str">
        <f>A$17</f>
        <v>Order #</v>
      </c>
      <c r="O25" s="120" t="str">
        <f t="shared" ref="O25:Q25" si="4">B$17</f>
        <v>Cust ID</v>
      </c>
      <c r="P25" s="120" t="str">
        <f t="shared" si="4"/>
        <v>Shipping Method</v>
      </c>
      <c r="Q25" s="120" t="str">
        <f t="shared" si="4"/>
        <v>Quantity</v>
      </c>
      <c r="R25" s="343" t="str">
        <f>J17</f>
        <v>Grand Total</v>
      </c>
    </row>
    <row r="26" spans="1:18" x14ac:dyDescent="0.2">
      <c r="N26" s="105" cm="1">
        <f t="array" ref="N26" xml:space="preserve"> _xlfn.XLOOKUP( $O$23, $B$18:$B$24, _xlfn.XLOOKUP( N$25, $A$17:$J$17, $A$18:$J$24, "", 0 ), "", 2 )</f>
        <v>4</v>
      </c>
      <c r="O26" s="105" t="str" cm="1">
        <f t="array" ref="O26" xml:space="preserve"> _xlfn.XLOOKUP( $O$23, $B$18:$B$24, _xlfn.XLOOKUP( O$25, $A$17:$J$17, $A$18:$J$24, "", 0 ), "", 2 )</f>
        <v>X271</v>
      </c>
      <c r="P26" s="105" t="str" cm="1">
        <f t="array" ref="P26" xml:space="preserve"> _xlfn.XLOOKUP( $O$23, $B$18:$B$24, _xlfn.XLOOKUP( P$25, $A$17:$J$17, $A$18:$J$24, "", 0 ), "", 2 )</f>
        <v>Truck</v>
      </c>
      <c r="Q26" s="105" cm="1">
        <f t="array" ref="Q26" xml:space="preserve"> _xlfn.XLOOKUP( $O$23, $B$18:$B$24, _xlfn.XLOOKUP( Q$25, $A$17:$J$17, $A$18:$J$24, "", 0 ), "", 2 )</f>
        <v>215</v>
      </c>
      <c r="R26" s="344" cm="1">
        <f t="array" ref="R26" xml:space="preserve"> _xlfn.XLOOKUP( $O$23, $B$18:$B$24, _xlfn.XLOOKUP( R$25, $A$17:$J$17, $A$18:$J$24, "", 0 ), "", 2 )</f>
        <v>501.48750000000001</v>
      </c>
    </row>
    <row r="28" spans="1:18" x14ac:dyDescent="0.2">
      <c r="A28" s="335" t="s">
        <v>361</v>
      </c>
    </row>
  </sheetData>
  <dataConsolidate/>
  <dataValidations count="2">
    <dataValidation type="list" allowBlank="1" showInputMessage="1" showErrorMessage="1" sqref="E17" xr:uid="{D46F91D7-B3B7-4792-905E-E1CEE8B5D60B}">
      <formula1>$C$10:$D$10</formula1>
    </dataValidation>
    <dataValidation type="list" allowBlank="1" showInputMessage="1" showErrorMessage="1" sqref="I17" xr:uid="{C2180B49-93E7-492A-B4C6-EE047697C341}">
      <formula1>$J$10:$K$10</formula1>
    </dataValidation>
  </dataValidations>
  <pageMargins left="0.75" right="0.75" top="1" bottom="1" header="0.5" footer="0.5"/>
  <pageSetup orientation="portrait" horizontalDpi="300" verticalDpi="300" r:id="rId1"/>
  <headerFooter alignWithMargins="0"/>
  <legacyDrawing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0105F-38D9-4275-8762-9CA26786EE5B}">
  <sheetPr codeName="Sheet53"/>
  <dimension ref="A1:S41"/>
  <sheetViews>
    <sheetView zoomScale="130" zoomScaleNormal="130" workbookViewId="0">
      <selection activeCell="R41" sqref="R41"/>
    </sheetView>
  </sheetViews>
  <sheetFormatPr defaultRowHeight="12.75" x14ac:dyDescent="0.2"/>
  <cols>
    <col min="17" max="17" width="9.5703125" customWidth="1"/>
    <col min="18" max="18" width="11.28515625" customWidth="1"/>
  </cols>
  <sheetData>
    <row r="1" spans="1:19" s="310" customFormat="1" ht="18" x14ac:dyDescent="0.25">
      <c r="A1" s="260" t="s">
        <v>357</v>
      </c>
    </row>
    <row r="2" spans="1:19" s="298" customFormat="1" hidden="1" x14ac:dyDescent="0.2">
      <c r="B2" s="314"/>
    </row>
    <row r="3" spans="1:19" s="273" customFormat="1" x14ac:dyDescent="0.2">
      <c r="A3" s="274" t="str">
        <f>IF(A2="","",IF(Disable_Video_Hyperlinks,A2,HYPERLINK(Video_website&amp;A2,A2)))</f>
        <v/>
      </c>
    </row>
    <row r="4" spans="1:19" s="91" customFormat="1" x14ac:dyDescent="0.2">
      <c r="A4" s="305" t="str">
        <f>IF(B2="","",B2)</f>
        <v/>
      </c>
    </row>
    <row r="5" spans="1:19" s="91" customFormat="1" x14ac:dyDescent="0.2">
      <c r="A5" s="31"/>
    </row>
    <row r="6" spans="1:19" x14ac:dyDescent="0.2">
      <c r="B6" t="s">
        <v>286</v>
      </c>
    </row>
    <row r="7" spans="1:19" x14ac:dyDescent="0.2">
      <c r="B7" s="31" t="s">
        <v>282</v>
      </c>
      <c r="O7" s="31" t="s">
        <v>276</v>
      </c>
    </row>
    <row r="8" spans="1:19" x14ac:dyDescent="0.2">
      <c r="A8" s="99"/>
      <c r="B8" s="282">
        <v>10</v>
      </c>
      <c r="C8" s="282">
        <v>20</v>
      </c>
      <c r="D8" s="282">
        <v>30</v>
      </c>
      <c r="E8" s="282">
        <v>40</v>
      </c>
      <c r="F8" s="282">
        <v>50</v>
      </c>
      <c r="G8" s="282">
        <v>60</v>
      </c>
      <c r="H8" s="282">
        <v>70</v>
      </c>
      <c r="I8" s="282">
        <v>80</v>
      </c>
      <c r="J8" s="282">
        <v>90</v>
      </c>
      <c r="K8" s="282">
        <v>100</v>
      </c>
      <c r="L8" s="282">
        <v>110</v>
      </c>
      <c r="M8" s="282">
        <v>120</v>
      </c>
      <c r="Q8" s="106" t="s">
        <v>271</v>
      </c>
    </row>
    <row r="9" spans="1:19" x14ac:dyDescent="0.2">
      <c r="A9" s="282">
        <v>10</v>
      </c>
      <c r="B9" s="107">
        <v>100</v>
      </c>
      <c r="C9" s="107">
        <v>200</v>
      </c>
      <c r="D9" s="107">
        <v>300</v>
      </c>
      <c r="E9" s="107">
        <v>400</v>
      </c>
      <c r="F9" s="107">
        <v>500</v>
      </c>
      <c r="G9" s="107">
        <v>600</v>
      </c>
      <c r="H9" s="107">
        <v>700</v>
      </c>
      <c r="I9" s="107">
        <v>800</v>
      </c>
      <c r="J9" s="107">
        <v>900</v>
      </c>
      <c r="K9" s="107">
        <v>1000</v>
      </c>
      <c r="L9" s="107">
        <v>1100</v>
      </c>
      <c r="M9" s="107">
        <v>1200</v>
      </c>
      <c r="Q9" s="281">
        <v>6</v>
      </c>
    </row>
    <row r="10" spans="1:19" x14ac:dyDescent="0.2">
      <c r="A10" s="282">
        <v>20</v>
      </c>
      <c r="B10" s="107">
        <v>200</v>
      </c>
      <c r="C10" s="107">
        <v>400</v>
      </c>
      <c r="D10" s="107">
        <v>600</v>
      </c>
      <c r="E10" s="107">
        <v>800</v>
      </c>
      <c r="F10" s="107">
        <v>1000</v>
      </c>
      <c r="G10" s="107">
        <v>1200</v>
      </c>
      <c r="H10" s="107">
        <v>1400</v>
      </c>
      <c r="I10" s="107">
        <v>1600</v>
      </c>
      <c r="J10" s="107">
        <v>1800</v>
      </c>
      <c r="K10" s="107">
        <v>2000</v>
      </c>
      <c r="L10" s="107">
        <v>2200</v>
      </c>
      <c r="M10" s="107">
        <v>2400</v>
      </c>
      <c r="Q10" s="105"/>
      <c r="R10" s="105"/>
    </row>
    <row r="11" spans="1:19" x14ac:dyDescent="0.2">
      <c r="A11" s="282">
        <v>30</v>
      </c>
      <c r="B11" s="107">
        <v>300</v>
      </c>
      <c r="C11" s="107">
        <v>600</v>
      </c>
      <c r="D11" s="107">
        <v>900</v>
      </c>
      <c r="E11" s="107">
        <v>1200</v>
      </c>
      <c r="F11" s="107">
        <v>1500</v>
      </c>
      <c r="G11" s="107">
        <v>1800</v>
      </c>
      <c r="H11" s="107">
        <v>2100</v>
      </c>
      <c r="I11" s="107">
        <v>2400</v>
      </c>
      <c r="J11" s="107">
        <v>2700</v>
      </c>
      <c r="K11" s="107">
        <v>3000</v>
      </c>
      <c r="L11" s="107">
        <v>3300</v>
      </c>
      <c r="M11" s="107">
        <v>3600</v>
      </c>
      <c r="Q11" s="109" t="s">
        <v>273</v>
      </c>
      <c r="R11" s="108" cm="1">
        <f t="array" ref="R11" xml:space="preserve"> INDEX( $A$9:$A$20, $Q$9 )</f>
        <v>60</v>
      </c>
    </row>
    <row r="12" spans="1:19" x14ac:dyDescent="0.2">
      <c r="A12" s="282">
        <v>40</v>
      </c>
      <c r="B12" s="107">
        <v>400</v>
      </c>
      <c r="C12" s="107">
        <v>800</v>
      </c>
      <c r="D12" s="107">
        <v>1200</v>
      </c>
      <c r="E12" s="107">
        <v>1600</v>
      </c>
      <c r="F12" s="107">
        <v>2000</v>
      </c>
      <c r="G12" s="107">
        <v>2400</v>
      </c>
      <c r="H12" s="107">
        <v>2800</v>
      </c>
      <c r="I12" s="107">
        <v>3200</v>
      </c>
      <c r="J12" s="107">
        <v>3600</v>
      </c>
      <c r="K12" s="107">
        <v>4000</v>
      </c>
      <c r="L12" s="107">
        <v>4400</v>
      </c>
      <c r="M12" s="107">
        <v>4800</v>
      </c>
      <c r="P12" s="91"/>
      <c r="Q12" s="105"/>
    </row>
    <row r="13" spans="1:19" x14ac:dyDescent="0.2">
      <c r="A13" s="282">
        <v>50</v>
      </c>
      <c r="B13" s="107">
        <v>500</v>
      </c>
      <c r="C13" s="107">
        <v>1000</v>
      </c>
      <c r="D13" s="107">
        <v>1500</v>
      </c>
      <c r="E13" s="107">
        <v>2000</v>
      </c>
      <c r="F13" s="107">
        <v>2500</v>
      </c>
      <c r="G13" s="107">
        <v>3000</v>
      </c>
      <c r="H13" s="107">
        <v>3500</v>
      </c>
      <c r="I13" s="107">
        <v>4000</v>
      </c>
      <c r="J13" s="107">
        <v>4500</v>
      </c>
      <c r="K13" s="107">
        <v>5000</v>
      </c>
      <c r="L13" s="107">
        <v>5500</v>
      </c>
      <c r="M13" s="107">
        <v>6000</v>
      </c>
      <c r="P13" s="91"/>
      <c r="R13" s="113" t="s">
        <v>272</v>
      </c>
    </row>
    <row r="14" spans="1:19" x14ac:dyDescent="0.2">
      <c r="A14" s="282">
        <v>60</v>
      </c>
      <c r="B14" s="107">
        <v>600</v>
      </c>
      <c r="C14" s="107">
        <v>1200</v>
      </c>
      <c r="D14" s="107">
        <v>1800</v>
      </c>
      <c r="E14" s="107">
        <v>2400</v>
      </c>
      <c r="F14" s="107">
        <v>3000</v>
      </c>
      <c r="G14" s="107">
        <v>3600</v>
      </c>
      <c r="H14" s="107">
        <v>4200</v>
      </c>
      <c r="I14" s="107">
        <v>4800</v>
      </c>
      <c r="J14" s="107">
        <v>5400</v>
      </c>
      <c r="K14" s="107">
        <v>6000</v>
      </c>
      <c r="L14" s="107">
        <v>6600</v>
      </c>
      <c r="M14" s="107">
        <v>7200</v>
      </c>
      <c r="R14" s="281">
        <v>9</v>
      </c>
    </row>
    <row r="15" spans="1:19" x14ac:dyDescent="0.2">
      <c r="A15" s="282">
        <v>70</v>
      </c>
      <c r="B15" s="107">
        <v>700</v>
      </c>
      <c r="C15" s="107">
        <v>1400</v>
      </c>
      <c r="D15" s="107">
        <v>2100</v>
      </c>
      <c r="E15" s="107">
        <v>2800</v>
      </c>
      <c r="F15" s="107">
        <v>3500</v>
      </c>
      <c r="G15" s="107">
        <v>4200</v>
      </c>
      <c r="H15" s="107">
        <v>4900</v>
      </c>
      <c r="I15" s="107">
        <v>5600</v>
      </c>
      <c r="J15" s="107">
        <v>6300</v>
      </c>
      <c r="K15" s="107">
        <v>7000</v>
      </c>
      <c r="L15" s="107">
        <v>7700</v>
      </c>
      <c r="M15" s="107">
        <v>8400</v>
      </c>
      <c r="Q15" s="105"/>
      <c r="R15" s="105"/>
    </row>
    <row r="16" spans="1:19" x14ac:dyDescent="0.2">
      <c r="A16" s="282">
        <v>80</v>
      </c>
      <c r="B16" s="107">
        <v>800</v>
      </c>
      <c r="C16" s="107">
        <v>1600</v>
      </c>
      <c r="D16" s="107">
        <v>2400</v>
      </c>
      <c r="E16" s="107">
        <v>3200</v>
      </c>
      <c r="F16" s="107">
        <v>4000</v>
      </c>
      <c r="G16" s="107">
        <v>4800</v>
      </c>
      <c r="H16" s="107">
        <v>5600</v>
      </c>
      <c r="I16" s="107">
        <v>6400</v>
      </c>
      <c r="J16" s="107">
        <v>7200</v>
      </c>
      <c r="K16" s="107">
        <v>8000</v>
      </c>
      <c r="L16" s="107">
        <v>8800</v>
      </c>
      <c r="M16" s="107">
        <v>9600</v>
      </c>
      <c r="Q16" s="109" t="s">
        <v>274</v>
      </c>
      <c r="R16" s="108" cm="1">
        <f t="array" ref="R16" xml:space="preserve"> INDEX( $B$8:$M$8, , $R$14 )</f>
        <v>90</v>
      </c>
      <c r="S16" s="108" cm="1">
        <f t="array" ref="S16" xml:space="preserve"> INDEX( $B$8:$M$8, $R$14 )</f>
        <v>90</v>
      </c>
    </row>
    <row r="17" spans="1:18" x14ac:dyDescent="0.2">
      <c r="A17" s="282">
        <v>90</v>
      </c>
      <c r="B17" s="107">
        <v>900</v>
      </c>
      <c r="C17" s="107">
        <v>1800</v>
      </c>
      <c r="D17" s="107">
        <v>2700</v>
      </c>
      <c r="E17" s="107">
        <v>3600</v>
      </c>
      <c r="F17" s="107">
        <v>4500</v>
      </c>
      <c r="G17" s="107">
        <v>5400</v>
      </c>
      <c r="H17" s="107">
        <v>6300</v>
      </c>
      <c r="I17" s="107">
        <v>7200</v>
      </c>
      <c r="J17" s="107">
        <v>8100</v>
      </c>
      <c r="K17" s="107">
        <v>9000</v>
      </c>
      <c r="L17" s="107">
        <v>9900</v>
      </c>
      <c r="M17" s="107">
        <v>10800</v>
      </c>
    </row>
    <row r="18" spans="1:18" x14ac:dyDescent="0.2">
      <c r="A18" s="282">
        <v>100</v>
      </c>
      <c r="B18" s="107">
        <v>1000</v>
      </c>
      <c r="C18" s="107">
        <v>2000</v>
      </c>
      <c r="D18" s="107">
        <v>3000</v>
      </c>
      <c r="E18" s="107">
        <v>4000</v>
      </c>
      <c r="F18" s="107">
        <v>5000</v>
      </c>
      <c r="G18" s="107">
        <v>6000</v>
      </c>
      <c r="H18" s="107">
        <v>7000</v>
      </c>
      <c r="I18" s="107">
        <v>8000</v>
      </c>
      <c r="J18" s="107">
        <v>9000</v>
      </c>
      <c r="K18" s="107">
        <v>10000</v>
      </c>
      <c r="L18" s="107">
        <v>11000</v>
      </c>
      <c r="M18" s="107">
        <v>12000</v>
      </c>
      <c r="Q18" s="106" t="s">
        <v>271</v>
      </c>
      <c r="R18" s="113" t="s">
        <v>272</v>
      </c>
    </row>
    <row r="19" spans="1:18" x14ac:dyDescent="0.2">
      <c r="A19" s="282">
        <v>110</v>
      </c>
      <c r="B19" s="107">
        <v>1100</v>
      </c>
      <c r="C19" s="107">
        <v>2200</v>
      </c>
      <c r="D19" s="107">
        <v>3300</v>
      </c>
      <c r="E19" s="107">
        <v>4400</v>
      </c>
      <c r="F19" s="107">
        <v>5500</v>
      </c>
      <c r="G19" s="107">
        <v>6600</v>
      </c>
      <c r="H19" s="107">
        <v>7700</v>
      </c>
      <c r="I19" s="107">
        <v>8800</v>
      </c>
      <c r="J19" s="107">
        <v>9900</v>
      </c>
      <c r="K19" s="107">
        <v>11000</v>
      </c>
      <c r="L19" s="107">
        <v>12100</v>
      </c>
      <c r="M19" s="107">
        <v>13200</v>
      </c>
      <c r="Q19" s="281">
        <v>6</v>
      </c>
      <c r="R19" s="281">
        <v>9</v>
      </c>
    </row>
    <row r="20" spans="1:18" x14ac:dyDescent="0.2">
      <c r="A20" s="282">
        <v>120</v>
      </c>
      <c r="B20" s="107">
        <v>1200</v>
      </c>
      <c r="C20" s="107">
        <v>2400</v>
      </c>
      <c r="D20" s="107">
        <v>3600</v>
      </c>
      <c r="E20" s="107">
        <v>4800</v>
      </c>
      <c r="F20" s="107">
        <v>6000</v>
      </c>
      <c r="G20" s="107">
        <v>7200</v>
      </c>
      <c r="H20" s="107">
        <v>8400</v>
      </c>
      <c r="I20" s="107">
        <v>9600</v>
      </c>
      <c r="J20" s="107">
        <v>10800</v>
      </c>
      <c r="K20" s="107">
        <v>12000</v>
      </c>
      <c r="L20" s="107">
        <v>13200</v>
      </c>
      <c r="M20" s="107">
        <v>14400</v>
      </c>
      <c r="Q20" s="105"/>
      <c r="R20" s="105"/>
    </row>
    <row r="21" spans="1:18" x14ac:dyDescent="0.2">
      <c r="A21" s="284"/>
      <c r="Q21" s="109" t="s">
        <v>275</v>
      </c>
      <c r="R21" s="108" cm="1">
        <f t="array" ref="R21" xml:space="preserve"> INDEX( $B$9:$M$20, $Q$19, $R$19 )</f>
        <v>5400</v>
      </c>
    </row>
    <row r="22" spans="1:18" x14ac:dyDescent="0.2">
      <c r="A22" s="284"/>
    </row>
    <row r="23" spans="1:18" x14ac:dyDescent="0.2">
      <c r="A23" s="284"/>
      <c r="B23" t="s">
        <v>287</v>
      </c>
    </row>
    <row r="24" spans="1:18" x14ac:dyDescent="0.2">
      <c r="A24" s="284"/>
      <c r="B24" s="31" t="s">
        <v>281</v>
      </c>
      <c r="C24" s="95"/>
      <c r="D24" s="95"/>
      <c r="E24" s="95"/>
      <c r="F24" s="95"/>
      <c r="G24" s="114"/>
      <c r="H24" s="115"/>
      <c r="I24" s="95"/>
      <c r="J24" s="95"/>
      <c r="K24" s="95"/>
      <c r="L24" s="95"/>
      <c r="M24" s="87"/>
      <c r="O24" s="31" t="s">
        <v>372</v>
      </c>
    </row>
    <row r="25" spans="1:18" x14ac:dyDescent="0.2">
      <c r="A25" s="285"/>
      <c r="B25" s="282">
        <v>10</v>
      </c>
      <c r="C25" s="282">
        <v>20</v>
      </c>
      <c r="D25" s="282">
        <v>30</v>
      </c>
      <c r="E25" s="282">
        <v>40</v>
      </c>
      <c r="F25" s="282">
        <v>50</v>
      </c>
      <c r="G25" s="283">
        <v>60</v>
      </c>
      <c r="H25" s="283">
        <v>70</v>
      </c>
      <c r="I25" s="282">
        <v>80</v>
      </c>
      <c r="J25" s="282">
        <v>90</v>
      </c>
      <c r="K25" s="282">
        <v>100</v>
      </c>
      <c r="L25" s="282">
        <v>110</v>
      </c>
      <c r="M25" s="282">
        <v>120</v>
      </c>
      <c r="Q25" s="106" t="s">
        <v>270</v>
      </c>
    </row>
    <row r="26" spans="1:18" x14ac:dyDescent="0.2">
      <c r="A26" s="282">
        <v>10</v>
      </c>
      <c r="B26" s="107">
        <v>100</v>
      </c>
      <c r="C26" s="107">
        <v>200</v>
      </c>
      <c r="D26" s="107">
        <v>300</v>
      </c>
      <c r="E26" s="107">
        <v>400</v>
      </c>
      <c r="F26" s="107">
        <v>500</v>
      </c>
      <c r="G26" s="116">
        <v>600</v>
      </c>
      <c r="H26" s="116">
        <v>700</v>
      </c>
      <c r="I26" s="107">
        <v>800</v>
      </c>
      <c r="J26" s="107">
        <v>900</v>
      </c>
      <c r="K26" s="107">
        <v>1000</v>
      </c>
      <c r="L26" s="107">
        <v>1100</v>
      </c>
      <c r="M26" s="107">
        <v>1200</v>
      </c>
      <c r="N26" s="107"/>
      <c r="Q26" s="96">
        <v>60</v>
      </c>
    </row>
    <row r="27" spans="1:18" x14ac:dyDescent="0.2">
      <c r="A27" s="282">
        <v>20</v>
      </c>
      <c r="B27" s="107">
        <v>200</v>
      </c>
      <c r="C27" s="107">
        <v>400</v>
      </c>
      <c r="D27" s="107">
        <v>600</v>
      </c>
      <c r="E27" s="107">
        <v>800</v>
      </c>
      <c r="F27" s="107">
        <v>1000</v>
      </c>
      <c r="G27" s="116">
        <v>1200</v>
      </c>
      <c r="H27" s="116">
        <v>1400</v>
      </c>
      <c r="I27" s="107">
        <v>1600</v>
      </c>
      <c r="J27" s="107">
        <v>1800</v>
      </c>
      <c r="K27" s="107">
        <v>2000</v>
      </c>
      <c r="L27" s="107">
        <v>2200</v>
      </c>
      <c r="M27" s="107">
        <v>2400</v>
      </c>
      <c r="N27" s="107"/>
      <c r="Q27" s="286"/>
      <c r="R27" s="105"/>
    </row>
    <row r="28" spans="1:18" x14ac:dyDescent="0.2">
      <c r="A28" s="282">
        <v>30</v>
      </c>
      <c r="B28" s="107">
        <v>300</v>
      </c>
      <c r="C28" s="107">
        <v>600</v>
      </c>
      <c r="D28" s="107">
        <v>900</v>
      </c>
      <c r="E28" s="107">
        <v>1200</v>
      </c>
      <c r="F28" s="107">
        <v>1500</v>
      </c>
      <c r="G28" s="116">
        <v>1800</v>
      </c>
      <c r="H28" s="116">
        <v>2100</v>
      </c>
      <c r="I28" s="107">
        <v>2400</v>
      </c>
      <c r="J28" s="107">
        <v>2700</v>
      </c>
      <c r="K28" s="107">
        <v>3000</v>
      </c>
      <c r="L28" s="107">
        <v>3300</v>
      </c>
      <c r="M28" s="107">
        <v>3600</v>
      </c>
      <c r="N28" s="107"/>
      <c r="Q28" s="109" t="s">
        <v>277</v>
      </c>
      <c r="R28" s="108">
        <f xml:space="preserve"> _xlfn.XMATCH( $Q$26, $A$26:$A$37, 0 )</f>
        <v>6</v>
      </c>
    </row>
    <row r="29" spans="1:18" x14ac:dyDescent="0.2">
      <c r="A29" s="282">
        <v>40</v>
      </c>
      <c r="B29" s="107">
        <v>400</v>
      </c>
      <c r="C29" s="107">
        <v>800</v>
      </c>
      <c r="D29" s="107">
        <v>1200</v>
      </c>
      <c r="E29" s="107">
        <v>1600</v>
      </c>
      <c r="F29" s="107">
        <v>2000</v>
      </c>
      <c r="G29" s="116">
        <v>2400</v>
      </c>
      <c r="H29" s="116">
        <v>2800</v>
      </c>
      <c r="I29" s="107">
        <v>3200</v>
      </c>
      <c r="J29" s="107">
        <v>3600</v>
      </c>
      <c r="K29" s="107">
        <v>4000</v>
      </c>
      <c r="L29" s="107">
        <v>4400</v>
      </c>
      <c r="M29" s="107">
        <v>4800</v>
      </c>
      <c r="N29" s="107"/>
    </row>
    <row r="30" spans="1:18" x14ac:dyDescent="0.2">
      <c r="A30" s="282">
        <v>50</v>
      </c>
      <c r="B30" s="107">
        <v>500</v>
      </c>
      <c r="C30" s="107">
        <v>1000</v>
      </c>
      <c r="D30" s="107">
        <v>1500</v>
      </c>
      <c r="E30" s="107">
        <v>2000</v>
      </c>
      <c r="F30" s="107">
        <v>2500</v>
      </c>
      <c r="G30" s="116">
        <v>3000</v>
      </c>
      <c r="H30" s="116">
        <v>3500</v>
      </c>
      <c r="I30" s="107">
        <v>4000</v>
      </c>
      <c r="J30" s="107">
        <v>4500</v>
      </c>
      <c r="K30" s="107">
        <v>5000</v>
      </c>
      <c r="L30" s="107">
        <v>5500</v>
      </c>
      <c r="M30" s="107">
        <v>6000</v>
      </c>
      <c r="N30" s="107"/>
      <c r="R30" s="106" t="s">
        <v>269</v>
      </c>
    </row>
    <row r="31" spans="1:18" x14ac:dyDescent="0.2">
      <c r="A31" s="282">
        <v>60</v>
      </c>
      <c r="B31" s="107">
        <v>600</v>
      </c>
      <c r="C31" s="107">
        <v>1200</v>
      </c>
      <c r="D31" s="107">
        <v>1800</v>
      </c>
      <c r="E31" s="107">
        <v>2400</v>
      </c>
      <c r="F31" s="107">
        <v>3000</v>
      </c>
      <c r="G31" s="116">
        <v>3600</v>
      </c>
      <c r="H31" s="116">
        <v>4200</v>
      </c>
      <c r="I31" s="107">
        <v>4800</v>
      </c>
      <c r="J31" s="107">
        <v>5400</v>
      </c>
      <c r="K31" s="107">
        <v>6000</v>
      </c>
      <c r="L31" s="107">
        <v>6600</v>
      </c>
      <c r="M31" s="107">
        <v>7200</v>
      </c>
      <c r="N31" s="107"/>
      <c r="R31" s="281">
        <v>90</v>
      </c>
    </row>
    <row r="32" spans="1:18" x14ac:dyDescent="0.2">
      <c r="A32" s="282">
        <v>70</v>
      </c>
      <c r="B32" s="107">
        <v>700</v>
      </c>
      <c r="C32" s="107">
        <v>1400</v>
      </c>
      <c r="D32" s="107">
        <v>2100</v>
      </c>
      <c r="E32" s="107">
        <v>2800</v>
      </c>
      <c r="F32" s="107">
        <v>3500</v>
      </c>
      <c r="G32" s="116">
        <v>4200</v>
      </c>
      <c r="H32" s="116">
        <v>4900</v>
      </c>
      <c r="I32" s="107">
        <v>5600</v>
      </c>
      <c r="J32" s="107">
        <v>6300</v>
      </c>
      <c r="K32" s="107">
        <v>7000</v>
      </c>
      <c r="L32" s="107">
        <v>7700</v>
      </c>
      <c r="M32" s="107">
        <v>8400</v>
      </c>
      <c r="N32" s="107"/>
      <c r="Q32" s="105"/>
      <c r="R32" s="105"/>
    </row>
    <row r="33" spans="1:18" x14ac:dyDescent="0.2">
      <c r="A33" s="282">
        <v>80</v>
      </c>
      <c r="B33" s="107">
        <v>800</v>
      </c>
      <c r="C33" s="107">
        <v>1600</v>
      </c>
      <c r="D33" s="107">
        <v>2400</v>
      </c>
      <c r="E33" s="107">
        <v>3200</v>
      </c>
      <c r="F33" s="107">
        <v>4000</v>
      </c>
      <c r="G33" s="116">
        <v>4800</v>
      </c>
      <c r="H33" s="116">
        <v>5600</v>
      </c>
      <c r="I33" s="107">
        <v>6400</v>
      </c>
      <c r="J33" s="107">
        <v>7200</v>
      </c>
      <c r="K33" s="107">
        <v>8000</v>
      </c>
      <c r="L33" s="107">
        <v>8800</v>
      </c>
      <c r="M33" s="107">
        <v>9600</v>
      </c>
      <c r="N33" s="107"/>
      <c r="Q33" s="109" t="s">
        <v>278</v>
      </c>
      <c r="R33" s="108">
        <f xml:space="preserve"> _xlfn.XMATCH( $R$31, $B$25:$M$25, 0 )</f>
        <v>9</v>
      </c>
    </row>
    <row r="34" spans="1:18" x14ac:dyDescent="0.2">
      <c r="A34" s="282">
        <v>90</v>
      </c>
      <c r="B34" s="107">
        <v>900</v>
      </c>
      <c r="C34" s="107">
        <v>1800</v>
      </c>
      <c r="D34" s="107">
        <v>2700</v>
      </c>
      <c r="E34" s="107">
        <v>3600</v>
      </c>
      <c r="F34" s="107">
        <v>4500</v>
      </c>
      <c r="G34" s="116">
        <v>5400</v>
      </c>
      <c r="H34" s="116">
        <v>6300</v>
      </c>
      <c r="I34" s="107">
        <v>7200</v>
      </c>
      <c r="J34" s="107">
        <v>8100</v>
      </c>
      <c r="K34" s="107">
        <v>9000</v>
      </c>
      <c r="L34" s="107">
        <v>9900</v>
      </c>
      <c r="M34" s="107">
        <v>10800</v>
      </c>
      <c r="N34" s="107"/>
    </row>
    <row r="35" spans="1:18" x14ac:dyDescent="0.2">
      <c r="A35" s="282">
        <v>100</v>
      </c>
      <c r="B35" s="107">
        <v>1000</v>
      </c>
      <c r="C35" s="107">
        <v>2000</v>
      </c>
      <c r="D35" s="107">
        <v>3000</v>
      </c>
      <c r="E35" s="107">
        <v>4000</v>
      </c>
      <c r="F35" s="107">
        <v>5000</v>
      </c>
      <c r="G35" s="116">
        <v>6000</v>
      </c>
      <c r="H35" s="116">
        <v>7000</v>
      </c>
      <c r="I35" s="107">
        <v>8000</v>
      </c>
      <c r="J35" s="107">
        <v>9000</v>
      </c>
      <c r="K35" s="107">
        <v>10000</v>
      </c>
      <c r="L35" s="107">
        <v>11000</v>
      </c>
      <c r="M35" s="107">
        <v>12000</v>
      </c>
      <c r="N35" s="107"/>
    </row>
    <row r="36" spans="1:18" x14ac:dyDescent="0.2">
      <c r="A36" s="282">
        <v>110</v>
      </c>
      <c r="B36" s="107">
        <v>1100</v>
      </c>
      <c r="C36" s="107">
        <v>2200</v>
      </c>
      <c r="D36" s="107">
        <v>3300</v>
      </c>
      <c r="E36" s="107">
        <v>4400</v>
      </c>
      <c r="F36" s="107">
        <v>5500</v>
      </c>
      <c r="G36" s="116">
        <v>6600</v>
      </c>
      <c r="H36" s="116">
        <v>7700</v>
      </c>
      <c r="I36" s="107">
        <v>8800</v>
      </c>
      <c r="J36" s="107">
        <v>9900</v>
      </c>
      <c r="K36" s="107">
        <v>11000</v>
      </c>
      <c r="L36" s="107">
        <v>12100</v>
      </c>
      <c r="M36" s="107">
        <v>13200</v>
      </c>
      <c r="N36" s="107"/>
      <c r="O36" s="31" t="s">
        <v>373</v>
      </c>
    </row>
    <row r="37" spans="1:18" x14ac:dyDescent="0.2">
      <c r="A37" s="282">
        <v>120</v>
      </c>
      <c r="B37" s="107">
        <v>1200</v>
      </c>
      <c r="C37" s="107">
        <v>2400</v>
      </c>
      <c r="D37" s="107">
        <v>3600</v>
      </c>
      <c r="E37" s="107">
        <v>4800</v>
      </c>
      <c r="F37" s="107">
        <v>6000</v>
      </c>
      <c r="G37" s="116">
        <v>7200</v>
      </c>
      <c r="H37" s="116">
        <v>8400</v>
      </c>
      <c r="I37" s="107">
        <v>9600</v>
      </c>
      <c r="J37" s="107">
        <v>10800</v>
      </c>
      <c r="K37" s="107">
        <v>12000</v>
      </c>
      <c r="L37" s="107">
        <v>13200</v>
      </c>
      <c r="M37" s="107">
        <v>14400</v>
      </c>
      <c r="N37" s="107"/>
      <c r="Q37" s="106" t="s">
        <v>270</v>
      </c>
      <c r="R37" s="106" t="s">
        <v>269</v>
      </c>
    </row>
    <row r="38" spans="1:18" x14ac:dyDescent="0.2">
      <c r="Q38" s="281">
        <v>60</v>
      </c>
      <c r="R38" s="281">
        <v>90</v>
      </c>
    </row>
    <row r="39" spans="1:18" x14ac:dyDescent="0.2">
      <c r="Q39" s="105"/>
      <c r="R39" s="105"/>
    </row>
    <row r="40" spans="1:18" x14ac:dyDescent="0.2">
      <c r="Q40" s="109" t="s">
        <v>374</v>
      </c>
      <c r="R40" s="108" cm="1">
        <f t="array" ref="R40" xml:space="preserve"> INDEX( $B$26:$M$37, _xlfn.XMATCH( $Q$38, $A$26:$A$37, 0 ), _xlfn.XMATCH( $R$38, $B$25:$M$25, 0 ) )</f>
        <v>5400</v>
      </c>
    </row>
    <row r="41" spans="1:18" x14ac:dyDescent="0.2">
      <c r="Q41" s="109" t="s">
        <v>371</v>
      </c>
      <c r="R41" s="108" cm="1">
        <f t="array" ref="R41" xml:space="preserve"> _xlfn.XLOOKUP( $Q$38, $A$26:$A$37, _xlfn.XLOOKUP( $R$38, $B$25:$M$25, $B$26:$M$37, 0 ), 0 )</f>
        <v>5400</v>
      </c>
    </row>
  </sheetData>
  <conditionalFormatting sqref="A9:A20">
    <cfRule type="expression" dxfId="123" priority="1">
      <formula>$Q$19=ROWS($A$9:$A9)</formula>
    </cfRule>
  </conditionalFormatting>
  <conditionalFormatting sqref="B8:M8">
    <cfRule type="expression" dxfId="122" priority="2">
      <formula>$R$19=COLUMNS($B$8:B$8)</formula>
    </cfRule>
  </conditionalFormatting>
  <conditionalFormatting sqref="B9:M20">
    <cfRule type="expression" dxfId="121" priority="3">
      <formula>AND($R$19=COLUMNS($B$8:B$8),$Q$19=ROWS($A$9:$A9))</formula>
    </cfRule>
  </conditionalFormatting>
  <conditionalFormatting sqref="B25:M25">
    <cfRule type="expression" dxfId="120" priority="73">
      <formula>B$25=$R$38</formula>
    </cfRule>
  </conditionalFormatting>
  <conditionalFormatting sqref="A26:A37">
    <cfRule type="expression" dxfId="119" priority="74">
      <formula>$A26=$Q$38</formula>
    </cfRule>
  </conditionalFormatting>
  <conditionalFormatting sqref="B26:N37">
    <cfRule type="expression" dxfId="118" priority="75">
      <formula>AND(B$25=$R$38,$A26=$Q$38)</formula>
    </cfRule>
  </conditionalFormatting>
  <pageMargins left="0.7" right="0.7" top="0.75" bottom="0.75" header="0.3" footer="0.3"/>
  <pageSetup orientation="portrait" r:id="rId1"/>
  <legacy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58DFB-A80C-4A48-A0CF-9FBB91FB6426}">
  <sheetPr codeName="Sheet39">
    <outlinePr summaryBelow="0"/>
    <pageSetUpPr autoPageBreaks="0"/>
  </sheetPr>
  <dimension ref="A1:K101"/>
  <sheetViews>
    <sheetView zoomScaleNormal="100" workbookViewId="0">
      <pane xSplit="9" ySplit="5" topLeftCell="W15" activePane="bottomRight" state="frozen"/>
      <selection activeCell="B6" sqref="B6"/>
      <selection pane="topRight" activeCell="B6" sqref="B6"/>
      <selection pane="bottomLeft" activeCell="B6" sqref="B6"/>
      <selection pane="bottomRight" activeCell="I2" sqref="I2"/>
    </sheetView>
  </sheetViews>
  <sheetFormatPr defaultColWidth="7.140625" defaultRowHeight="12.75" outlineLevelRow="4" outlineLevelCol="1" x14ac:dyDescent="0.2"/>
  <cols>
    <col min="1" max="2" width="8" hidden="1" customWidth="1" outlineLevel="1"/>
    <col min="3" max="3" width="5.28515625" hidden="1" customWidth="1" outlineLevel="1"/>
    <col min="4" max="4" width="6.140625" hidden="1" customWidth="1" outlineLevel="1"/>
    <col min="5" max="7" width="3.28515625" hidden="1" customWidth="1" outlineLevel="1"/>
    <col min="8" max="8" width="3.28515625" style="99" customWidth="1" collapsed="1"/>
    <col min="9" max="9" width="117.85546875" style="257" customWidth="1"/>
    <col min="10" max="16384" width="7.140625" style="247"/>
  </cols>
  <sheetData>
    <row r="1" spans="1:9" s="246" customFormat="1" ht="37.5" customHeight="1" x14ac:dyDescent="0.2">
      <c r="A1" s="354" t="str">
        <f>_1</f>
        <v>Retrieving Data Key Points</v>
      </c>
      <c r="B1" s="354"/>
      <c r="C1" s="354"/>
      <c r="D1" s="354"/>
      <c r="E1" s="354"/>
      <c r="F1" s="354"/>
      <c r="G1" s="354"/>
      <c r="H1" s="354"/>
      <c r="I1" s="245" t="s">
        <v>367</v>
      </c>
    </row>
    <row r="2" spans="1:9" s="269" customFormat="1" ht="37.5" customHeight="1" x14ac:dyDescent="0.2">
      <c r="A2" s="358"/>
      <c r="B2" s="358"/>
      <c r="C2" s="358"/>
      <c r="D2" s="358"/>
      <c r="E2" s="358"/>
      <c r="F2" s="358"/>
      <c r="G2" s="358"/>
      <c r="H2" s="358"/>
      <c r="I2" s="280"/>
    </row>
    <row r="3" spans="1:9" s="269" customFormat="1" ht="37.5" customHeight="1" x14ac:dyDescent="0.2">
      <c r="A3" s="359" t="str">
        <f>IF(A2="","",IF(Disable_Video_Hyperlinks,A2,HYPERLINK(Video_website&amp;A2,A2)))</f>
        <v/>
      </c>
      <c r="B3" s="358"/>
      <c r="C3" s="358"/>
      <c r="D3" s="358"/>
      <c r="E3" s="358"/>
      <c r="F3" s="358"/>
      <c r="G3" s="358"/>
      <c r="H3" s="358"/>
      <c r="I3" s="280"/>
    </row>
    <row r="4" spans="1:9" s="246" customFormat="1" outlineLevel="1" x14ac:dyDescent="0.2">
      <c r="A4" s="354"/>
      <c r="B4" s="354"/>
      <c r="C4" s="354"/>
      <c r="D4" s="354"/>
      <c r="E4" s="354"/>
      <c r="F4" s="354"/>
      <c r="G4" s="354"/>
      <c r="H4" s="354"/>
      <c r="I4" s="360" t="s">
        <v>203</v>
      </c>
    </row>
    <row r="5" spans="1:9" s="248" customFormat="1" outlineLevel="1" x14ac:dyDescent="0.2">
      <c r="A5" s="354"/>
      <c r="B5" s="354"/>
      <c r="C5" s="354"/>
      <c r="D5" s="354"/>
      <c r="E5" s="354"/>
      <c r="F5" s="354"/>
      <c r="G5" s="354"/>
      <c r="H5" s="354"/>
      <c r="I5" s="249" t="s">
        <v>203</v>
      </c>
    </row>
    <row r="6" spans="1:9" s="252" customFormat="1" outlineLevel="1" x14ac:dyDescent="0.2">
      <c r="A6" s="354"/>
      <c r="B6" s="354"/>
      <c r="C6" s="354"/>
      <c r="D6" s="354"/>
      <c r="E6" s="354"/>
      <c r="F6" s="354"/>
      <c r="G6" s="354"/>
      <c r="H6" s="354"/>
      <c r="I6" s="355" t="s">
        <v>202</v>
      </c>
    </row>
    <row r="7" spans="1:9" s="251" customFormat="1" outlineLevel="3" x14ac:dyDescent="0.2">
      <c r="A7"/>
      <c r="B7"/>
      <c r="C7"/>
      <c r="D7"/>
      <c r="E7"/>
      <c r="F7"/>
      <c r="G7"/>
      <c r="H7" s="99"/>
      <c r="I7" s="361" t="s">
        <v>290</v>
      </c>
    </row>
    <row r="8" spans="1:9" s="251" customFormat="1" ht="25.5" outlineLevel="3" x14ac:dyDescent="0.2">
      <c r="A8"/>
      <c r="B8"/>
      <c r="C8"/>
      <c r="D8"/>
      <c r="E8"/>
      <c r="F8"/>
      <c r="G8"/>
      <c r="H8" s="99"/>
      <c r="I8" s="353" t="s">
        <v>291</v>
      </c>
    </row>
    <row r="9" spans="1:9" s="253" customFormat="1" outlineLevel="2" x14ac:dyDescent="0.2">
      <c r="A9" s="341"/>
      <c r="B9" s="341"/>
      <c r="C9" s="341"/>
      <c r="D9" s="341"/>
      <c r="E9" s="341"/>
      <c r="F9" s="341"/>
      <c r="G9" s="341"/>
      <c r="H9" s="341"/>
      <c r="I9" s="340" t="s">
        <v>204</v>
      </c>
    </row>
    <row r="10" spans="1:9" s="251" customFormat="1" outlineLevel="3" x14ac:dyDescent="0.2">
      <c r="A10"/>
      <c r="B10"/>
      <c r="C10"/>
      <c r="D10"/>
      <c r="E10"/>
      <c r="F10"/>
      <c r="G10"/>
      <c r="H10" s="99"/>
      <c r="I10" s="353" t="s">
        <v>205</v>
      </c>
    </row>
    <row r="11" spans="1:9" s="251" customFormat="1" outlineLevel="3" x14ac:dyDescent="0.2">
      <c r="A11"/>
      <c r="B11"/>
      <c r="C11"/>
      <c r="D11"/>
      <c r="E11"/>
      <c r="F11"/>
      <c r="G11"/>
      <c r="H11" s="99"/>
      <c r="I11" s="353" t="s">
        <v>419</v>
      </c>
    </row>
    <row r="12" spans="1:9" s="251" customFormat="1" outlineLevel="3" x14ac:dyDescent="0.2">
      <c r="A12"/>
      <c r="B12"/>
      <c r="C12"/>
      <c r="D12"/>
      <c r="E12"/>
      <c r="F12"/>
      <c r="G12"/>
      <c r="H12" s="99"/>
      <c r="I12" s="361" t="s">
        <v>292</v>
      </c>
    </row>
    <row r="13" spans="1:9" s="251" customFormat="1" outlineLevel="3" x14ac:dyDescent="0.2">
      <c r="A13"/>
      <c r="B13"/>
      <c r="C13"/>
      <c r="D13"/>
      <c r="E13"/>
      <c r="F13"/>
      <c r="G13"/>
      <c r="H13" s="99"/>
      <c r="I13" s="361" t="s">
        <v>420</v>
      </c>
    </row>
    <row r="14" spans="1:9" s="251" customFormat="1" ht="25.5" outlineLevel="3" x14ac:dyDescent="0.2">
      <c r="A14"/>
      <c r="B14"/>
      <c r="C14"/>
      <c r="D14"/>
      <c r="E14"/>
      <c r="F14"/>
      <c r="G14"/>
      <c r="H14" s="99"/>
      <c r="I14" s="378" t="s">
        <v>421</v>
      </c>
    </row>
    <row r="15" spans="1:9" s="251" customFormat="1" ht="25.5" outlineLevel="3" x14ac:dyDescent="0.2">
      <c r="A15"/>
      <c r="B15"/>
      <c r="C15"/>
      <c r="D15"/>
      <c r="E15"/>
      <c r="F15"/>
      <c r="G15"/>
      <c r="H15" s="99"/>
      <c r="I15" s="361" t="s">
        <v>293</v>
      </c>
    </row>
    <row r="16" spans="1:9" s="251" customFormat="1" outlineLevel="3" x14ac:dyDescent="0.2">
      <c r="A16"/>
      <c r="B16"/>
      <c r="C16"/>
      <c r="D16"/>
      <c r="E16"/>
      <c r="F16"/>
      <c r="G16"/>
      <c r="H16" s="99"/>
      <c r="I16" s="353" t="s">
        <v>294</v>
      </c>
    </row>
    <row r="17" spans="1:9" s="251" customFormat="1" ht="25.5" outlineLevel="3" x14ac:dyDescent="0.2">
      <c r="A17"/>
      <c r="B17"/>
      <c r="C17"/>
      <c r="D17"/>
      <c r="E17"/>
      <c r="F17"/>
      <c r="G17"/>
      <c r="H17" s="99"/>
      <c r="I17" s="353" t="s">
        <v>296</v>
      </c>
    </row>
    <row r="18" spans="1:9" s="253" customFormat="1" outlineLevel="2" x14ac:dyDescent="0.2">
      <c r="A18" s="341"/>
      <c r="B18" s="341"/>
      <c r="C18" s="341"/>
      <c r="D18" s="341"/>
      <c r="E18" s="341"/>
      <c r="F18" s="341"/>
      <c r="G18" s="341"/>
      <c r="H18" s="341"/>
      <c r="I18" s="340" t="s">
        <v>423</v>
      </c>
    </row>
    <row r="19" spans="1:9" s="251" customFormat="1" ht="25.5" outlineLevel="3" x14ac:dyDescent="0.2">
      <c r="A19"/>
      <c r="B19"/>
      <c r="C19"/>
      <c r="D19"/>
      <c r="E19"/>
      <c r="F19"/>
      <c r="G19"/>
      <c r="H19" s="99"/>
      <c r="I19" s="353" t="s">
        <v>422</v>
      </c>
    </row>
    <row r="20" spans="1:9" s="251" customFormat="1" ht="25.5" outlineLevel="3" x14ac:dyDescent="0.2">
      <c r="A20"/>
      <c r="B20"/>
      <c r="C20"/>
      <c r="D20"/>
      <c r="E20"/>
      <c r="F20"/>
      <c r="G20"/>
      <c r="H20" s="99"/>
      <c r="I20" s="381" t="s">
        <v>425</v>
      </c>
    </row>
    <row r="21" spans="1:9" s="251" customFormat="1" outlineLevel="3" x14ac:dyDescent="0.2">
      <c r="A21"/>
      <c r="B21"/>
      <c r="C21"/>
      <c r="D21"/>
      <c r="E21"/>
      <c r="F21"/>
      <c r="G21"/>
      <c r="H21" s="99"/>
      <c r="I21" s="381" t="s">
        <v>429</v>
      </c>
    </row>
    <row r="22" spans="1:9" s="251" customFormat="1" ht="25.5" outlineLevel="3" x14ac:dyDescent="0.2">
      <c r="A22"/>
      <c r="B22"/>
      <c r="C22"/>
      <c r="D22"/>
      <c r="E22"/>
      <c r="F22"/>
      <c r="G22"/>
      <c r="H22" s="99"/>
      <c r="I22" s="257" t="s">
        <v>426</v>
      </c>
    </row>
    <row r="23" spans="1:9" s="251" customFormat="1" ht="25.5" outlineLevel="3" x14ac:dyDescent="0.2">
      <c r="A23"/>
      <c r="B23"/>
      <c r="C23"/>
      <c r="D23"/>
      <c r="E23"/>
      <c r="F23"/>
      <c r="G23"/>
      <c r="H23" s="99"/>
      <c r="I23" s="381" t="s">
        <v>424</v>
      </c>
    </row>
    <row r="24" spans="1:9" s="251" customFormat="1" outlineLevel="3" x14ac:dyDescent="0.2">
      <c r="A24"/>
      <c r="B24"/>
      <c r="C24"/>
      <c r="D24"/>
      <c r="E24"/>
      <c r="F24"/>
      <c r="G24"/>
      <c r="H24" s="99"/>
      <c r="I24" s="353" t="s">
        <v>295</v>
      </c>
    </row>
    <row r="25" spans="1:9" s="251" customFormat="1" ht="25.5" outlineLevel="3" x14ac:dyDescent="0.2">
      <c r="A25"/>
      <c r="B25"/>
      <c r="C25"/>
      <c r="D25"/>
      <c r="E25"/>
      <c r="F25"/>
      <c r="G25"/>
      <c r="H25" s="99"/>
      <c r="I25" s="381" t="s">
        <v>427</v>
      </c>
    </row>
    <row r="26" spans="1:9" s="380" customFormat="1" ht="25.5" outlineLevel="3" x14ac:dyDescent="0.2">
      <c r="A26" s="7"/>
      <c r="B26" s="7"/>
      <c r="C26" s="7"/>
      <c r="D26" s="7"/>
      <c r="E26" s="7"/>
      <c r="F26" s="7"/>
      <c r="G26" s="7"/>
      <c r="H26" s="20"/>
      <c r="I26" s="381" t="s">
        <v>428</v>
      </c>
    </row>
    <row r="27" spans="1:9" s="380" customFormat="1" ht="25.5" outlineLevel="3" x14ac:dyDescent="0.2">
      <c r="A27" s="7"/>
      <c r="B27" s="7"/>
      <c r="C27" s="7"/>
      <c r="D27" s="7"/>
      <c r="E27" s="7"/>
      <c r="F27" s="7"/>
      <c r="G27" s="7"/>
      <c r="H27" s="20"/>
      <c r="I27" s="382" t="s">
        <v>430</v>
      </c>
    </row>
    <row r="28" spans="1:9" s="380" customFormat="1" outlineLevel="3" x14ac:dyDescent="0.2">
      <c r="A28" s="7"/>
      <c r="B28" s="7"/>
      <c r="C28" s="7"/>
      <c r="D28" s="7"/>
      <c r="E28" s="7"/>
      <c r="F28" s="7"/>
      <c r="G28" s="7"/>
      <c r="H28" s="20"/>
      <c r="I28" s="379"/>
    </row>
    <row r="29" spans="1:9" s="253" customFormat="1" outlineLevel="3" x14ac:dyDescent="0.2">
      <c r="A29" s="341"/>
      <c r="B29" s="341"/>
      <c r="C29" s="341"/>
      <c r="D29" s="341"/>
      <c r="E29" s="341"/>
      <c r="F29" s="341"/>
      <c r="G29" s="341"/>
      <c r="H29" s="341"/>
      <c r="I29" s="363" t="s">
        <v>203</v>
      </c>
    </row>
    <row r="30" spans="1:9" s="253" customFormat="1" outlineLevel="2" x14ac:dyDescent="0.2">
      <c r="A30" s="341"/>
      <c r="B30" s="341"/>
      <c r="C30" s="341"/>
      <c r="D30" s="341"/>
      <c r="E30" s="341"/>
      <c r="F30" s="341"/>
      <c r="G30" s="341"/>
      <c r="H30" s="341"/>
      <c r="I30" s="340" t="s">
        <v>297</v>
      </c>
    </row>
    <row r="31" spans="1:9" s="254" customFormat="1" outlineLevel="3" x14ac:dyDescent="0.2">
      <c r="A31" s="159"/>
      <c r="B31" s="159"/>
      <c r="C31" s="159"/>
      <c r="D31" s="159"/>
      <c r="E31" s="159"/>
      <c r="F31" s="159"/>
      <c r="G31" s="159"/>
      <c r="H31" s="159"/>
      <c r="I31" s="362" t="s">
        <v>390</v>
      </c>
    </row>
    <row r="32" spans="1:9" s="251" customFormat="1" outlineLevel="4" x14ac:dyDescent="0.2">
      <c r="A32"/>
      <c r="B32"/>
      <c r="C32"/>
      <c r="D32"/>
      <c r="E32"/>
      <c r="F32"/>
      <c r="G32"/>
      <c r="H32" s="99"/>
      <c r="I32" s="361" t="s">
        <v>298</v>
      </c>
    </row>
    <row r="33" spans="1:9" s="251" customFormat="1" outlineLevel="4" x14ac:dyDescent="0.2">
      <c r="A33"/>
      <c r="B33"/>
      <c r="C33"/>
      <c r="D33"/>
      <c r="E33"/>
      <c r="F33"/>
      <c r="G33"/>
      <c r="H33" s="99"/>
      <c r="I33" s="353" t="s">
        <v>206</v>
      </c>
    </row>
    <row r="34" spans="1:9" s="251" customFormat="1" outlineLevel="4" x14ac:dyDescent="0.2">
      <c r="A34"/>
      <c r="B34"/>
      <c r="C34"/>
      <c r="D34"/>
      <c r="E34"/>
      <c r="F34"/>
      <c r="G34"/>
      <c r="H34" s="99"/>
      <c r="I34" s="250"/>
    </row>
    <row r="35" spans="1:9" s="254" customFormat="1" outlineLevel="3" x14ac:dyDescent="0.2">
      <c r="A35" s="159"/>
      <c r="B35" s="159"/>
      <c r="C35" s="159"/>
      <c r="D35" s="159"/>
      <c r="E35" s="159"/>
      <c r="F35" s="159"/>
      <c r="G35" s="159"/>
      <c r="H35" s="159"/>
      <c r="I35" s="362" t="s">
        <v>407</v>
      </c>
    </row>
    <row r="36" spans="1:9" s="251" customFormat="1" outlineLevel="4" x14ac:dyDescent="0.2">
      <c r="A36"/>
      <c r="B36"/>
      <c r="C36"/>
      <c r="D36"/>
      <c r="E36"/>
      <c r="F36"/>
      <c r="G36"/>
      <c r="H36" s="99"/>
      <c r="I36" s="361" t="s">
        <v>299</v>
      </c>
    </row>
    <row r="37" spans="1:9" s="251" customFormat="1" outlineLevel="4" x14ac:dyDescent="0.2">
      <c r="A37"/>
      <c r="B37"/>
      <c r="C37"/>
      <c r="D37"/>
      <c r="E37"/>
      <c r="F37"/>
      <c r="G37"/>
      <c r="H37" s="99"/>
      <c r="I37" s="353" t="s">
        <v>300</v>
      </c>
    </row>
    <row r="38" spans="1:9" s="251" customFormat="1" outlineLevel="4" x14ac:dyDescent="0.2">
      <c r="A38"/>
      <c r="B38"/>
      <c r="C38"/>
      <c r="D38"/>
      <c r="E38"/>
      <c r="F38"/>
      <c r="G38"/>
      <c r="H38" s="99"/>
      <c r="I38" s="353" t="s">
        <v>301</v>
      </c>
    </row>
    <row r="39" spans="1:9" s="251" customFormat="1" ht="25.5" outlineLevel="4" x14ac:dyDescent="0.2">
      <c r="A39"/>
      <c r="B39"/>
      <c r="C39"/>
      <c r="D39"/>
      <c r="E39"/>
      <c r="F39"/>
      <c r="G39"/>
      <c r="H39" s="99"/>
      <c r="I39" s="353" t="s">
        <v>302</v>
      </c>
    </row>
    <row r="40" spans="1:9" s="251" customFormat="1" outlineLevel="4" x14ac:dyDescent="0.2">
      <c r="A40"/>
      <c r="B40"/>
      <c r="C40"/>
      <c r="D40"/>
      <c r="E40"/>
      <c r="F40"/>
      <c r="G40"/>
      <c r="H40" s="99"/>
      <c r="I40" s="250"/>
    </row>
    <row r="41" spans="1:9" s="254" customFormat="1" outlineLevel="3" x14ac:dyDescent="0.2">
      <c r="A41" s="159"/>
      <c r="B41" s="159"/>
      <c r="C41" s="159"/>
      <c r="D41" s="159"/>
      <c r="E41" s="159"/>
      <c r="F41" s="159"/>
      <c r="G41" s="159"/>
      <c r="H41" s="159"/>
      <c r="I41" s="362" t="s">
        <v>408</v>
      </c>
    </row>
    <row r="42" spans="1:9" s="251" customFormat="1" ht="25.5" outlineLevel="4" x14ac:dyDescent="0.2">
      <c r="A42"/>
      <c r="B42"/>
      <c r="C42"/>
      <c r="D42"/>
      <c r="E42"/>
      <c r="F42"/>
      <c r="G42"/>
      <c r="H42" s="99"/>
      <c r="I42" s="361" t="s">
        <v>303</v>
      </c>
    </row>
    <row r="43" spans="1:9" s="251" customFormat="1" outlineLevel="4" x14ac:dyDescent="0.2">
      <c r="A43"/>
      <c r="B43"/>
      <c r="C43"/>
      <c r="D43"/>
      <c r="E43"/>
      <c r="F43"/>
      <c r="G43"/>
      <c r="H43" s="99"/>
      <c r="I43" s="353" t="s">
        <v>304</v>
      </c>
    </row>
    <row r="44" spans="1:9" s="251" customFormat="1" ht="38.25" outlineLevel="4" x14ac:dyDescent="0.2">
      <c r="A44"/>
      <c r="B44"/>
      <c r="C44"/>
      <c r="D44"/>
      <c r="E44"/>
      <c r="F44"/>
      <c r="G44"/>
      <c r="H44" s="99"/>
      <c r="I44" s="353" t="s">
        <v>228</v>
      </c>
    </row>
    <row r="45" spans="1:9" s="251" customFormat="1" outlineLevel="4" x14ac:dyDescent="0.2">
      <c r="A45"/>
      <c r="B45"/>
      <c r="C45"/>
      <c r="D45"/>
      <c r="E45"/>
      <c r="F45"/>
      <c r="G45"/>
      <c r="H45" s="99"/>
      <c r="I45" s="250"/>
    </row>
    <row r="46" spans="1:9" s="254" customFormat="1" outlineLevel="3" x14ac:dyDescent="0.2">
      <c r="A46" s="159"/>
      <c r="B46" s="159"/>
      <c r="C46" s="159"/>
      <c r="D46" s="159"/>
      <c r="E46" s="159"/>
      <c r="F46" s="159"/>
      <c r="G46" s="159"/>
      <c r="H46" s="159"/>
      <c r="I46" s="362" t="s">
        <v>409</v>
      </c>
    </row>
    <row r="47" spans="1:9" s="251" customFormat="1" outlineLevel="4" x14ac:dyDescent="0.2">
      <c r="A47"/>
      <c r="B47"/>
      <c r="C47"/>
      <c r="D47"/>
      <c r="E47"/>
      <c r="F47"/>
      <c r="G47"/>
      <c r="H47" s="99"/>
      <c r="I47" s="361" t="s">
        <v>305</v>
      </c>
    </row>
    <row r="48" spans="1:9" s="251" customFormat="1" ht="25.5" outlineLevel="4" x14ac:dyDescent="0.2">
      <c r="A48"/>
      <c r="B48"/>
      <c r="C48"/>
      <c r="D48"/>
      <c r="E48"/>
      <c r="F48"/>
      <c r="G48"/>
      <c r="H48" s="99"/>
      <c r="I48" s="353" t="s">
        <v>306</v>
      </c>
    </row>
    <row r="49" spans="1:11" s="251" customFormat="1" ht="25.5" outlineLevel="4" x14ac:dyDescent="0.2">
      <c r="A49"/>
      <c r="B49"/>
      <c r="C49"/>
      <c r="D49"/>
      <c r="E49"/>
      <c r="F49"/>
      <c r="G49"/>
      <c r="H49" s="99"/>
      <c r="I49" s="353" t="s">
        <v>307</v>
      </c>
    </row>
    <row r="50" spans="1:11" s="251" customFormat="1" ht="25.5" outlineLevel="4" x14ac:dyDescent="0.2">
      <c r="A50"/>
      <c r="B50"/>
      <c r="C50"/>
      <c r="D50"/>
      <c r="E50"/>
      <c r="F50"/>
      <c r="G50"/>
      <c r="H50" s="99"/>
      <c r="I50" s="353" t="s">
        <v>308</v>
      </c>
    </row>
    <row r="51" spans="1:11" s="251" customFormat="1" outlineLevel="4" x14ac:dyDescent="0.2">
      <c r="A51"/>
      <c r="B51"/>
      <c r="C51"/>
      <c r="D51"/>
      <c r="E51"/>
      <c r="F51"/>
      <c r="G51"/>
      <c r="H51" s="99"/>
      <c r="I51" s="255"/>
    </row>
    <row r="52" spans="1:11" s="253" customFormat="1" outlineLevel="3" x14ac:dyDescent="0.2">
      <c r="A52" s="341"/>
      <c r="B52" s="341"/>
      <c r="C52" s="341"/>
      <c r="D52" s="341"/>
      <c r="E52" s="341"/>
      <c r="F52" s="341"/>
      <c r="G52" s="341"/>
      <c r="H52" s="341"/>
      <c r="I52" s="365" t="s">
        <v>203</v>
      </c>
    </row>
    <row r="53" spans="1:11" s="252" customFormat="1" outlineLevel="2" x14ac:dyDescent="0.2">
      <c r="A53" s="354"/>
      <c r="B53" s="354"/>
      <c r="C53" s="354"/>
      <c r="D53" s="354"/>
      <c r="E53" s="354"/>
      <c r="F53" s="354"/>
      <c r="G53" s="354"/>
      <c r="H53" s="354"/>
      <c r="I53" s="364"/>
    </row>
    <row r="54" spans="1:11" s="252" customFormat="1" outlineLevel="1" x14ac:dyDescent="0.2">
      <c r="A54" s="354"/>
      <c r="B54" s="354"/>
      <c r="C54" s="354"/>
      <c r="D54" s="354"/>
      <c r="E54" s="354"/>
      <c r="F54" s="354"/>
      <c r="G54" s="354"/>
      <c r="H54" s="354"/>
      <c r="I54" s="355" t="s">
        <v>317</v>
      </c>
    </row>
    <row r="55" spans="1:11" s="251" customFormat="1" outlineLevel="3" x14ac:dyDescent="0.2">
      <c r="A55"/>
      <c r="B55"/>
      <c r="C55"/>
      <c r="D55"/>
      <c r="E55"/>
      <c r="F55"/>
      <c r="G55"/>
      <c r="H55" s="99"/>
      <c r="I55" s="336" t="s">
        <v>365</v>
      </c>
      <c r="J55" s="337"/>
      <c r="K55" s="337"/>
    </row>
    <row r="56" spans="1:11" s="253" customFormat="1" outlineLevel="2" x14ac:dyDescent="0.2">
      <c r="A56" s="341"/>
      <c r="B56" s="341"/>
      <c r="C56" s="341"/>
      <c r="D56" s="341"/>
      <c r="E56" s="341"/>
      <c r="F56" s="341"/>
      <c r="G56" s="341"/>
      <c r="H56" s="341"/>
      <c r="I56" s="351" t="s">
        <v>276</v>
      </c>
      <c r="J56" s="352"/>
      <c r="K56" s="352"/>
    </row>
    <row r="57" spans="1:11" s="251" customFormat="1" outlineLevel="3" x14ac:dyDescent="0.2">
      <c r="A57"/>
      <c r="B57"/>
      <c r="C57"/>
      <c r="D57"/>
      <c r="E57"/>
      <c r="F57"/>
      <c r="G57"/>
      <c r="H57" s="99"/>
      <c r="I57" s="350"/>
      <c r="J57" s="337"/>
      <c r="K57" s="337"/>
    </row>
    <row r="58" spans="1:11" s="254" customFormat="1" outlineLevel="3" x14ac:dyDescent="0.2">
      <c r="A58" s="159"/>
      <c r="B58" s="159"/>
      <c r="C58" s="159"/>
      <c r="D58" s="159"/>
      <c r="E58" s="159"/>
      <c r="F58" s="159"/>
      <c r="G58" s="159"/>
      <c r="H58" s="159"/>
      <c r="I58" s="356" t="s">
        <v>376</v>
      </c>
      <c r="J58" s="357"/>
      <c r="K58" s="357"/>
    </row>
    <row r="59" spans="1:11" s="251" customFormat="1" outlineLevel="4" x14ac:dyDescent="0.2">
      <c r="A59"/>
      <c r="B59"/>
      <c r="C59"/>
      <c r="D59"/>
      <c r="E59"/>
      <c r="F59"/>
      <c r="G59"/>
      <c r="H59" s="99"/>
      <c r="I59" s="349" t="s">
        <v>380</v>
      </c>
      <c r="J59" s="337"/>
      <c r="K59" s="337"/>
    </row>
    <row r="60" spans="1:11" s="251" customFormat="1" outlineLevel="4" x14ac:dyDescent="0.2">
      <c r="A60"/>
      <c r="B60"/>
      <c r="C60"/>
      <c r="D60"/>
      <c r="E60"/>
      <c r="F60"/>
      <c r="G60"/>
      <c r="H60" s="99"/>
      <c r="I60" s="349" t="s">
        <v>379</v>
      </c>
      <c r="J60" s="337"/>
      <c r="K60" s="337"/>
    </row>
    <row r="61" spans="1:11" s="251" customFormat="1" outlineLevel="4" x14ac:dyDescent="0.2">
      <c r="A61"/>
      <c r="B61"/>
      <c r="C61"/>
      <c r="D61"/>
      <c r="E61"/>
      <c r="F61"/>
      <c r="G61"/>
      <c r="H61" s="99"/>
      <c r="I61" s="349" t="s">
        <v>381</v>
      </c>
      <c r="J61" s="337"/>
      <c r="K61" s="337"/>
    </row>
    <row r="62" spans="1:11" s="251" customFormat="1" ht="25.5" outlineLevel="4" x14ac:dyDescent="0.2">
      <c r="A62"/>
      <c r="B62"/>
      <c r="C62"/>
      <c r="D62"/>
      <c r="E62"/>
      <c r="F62"/>
      <c r="G62"/>
      <c r="H62" s="99"/>
      <c r="I62" s="349" t="s">
        <v>382</v>
      </c>
      <c r="J62" s="337"/>
      <c r="K62" s="337"/>
    </row>
    <row r="63" spans="1:11" s="251" customFormat="1" outlineLevel="4" x14ac:dyDescent="0.2">
      <c r="A63"/>
      <c r="B63"/>
      <c r="C63"/>
      <c r="D63"/>
      <c r="E63"/>
      <c r="F63"/>
      <c r="G63"/>
      <c r="H63" s="99"/>
      <c r="I63" s="349"/>
      <c r="J63" s="337"/>
      <c r="K63" s="337"/>
    </row>
    <row r="64" spans="1:11" s="254" customFormat="1" outlineLevel="3" x14ac:dyDescent="0.2">
      <c r="A64" s="159"/>
      <c r="B64" s="159"/>
      <c r="C64" s="159"/>
      <c r="D64" s="159"/>
      <c r="E64" s="159"/>
      <c r="F64" s="159"/>
      <c r="G64" s="159"/>
      <c r="H64" s="159"/>
      <c r="I64" s="356" t="s">
        <v>377</v>
      </c>
      <c r="J64" s="357"/>
      <c r="K64" s="357"/>
    </row>
    <row r="65" spans="1:11" s="251" customFormat="1" outlineLevel="4" x14ac:dyDescent="0.2">
      <c r="A65"/>
      <c r="B65"/>
      <c r="C65"/>
      <c r="D65"/>
      <c r="E65"/>
      <c r="F65"/>
      <c r="G65"/>
      <c r="H65" s="99"/>
      <c r="I65" s="349" t="s">
        <v>383</v>
      </c>
      <c r="J65" s="337"/>
      <c r="K65" s="337"/>
    </row>
    <row r="66" spans="1:11" s="251" customFormat="1" outlineLevel="4" x14ac:dyDescent="0.2">
      <c r="A66"/>
      <c r="B66"/>
      <c r="C66"/>
      <c r="D66"/>
      <c r="E66"/>
      <c r="F66"/>
      <c r="G66"/>
      <c r="H66" s="99"/>
      <c r="I66" s="349" t="s">
        <v>388</v>
      </c>
      <c r="J66" s="337"/>
      <c r="K66" s="337"/>
    </row>
    <row r="67" spans="1:11" s="251" customFormat="1" outlineLevel="4" x14ac:dyDescent="0.2">
      <c r="A67"/>
      <c r="B67"/>
      <c r="C67"/>
      <c r="D67"/>
      <c r="E67"/>
      <c r="F67"/>
      <c r="G67"/>
      <c r="H67" s="99"/>
      <c r="I67" s="349"/>
      <c r="J67" s="337"/>
      <c r="K67" s="337"/>
    </row>
    <row r="68" spans="1:11" s="254" customFormat="1" outlineLevel="3" x14ac:dyDescent="0.2">
      <c r="A68" s="159"/>
      <c r="B68" s="159"/>
      <c r="C68" s="159"/>
      <c r="D68" s="159"/>
      <c r="E68" s="159"/>
      <c r="F68" s="159"/>
      <c r="G68" s="159"/>
      <c r="H68" s="159"/>
      <c r="I68" s="356" t="s">
        <v>378</v>
      </c>
      <c r="J68" s="357"/>
      <c r="K68" s="357"/>
    </row>
    <row r="69" spans="1:11" s="251" customFormat="1" outlineLevel="4" x14ac:dyDescent="0.2">
      <c r="A69"/>
      <c r="B69"/>
      <c r="C69"/>
      <c r="D69"/>
      <c r="E69"/>
      <c r="F69"/>
      <c r="G69"/>
      <c r="H69" s="99"/>
      <c r="I69" s="349" t="s">
        <v>384</v>
      </c>
      <c r="J69" s="337"/>
      <c r="K69" s="337"/>
    </row>
    <row r="70" spans="1:11" s="251" customFormat="1" ht="25.5" outlineLevel="4" x14ac:dyDescent="0.2">
      <c r="A70"/>
      <c r="B70"/>
      <c r="C70"/>
      <c r="D70"/>
      <c r="E70"/>
      <c r="F70"/>
      <c r="G70"/>
      <c r="H70" s="99"/>
      <c r="I70" s="349" t="s">
        <v>385</v>
      </c>
      <c r="J70" s="337"/>
      <c r="K70" s="337"/>
    </row>
    <row r="71" spans="1:11" s="251" customFormat="1" outlineLevel="4" x14ac:dyDescent="0.2">
      <c r="A71"/>
      <c r="B71"/>
      <c r="C71"/>
      <c r="D71"/>
      <c r="E71"/>
      <c r="F71"/>
      <c r="G71"/>
      <c r="H71" s="99"/>
      <c r="I71" s="349" t="s">
        <v>386</v>
      </c>
      <c r="J71" s="337"/>
      <c r="K71" s="337"/>
    </row>
    <row r="72" spans="1:11" s="251" customFormat="1" outlineLevel="4" x14ac:dyDescent="0.2">
      <c r="A72"/>
      <c r="B72"/>
      <c r="C72"/>
      <c r="D72"/>
      <c r="E72"/>
      <c r="F72"/>
      <c r="G72"/>
      <c r="H72" s="99"/>
      <c r="I72" s="349" t="s">
        <v>387</v>
      </c>
      <c r="J72" s="337"/>
      <c r="K72" s="337"/>
    </row>
    <row r="73" spans="1:11" s="251" customFormat="1" outlineLevel="4" x14ac:dyDescent="0.2">
      <c r="A73"/>
      <c r="B73"/>
      <c r="C73"/>
      <c r="D73"/>
      <c r="E73"/>
      <c r="F73"/>
      <c r="G73"/>
      <c r="H73" s="99"/>
      <c r="I73" s="349"/>
      <c r="J73" s="337"/>
      <c r="K73" s="337"/>
    </row>
    <row r="74" spans="1:11" s="253" customFormat="1" outlineLevel="2" x14ac:dyDescent="0.2">
      <c r="A74" s="341"/>
      <c r="B74" s="341"/>
      <c r="C74" s="341"/>
      <c r="D74" s="341"/>
      <c r="E74" s="341"/>
      <c r="F74" s="341"/>
      <c r="G74" s="341"/>
      <c r="H74" s="341"/>
      <c r="I74" s="351" t="s">
        <v>280</v>
      </c>
      <c r="J74" s="352"/>
      <c r="K74" s="352"/>
    </row>
    <row r="75" spans="1:11" s="251" customFormat="1" outlineLevel="4" x14ac:dyDescent="0.2">
      <c r="A75"/>
      <c r="B75"/>
      <c r="C75"/>
      <c r="D75"/>
      <c r="E75"/>
      <c r="F75"/>
      <c r="G75"/>
      <c r="H75" s="99"/>
      <c r="I75" s="336" t="s">
        <v>366</v>
      </c>
      <c r="J75" s="337"/>
      <c r="K75" s="337"/>
    </row>
    <row r="76" spans="1:11" s="251" customFormat="1" outlineLevel="4" x14ac:dyDescent="0.2">
      <c r="A76"/>
      <c r="B76"/>
      <c r="C76"/>
      <c r="D76"/>
      <c r="E76"/>
      <c r="F76"/>
      <c r="G76"/>
      <c r="H76" s="99"/>
      <c r="I76" s="349" t="s">
        <v>404</v>
      </c>
      <c r="J76" s="337"/>
      <c r="K76" s="337"/>
    </row>
    <row r="77" spans="1:11" s="251" customFormat="1" outlineLevel="4" x14ac:dyDescent="0.2">
      <c r="A77"/>
      <c r="B77"/>
      <c r="C77"/>
      <c r="D77"/>
      <c r="E77"/>
      <c r="F77"/>
      <c r="G77"/>
      <c r="H77" s="99"/>
      <c r="I77" s="349" t="s">
        <v>405</v>
      </c>
      <c r="J77" s="337"/>
      <c r="K77" s="337"/>
    </row>
    <row r="78" spans="1:11" s="251" customFormat="1" outlineLevel="4" x14ac:dyDescent="0.2">
      <c r="A78"/>
      <c r="B78"/>
      <c r="C78"/>
      <c r="D78"/>
      <c r="E78"/>
      <c r="F78"/>
      <c r="G78"/>
      <c r="H78" s="99"/>
      <c r="I78" s="349" t="s">
        <v>406</v>
      </c>
      <c r="J78" s="337"/>
      <c r="K78" s="337"/>
    </row>
    <row r="79" spans="1:11" s="251" customFormat="1" outlineLevel="4" x14ac:dyDescent="0.2">
      <c r="A79"/>
      <c r="B79"/>
      <c r="C79"/>
      <c r="D79"/>
      <c r="E79"/>
      <c r="F79"/>
      <c r="G79"/>
      <c r="H79" s="99"/>
      <c r="I79" s="349"/>
      <c r="J79" s="337"/>
      <c r="K79" s="337"/>
    </row>
    <row r="80" spans="1:11" s="254" customFormat="1" outlineLevel="3" x14ac:dyDescent="0.2">
      <c r="A80" s="159" t="s">
        <v>389</v>
      </c>
      <c r="B80" s="159"/>
      <c r="C80" s="159"/>
      <c r="D80" s="159"/>
      <c r="E80" s="159"/>
      <c r="F80" s="159"/>
      <c r="G80" s="159"/>
      <c r="H80" s="159"/>
      <c r="I80" s="356" t="s">
        <v>390</v>
      </c>
      <c r="J80" s="357"/>
      <c r="K80" s="357"/>
    </row>
    <row r="81" spans="1:11" s="251" customFormat="1" outlineLevel="4" x14ac:dyDescent="0.2">
      <c r="A81"/>
      <c r="B81"/>
      <c r="C81"/>
      <c r="D81"/>
      <c r="E81"/>
      <c r="F81"/>
      <c r="G81"/>
      <c r="H81" s="99"/>
      <c r="I81" s="349" t="s">
        <v>393</v>
      </c>
      <c r="J81" s="337"/>
      <c r="K81" s="337"/>
    </row>
    <row r="82" spans="1:11" s="251" customFormat="1" outlineLevel="4" x14ac:dyDescent="0.2">
      <c r="A82"/>
      <c r="B82"/>
      <c r="C82"/>
      <c r="D82"/>
      <c r="E82"/>
      <c r="F82"/>
      <c r="G82"/>
      <c r="H82" s="99"/>
      <c r="I82" s="349" t="s">
        <v>394</v>
      </c>
      <c r="J82" s="337"/>
      <c r="K82" s="337"/>
    </row>
    <row r="83" spans="1:11" s="251" customFormat="1" outlineLevel="4" x14ac:dyDescent="0.2">
      <c r="A83"/>
      <c r="B83"/>
      <c r="C83"/>
      <c r="D83"/>
      <c r="E83"/>
      <c r="F83"/>
      <c r="G83"/>
      <c r="H83" s="99"/>
      <c r="I83" s="349"/>
      <c r="J83" s="337"/>
      <c r="K83" s="337"/>
    </row>
    <row r="84" spans="1:11" s="254" customFormat="1" outlineLevel="3" x14ac:dyDescent="0.2">
      <c r="A84" s="159" t="s">
        <v>389</v>
      </c>
      <c r="B84" s="159"/>
      <c r="C84" s="159"/>
      <c r="D84" s="159"/>
      <c r="E84" s="159"/>
      <c r="F84" s="159"/>
      <c r="G84" s="159"/>
      <c r="H84" s="159"/>
      <c r="I84" s="356" t="s">
        <v>391</v>
      </c>
      <c r="J84" s="357"/>
      <c r="K84" s="357"/>
    </row>
    <row r="85" spans="1:11" s="251" customFormat="1" outlineLevel="4" x14ac:dyDescent="0.2">
      <c r="A85"/>
      <c r="B85"/>
      <c r="C85"/>
      <c r="D85"/>
      <c r="E85"/>
      <c r="F85"/>
      <c r="G85"/>
      <c r="H85" s="99"/>
      <c r="I85" s="349" t="s">
        <v>395</v>
      </c>
      <c r="J85" s="337"/>
      <c r="K85" s="337"/>
    </row>
    <row r="86" spans="1:11" s="251" customFormat="1" ht="38.25" outlineLevel="4" x14ac:dyDescent="0.2">
      <c r="A86"/>
      <c r="B86"/>
      <c r="C86"/>
      <c r="D86"/>
      <c r="E86"/>
      <c r="F86"/>
      <c r="G86"/>
      <c r="H86" s="99"/>
      <c r="I86" s="336" t="s">
        <v>363</v>
      </c>
      <c r="J86" s="338"/>
      <c r="K86" s="338"/>
    </row>
    <row r="87" spans="1:11" s="251" customFormat="1" ht="25.5" outlineLevel="4" x14ac:dyDescent="0.2">
      <c r="A87"/>
      <c r="B87"/>
      <c r="C87"/>
      <c r="D87"/>
      <c r="E87"/>
      <c r="F87"/>
      <c r="G87"/>
      <c r="H87" s="99"/>
      <c r="I87" s="348" t="s">
        <v>364</v>
      </c>
      <c r="J87" s="339"/>
      <c r="K87" s="339"/>
    </row>
    <row r="88" spans="1:11" s="251" customFormat="1" outlineLevel="4" x14ac:dyDescent="0.2">
      <c r="A88"/>
      <c r="B88"/>
      <c r="C88"/>
      <c r="D88"/>
      <c r="E88"/>
      <c r="F88"/>
      <c r="G88"/>
      <c r="H88" s="99"/>
      <c r="I88" s="348"/>
      <c r="J88" s="339"/>
      <c r="K88" s="339"/>
    </row>
    <row r="89" spans="1:11" s="254" customFormat="1" outlineLevel="3" x14ac:dyDescent="0.2">
      <c r="A89" s="159" t="s">
        <v>389</v>
      </c>
      <c r="B89" s="159"/>
      <c r="C89" s="159"/>
      <c r="D89" s="159"/>
      <c r="E89" s="159"/>
      <c r="F89" s="159"/>
      <c r="G89" s="159"/>
      <c r="H89" s="159"/>
      <c r="I89" s="356" t="s">
        <v>392</v>
      </c>
      <c r="J89" s="357"/>
      <c r="K89" s="357"/>
    </row>
    <row r="90" spans="1:11" s="251" customFormat="1" ht="25.5" outlineLevel="4" x14ac:dyDescent="0.2">
      <c r="A90"/>
      <c r="B90"/>
      <c r="C90"/>
      <c r="D90"/>
      <c r="E90"/>
      <c r="F90"/>
      <c r="G90"/>
      <c r="H90" s="99"/>
      <c r="I90" s="349" t="s">
        <v>396</v>
      </c>
      <c r="J90" s="337"/>
      <c r="K90" s="337"/>
    </row>
    <row r="91" spans="1:11" s="251" customFormat="1" outlineLevel="4" x14ac:dyDescent="0.2">
      <c r="A91"/>
      <c r="B91"/>
      <c r="C91"/>
      <c r="D91"/>
      <c r="E91"/>
      <c r="F91"/>
      <c r="G91"/>
      <c r="H91" s="99"/>
      <c r="I91" s="349" t="s">
        <v>400</v>
      </c>
      <c r="J91" s="337"/>
      <c r="K91" s="337"/>
    </row>
    <row r="92" spans="1:11" s="251" customFormat="1" ht="25.5" outlineLevel="4" x14ac:dyDescent="0.2">
      <c r="A92"/>
      <c r="B92"/>
      <c r="C92"/>
      <c r="D92"/>
      <c r="E92"/>
      <c r="F92"/>
      <c r="G92"/>
      <c r="H92" s="99"/>
      <c r="I92" s="349" t="s">
        <v>399</v>
      </c>
      <c r="J92" s="337"/>
      <c r="K92" s="337"/>
    </row>
    <row r="93" spans="1:11" s="251" customFormat="1" outlineLevel="4" x14ac:dyDescent="0.2">
      <c r="A93"/>
      <c r="B93"/>
      <c r="C93"/>
      <c r="D93"/>
      <c r="E93"/>
      <c r="F93"/>
      <c r="G93"/>
      <c r="H93" s="99"/>
      <c r="I93" s="349" t="s">
        <v>397</v>
      </c>
      <c r="J93" s="337"/>
      <c r="K93" s="337"/>
    </row>
    <row r="94" spans="1:11" s="251" customFormat="1" outlineLevel="4" x14ac:dyDescent="0.2">
      <c r="A94"/>
      <c r="B94"/>
      <c r="C94"/>
      <c r="D94"/>
      <c r="E94"/>
      <c r="F94"/>
      <c r="G94"/>
      <c r="H94" s="99"/>
      <c r="I94" s="349" t="s">
        <v>398</v>
      </c>
      <c r="J94" s="337"/>
      <c r="K94" s="337"/>
    </row>
    <row r="95" spans="1:11" s="251" customFormat="1" outlineLevel="4" x14ac:dyDescent="0.2">
      <c r="A95"/>
      <c r="B95"/>
      <c r="C95"/>
      <c r="D95"/>
      <c r="E95"/>
      <c r="F95"/>
      <c r="G95"/>
      <c r="H95" s="99"/>
      <c r="I95" s="349" t="s">
        <v>401</v>
      </c>
      <c r="J95" s="337"/>
      <c r="K95" s="337"/>
    </row>
    <row r="96" spans="1:11" s="251" customFormat="1" ht="25.5" outlineLevel="4" x14ac:dyDescent="0.2">
      <c r="A96"/>
      <c r="B96"/>
      <c r="C96"/>
      <c r="D96"/>
      <c r="E96"/>
      <c r="F96"/>
      <c r="G96"/>
      <c r="H96" s="99"/>
      <c r="I96" s="349" t="s">
        <v>402</v>
      </c>
      <c r="J96" s="337"/>
      <c r="K96" s="337"/>
    </row>
    <row r="97" spans="1:9" s="251" customFormat="1" ht="38.25" outlineLevel="4" x14ac:dyDescent="0.2">
      <c r="A97"/>
      <c r="B97"/>
      <c r="C97"/>
      <c r="D97"/>
      <c r="E97"/>
      <c r="F97"/>
      <c r="G97"/>
      <c r="H97" s="99"/>
      <c r="I97" s="353" t="s">
        <v>403</v>
      </c>
    </row>
    <row r="98" spans="1:9" s="251" customFormat="1" outlineLevel="4" x14ac:dyDescent="0.2">
      <c r="A98"/>
      <c r="B98"/>
      <c r="C98"/>
      <c r="D98"/>
      <c r="E98"/>
      <c r="F98"/>
      <c r="G98"/>
      <c r="H98" s="99"/>
      <c r="I98" s="353"/>
    </row>
    <row r="99" spans="1:9" s="253" customFormat="1" outlineLevel="3" x14ac:dyDescent="0.2">
      <c r="A99" s="341"/>
      <c r="B99" s="341"/>
      <c r="C99" s="341"/>
      <c r="D99" s="341"/>
      <c r="E99" s="341"/>
      <c r="F99" s="341"/>
      <c r="G99" s="341"/>
      <c r="H99" s="341"/>
      <c r="I99" s="366"/>
    </row>
    <row r="100" spans="1:9" s="252" customFormat="1" outlineLevel="2" x14ac:dyDescent="0.2">
      <c r="A100" s="354" t="s">
        <v>389</v>
      </c>
      <c r="B100" s="354"/>
      <c r="C100" s="354"/>
      <c r="D100" s="354"/>
      <c r="E100" s="354"/>
      <c r="F100" s="354"/>
      <c r="G100" s="354"/>
      <c r="H100" s="354"/>
      <c r="I100" s="367"/>
    </row>
    <row r="101" spans="1:9" s="252" customFormat="1" outlineLevel="1" x14ac:dyDescent="0.2">
      <c r="A101" s="354"/>
      <c r="B101" s="354"/>
      <c r="C101" s="354"/>
      <c r="D101" s="354"/>
      <c r="E101" s="354"/>
      <c r="F101" s="354"/>
      <c r="G101" s="354"/>
      <c r="H101" s="354"/>
      <c r="I101" s="256" t="s">
        <v>289</v>
      </c>
    </row>
  </sheetData>
  <autoFilter ref="A1:I101" xr:uid="{00000000-0009-0000-0000-000010000000}"/>
  <conditionalFormatting sqref="J97:K99 J101:K1048576 J47:K54 J15:K17 J1:K13 J19:K19 J22:K25 J32:K33 J36:K39 J42:K44 J28:K30">
    <cfRule type="cellIs" dxfId="117" priority="175" operator="lessThan">
      <formula>-#REF!</formula>
    </cfRule>
  </conditionalFormatting>
  <conditionalFormatting sqref="I16:Z19 I24:Z24 J23:Z23 I22:Z22 J25:Z25 J20:Z21 I6:XFD14 AA16:XFD25 I101:XFD108">
    <cfRule type="expression" dxfId="116" priority="186">
      <formula>AND(COLUMN(#REF!)&gt;=COLUMN(#REF!),#REF!&lt;&gt;"p")</formula>
    </cfRule>
  </conditionalFormatting>
  <conditionalFormatting sqref="I109:XFD4474">
    <cfRule type="expression" dxfId="115" priority="189">
      <formula>AND(COLUMN(I101)&gt;=COLUMN(#REF!),#REF!&lt;&gt;"p")</formula>
    </cfRule>
  </conditionalFormatting>
  <conditionalFormatting sqref="J55:K57 J86:K88 J91:K91 J93:K94 J69:K78 J80:K82">
    <cfRule type="expression" dxfId="114" priority="122">
      <formula>_xlfn.ISFORMULA(J55)</formula>
    </cfRule>
  </conditionalFormatting>
  <conditionalFormatting sqref="L64:XFD64">
    <cfRule type="expression" dxfId="113" priority="196">
      <formula>AND(COLUMN(L30)&gt;=COLUMN(#REF!),#REF!&lt;&gt;"p")</formula>
    </cfRule>
  </conditionalFormatting>
  <conditionalFormatting sqref="J91:K91">
    <cfRule type="expression" dxfId="112" priority="118">
      <formula>_xlfn.ISFORMULA(J91)</formula>
    </cfRule>
  </conditionalFormatting>
  <conditionalFormatting sqref="J59:K59">
    <cfRule type="expression" dxfId="111" priority="115">
      <formula>_xlfn.ISFORMULA(J59)</formula>
    </cfRule>
  </conditionalFormatting>
  <conditionalFormatting sqref="L59:XFD59">
    <cfRule type="expression" dxfId="110" priority="114">
      <formula>AND(COLUMN(L44)&gt;=COLUMN(#REF!),#REF!&lt;&gt;"p")</formula>
    </cfRule>
  </conditionalFormatting>
  <conditionalFormatting sqref="L75:XFD78">
    <cfRule type="expression" dxfId="109" priority="204">
      <formula>AND(COLUMN(L47)&gt;=COLUMN(#REF!),#REF!&lt;&gt;"p")</formula>
    </cfRule>
  </conditionalFormatting>
  <conditionalFormatting sqref="L69:XFD69">
    <cfRule type="expression" dxfId="108" priority="207">
      <formula>AND(COLUMN(L48)&gt;=COLUMN(#REF!),#REF!&lt;&gt;"p")</formula>
    </cfRule>
  </conditionalFormatting>
  <conditionalFormatting sqref="J65:K66">
    <cfRule type="expression" dxfId="107" priority="109">
      <formula>_xlfn.ISFORMULA(J65)</formula>
    </cfRule>
  </conditionalFormatting>
  <conditionalFormatting sqref="L65:XFD66">
    <cfRule type="expression" dxfId="106" priority="111">
      <formula>AND(COLUMN(L47)&gt;=COLUMN(#REF!),#REF!&lt;&gt;"p")</formula>
    </cfRule>
  </conditionalFormatting>
  <conditionalFormatting sqref="J60:K62">
    <cfRule type="expression" dxfId="105" priority="107">
      <formula>_xlfn.ISFORMULA(J60)</formula>
    </cfRule>
  </conditionalFormatting>
  <conditionalFormatting sqref="L60:XFD62">
    <cfRule type="expression" dxfId="104" priority="106">
      <formula>AND(COLUMN(L47)&gt;=COLUMN(#REF!),#REF!&lt;&gt;"p")</formula>
    </cfRule>
  </conditionalFormatting>
  <conditionalFormatting sqref="L74:XFD74">
    <cfRule type="expression" dxfId="103" priority="212">
      <formula>AND(COLUMN(L49)&gt;=COLUMN(#REF!),#REF!&lt;&gt;"p")</formula>
    </cfRule>
  </conditionalFormatting>
  <conditionalFormatting sqref="L70:XFD73 L67:XFD67 L63:XFD63 L79:XFD79 L83:XFD83">
    <cfRule type="expression" dxfId="102" priority="217">
      <formula>AND(COLUMN(L42)&gt;=COLUMN(#REF!),#REF!&lt;&gt;"p")</formula>
    </cfRule>
  </conditionalFormatting>
  <conditionalFormatting sqref="L92:XFD94">
    <cfRule type="expression" dxfId="101" priority="230">
      <formula>AND(COLUMN(L47)&gt;=COLUMN(#REF!),#REF!&lt;&gt;"p")</formula>
    </cfRule>
  </conditionalFormatting>
  <conditionalFormatting sqref="L84:XFD84">
    <cfRule type="expression" dxfId="100" priority="236">
      <formula>AND(COLUMN(L54)&gt;=COLUMN(#REF!),#REF!&lt;&gt;"p")</formula>
    </cfRule>
  </conditionalFormatting>
  <conditionalFormatting sqref="J85:K85">
    <cfRule type="expression" dxfId="99" priority="100">
      <formula>_xlfn.ISFORMULA(J85)</formula>
    </cfRule>
  </conditionalFormatting>
  <conditionalFormatting sqref="L85:XFD85">
    <cfRule type="expression" dxfId="98" priority="102">
      <formula>AND(COLUMN(L50)&gt;=COLUMN(#REF!),#REF!&lt;&gt;"p")</formula>
    </cfRule>
  </conditionalFormatting>
  <conditionalFormatting sqref="L80:XFD82">
    <cfRule type="expression" dxfId="97" priority="103">
      <formula>AND(COLUMN(L48)&gt;=COLUMN(#REF!),#REF!&lt;&gt;"p")</formula>
    </cfRule>
  </conditionalFormatting>
  <conditionalFormatting sqref="I97:XFD98">
    <cfRule type="expression" dxfId="96" priority="241">
      <formula>AND(COLUMN(I54)&gt;=COLUMN(#REF!),#REF!&lt;&gt;"p")</formula>
    </cfRule>
  </conditionalFormatting>
  <conditionalFormatting sqref="L92:XFD94">
    <cfRule type="expression" dxfId="95" priority="245">
      <formula>AND(COLUMN(L50)&gt;=COLUMN(#REF!),#REF!&lt;&gt;"p")</formula>
    </cfRule>
  </conditionalFormatting>
  <conditionalFormatting sqref="J90:K91">
    <cfRule type="expression" dxfId="94" priority="94">
      <formula>_xlfn.ISFORMULA(J90)</formula>
    </cfRule>
  </conditionalFormatting>
  <conditionalFormatting sqref="L90:XFD91 L64:XFD64">
    <cfRule type="expression" dxfId="93" priority="96">
      <formula>AND(COLUMN(L28)&gt;=COLUMN(#REF!),#REF!&lt;&gt;"p")</formula>
    </cfRule>
  </conditionalFormatting>
  <conditionalFormatting sqref="L84:XFD85">
    <cfRule type="expression" dxfId="92" priority="97">
      <formula>AND(COLUMN(L51)&gt;=COLUMN(#REF!),#REF!&lt;&gt;"p")</formula>
    </cfRule>
  </conditionalFormatting>
  <conditionalFormatting sqref="L91:XFD91">
    <cfRule type="expression" dxfId="91" priority="251">
      <formula>AND(COLUMN(L49)&gt;=COLUMN(#REF!),#REF!&lt;&gt;"p")</formula>
    </cfRule>
  </conditionalFormatting>
  <conditionalFormatting sqref="L91:XFD91">
    <cfRule type="expression" dxfId="90" priority="253">
      <formula>AND(COLUMN(L52)&gt;=COLUMN(#REF!),#REF!&lt;&gt;"p")</formula>
    </cfRule>
  </conditionalFormatting>
  <conditionalFormatting sqref="J92:K92">
    <cfRule type="expression" dxfId="89" priority="87">
      <formula>_xlfn.ISFORMULA(J92)</formula>
    </cfRule>
  </conditionalFormatting>
  <conditionalFormatting sqref="J95:K96">
    <cfRule type="expression" dxfId="88" priority="81">
      <formula>_xlfn.ISFORMULA(J95)</formula>
    </cfRule>
  </conditionalFormatting>
  <conditionalFormatting sqref="L95:XFD96">
    <cfRule type="expression" dxfId="87" priority="84">
      <formula>AND(COLUMN(L50)&gt;=COLUMN(#REF!),#REF!&lt;&gt;"p")</formula>
    </cfRule>
  </conditionalFormatting>
  <conditionalFormatting sqref="L95:XFD96">
    <cfRule type="expression" dxfId="86" priority="85">
      <formula>AND(COLUMN(L54)&gt;=COLUMN(#REF!),#REF!&lt;&gt;"p")</formula>
    </cfRule>
  </conditionalFormatting>
  <conditionalFormatting sqref="J89:K89 J84:K84">
    <cfRule type="expression" dxfId="85" priority="71">
      <formula>_xlfn.ISFORMULA(J84)</formula>
    </cfRule>
  </conditionalFormatting>
  <conditionalFormatting sqref="L89:XFD89">
    <cfRule type="expression" dxfId="84" priority="73">
      <formula>AND(COLUMN(L58)&gt;=COLUMN(#REF!),#REF!&lt;&gt;"p")</formula>
    </cfRule>
  </conditionalFormatting>
  <conditionalFormatting sqref="L89:XFD89">
    <cfRule type="expression" dxfId="83" priority="69">
      <formula>AND(COLUMN(L56)&gt;=COLUMN(#REF!),#REF!&lt;&gt;"p")</formula>
    </cfRule>
  </conditionalFormatting>
  <conditionalFormatting sqref="J58:K58 J64:K64 J68:K68">
    <cfRule type="expression" dxfId="82" priority="59">
      <formula>_xlfn.ISFORMULA(J58)</formula>
    </cfRule>
  </conditionalFormatting>
  <conditionalFormatting sqref="L68:XFD68">
    <cfRule type="expression" dxfId="81" priority="61">
      <formula>AND(COLUMN(L36)&gt;=COLUMN(#REF!),#REF!&lt;&gt;"p")</formula>
    </cfRule>
  </conditionalFormatting>
  <conditionalFormatting sqref="L68:XFD68">
    <cfRule type="expression" dxfId="80" priority="57">
      <formula>AND(COLUMN(L32)&gt;=COLUMN(#REF!),#REF!&lt;&gt;"p")</formula>
    </cfRule>
  </conditionalFormatting>
  <conditionalFormatting sqref="J100:K100">
    <cfRule type="cellIs" dxfId="79" priority="49" operator="lessThan">
      <formula>-#REF!</formula>
    </cfRule>
  </conditionalFormatting>
  <conditionalFormatting sqref="I100:XFD100">
    <cfRule type="expression" dxfId="78" priority="50">
      <formula>AND(COLUMN(I73)&gt;=COLUMN(#REF!),#REF!&lt;&gt;"p")</formula>
    </cfRule>
  </conditionalFormatting>
  <conditionalFormatting sqref="I39:XFD39">
    <cfRule type="expression" dxfId="77" priority="260">
      <formula>AND(COLUMN(I28)&gt;=COLUMN(#REF!),#REF!&lt;&gt;"p")</formula>
    </cfRule>
  </conditionalFormatting>
  <conditionalFormatting sqref="I19:Z19 I24:Z24 J23:Z23 I22:Z22 J25:Z25 J20:Z21 AA19:XFD25 I11:XFD11 I16:XFD17">
    <cfRule type="expression" dxfId="76" priority="262">
      <formula>AND(COLUMN(#REF!)&gt;=COLUMN(#REF!),#REF!&lt;&gt;"p")</formula>
    </cfRule>
  </conditionalFormatting>
  <conditionalFormatting sqref="J31:K31">
    <cfRule type="cellIs" dxfId="75" priority="47" operator="lessThan">
      <formula>-#REF!</formula>
    </cfRule>
  </conditionalFormatting>
  <conditionalFormatting sqref="I54:K54 I41:XFD41 L54:XFD55">
    <cfRule type="expression" dxfId="74" priority="289">
      <formula>AND(COLUMN(I30)&gt;=COLUMN(#REF!),#REF!&lt;&gt;"p")</formula>
    </cfRule>
  </conditionalFormatting>
  <conditionalFormatting sqref="J35:K35">
    <cfRule type="cellIs" dxfId="73" priority="45" operator="lessThan">
      <formula>-#REF!</formula>
    </cfRule>
  </conditionalFormatting>
  <conditionalFormatting sqref="I44:XFD44 I48:XFD51">
    <cfRule type="expression" dxfId="72" priority="312">
      <formula>AND(COLUMN(I32)&gt;=COLUMN(#REF!),#REF!&lt;&gt;"p")</formula>
    </cfRule>
  </conditionalFormatting>
  <conditionalFormatting sqref="J41:K41">
    <cfRule type="cellIs" dxfId="71" priority="43" operator="lessThan">
      <formula>-#REF!</formula>
    </cfRule>
  </conditionalFormatting>
  <conditionalFormatting sqref="J46:K46">
    <cfRule type="cellIs" dxfId="70" priority="41" operator="lessThan">
      <formula>-#REF!</formula>
    </cfRule>
  </conditionalFormatting>
  <conditionalFormatting sqref="I46:XFD46">
    <cfRule type="expression" dxfId="69" priority="42">
      <formula>AND(COLUMN(I35)&gt;=COLUMN(#REF!),#REF!&lt;&gt;"p")</formula>
    </cfRule>
  </conditionalFormatting>
  <conditionalFormatting sqref="I47:XFD47">
    <cfRule type="expression" dxfId="68" priority="342">
      <formula>AND(COLUMN(I33)&gt;=COLUMN(#REF!),#REF!&lt;&gt;"p")</formula>
    </cfRule>
  </conditionalFormatting>
  <conditionalFormatting sqref="J45:K45">
    <cfRule type="cellIs" dxfId="67" priority="39" operator="lessThan">
      <formula>-#REF!</formula>
    </cfRule>
  </conditionalFormatting>
  <conditionalFormatting sqref="I45:XFD45 I42:XFD43 J20:XFD21">
    <cfRule type="expression" dxfId="66" priority="40">
      <formula>AND(COLUMN(I7)&gt;=COLUMN(#REF!),#REF!&lt;&gt;"p")</formula>
    </cfRule>
  </conditionalFormatting>
  <conditionalFormatting sqref="J40:K40">
    <cfRule type="cellIs" dxfId="65" priority="37" operator="lessThan">
      <formula>-#REF!</formula>
    </cfRule>
  </conditionalFormatting>
  <conditionalFormatting sqref="J34:K34">
    <cfRule type="cellIs" dxfId="64" priority="35" operator="lessThan">
      <formula>-#REF!</formula>
    </cfRule>
  </conditionalFormatting>
  <conditionalFormatting sqref="I34:XFD34">
    <cfRule type="expression" dxfId="63" priority="36">
      <formula>AND(COLUMN(I15)&gt;=COLUMN(#REF!),#REF!&lt;&gt;"p")</formula>
    </cfRule>
  </conditionalFormatting>
  <conditionalFormatting sqref="I11:XFD11">
    <cfRule type="expression" dxfId="62" priority="343">
      <formula>AND(COLUMN(I7)&gt;=COLUMN(#REF!),#REF!&lt;&gt;"p")</formula>
    </cfRule>
  </conditionalFormatting>
  <conditionalFormatting sqref="I33:XFD33">
    <cfRule type="expression" dxfId="61" priority="373">
      <formula>AND(COLUMN(I22)&gt;=COLUMN(#REF!),#REF!&lt;&gt;"p")</formula>
    </cfRule>
  </conditionalFormatting>
  <conditionalFormatting sqref="I19:XFD19">
    <cfRule type="expression" dxfId="60" priority="413">
      <formula>AND(COLUMN(I9)&gt;=COLUMN(#REF!),#REF!&lt;&gt;"p")</formula>
    </cfRule>
  </conditionalFormatting>
  <conditionalFormatting sqref="I15:XFD17">
    <cfRule type="expression" dxfId="59" priority="453">
      <formula>AND(COLUMN(I6)&gt;=COLUMN(#REF!),#REF!&lt;&gt;"p")</formula>
    </cfRule>
  </conditionalFormatting>
  <conditionalFormatting sqref="L56:XFD57">
    <cfRule type="expression" dxfId="58" priority="489">
      <formula>AND(COLUMN(L47)&gt;=COLUMN(#REF!),#REF!&lt;&gt;"p")</formula>
    </cfRule>
  </conditionalFormatting>
  <conditionalFormatting sqref="L80:XFD82">
    <cfRule type="expression" dxfId="57" priority="496">
      <formula>AND(COLUMN(L50)&gt;=COLUMN(#REF!),#REF!&lt;&gt;"p")</formula>
    </cfRule>
  </conditionalFormatting>
  <conditionalFormatting sqref="I52:XFD53">
    <cfRule type="expression" dxfId="56" priority="506">
      <formula>AND(COLUMN(I42)&gt;=COLUMN(#REF!),#REF!&lt;&gt;"p")</formula>
    </cfRule>
  </conditionalFormatting>
  <conditionalFormatting sqref="L86:XFD88">
    <cfRule type="expression" dxfId="55" priority="507">
      <formula>AND(COLUMN(L49)&gt;=COLUMN(#REF!),#REF!&lt;&gt;"p")</formula>
    </cfRule>
  </conditionalFormatting>
  <conditionalFormatting sqref="J67:K67">
    <cfRule type="expression" dxfId="54" priority="31">
      <formula>_xlfn.ISFORMULA(J67)</formula>
    </cfRule>
  </conditionalFormatting>
  <conditionalFormatting sqref="J63:K63">
    <cfRule type="expression" dxfId="53" priority="27">
      <formula>_xlfn.ISFORMULA(J63)</formula>
    </cfRule>
  </conditionalFormatting>
  <conditionalFormatting sqref="J79:K79">
    <cfRule type="expression" dxfId="52" priority="23">
      <formula>_xlfn.ISFORMULA(J79)</formula>
    </cfRule>
  </conditionalFormatting>
  <conditionalFormatting sqref="J83:K83">
    <cfRule type="expression" dxfId="51" priority="19">
      <formula>_xlfn.ISFORMULA(J83)</formula>
    </cfRule>
  </conditionalFormatting>
  <conditionalFormatting sqref="L90:XFD91">
    <cfRule type="expression" dxfId="50" priority="521">
      <formula>AND(COLUMN(L56)&gt;=COLUMN(#REF!),#REF!&lt;&gt;"p")</formula>
    </cfRule>
  </conditionalFormatting>
  <conditionalFormatting sqref="I99:XFD99">
    <cfRule type="expression" dxfId="49" priority="524">
      <formula>AND(COLUMN(I55)&gt;=COLUMN(#REF!),#REF!&lt;&gt;"p")</formula>
    </cfRule>
  </conditionalFormatting>
  <conditionalFormatting sqref="J26:XFD26">
    <cfRule type="expression" dxfId="48" priority="554">
      <formula>AND(COLUMN(J12)&gt;=COLUMN(#REF!),#REF!&lt;&gt;"p")</formula>
    </cfRule>
  </conditionalFormatting>
  <conditionalFormatting sqref="I36:XFD36">
    <cfRule type="expression" dxfId="47" priority="663">
      <formula>AND(COLUMN(I19)&gt;=COLUMN(#REF!),#REF!&lt;&gt;"p")</formula>
    </cfRule>
  </conditionalFormatting>
  <conditionalFormatting sqref="J20:XFD21">
    <cfRule type="expression" dxfId="46" priority="666">
      <formula>AND(COLUMN(J7)&gt;=COLUMN(#REF!),#REF!&lt;&gt;"p")</formula>
    </cfRule>
  </conditionalFormatting>
  <conditionalFormatting sqref="J14:K14">
    <cfRule type="cellIs" dxfId="45" priority="17" operator="lessThan">
      <formula>-#REF!</formula>
    </cfRule>
  </conditionalFormatting>
  <conditionalFormatting sqref="I56:K57 I20:I21">
    <cfRule type="expression" dxfId="44" priority="753">
      <formula>AND(COLUMN(I11)&gt;=COLUMN(#REF!),I$4&lt;&gt;"p")</formula>
    </cfRule>
  </conditionalFormatting>
  <conditionalFormatting sqref="I89:K89">
    <cfRule type="expression" dxfId="43" priority="757">
      <formula>AND(COLUMN(I58)&gt;=COLUMN(#REF!),I$4&lt;&gt;"p")</formula>
    </cfRule>
  </conditionalFormatting>
  <conditionalFormatting sqref="I89:K89 I84:K85">
    <cfRule type="expression" dxfId="42" priority="758">
      <formula>AND(COLUMN(I51)&gt;=COLUMN(#REF!),I$4&lt;&gt;"p")</formula>
    </cfRule>
  </conditionalFormatting>
  <conditionalFormatting sqref="I60:K62">
    <cfRule type="expression" dxfId="41" priority="763">
      <formula>AND(COLUMN(I47)&gt;=COLUMN(#REF!),I$4&lt;&gt;"p")</formula>
    </cfRule>
  </conditionalFormatting>
  <conditionalFormatting sqref="I67:K67 I63:K63 I79:K79 I83:K83 I69:K73">
    <cfRule type="expression" dxfId="40" priority="770">
      <formula>AND(COLUMN(I42)&gt;=COLUMN(#REF!),I$4&lt;&gt;"p")</formula>
    </cfRule>
  </conditionalFormatting>
  <conditionalFormatting sqref="I65:K66">
    <cfRule type="expression" dxfId="39" priority="778">
      <formula>AND(COLUMN(I47)&gt;=COLUMN(#REF!),I$4&lt;&gt;"p")</formula>
    </cfRule>
  </conditionalFormatting>
  <conditionalFormatting sqref="I74:K74">
    <cfRule type="expression" dxfId="38" priority="785">
      <formula>AND(COLUMN(I49)&gt;=COLUMN(#REF!),I$4&lt;&gt;"p")</formula>
    </cfRule>
  </conditionalFormatting>
  <conditionalFormatting sqref="I96 I92:K94 J95:K96">
    <cfRule type="expression" dxfId="37" priority="789">
      <formula>AND(COLUMN(I47)&gt;=COLUMN(#REF!),I$4&lt;&gt;"p")</formula>
    </cfRule>
  </conditionalFormatting>
  <conditionalFormatting sqref="I84:K84 I80:K82">
    <cfRule type="expression" dxfId="36" priority="798">
      <formula>AND(COLUMN(I50)&gt;=COLUMN(#REF!),I$4&lt;&gt;"p")</formula>
    </cfRule>
  </conditionalFormatting>
  <conditionalFormatting sqref="I68:K68 I80:K82">
    <cfRule type="expression" dxfId="35" priority="806">
      <formula>AND(COLUMN(I36)&gt;=COLUMN(#REF!),I$4&lt;&gt;"p")</formula>
    </cfRule>
  </conditionalFormatting>
  <conditionalFormatting sqref="I58:K58">
    <cfRule type="expression" dxfId="34" priority="814">
      <formula>AND(COLUMN(I11)&gt;=COLUMN(#REF!),I$4&lt;&gt;"p")</formula>
    </cfRule>
  </conditionalFormatting>
  <conditionalFormatting sqref="I58:K58">
    <cfRule type="expression" dxfId="33" priority="827">
      <formula>AND(COLUMN(I19)&gt;=COLUMN(#REF!),I$4&lt;&gt;"p")</formula>
    </cfRule>
  </conditionalFormatting>
  <conditionalFormatting sqref="I75:K78">
    <cfRule type="expression" dxfId="32" priority="877">
      <formula>AND(COLUMN(I47)&gt;=COLUMN(#REF!),I$4&lt;&gt;"p")</formula>
    </cfRule>
  </conditionalFormatting>
  <conditionalFormatting sqref="I55:K55">
    <cfRule type="expression" dxfId="31" priority="887">
      <formula>AND(COLUMN(I44)&gt;=COLUMN(#REF!),I$4&lt;&gt;"p")</formula>
    </cfRule>
  </conditionalFormatting>
  <conditionalFormatting sqref="I59:K59">
    <cfRule type="expression" dxfId="30" priority="888">
      <formula>AND(COLUMN(I44)&gt;=COLUMN(#REF!),I$4&lt;&gt;"p")</formula>
    </cfRule>
  </conditionalFormatting>
  <conditionalFormatting sqref="I64:K64 I95 I90:K91">
    <cfRule type="expression" dxfId="29" priority="913">
      <formula>AND(COLUMN(I30)&gt;=COLUMN(#REF!),I$4&lt;&gt;"p")</formula>
    </cfRule>
  </conditionalFormatting>
  <conditionalFormatting sqref="I91:K91">
    <cfRule type="expression" dxfId="28" priority="942">
      <formula>AND(COLUMN(I52)&gt;=COLUMN(#REF!),I$4&lt;&gt;"p")</formula>
    </cfRule>
  </conditionalFormatting>
  <conditionalFormatting sqref="I95">
    <cfRule type="expression" dxfId="27" priority="952">
      <formula>AND(COLUMN(I57)&gt;=COLUMN(#REF!),I$4&lt;&gt;"p")</formula>
    </cfRule>
  </conditionalFormatting>
  <conditionalFormatting sqref="I95 I64:K64 I68:K68 I90:K91">
    <cfRule type="expression" dxfId="26" priority="990">
      <formula>AND(COLUMN(I28)&gt;=COLUMN(#REF!),I$4&lt;&gt;"p")</formula>
    </cfRule>
  </conditionalFormatting>
  <conditionalFormatting sqref="I29:XFD30">
    <cfRule type="expression" dxfId="25" priority="991">
      <formula>AND(COLUMN(I15)&gt;=COLUMN(#REF!),#REF!&lt;&gt;"p")</formula>
    </cfRule>
  </conditionalFormatting>
  <conditionalFormatting sqref="I19:XFD19">
    <cfRule type="expression" dxfId="24" priority="993">
      <formula>AND(COLUMN(I9)&gt;=COLUMN(#REF!),#REF!&lt;&gt;"p")</formula>
    </cfRule>
  </conditionalFormatting>
  <conditionalFormatting sqref="I38:XFD38">
    <cfRule type="expression" dxfId="23" priority="1001">
      <formula>AND(COLUMN(I17)&gt;=COLUMN(#REF!),#REF!&lt;&gt;"p")</formula>
    </cfRule>
  </conditionalFormatting>
  <conditionalFormatting sqref="I17:XFD17">
    <cfRule type="expression" dxfId="22" priority="1003">
      <formula>AND(COLUMN(I12)&gt;=COLUMN(#REF!),#REF!&lt;&gt;"p")</formula>
    </cfRule>
  </conditionalFormatting>
  <conditionalFormatting sqref="I40:XFD40">
    <cfRule type="expression" dxfId="21" priority="1004">
      <formula>AND(COLUMN(I17)&gt;=COLUMN(#REF!),#REF!&lt;&gt;"p")</formula>
    </cfRule>
  </conditionalFormatting>
  <conditionalFormatting sqref="I17:XFD17">
    <cfRule type="expression" dxfId="20" priority="1006">
      <formula>AND(COLUMN(I12)&gt;=COLUMN(#REF!),#REF!&lt;&gt;"p")</formula>
    </cfRule>
  </conditionalFormatting>
  <conditionalFormatting sqref="L58:XFD58">
    <cfRule type="expression" dxfId="19" priority="1007">
      <formula>AND(COLUMN(L19)&gt;=COLUMN(#REF!),#REF!&lt;&gt;"p")</formula>
    </cfRule>
  </conditionalFormatting>
  <conditionalFormatting sqref="I37:XFD37">
    <cfRule type="expression" dxfId="18" priority="1008">
      <formula>AND(COLUMN(I24)&gt;=COLUMN(#REF!),#REF!&lt;&gt;"p")</formula>
    </cfRule>
  </conditionalFormatting>
  <conditionalFormatting sqref="I85:K85">
    <cfRule type="expression" dxfId="17" priority="1038">
      <formula>AND(COLUMN(I50)&gt;=COLUMN(#REF!),I$4&lt;&gt;"p")</formula>
    </cfRule>
  </conditionalFormatting>
  <conditionalFormatting sqref="L58:XFD58">
    <cfRule type="expression" dxfId="16" priority="1045">
      <formula>AND(COLUMN(L11)&gt;=COLUMN(#REF!),#REF!&lt;&gt;"p")</formula>
    </cfRule>
  </conditionalFormatting>
  <conditionalFormatting sqref="I32:XFD32">
    <cfRule type="expression" dxfId="15" priority="1082">
      <formula>AND(COLUMN(I11)&gt;=COLUMN(#REF!),#REF!&lt;&gt;"p")</formula>
    </cfRule>
  </conditionalFormatting>
  <conditionalFormatting sqref="I11:XFD11">
    <cfRule type="expression" dxfId="14" priority="1084">
      <formula>AND(COLUMN(I8)&gt;=COLUMN(#REF!),#REF!&lt;&gt;"p")</formula>
    </cfRule>
  </conditionalFormatting>
  <conditionalFormatting sqref="J18:K18">
    <cfRule type="cellIs" dxfId="13" priority="15" operator="lessThan">
      <formula>-#REF!</formula>
    </cfRule>
  </conditionalFormatting>
  <conditionalFormatting sqref="I95:K96">
    <cfRule type="expression" dxfId="12" priority="1097">
      <formula>AND(COLUMN(I54)&gt;=COLUMN(#REF!),I$4&lt;&gt;"p")</formula>
    </cfRule>
  </conditionalFormatting>
  <conditionalFormatting sqref="J26:K26">
    <cfRule type="cellIs" dxfId="11" priority="13" operator="lessThan">
      <formula>-#REF!</formula>
    </cfRule>
  </conditionalFormatting>
  <conditionalFormatting sqref="I91:K94">
    <cfRule type="expression" dxfId="10" priority="1109">
      <formula>AND(COLUMN(I49)&gt;=COLUMN(#REF!),I$4&lt;&gt;"p")</formula>
    </cfRule>
  </conditionalFormatting>
  <conditionalFormatting sqref="I35:XFD35">
    <cfRule type="expression" dxfId="9" priority="1110">
      <formula>AND(COLUMN(I19)&gt;=COLUMN(#REF!),#REF!&lt;&gt;"p")</formula>
    </cfRule>
  </conditionalFormatting>
  <conditionalFormatting sqref="J20:K21">
    <cfRule type="cellIs" dxfId="8" priority="8" operator="lessThan">
      <formula>-#REF!</formula>
    </cfRule>
  </conditionalFormatting>
  <conditionalFormatting sqref="I25:I26">
    <cfRule type="expression" dxfId="7" priority="1364">
      <formula>AND(COLUMN(I16)&gt;=COLUMN(#REF!),I$4&lt;&gt;"p")</formula>
    </cfRule>
  </conditionalFormatting>
  <conditionalFormatting sqref="I31:XFD31 I28:XFD28">
    <cfRule type="expression" dxfId="6" priority="1365">
      <formula>AND(COLUMN(I13)&gt;=COLUMN(#REF!),#REF!&lt;&gt;"p")</formula>
    </cfRule>
  </conditionalFormatting>
  <conditionalFormatting sqref="I86:K88">
    <cfRule type="expression" dxfId="5" priority="1378">
      <formula>AND(COLUMN(I49)&gt;=COLUMN(#REF!),I$4&lt;&gt;"p")</formula>
    </cfRule>
  </conditionalFormatting>
  <conditionalFormatting sqref="J27:K27">
    <cfRule type="cellIs" dxfId="4" priority="1" operator="lessThan">
      <formula>-#REF!</formula>
    </cfRule>
  </conditionalFormatting>
  <conditionalFormatting sqref="I27:XFD27">
    <cfRule type="expression" dxfId="3" priority="2">
      <formula>AND(COLUMN(I12)&gt;=COLUMN(#REF!),#REF!&lt;&gt;"p")</formula>
    </cfRule>
  </conditionalFormatting>
  <conditionalFormatting sqref="I24:Z24 J25:Z25 I22:Z22 AA22:XFD25 J23:Z23">
    <cfRule type="expression" dxfId="2" priority="1379">
      <formula>AND(COLUMN(I8)&gt;=COLUMN(#REF!),#REF!&lt;&gt;"p")</formula>
    </cfRule>
  </conditionalFormatting>
  <conditionalFormatting sqref="J23:Z23 J25:Z25 I22:Z22 AA22:XFD25 I24:Z24">
    <cfRule type="expression" dxfId="1" priority="1385">
      <formula>AND(COLUMN(I8)&gt;=COLUMN(#REF!),#REF!&lt;&gt;"p")</formula>
    </cfRule>
  </conditionalFormatting>
  <conditionalFormatting sqref="I23">
    <cfRule type="expression" dxfId="0" priority="1392">
      <formula>AND(COLUMN(I13)&gt;=COLUMN(#REF!),I$4&lt;&gt;"p")</formula>
    </cfRule>
  </conditionalFormatting>
  <pageMargins left="1" right="1" top="1" bottom="1" header="0.5" footer="0.5"/>
  <pageSetup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6"/>
  <dimension ref="A1:A2"/>
  <sheetViews>
    <sheetView workbookViewId="0"/>
  </sheetViews>
  <sheetFormatPr defaultRowHeight="12.75" x14ac:dyDescent="0.2"/>
  <sheetData>
    <row r="1" spans="1:1" ht="18" x14ac:dyDescent="0.25">
      <c r="A1" s="259" t="s">
        <v>312</v>
      </c>
    </row>
    <row r="2" spans="1:1" ht="18" x14ac:dyDescent="0.25">
      <c r="A2" s="259"/>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
  <dimension ref="A1:K19"/>
  <sheetViews>
    <sheetView workbookViewId="0"/>
  </sheetViews>
  <sheetFormatPr defaultRowHeight="12.75" x14ac:dyDescent="0.2"/>
  <cols>
    <col min="1" max="2" width="8.7109375" customWidth="1"/>
    <col min="4" max="4" width="8" bestFit="1" customWidth="1"/>
    <col min="6" max="7" width="8.7109375" customWidth="1"/>
    <col min="8" max="8" width="10" customWidth="1"/>
    <col min="9" max="9" width="9.5703125" customWidth="1"/>
  </cols>
  <sheetData>
    <row r="1" spans="1:11" x14ac:dyDescent="0.2">
      <c r="A1" s="1" t="s">
        <v>0</v>
      </c>
      <c r="B1" s="2"/>
      <c r="C1" s="2"/>
      <c r="D1" s="2"/>
      <c r="E1" s="2"/>
      <c r="F1" s="2"/>
      <c r="G1" s="2"/>
      <c r="H1" s="2"/>
      <c r="I1" s="2"/>
      <c r="J1" s="2"/>
      <c r="K1" s="2"/>
    </row>
    <row r="2" spans="1:11" ht="21" customHeight="1" x14ac:dyDescent="0.2">
      <c r="A2" s="1" t="s">
        <v>30</v>
      </c>
      <c r="B2" s="2"/>
      <c r="C2" s="2"/>
      <c r="D2" s="2"/>
      <c r="E2" s="2"/>
      <c r="F2" s="2"/>
      <c r="G2" s="2"/>
      <c r="H2" s="2"/>
      <c r="I2" s="2"/>
      <c r="J2" s="2"/>
      <c r="K2" s="2"/>
    </row>
    <row r="5" spans="1:11" ht="12.75" customHeight="1" x14ac:dyDescent="0.2">
      <c r="A5" s="388" t="s">
        <v>2</v>
      </c>
      <c r="B5" s="389"/>
      <c r="D5" s="388" t="s">
        <v>3</v>
      </c>
      <c r="E5" s="388"/>
    </row>
    <row r="6" spans="1:11" x14ac:dyDescent="0.2">
      <c r="A6" s="4" t="s">
        <v>4</v>
      </c>
      <c r="B6" s="4" t="s">
        <v>5</v>
      </c>
      <c r="D6" s="4" t="s">
        <v>6</v>
      </c>
      <c r="E6" s="4" t="s">
        <v>5</v>
      </c>
      <c r="G6" s="388" t="s">
        <v>7</v>
      </c>
      <c r="H6" s="388"/>
      <c r="I6" s="388"/>
      <c r="J6" s="388"/>
      <c r="K6" s="388"/>
    </row>
    <row r="7" spans="1:11" x14ac:dyDescent="0.2">
      <c r="A7" s="222">
        <v>0</v>
      </c>
      <c r="B7" s="224">
        <v>2.4500000000000002</v>
      </c>
      <c r="D7" s="222" t="s">
        <v>8</v>
      </c>
      <c r="E7" s="224">
        <v>0.25</v>
      </c>
      <c r="G7" s="5" t="s">
        <v>9</v>
      </c>
      <c r="H7" s="5"/>
      <c r="I7" s="222">
        <v>0</v>
      </c>
      <c r="J7" s="222">
        <v>300</v>
      </c>
      <c r="K7" s="222">
        <v>1000</v>
      </c>
    </row>
    <row r="8" spans="1:11" x14ac:dyDescent="0.2">
      <c r="A8" s="222">
        <v>60</v>
      </c>
      <c r="B8" s="225">
        <v>2.27</v>
      </c>
      <c r="D8" s="222" t="s">
        <v>10</v>
      </c>
      <c r="E8" s="225">
        <v>0.2</v>
      </c>
      <c r="G8" s="5" t="s">
        <v>11</v>
      </c>
      <c r="H8" s="5"/>
      <c r="I8" s="226">
        <v>0</v>
      </c>
      <c r="J8" s="226">
        <v>0.15</v>
      </c>
      <c r="K8" s="226">
        <v>0.25</v>
      </c>
    </row>
    <row r="9" spans="1:11" x14ac:dyDescent="0.2">
      <c r="A9" s="222">
        <v>120</v>
      </c>
      <c r="B9" s="225">
        <v>2.12</v>
      </c>
      <c r="D9" s="222" t="s">
        <v>12</v>
      </c>
      <c r="E9" s="225">
        <v>0.15</v>
      </c>
      <c r="G9" s="5" t="s">
        <v>13</v>
      </c>
      <c r="H9" s="5"/>
      <c r="I9" s="226">
        <v>0</v>
      </c>
      <c r="J9" s="226">
        <v>0.1</v>
      </c>
      <c r="K9" s="226">
        <v>0.15</v>
      </c>
    </row>
    <row r="10" spans="1:11" x14ac:dyDescent="0.2">
      <c r="A10" s="222">
        <v>240</v>
      </c>
      <c r="B10" s="225">
        <v>2</v>
      </c>
      <c r="D10" s="222" t="s">
        <v>14</v>
      </c>
      <c r="E10" s="225">
        <v>0</v>
      </c>
    </row>
    <row r="11" spans="1:11" x14ac:dyDescent="0.2">
      <c r="A11" s="7"/>
      <c r="B11" s="8"/>
      <c r="D11" s="7"/>
      <c r="E11" s="8"/>
    </row>
    <row r="13" spans="1:11" ht="25.5" x14ac:dyDescent="0.2">
      <c r="A13" s="9" t="s">
        <v>15</v>
      </c>
      <c r="B13" s="9" t="s">
        <v>16</v>
      </c>
      <c r="C13" s="9" t="s">
        <v>17</v>
      </c>
      <c r="D13" s="9" t="s">
        <v>18</v>
      </c>
      <c r="E13" s="3" t="s">
        <v>19</v>
      </c>
      <c r="F13" s="3" t="s">
        <v>20</v>
      </c>
      <c r="G13" s="3" t="s">
        <v>21</v>
      </c>
      <c r="H13" s="10" t="s">
        <v>22</v>
      </c>
      <c r="I13" s="10" t="s">
        <v>31</v>
      </c>
      <c r="J13" s="10" t="s">
        <v>23</v>
      </c>
    </row>
    <row r="14" spans="1:11" x14ac:dyDescent="0.2">
      <c r="A14" s="222">
        <v>1</v>
      </c>
      <c r="B14" s="223" t="s">
        <v>24</v>
      </c>
      <c r="C14" s="223" t="s">
        <v>10</v>
      </c>
      <c r="D14" s="222">
        <v>240</v>
      </c>
      <c r="E14" s="6">
        <f t="shared" ref="E14:E19" si="0">VLOOKUP(D14,A$7:B$10,2,TRUE)</f>
        <v>2</v>
      </c>
      <c r="F14" s="6">
        <f t="shared" ref="F14:F19" si="1">D14*E14</f>
        <v>480</v>
      </c>
      <c r="G14" s="6">
        <f t="shared" ref="G14:G19" si="2">VLOOKUP(C14,D$7:E$10,2,FALSE)</f>
        <v>0.2</v>
      </c>
      <c r="H14" s="6">
        <f t="shared" ref="H14:H19" si="3">G14*D14</f>
        <v>48</v>
      </c>
      <c r="I14" s="6">
        <f t="shared" ref="I14:I19" si="4">-HLOOKUP(F14,$I$7:$K$9,3,TRUE)*H14</f>
        <v>-4.8000000000000007</v>
      </c>
      <c r="J14" s="6">
        <f t="shared" ref="J14:J19" si="5">H14+F14+I14</f>
        <v>523.20000000000005</v>
      </c>
    </row>
    <row r="15" spans="1:11" x14ac:dyDescent="0.2">
      <c r="A15" s="222">
        <v>2</v>
      </c>
      <c r="B15" s="223" t="s">
        <v>25</v>
      </c>
      <c r="C15" s="223" t="s">
        <v>10</v>
      </c>
      <c r="D15" s="222">
        <v>30</v>
      </c>
      <c r="E15" s="221">
        <f t="shared" si="0"/>
        <v>2.4500000000000002</v>
      </c>
      <c r="F15" s="221">
        <f t="shared" si="1"/>
        <v>73.5</v>
      </c>
      <c r="G15" s="221">
        <f t="shared" si="2"/>
        <v>0.2</v>
      </c>
      <c r="H15" s="221">
        <f t="shared" si="3"/>
        <v>6</v>
      </c>
      <c r="I15" s="221">
        <f t="shared" si="4"/>
        <v>0</v>
      </c>
      <c r="J15" s="221">
        <f t="shared" si="5"/>
        <v>79.5</v>
      </c>
    </row>
    <row r="16" spans="1:11" x14ac:dyDescent="0.2">
      <c r="A16" s="222">
        <v>3</v>
      </c>
      <c r="B16" s="223" t="s">
        <v>26</v>
      </c>
      <c r="C16" s="223" t="s">
        <v>12</v>
      </c>
      <c r="D16" s="222">
        <v>160</v>
      </c>
      <c r="E16" s="221">
        <f t="shared" si="0"/>
        <v>2.12</v>
      </c>
      <c r="F16" s="221">
        <f t="shared" si="1"/>
        <v>339.20000000000005</v>
      </c>
      <c r="G16" s="221">
        <f t="shared" si="2"/>
        <v>0.15</v>
      </c>
      <c r="H16" s="221">
        <f t="shared" si="3"/>
        <v>24</v>
      </c>
      <c r="I16" s="221">
        <f t="shared" si="4"/>
        <v>-2.4000000000000004</v>
      </c>
      <c r="J16" s="221">
        <f t="shared" si="5"/>
        <v>360.80000000000007</v>
      </c>
    </row>
    <row r="17" spans="1:10" x14ac:dyDescent="0.2">
      <c r="A17" s="222">
        <v>4</v>
      </c>
      <c r="B17" s="223" t="s">
        <v>27</v>
      </c>
      <c r="C17" s="223" t="s">
        <v>8</v>
      </c>
      <c r="D17" s="222">
        <v>215</v>
      </c>
      <c r="E17" s="221">
        <f t="shared" si="0"/>
        <v>2.12</v>
      </c>
      <c r="F17" s="221">
        <f t="shared" si="1"/>
        <v>455.8</v>
      </c>
      <c r="G17" s="221">
        <f t="shared" si="2"/>
        <v>0.25</v>
      </c>
      <c r="H17" s="221">
        <f t="shared" si="3"/>
        <v>53.75</v>
      </c>
      <c r="I17" s="221">
        <f t="shared" si="4"/>
        <v>-5.375</v>
      </c>
      <c r="J17" s="221">
        <f t="shared" si="5"/>
        <v>504.17500000000001</v>
      </c>
    </row>
    <row r="18" spans="1:10" x14ac:dyDescent="0.2">
      <c r="A18" s="222">
        <v>5</v>
      </c>
      <c r="B18" s="223" t="s">
        <v>28</v>
      </c>
      <c r="C18" s="223" t="s">
        <v>8</v>
      </c>
      <c r="D18" s="222">
        <v>90</v>
      </c>
      <c r="E18" s="221">
        <f t="shared" si="0"/>
        <v>2.27</v>
      </c>
      <c r="F18" s="221">
        <f t="shared" si="1"/>
        <v>204.3</v>
      </c>
      <c r="G18" s="221">
        <f t="shared" si="2"/>
        <v>0.25</v>
      </c>
      <c r="H18" s="221">
        <f t="shared" si="3"/>
        <v>22.5</v>
      </c>
      <c r="I18" s="221">
        <f t="shared" si="4"/>
        <v>0</v>
      </c>
      <c r="J18" s="221">
        <f t="shared" si="5"/>
        <v>226.8</v>
      </c>
    </row>
    <row r="19" spans="1:10" x14ac:dyDescent="0.2">
      <c r="A19" s="222">
        <v>6</v>
      </c>
      <c r="B19" s="223" t="s">
        <v>29</v>
      </c>
      <c r="C19" s="223" t="s">
        <v>14</v>
      </c>
      <c r="D19" s="222">
        <v>15</v>
      </c>
      <c r="E19" s="221">
        <f t="shared" si="0"/>
        <v>2.4500000000000002</v>
      </c>
      <c r="F19" s="221">
        <f t="shared" si="1"/>
        <v>36.75</v>
      </c>
      <c r="G19" s="221">
        <f t="shared" si="2"/>
        <v>0</v>
      </c>
      <c r="H19" s="221">
        <f t="shared" si="3"/>
        <v>0</v>
      </c>
      <c r="I19" s="221">
        <f t="shared" si="4"/>
        <v>0</v>
      </c>
      <c r="J19" s="221">
        <f t="shared" si="5"/>
        <v>36.75</v>
      </c>
    </row>
  </sheetData>
  <mergeCells count="3">
    <mergeCell ref="A5:B5"/>
    <mergeCell ref="D5:E5"/>
    <mergeCell ref="G6:K6"/>
  </mergeCells>
  <phoneticPr fontId="2" type="noConversion"/>
  <pageMargins left="0.75" right="0.75" top="1" bottom="1" header="0.5" footer="0.5"/>
  <pageSetup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dimension ref="A2:D21"/>
  <sheetViews>
    <sheetView workbookViewId="0">
      <selection activeCell="B4" sqref="B4"/>
    </sheetView>
  </sheetViews>
  <sheetFormatPr defaultRowHeight="12.75" x14ac:dyDescent="0.2"/>
  <cols>
    <col min="1" max="1" width="5.5703125" bestFit="1" customWidth="1"/>
    <col min="2" max="2" width="40.5703125" bestFit="1" customWidth="1"/>
    <col min="3" max="3" width="10.28515625" bestFit="1" customWidth="1"/>
  </cols>
  <sheetData>
    <row r="2" spans="1:4" hidden="1" x14ac:dyDescent="0.2"/>
    <row r="6" spans="1:4" ht="12.75" customHeight="1" x14ac:dyDescent="0.2">
      <c r="A6" s="11" t="s">
        <v>32</v>
      </c>
      <c r="B6" s="12" t="s">
        <v>33</v>
      </c>
      <c r="C6" s="13" t="s">
        <v>34</v>
      </c>
    </row>
    <row r="7" spans="1:4" x14ac:dyDescent="0.2">
      <c r="A7" s="222">
        <v>1</v>
      </c>
      <c r="B7" s="227" t="s">
        <v>35</v>
      </c>
      <c r="C7" s="228">
        <v>23.75</v>
      </c>
    </row>
    <row r="8" spans="1:4" x14ac:dyDescent="0.2">
      <c r="A8" s="222">
        <v>2</v>
      </c>
      <c r="B8" s="227" t="s">
        <v>36</v>
      </c>
      <c r="C8" s="229">
        <v>52.8</v>
      </c>
    </row>
    <row r="9" spans="1:4" x14ac:dyDescent="0.2">
      <c r="A9" s="222">
        <v>3</v>
      </c>
      <c r="B9" s="227" t="s">
        <v>37</v>
      </c>
      <c r="C9" s="229">
        <v>15.95</v>
      </c>
    </row>
    <row r="10" spans="1:4" x14ac:dyDescent="0.2">
      <c r="A10" s="222">
        <v>4</v>
      </c>
      <c r="B10" s="230" t="s">
        <v>38</v>
      </c>
      <c r="C10" s="229">
        <v>155</v>
      </c>
    </row>
    <row r="11" spans="1:4" x14ac:dyDescent="0.2">
      <c r="A11" s="222">
        <v>5</v>
      </c>
      <c r="B11" s="230" t="s">
        <v>39</v>
      </c>
      <c r="C11" s="229">
        <v>135</v>
      </c>
    </row>
    <row r="12" spans="1:4" x14ac:dyDescent="0.2">
      <c r="A12" s="222">
        <v>6</v>
      </c>
      <c r="B12" s="230" t="s">
        <v>40</v>
      </c>
      <c r="C12" s="229">
        <v>135</v>
      </c>
    </row>
    <row r="13" spans="1:4" x14ac:dyDescent="0.2">
      <c r="A13" s="222">
        <v>7</v>
      </c>
      <c r="B13" s="230" t="s">
        <v>41</v>
      </c>
      <c r="C13" s="229">
        <v>125</v>
      </c>
    </row>
    <row r="14" spans="1:4" x14ac:dyDescent="0.2">
      <c r="A14" s="222">
        <v>8</v>
      </c>
      <c r="B14" s="230" t="s">
        <v>42</v>
      </c>
      <c r="C14" s="229">
        <v>69.989999999999995</v>
      </c>
    </row>
    <row r="15" spans="1:4" x14ac:dyDescent="0.2">
      <c r="A15" s="222">
        <v>9</v>
      </c>
      <c r="B15" s="230" t="s">
        <v>43</v>
      </c>
      <c r="C15" s="229">
        <v>99.99</v>
      </c>
      <c r="D15" s="16"/>
    </row>
    <row r="16" spans="1:4" x14ac:dyDescent="0.2">
      <c r="A16" s="222">
        <v>10</v>
      </c>
      <c r="B16" s="230" t="s">
        <v>44</v>
      </c>
      <c r="C16" s="229">
        <v>99.99</v>
      </c>
    </row>
    <row r="17" spans="1:3" x14ac:dyDescent="0.2">
      <c r="A17" s="222">
        <v>11</v>
      </c>
      <c r="B17" s="230" t="s">
        <v>45</v>
      </c>
      <c r="C17" s="229">
        <v>29.95</v>
      </c>
    </row>
    <row r="18" spans="1:3" x14ac:dyDescent="0.2">
      <c r="A18" s="222">
        <v>12</v>
      </c>
      <c r="B18" s="230" t="s">
        <v>46</v>
      </c>
      <c r="C18" s="229">
        <v>59.99</v>
      </c>
    </row>
    <row r="19" spans="1:3" x14ac:dyDescent="0.2">
      <c r="A19" s="222">
        <v>13</v>
      </c>
      <c r="B19" s="230" t="s">
        <v>47</v>
      </c>
      <c r="C19" s="229">
        <v>3.25</v>
      </c>
    </row>
    <row r="20" spans="1:3" x14ac:dyDescent="0.2">
      <c r="A20" s="222">
        <v>14</v>
      </c>
      <c r="B20" s="230" t="s">
        <v>48</v>
      </c>
      <c r="C20" s="229">
        <v>7.25</v>
      </c>
    </row>
    <row r="21" spans="1:3" x14ac:dyDescent="0.2">
      <c r="A21" s="222">
        <v>15</v>
      </c>
      <c r="B21" s="230" t="s">
        <v>49</v>
      </c>
      <c r="C21" s="229">
        <v>67.25</v>
      </c>
    </row>
  </sheetData>
  <phoneticPr fontId="2" type="noConversion"/>
  <pageMargins left="0.75" right="0.75" top="1" bottom="1" header="0.5" footer="0.5"/>
  <pageSetup orientation="portrait" horizontalDpi="300" verticalDpi="300"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5"/>
  <dimension ref="A1:J26"/>
  <sheetViews>
    <sheetView workbookViewId="0">
      <selection activeCell="B4" sqref="B4"/>
    </sheetView>
  </sheetViews>
  <sheetFormatPr defaultColWidth="9.140625" defaultRowHeight="12.75" x14ac:dyDescent="0.2"/>
  <cols>
    <col min="1" max="1" width="5.7109375" customWidth="1"/>
    <col min="2" max="2" width="15" bestFit="1" customWidth="1"/>
    <col min="3" max="3" width="31.7109375" customWidth="1"/>
    <col min="4" max="4" width="11.28515625" bestFit="1" customWidth="1"/>
  </cols>
  <sheetData>
    <row r="1" spans="1:6" ht="16.5" thickBot="1" x14ac:dyDescent="0.3">
      <c r="A1" s="390" t="s">
        <v>50</v>
      </c>
      <c r="B1" s="390"/>
      <c r="C1" s="390"/>
      <c r="D1" s="390"/>
    </row>
    <row r="2" spans="1:6" hidden="1" x14ac:dyDescent="0.2">
      <c r="A2" s="17"/>
      <c r="B2" s="127"/>
      <c r="C2" s="127"/>
      <c r="D2" s="18"/>
    </row>
    <row r="3" spans="1:6" x14ac:dyDescent="0.2">
      <c r="A3" s="17"/>
      <c r="B3" s="127"/>
      <c r="C3" s="127"/>
      <c r="D3" s="18"/>
    </row>
    <row r="4" spans="1:6" x14ac:dyDescent="0.2">
      <c r="A4" s="17"/>
      <c r="B4" s="127"/>
      <c r="C4" s="127"/>
      <c r="D4" s="18"/>
    </row>
    <row r="5" spans="1:6" x14ac:dyDescent="0.2">
      <c r="A5" s="17"/>
      <c r="B5" s="127"/>
      <c r="C5" s="127"/>
      <c r="D5" s="18"/>
    </row>
    <row r="6" spans="1:6" x14ac:dyDescent="0.2">
      <c r="A6" s="17"/>
      <c r="B6" s="127" t="s">
        <v>51</v>
      </c>
      <c r="C6" s="127">
        <v>100</v>
      </c>
      <c r="D6" s="18"/>
    </row>
    <row r="7" spans="1:6" x14ac:dyDescent="0.2">
      <c r="A7" s="17"/>
      <c r="B7" s="127" t="s">
        <v>52</v>
      </c>
      <c r="C7" s="127">
        <v>3</v>
      </c>
      <c r="D7" s="18"/>
      <c r="F7" s="19"/>
    </row>
    <row r="8" spans="1:6" x14ac:dyDescent="0.2">
      <c r="A8" s="17"/>
      <c r="B8" s="127" t="s">
        <v>53</v>
      </c>
      <c r="C8" s="127">
        <v>1</v>
      </c>
      <c r="D8" s="18"/>
    </row>
    <row r="9" spans="1:6" ht="12.75" customHeight="1" x14ac:dyDescent="0.2">
      <c r="A9" s="17"/>
      <c r="B9" s="182" t="s">
        <v>54</v>
      </c>
      <c r="C9" s="182">
        <v>2</v>
      </c>
      <c r="D9" s="18"/>
    </row>
    <row r="10" spans="1:6" x14ac:dyDescent="0.2">
      <c r="A10" s="21" t="s">
        <v>32</v>
      </c>
      <c r="B10" s="21" t="s">
        <v>18</v>
      </c>
      <c r="C10" s="21" t="s">
        <v>33</v>
      </c>
      <c r="D10" s="21" t="s">
        <v>55</v>
      </c>
    </row>
    <row r="11" spans="1:6" x14ac:dyDescent="0.2">
      <c r="A11" s="222">
        <v>12</v>
      </c>
      <c r="B11" s="222">
        <v>10</v>
      </c>
      <c r="C11" s="15" t="str">
        <f>VLOOKUP(A11,Pricing,2,FALSE)</f>
        <v>Touring Bag - One Size</v>
      </c>
      <c r="D11" s="22">
        <f>VLOOKUP(A11,Pricing,3,FALSE)*B11</f>
        <v>599.9</v>
      </c>
    </row>
    <row r="12" spans="1:6" x14ac:dyDescent="0.2">
      <c r="A12" s="222">
        <v>4</v>
      </c>
      <c r="B12" s="222">
        <v>50</v>
      </c>
      <c r="C12" s="15" t="str">
        <f>VLOOKUP(A12,Pricing,2,FALSE)</f>
        <v>ExoRacket Graphite - Oversize</v>
      </c>
      <c r="D12" s="231">
        <f>VLOOKUP(A12,Pricing,3,FALSE)*B12</f>
        <v>7750</v>
      </c>
    </row>
    <row r="13" spans="1:6" x14ac:dyDescent="0.2">
      <c r="A13" s="222">
        <v>8</v>
      </c>
      <c r="B13" s="222">
        <v>25</v>
      </c>
      <c r="C13" s="15" t="str">
        <f>VLOOKUP(A13,Pricing,2,FALSE)</f>
        <v>FlexPro Racket - Junior Pro</v>
      </c>
      <c r="D13" s="231">
        <f>VLOOKUP(A13,Pricing,3,FALSE)*B13</f>
        <v>1749.7499999999998</v>
      </c>
    </row>
    <row r="14" spans="1:6" x14ac:dyDescent="0.2">
      <c r="A14" s="222">
        <v>10</v>
      </c>
      <c r="B14" s="222">
        <v>25</v>
      </c>
      <c r="C14" s="15" t="str">
        <f>VLOOKUP(A14,Pricing,2,FALSE)</f>
        <v>FlexPro Racket - Oversize</v>
      </c>
      <c r="D14" s="231">
        <f>VLOOKUP(A14,Pricing,3,FALSE)*B14</f>
        <v>2499.75</v>
      </c>
    </row>
    <row r="15" spans="1:6" x14ac:dyDescent="0.2">
      <c r="A15" s="222">
        <v>13</v>
      </c>
      <c r="B15" s="222">
        <v>100</v>
      </c>
      <c r="C15" s="15" t="str">
        <f>VLOOKUP(A15,Pricing,2,FALSE)</f>
        <v>String Pack - Synthetic</v>
      </c>
      <c r="D15" s="231">
        <f>VLOOKUP(A15,Pricing,3,FALSE)*B15</f>
        <v>325</v>
      </c>
    </row>
    <row r="16" spans="1:6" x14ac:dyDescent="0.2">
      <c r="A16" s="222"/>
      <c r="B16" s="222"/>
      <c r="C16" s="5"/>
      <c r="D16" s="5"/>
    </row>
    <row r="17" spans="1:10" x14ac:dyDescent="0.2">
      <c r="A17" s="222"/>
      <c r="B17" s="222"/>
      <c r="C17" s="23" t="s">
        <v>56</v>
      </c>
      <c r="D17" s="24">
        <f>SUM(D11:D15)</f>
        <v>12924.4</v>
      </c>
    </row>
    <row r="18" spans="1:10" x14ac:dyDescent="0.2">
      <c r="A18" s="222"/>
      <c r="B18" s="222"/>
      <c r="C18" s="5" t="s">
        <v>57</v>
      </c>
      <c r="D18" s="231">
        <f xml:space="preserve"> -LOOKUP(D17,TotOrderVol,Discounts2)</f>
        <v>-400</v>
      </c>
    </row>
    <row r="19" spans="1:10" x14ac:dyDescent="0.2">
      <c r="A19" s="222"/>
      <c r="B19" s="222"/>
      <c r="C19" s="5" t="s">
        <v>17</v>
      </c>
      <c r="D19" s="231">
        <f>INDEX((Schedule1,Schedule2,Schedule3), C7, C8, C9)*C6</f>
        <v>22</v>
      </c>
    </row>
    <row r="20" spans="1:10" x14ac:dyDescent="0.2">
      <c r="A20" s="222"/>
      <c r="B20" s="222"/>
      <c r="C20" s="5"/>
      <c r="D20" s="231"/>
    </row>
    <row r="21" spans="1:10" x14ac:dyDescent="0.2">
      <c r="A21" s="222"/>
      <c r="B21" s="222"/>
      <c r="C21" s="5" t="s">
        <v>23</v>
      </c>
      <c r="D21" s="22">
        <f>SUM(D17:D19)</f>
        <v>12546.4</v>
      </c>
    </row>
    <row r="26" spans="1:10" x14ac:dyDescent="0.2">
      <c r="J26" t="s">
        <v>58</v>
      </c>
    </row>
  </sheetData>
  <mergeCells count="1">
    <mergeCell ref="A1:D1"/>
  </mergeCells>
  <phoneticPr fontId="2" type="noConversion"/>
  <pageMargins left="0.75" right="0.75" top="1" bottom="1" header="0.5" footer="0.5"/>
  <pageSetup orientation="portrait" horizontalDpi="300" verticalDpi="300"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6"/>
  <dimension ref="A6:C10"/>
  <sheetViews>
    <sheetView workbookViewId="0">
      <selection activeCell="B4" sqref="B4"/>
    </sheetView>
  </sheetViews>
  <sheetFormatPr defaultRowHeight="12.75" x14ac:dyDescent="0.2"/>
  <cols>
    <col min="1" max="1" width="8.7109375" bestFit="1" customWidth="1"/>
    <col min="2" max="2" width="17.42578125" bestFit="1" customWidth="1"/>
    <col min="3" max="3" width="46.42578125" bestFit="1" customWidth="1"/>
  </cols>
  <sheetData>
    <row r="6" spans="1:3" x14ac:dyDescent="0.2">
      <c r="A6" s="25" t="s">
        <v>57</v>
      </c>
      <c r="B6" s="25" t="s">
        <v>59</v>
      </c>
      <c r="C6" s="26" t="s">
        <v>33</v>
      </c>
    </row>
    <row r="7" spans="1:3" x14ac:dyDescent="0.2">
      <c r="A7" s="224">
        <v>0</v>
      </c>
      <c r="B7" s="224">
        <v>0</v>
      </c>
      <c r="C7" s="5" t="s">
        <v>60</v>
      </c>
    </row>
    <row r="8" spans="1:3" x14ac:dyDescent="0.2">
      <c r="A8" s="232">
        <v>150</v>
      </c>
      <c r="B8" s="232">
        <v>5000</v>
      </c>
      <c r="C8" s="5" t="s">
        <v>61</v>
      </c>
    </row>
    <row r="9" spans="1:3" x14ac:dyDescent="0.2">
      <c r="A9" s="232">
        <v>400</v>
      </c>
      <c r="B9" s="232">
        <v>10000</v>
      </c>
      <c r="C9" s="5" t="s">
        <v>62</v>
      </c>
    </row>
    <row r="10" spans="1:3" x14ac:dyDescent="0.2">
      <c r="A10" s="232">
        <v>1000</v>
      </c>
      <c r="B10" s="232">
        <v>25000</v>
      </c>
      <c r="C10" s="5" t="s">
        <v>63</v>
      </c>
    </row>
  </sheetData>
  <phoneticPr fontId="2" type="noConversion"/>
  <pageMargins left="0.75" right="0.75" top="1" bottom="1" header="0.5" footer="0.5"/>
  <pageSetup orientation="portrait" horizontalDpi="300" verticalDpi="300"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7"/>
  <dimension ref="A1:E25"/>
  <sheetViews>
    <sheetView workbookViewId="0"/>
  </sheetViews>
  <sheetFormatPr defaultRowHeight="12.75" x14ac:dyDescent="0.2"/>
  <sheetData>
    <row r="1" spans="1:5" ht="18" x14ac:dyDescent="0.25">
      <c r="A1" s="88" t="s">
        <v>222</v>
      </c>
      <c r="B1" s="88"/>
      <c r="C1" s="88"/>
      <c r="D1" s="88"/>
      <c r="E1" s="88"/>
    </row>
    <row r="3" spans="1:5" x14ac:dyDescent="0.2">
      <c r="A3" s="5"/>
      <c r="B3" s="27" t="s">
        <v>64</v>
      </c>
      <c r="C3" s="27"/>
      <c r="D3" s="27"/>
      <c r="E3" s="27"/>
    </row>
    <row r="4" spans="1:5" x14ac:dyDescent="0.2">
      <c r="A4" s="28" t="s">
        <v>65</v>
      </c>
      <c r="B4" s="222">
        <v>1</v>
      </c>
      <c r="C4" s="222">
        <v>2</v>
      </c>
      <c r="D4" s="222">
        <v>3</v>
      </c>
      <c r="E4" s="222">
        <v>4</v>
      </c>
    </row>
    <row r="5" spans="1:5" x14ac:dyDescent="0.2">
      <c r="A5" s="222">
        <v>1</v>
      </c>
      <c r="B5" s="228">
        <v>0.1</v>
      </c>
      <c r="C5" s="228">
        <v>0.11</v>
      </c>
      <c r="D5" s="228">
        <v>1.5</v>
      </c>
      <c r="E5" s="228" t="s">
        <v>66</v>
      </c>
    </row>
    <row r="6" spans="1:5" x14ac:dyDescent="0.2">
      <c r="A6" s="222">
        <v>2</v>
      </c>
      <c r="B6" s="229">
        <v>0.18</v>
      </c>
      <c r="C6" s="229">
        <v>0.12</v>
      </c>
      <c r="D6" s="229">
        <v>2</v>
      </c>
      <c r="E6" s="229" t="s">
        <v>66</v>
      </c>
    </row>
    <row r="7" spans="1:5" x14ac:dyDescent="0.2">
      <c r="A7" s="222">
        <v>3</v>
      </c>
      <c r="B7" s="229">
        <v>0.24</v>
      </c>
      <c r="C7" s="229">
        <v>0.14000000000000001</v>
      </c>
      <c r="D7" s="229">
        <v>2.1</v>
      </c>
      <c r="E7" s="229">
        <v>0.2</v>
      </c>
    </row>
    <row r="8" spans="1:5" x14ac:dyDescent="0.2">
      <c r="A8" s="222">
        <v>4</v>
      </c>
      <c r="B8" s="229">
        <v>0.28000000000000003</v>
      </c>
      <c r="C8" s="229">
        <v>0.16</v>
      </c>
      <c r="D8" s="229">
        <v>2.25</v>
      </c>
      <c r="E8" s="229">
        <v>0.2</v>
      </c>
    </row>
    <row r="9" spans="1:5" x14ac:dyDescent="0.2">
      <c r="A9" s="222">
        <v>5</v>
      </c>
      <c r="B9" s="229">
        <v>0.45</v>
      </c>
      <c r="C9" s="229">
        <v>0.4</v>
      </c>
      <c r="D9" s="229">
        <v>3.5</v>
      </c>
      <c r="E9" s="229">
        <v>0.35</v>
      </c>
    </row>
    <row r="11" spans="1:5" x14ac:dyDescent="0.2">
      <c r="A11" s="5"/>
      <c r="B11" s="391" t="s">
        <v>67</v>
      </c>
      <c r="C11" s="392"/>
      <c r="D11" s="392"/>
      <c r="E11" s="392"/>
    </row>
    <row r="12" spans="1:5" x14ac:dyDescent="0.2">
      <c r="A12" s="25" t="s">
        <v>65</v>
      </c>
      <c r="B12" s="222">
        <v>1</v>
      </c>
      <c r="C12" s="222">
        <v>2</v>
      </c>
      <c r="D12" s="222">
        <v>3</v>
      </c>
      <c r="E12" s="222">
        <v>4</v>
      </c>
    </row>
    <row r="13" spans="1:5" x14ac:dyDescent="0.2">
      <c r="A13" s="222">
        <v>1</v>
      </c>
      <c r="B13" s="228">
        <v>0.09</v>
      </c>
      <c r="C13" s="228">
        <v>0.1</v>
      </c>
      <c r="D13" s="228">
        <v>1.35</v>
      </c>
      <c r="E13" s="228" t="s">
        <v>66</v>
      </c>
    </row>
    <row r="14" spans="1:5" x14ac:dyDescent="0.2">
      <c r="A14" s="222">
        <v>2</v>
      </c>
      <c r="B14" s="229">
        <v>0.16</v>
      </c>
      <c r="C14" s="229">
        <v>0.11</v>
      </c>
      <c r="D14" s="229">
        <v>1.8</v>
      </c>
      <c r="E14" s="229" t="s">
        <v>66</v>
      </c>
    </row>
    <row r="15" spans="1:5" x14ac:dyDescent="0.2">
      <c r="A15" s="222">
        <v>3</v>
      </c>
      <c r="B15" s="229">
        <v>0.22</v>
      </c>
      <c r="C15" s="229">
        <v>0.13</v>
      </c>
      <c r="D15" s="229">
        <v>1.89</v>
      </c>
      <c r="E15" s="229">
        <v>0.18</v>
      </c>
    </row>
    <row r="16" spans="1:5" x14ac:dyDescent="0.2">
      <c r="A16" s="222">
        <v>4</v>
      </c>
      <c r="B16" s="229">
        <v>0.25</v>
      </c>
      <c r="C16" s="229">
        <v>0.14000000000000001</v>
      </c>
      <c r="D16" s="229">
        <v>2.0299999999999998</v>
      </c>
      <c r="E16" s="229">
        <v>0.18</v>
      </c>
    </row>
    <row r="17" spans="1:5" x14ac:dyDescent="0.2">
      <c r="A17" s="222">
        <v>5</v>
      </c>
      <c r="B17" s="229">
        <v>0.41</v>
      </c>
      <c r="C17" s="229">
        <v>0.36</v>
      </c>
      <c r="D17" s="229">
        <v>3.15</v>
      </c>
      <c r="E17" s="229">
        <v>0.32</v>
      </c>
    </row>
    <row r="19" spans="1:5" x14ac:dyDescent="0.2">
      <c r="A19" s="5"/>
      <c r="B19" s="391" t="s">
        <v>68</v>
      </c>
      <c r="C19" s="391"/>
      <c r="D19" s="391"/>
      <c r="E19" s="391"/>
    </row>
    <row r="20" spans="1:5" x14ac:dyDescent="0.2">
      <c r="A20" s="25" t="s">
        <v>65</v>
      </c>
      <c r="B20" s="222">
        <v>1</v>
      </c>
      <c r="C20" s="222">
        <v>2</v>
      </c>
      <c r="D20" s="222">
        <v>3</v>
      </c>
      <c r="E20" s="222">
        <v>4</v>
      </c>
    </row>
    <row r="21" spans="1:5" x14ac:dyDescent="0.2">
      <c r="A21" s="222">
        <v>1</v>
      </c>
      <c r="B21" s="228">
        <v>0.08</v>
      </c>
      <c r="C21" s="228">
        <v>0.09</v>
      </c>
      <c r="D21" s="228">
        <v>1.22</v>
      </c>
      <c r="E21" s="228" t="s">
        <v>66</v>
      </c>
    </row>
    <row r="22" spans="1:5" x14ac:dyDescent="0.2">
      <c r="A22" s="222">
        <v>2</v>
      </c>
      <c r="B22" s="229">
        <v>0.15</v>
      </c>
      <c r="C22" s="229">
        <v>0.1</v>
      </c>
      <c r="D22" s="229">
        <v>1.62</v>
      </c>
      <c r="E22" s="229" t="s">
        <v>66</v>
      </c>
    </row>
    <row r="23" spans="1:5" x14ac:dyDescent="0.2">
      <c r="A23" s="222">
        <v>3</v>
      </c>
      <c r="B23" s="229">
        <v>0.19</v>
      </c>
      <c r="C23" s="229">
        <v>0.11</v>
      </c>
      <c r="D23" s="229">
        <v>1.7</v>
      </c>
      <c r="E23" s="229">
        <v>0.16</v>
      </c>
    </row>
    <row r="24" spans="1:5" x14ac:dyDescent="0.2">
      <c r="A24" s="222">
        <v>4</v>
      </c>
      <c r="B24" s="229">
        <v>0.23</v>
      </c>
      <c r="C24" s="229">
        <v>0.13</v>
      </c>
      <c r="D24" s="229">
        <v>1.82</v>
      </c>
      <c r="E24" s="229">
        <v>0.16</v>
      </c>
    </row>
    <row r="25" spans="1:5" x14ac:dyDescent="0.2">
      <c r="A25" s="222">
        <v>5</v>
      </c>
      <c r="B25" s="229">
        <v>0.36</v>
      </c>
      <c r="C25" s="229">
        <v>0.32</v>
      </c>
      <c r="D25" s="229">
        <v>2.84</v>
      </c>
      <c r="E25" s="229">
        <v>0.28000000000000003</v>
      </c>
    </row>
  </sheetData>
  <mergeCells count="2">
    <mergeCell ref="B11:E11"/>
    <mergeCell ref="B19:E19"/>
  </mergeCells>
  <phoneticPr fontId="2" type="noConversion"/>
  <pageMargins left="0.75" right="0.75" top="1" bottom="1" header="0.5" footer="0.5"/>
  <pageSetup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8"/>
  <dimension ref="A1:K20"/>
  <sheetViews>
    <sheetView workbookViewId="0"/>
  </sheetViews>
  <sheetFormatPr defaultRowHeight="12.75" x14ac:dyDescent="0.2"/>
  <cols>
    <col min="1" max="1" width="5.5703125" bestFit="1" customWidth="1"/>
    <col min="2" max="2" width="38.140625" bestFit="1" customWidth="1"/>
    <col min="3" max="3" width="15" bestFit="1" customWidth="1"/>
    <col min="4" max="4" width="12.140625" bestFit="1" customWidth="1"/>
  </cols>
  <sheetData>
    <row r="1" spans="1:11" ht="20.25" customHeight="1" x14ac:dyDescent="0.2">
      <c r="A1" s="1" t="s">
        <v>69</v>
      </c>
      <c r="B1" s="2"/>
      <c r="C1" s="2"/>
      <c r="D1" s="2"/>
      <c r="G1" s="29"/>
      <c r="H1" s="29"/>
      <c r="I1" s="29"/>
      <c r="J1" s="29"/>
      <c r="K1" s="29"/>
    </row>
    <row r="2" spans="1:11" ht="20.25" customHeight="1" x14ac:dyDescent="0.2">
      <c r="A2" s="1" t="s">
        <v>70</v>
      </c>
      <c r="B2" s="2"/>
      <c r="C2" s="2"/>
      <c r="D2" s="2"/>
      <c r="G2" s="29"/>
      <c r="H2" s="29"/>
      <c r="I2" s="29"/>
      <c r="J2" s="29"/>
      <c r="K2" s="29"/>
    </row>
    <row r="3" spans="1:11" x14ac:dyDescent="0.2">
      <c r="D3" s="16"/>
    </row>
    <row r="4" spans="1:11" ht="12.75" customHeight="1" x14ac:dyDescent="0.2">
      <c r="A4" s="11" t="s">
        <v>32</v>
      </c>
      <c r="B4" s="12" t="s">
        <v>33</v>
      </c>
      <c r="C4" s="30" t="s">
        <v>71</v>
      </c>
      <c r="D4" s="30" t="s">
        <v>72</v>
      </c>
    </row>
    <row r="5" spans="1:11" x14ac:dyDescent="0.2">
      <c r="A5" s="222">
        <v>1</v>
      </c>
      <c r="B5" s="227" t="s">
        <v>35</v>
      </c>
      <c r="C5" s="233">
        <v>1</v>
      </c>
      <c r="D5" s="234">
        <v>2.1</v>
      </c>
    </row>
    <row r="6" spans="1:11" x14ac:dyDescent="0.2">
      <c r="A6" s="222">
        <v>2</v>
      </c>
      <c r="B6" s="227" t="s">
        <v>36</v>
      </c>
      <c r="C6" s="233">
        <v>1</v>
      </c>
      <c r="D6" s="234">
        <v>2.5</v>
      </c>
    </row>
    <row r="7" spans="1:11" x14ac:dyDescent="0.2">
      <c r="A7" s="222">
        <v>3</v>
      </c>
      <c r="B7" s="227" t="s">
        <v>37</v>
      </c>
      <c r="C7" s="233">
        <v>1</v>
      </c>
      <c r="D7" s="234">
        <v>1.2</v>
      </c>
    </row>
    <row r="8" spans="1:11" x14ac:dyDescent="0.2">
      <c r="A8" s="222">
        <v>4</v>
      </c>
      <c r="B8" s="230" t="s">
        <v>38</v>
      </c>
      <c r="C8" s="233">
        <v>1</v>
      </c>
      <c r="D8" s="234">
        <v>16</v>
      </c>
    </row>
    <row r="9" spans="1:11" x14ac:dyDescent="0.2">
      <c r="A9" s="222">
        <v>5</v>
      </c>
      <c r="B9" s="230" t="s">
        <v>39</v>
      </c>
      <c r="C9" s="233">
        <v>1</v>
      </c>
      <c r="D9" s="234">
        <v>16</v>
      </c>
    </row>
    <row r="10" spans="1:11" x14ac:dyDescent="0.2">
      <c r="A10" s="222">
        <v>6</v>
      </c>
      <c r="B10" s="230" t="s">
        <v>40</v>
      </c>
      <c r="C10" s="233">
        <v>1</v>
      </c>
      <c r="D10" s="234">
        <v>15</v>
      </c>
    </row>
    <row r="11" spans="1:11" x14ac:dyDescent="0.2">
      <c r="A11" s="222">
        <v>7</v>
      </c>
      <c r="B11" s="230" t="s">
        <v>41</v>
      </c>
      <c r="C11" s="233">
        <v>1</v>
      </c>
      <c r="D11" s="234">
        <v>16</v>
      </c>
    </row>
    <row r="12" spans="1:11" x14ac:dyDescent="0.2">
      <c r="A12" s="222">
        <v>8</v>
      </c>
      <c r="B12" s="230" t="s">
        <v>42</v>
      </c>
      <c r="C12" s="233">
        <v>1</v>
      </c>
      <c r="D12" s="234">
        <v>14</v>
      </c>
    </row>
    <row r="13" spans="1:11" x14ac:dyDescent="0.2">
      <c r="A13" s="222">
        <v>9</v>
      </c>
      <c r="B13" s="230" t="s">
        <v>43</v>
      </c>
      <c r="C13" s="233">
        <v>1</v>
      </c>
      <c r="D13" s="234">
        <v>18</v>
      </c>
    </row>
    <row r="14" spans="1:11" x14ac:dyDescent="0.2">
      <c r="A14" s="222">
        <v>10</v>
      </c>
      <c r="B14" s="230" t="s">
        <v>44</v>
      </c>
      <c r="C14" s="233">
        <v>1</v>
      </c>
      <c r="D14" s="234">
        <v>19</v>
      </c>
    </row>
    <row r="15" spans="1:11" x14ac:dyDescent="0.2">
      <c r="A15" s="222">
        <v>11</v>
      </c>
      <c r="B15" s="230" t="s">
        <v>45</v>
      </c>
      <c r="C15" s="233">
        <v>1</v>
      </c>
      <c r="D15" s="234">
        <v>6</v>
      </c>
    </row>
    <row r="16" spans="1:11" x14ac:dyDescent="0.2">
      <c r="A16" s="222">
        <v>12</v>
      </c>
      <c r="B16" s="230" t="s">
        <v>46</v>
      </c>
      <c r="C16" s="233">
        <v>1</v>
      </c>
      <c r="D16" s="234">
        <v>12</v>
      </c>
    </row>
    <row r="17" spans="1:4" x14ac:dyDescent="0.2">
      <c r="A17" s="222">
        <v>13</v>
      </c>
      <c r="B17" s="230" t="s">
        <v>47</v>
      </c>
      <c r="C17" s="233">
        <v>1</v>
      </c>
      <c r="D17" s="234">
        <v>1.2</v>
      </c>
    </row>
    <row r="18" spans="1:4" x14ac:dyDescent="0.2">
      <c r="A18" s="222">
        <v>14</v>
      </c>
      <c r="B18" s="230" t="s">
        <v>48</v>
      </c>
      <c r="C18" s="233">
        <v>1</v>
      </c>
      <c r="D18" s="234">
        <v>1.2</v>
      </c>
    </row>
    <row r="19" spans="1:4" x14ac:dyDescent="0.2">
      <c r="A19" s="222">
        <v>15</v>
      </c>
      <c r="B19" s="230" t="s">
        <v>49</v>
      </c>
      <c r="C19" s="233">
        <v>1</v>
      </c>
      <c r="D19" s="234">
        <v>2</v>
      </c>
    </row>
    <row r="20" spans="1:4" x14ac:dyDescent="0.2">
      <c r="A20" s="235">
        <v>100</v>
      </c>
      <c r="B20" s="227" t="s">
        <v>73</v>
      </c>
      <c r="C20" s="233">
        <v>2</v>
      </c>
      <c r="D20" s="234">
        <v>0.1</v>
      </c>
    </row>
  </sheetData>
  <phoneticPr fontId="2" type="noConversion"/>
  <pageMargins left="0.75" right="0.75" top="1" bottom="1" header="0.5" footer="0.5"/>
  <pageSetup orientation="portrait" horizontalDpi="300" verticalDpi="300"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9"/>
  <dimension ref="A1:J23"/>
  <sheetViews>
    <sheetView workbookViewId="0"/>
  </sheetViews>
  <sheetFormatPr defaultColWidth="9.140625" defaultRowHeight="12.75" x14ac:dyDescent="0.2"/>
  <cols>
    <col min="1" max="1" width="6" bestFit="1" customWidth="1"/>
    <col min="2" max="2" width="40.5703125" bestFit="1" customWidth="1"/>
    <col min="3" max="3" width="15" bestFit="1" customWidth="1"/>
    <col min="4" max="4" width="13.7109375" bestFit="1" customWidth="1"/>
    <col min="5" max="5" width="9.85546875" bestFit="1" customWidth="1"/>
    <col min="6" max="6" width="14.28515625" bestFit="1" customWidth="1"/>
  </cols>
  <sheetData>
    <row r="1" spans="1:6" s="31" customFormat="1" ht="43.5" customHeight="1" thickBot="1" x14ac:dyDescent="0.25">
      <c r="A1" s="393" t="s">
        <v>74</v>
      </c>
      <c r="B1" s="394"/>
      <c r="C1" s="394"/>
      <c r="D1" s="394"/>
      <c r="E1" s="394"/>
      <c r="F1" s="395"/>
    </row>
    <row r="2" spans="1:6" ht="15" x14ac:dyDescent="0.2">
      <c r="A2" s="32" t="s">
        <v>75</v>
      </c>
      <c r="B2" s="33"/>
      <c r="C2" s="396"/>
      <c r="D2" s="397"/>
      <c r="E2" s="397"/>
      <c r="F2" s="398"/>
    </row>
    <row r="3" spans="1:6" x14ac:dyDescent="0.2">
      <c r="A3" s="34"/>
      <c r="B3" s="35"/>
      <c r="C3" s="35"/>
      <c r="D3" s="35"/>
      <c r="E3" s="35"/>
      <c r="F3" s="36"/>
    </row>
    <row r="4" spans="1:6" x14ac:dyDescent="0.2">
      <c r="A4" s="37" t="s">
        <v>76</v>
      </c>
      <c r="B4" s="7"/>
      <c r="C4" s="7"/>
      <c r="D4" s="7"/>
      <c r="E4" s="7"/>
      <c r="F4" s="242" t="s">
        <v>77</v>
      </c>
    </row>
    <row r="5" spans="1:6" ht="12.75" customHeight="1" x14ac:dyDescent="0.2">
      <c r="A5" s="37" t="s">
        <v>78</v>
      </c>
      <c r="B5" s="7"/>
      <c r="C5" s="7"/>
      <c r="D5" s="7"/>
      <c r="E5" s="7"/>
      <c r="F5" s="243" t="s">
        <v>8</v>
      </c>
    </row>
    <row r="6" spans="1:6" ht="13.5" thickBot="1" x14ac:dyDescent="0.25">
      <c r="A6" s="38" t="s">
        <v>195</v>
      </c>
      <c r="B6" s="39"/>
      <c r="C6" s="39"/>
      <c r="D6" s="39"/>
      <c r="E6" s="39"/>
      <c r="F6" s="244" t="s">
        <v>79</v>
      </c>
    </row>
    <row r="7" spans="1:6" x14ac:dyDescent="0.2">
      <c r="A7" s="40"/>
      <c r="B7" s="41"/>
      <c r="C7" s="41"/>
      <c r="D7" s="41"/>
      <c r="E7" s="41"/>
      <c r="F7" s="42"/>
    </row>
    <row r="8" spans="1:6" x14ac:dyDescent="0.2">
      <c r="A8" s="43" t="s">
        <v>32</v>
      </c>
      <c r="B8" s="44" t="s">
        <v>33</v>
      </c>
      <c r="C8" s="44" t="s">
        <v>18</v>
      </c>
      <c r="D8" s="44" t="s">
        <v>80</v>
      </c>
      <c r="E8" s="44" t="s">
        <v>81</v>
      </c>
      <c r="F8" s="45" t="s">
        <v>55</v>
      </c>
    </row>
    <row r="9" spans="1:6" x14ac:dyDescent="0.2">
      <c r="A9" s="240">
        <v>5</v>
      </c>
      <c r="B9" s="46" t="str">
        <f t="shared" ref="B9:B14" si="0">IF(ISBLANK(A9)," ",VLOOKUP(A9,Products,2,FALSE))</f>
        <v>ExoRacket Graphite - Mid+, Plus Length</v>
      </c>
      <c r="C9" s="238">
        <v>60</v>
      </c>
      <c r="D9" s="5">
        <f t="shared" ref="D9:D14" si="1">IF(ISBLANK(A9), "", VLOOKUP(A9,Products,4,FALSE)*C9)</f>
        <v>960</v>
      </c>
      <c r="E9" s="6">
        <f>IF(ISBLANK(A9),"",VLOOKUP(IF(VLOOKUP(A9, Products, 3, FALSE) = 1, A9, C9),CHOOSE(VLOOKUP(A9, Products, 3, FALSE), Price1,Price2),2,VLOOKUP(A9, Products, 3, FALSE)&gt;1))</f>
        <v>135</v>
      </c>
      <c r="F9" s="47">
        <f t="shared" ref="F9:F14" si="2">IF(ISBLANK(A9), " ", C9* E9)</f>
        <v>8100</v>
      </c>
    </row>
    <row r="10" spans="1:6" x14ac:dyDescent="0.2">
      <c r="A10" s="240">
        <v>6</v>
      </c>
      <c r="B10" s="46" t="str">
        <f t="shared" si="0"/>
        <v>ExoRacket Graphite - Mid+, Regular Length</v>
      </c>
      <c r="C10" s="238">
        <v>15</v>
      </c>
      <c r="D10" s="5">
        <f t="shared" si="1"/>
        <v>225</v>
      </c>
      <c r="E10" s="221">
        <f>IF(ISBLANK(A10),"",VLOOKUP(IF(VLOOKUP(A10, Products, 3, FALSE) = 1, A10, C10),CHOOSE(VLOOKUP(A10, Products, 3, FALSE), Price1,Price2),2,VLOOKUP(A10, Products, 3, FALSE)&gt;1))</f>
        <v>139.99</v>
      </c>
      <c r="F10" s="236">
        <f t="shared" si="2"/>
        <v>2099.8500000000004</v>
      </c>
    </row>
    <row r="11" spans="1:6" x14ac:dyDescent="0.2">
      <c r="A11" s="240">
        <v>12</v>
      </c>
      <c r="B11" s="46" t="str">
        <f t="shared" si="0"/>
        <v>Touring Bag - One Size</v>
      </c>
      <c r="C11" s="238">
        <v>100</v>
      </c>
      <c r="D11" s="5">
        <f t="shared" si="1"/>
        <v>1200</v>
      </c>
      <c r="E11" s="221">
        <f>IF(ISBLANK(A11),"",VLOOKUP(IF(VLOOKUP(A11, Products, 3, FALSE) = 1, A11, C11),CHOOSE(VLOOKUP(A11, Products, 3, FALSE), Price1,Price2),2,VLOOKUP(A11, Products, 3, FALSE)&gt;1))</f>
        <v>59.99</v>
      </c>
      <c r="F11" s="236">
        <f t="shared" si="2"/>
        <v>5999</v>
      </c>
    </row>
    <row r="12" spans="1:6" x14ac:dyDescent="0.2">
      <c r="A12" s="240">
        <v>100</v>
      </c>
      <c r="B12" s="46" t="str">
        <f t="shared" si="0"/>
        <v>Tennis Balls - Bulk</v>
      </c>
      <c r="C12" s="238">
        <v>300</v>
      </c>
      <c r="D12" s="5">
        <f t="shared" si="1"/>
        <v>30</v>
      </c>
      <c r="E12" s="221">
        <f>IF(ISBLANK(A12),"",VLOOKUP(IF(VLOOKUP(A12, Products, 3, FALSE) = 1, A12, C12),CHOOSE(VLOOKUP(A12, Products, 3, FALSE), Price1,Price2),2,VLOOKUP(A12, Products, 3, FALSE)&gt;1))</f>
        <v>2</v>
      </c>
      <c r="F12" s="236">
        <f t="shared" si="2"/>
        <v>600</v>
      </c>
    </row>
    <row r="13" spans="1:6" x14ac:dyDescent="0.2">
      <c r="A13" s="240"/>
      <c r="B13" s="46" t="str">
        <f t="shared" si="0"/>
        <v xml:space="preserve"> </v>
      </c>
      <c r="C13" s="238"/>
      <c r="D13" s="5" t="str">
        <f t="shared" si="1"/>
        <v/>
      </c>
      <c r="E13" s="6" t="str">
        <f>IF(ISBLANK(A13),"",VLOOKUP(IF(VLOOKUP(A13, Products, 3, FALSE) = 1, A13, C13),CHOOSE(VLOOKUP(A13, Products, 3, FALSE), Schedule1,Schedule2),2,VLOOKUP(A13, Products, 3, FALSE)&gt;1))</f>
        <v/>
      </c>
      <c r="F13" s="47" t="str">
        <f t="shared" si="2"/>
        <v xml:space="preserve"> </v>
      </c>
    </row>
    <row r="14" spans="1:6" x14ac:dyDescent="0.2">
      <c r="A14" s="241"/>
      <c r="B14" s="46" t="str">
        <f t="shared" si="0"/>
        <v xml:space="preserve"> </v>
      </c>
      <c r="C14" s="239"/>
      <c r="D14" s="5" t="str">
        <f t="shared" si="1"/>
        <v/>
      </c>
      <c r="E14" s="6" t="str">
        <f>IF(ISBLANK(A14),"",VLOOKUP(IF(VLOOKUP(A14, Products, 3, FALSE) = 1, A14, C14),CHOOSE(VLOOKUP(A14, Products, 3, FALSE), Schedule1,Schedule2),2,VLOOKUP(A14, Products, 3, FALSE)&gt;1))</f>
        <v/>
      </c>
      <c r="F14" s="47" t="str">
        <f t="shared" si="2"/>
        <v xml:space="preserve"> </v>
      </c>
    </row>
    <row r="15" spans="1:6" x14ac:dyDescent="0.2">
      <c r="A15" s="34"/>
      <c r="B15" s="48"/>
      <c r="C15" s="41"/>
      <c r="D15" s="41"/>
      <c r="E15" s="41"/>
      <c r="F15" s="49"/>
    </row>
    <row r="16" spans="1:6" x14ac:dyDescent="0.2">
      <c r="A16" s="37"/>
      <c r="B16" s="7"/>
      <c r="C16" s="50" t="s">
        <v>56</v>
      </c>
      <c r="D16" s="50">
        <f>SUM(D9:D14)</f>
        <v>2415</v>
      </c>
      <c r="E16" s="5"/>
      <c r="F16" s="47">
        <f>SUM(F9:F14)</f>
        <v>16798.849999999999</v>
      </c>
    </row>
    <row r="17" spans="1:10" x14ac:dyDescent="0.2">
      <c r="A17" s="37"/>
      <c r="B17" s="7"/>
      <c r="C17" s="50" t="s">
        <v>57</v>
      </c>
      <c r="D17" s="50"/>
      <c r="E17" s="5"/>
      <c r="F17" s="236">
        <f>-HLOOKUP(F16,Discounts3,2,TRUE)</f>
        <v>-400</v>
      </c>
    </row>
    <row r="18" spans="1:10" x14ac:dyDescent="0.2">
      <c r="A18" s="37"/>
      <c r="B18" s="7"/>
      <c r="C18" s="51" t="s">
        <v>17</v>
      </c>
      <c r="D18" s="51"/>
      <c r="E18" s="52"/>
      <c r="F18" s="237">
        <f>INDEX((Ship1,Ship2,Ship3),VLOOKUP(F4,States,3,FALSE),MATCH(F5,'3-Shipping'!B4:E4,0),MATCH(F6,{"regular","preferred","most preferred"},0))*D16</f>
        <v>990.15</v>
      </c>
    </row>
    <row r="19" spans="1:10" x14ac:dyDescent="0.2">
      <c r="A19" s="37"/>
      <c r="B19" s="7"/>
      <c r="C19" s="53"/>
      <c r="D19" s="35"/>
      <c r="E19" s="35"/>
      <c r="F19" s="36"/>
    </row>
    <row r="20" spans="1:10" ht="13.5" thickBot="1" x14ac:dyDescent="0.25">
      <c r="A20" s="38"/>
      <c r="B20" s="39"/>
      <c r="C20" s="54" t="s">
        <v>23</v>
      </c>
      <c r="D20" s="54"/>
      <c r="E20" s="55"/>
      <c r="F20" s="56">
        <f>SUM(F16:F18)</f>
        <v>17389</v>
      </c>
    </row>
    <row r="23" spans="1:10" x14ac:dyDescent="0.2">
      <c r="J23" t="s">
        <v>58</v>
      </c>
    </row>
  </sheetData>
  <mergeCells count="2">
    <mergeCell ref="A1:F1"/>
    <mergeCell ref="C2:F2"/>
  </mergeCells>
  <phoneticPr fontId="2" type="noConversion"/>
  <pageMargins left="0.75" right="0.75" top="1" bottom="1" header="0.5" footer="0.5"/>
  <pageSetup orientation="portrait" horizontalDpi="300" verticalDpi="300"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5"/>
  <dimension ref="A1:G32"/>
  <sheetViews>
    <sheetView workbookViewId="0"/>
  </sheetViews>
  <sheetFormatPr defaultColWidth="9.140625" defaultRowHeight="12.75" x14ac:dyDescent="0.2"/>
  <cols>
    <col min="1" max="1" width="6" bestFit="1" customWidth="1"/>
    <col min="2" max="2" width="40.5703125" bestFit="1" customWidth="1"/>
    <col min="3" max="3" width="15" bestFit="1" customWidth="1"/>
    <col min="4" max="4" width="13.7109375" bestFit="1" customWidth="1"/>
    <col min="5" max="5" width="9.85546875" bestFit="1" customWidth="1"/>
    <col min="6" max="6" width="14.28515625" bestFit="1" customWidth="1"/>
    <col min="8" max="8" width="10.28515625" bestFit="1" customWidth="1"/>
  </cols>
  <sheetData>
    <row r="1" spans="1:6" s="31" customFormat="1" ht="43.5" customHeight="1" thickBot="1" x14ac:dyDescent="0.25">
      <c r="A1" s="393" t="s">
        <v>74</v>
      </c>
      <c r="B1" s="394"/>
      <c r="C1" s="394"/>
      <c r="D1" s="394"/>
      <c r="E1" s="394"/>
      <c r="F1" s="395"/>
    </row>
    <row r="2" spans="1:6" ht="15" x14ac:dyDescent="0.2">
      <c r="A2" s="32" t="s">
        <v>75</v>
      </c>
      <c r="B2" s="33"/>
      <c r="C2" s="396"/>
      <c r="D2" s="397"/>
      <c r="E2" s="397"/>
      <c r="F2" s="398"/>
    </row>
    <row r="3" spans="1:6" x14ac:dyDescent="0.2">
      <c r="A3" s="34"/>
      <c r="B3" s="35"/>
      <c r="C3" s="35"/>
      <c r="D3" s="35"/>
      <c r="E3" s="35"/>
      <c r="F3" s="36"/>
    </row>
    <row r="4" spans="1:6" x14ac:dyDescent="0.2">
      <c r="A4" s="37" t="s">
        <v>76</v>
      </c>
      <c r="B4" s="7"/>
      <c r="C4" s="7"/>
      <c r="D4" s="7"/>
      <c r="E4" s="7"/>
      <c r="F4" s="242" t="s">
        <v>77</v>
      </c>
    </row>
    <row r="5" spans="1:6" ht="12.75" customHeight="1" x14ac:dyDescent="0.2">
      <c r="A5" s="37" t="s">
        <v>78</v>
      </c>
      <c r="B5" s="7"/>
      <c r="C5" s="7"/>
      <c r="D5" s="7"/>
      <c r="E5" s="7"/>
      <c r="F5" s="243" t="s">
        <v>8</v>
      </c>
    </row>
    <row r="6" spans="1:6" ht="13.5" thickBot="1" x14ac:dyDescent="0.25">
      <c r="A6" s="38" t="s">
        <v>195</v>
      </c>
      <c r="B6" s="39"/>
      <c r="C6" s="39"/>
      <c r="D6" s="39"/>
      <c r="E6" s="39"/>
      <c r="F6" s="244" t="s">
        <v>247</v>
      </c>
    </row>
    <row r="7" spans="1:6" x14ac:dyDescent="0.2">
      <c r="A7" s="40"/>
      <c r="B7" s="41"/>
      <c r="C7" s="41"/>
      <c r="D7" s="41"/>
      <c r="E7" s="41"/>
      <c r="F7" s="42"/>
    </row>
    <row r="8" spans="1:6" x14ac:dyDescent="0.2">
      <c r="A8" s="43" t="s">
        <v>32</v>
      </c>
      <c r="B8" s="44" t="s">
        <v>33</v>
      </c>
      <c r="C8" s="44" t="s">
        <v>18</v>
      </c>
      <c r="D8" s="44" t="s">
        <v>80</v>
      </c>
      <c r="E8" s="44" t="s">
        <v>81</v>
      </c>
      <c r="F8" s="45" t="s">
        <v>55</v>
      </c>
    </row>
    <row r="9" spans="1:6" x14ac:dyDescent="0.2">
      <c r="A9" s="240">
        <v>5</v>
      </c>
      <c r="B9" s="46" t="str">
        <f t="shared" ref="B9:B14" si="0">IF(ISBLANK(A9)," ",VLOOKUP(A9,Products,2,FALSE))</f>
        <v>ExoRacket Graphite - Mid+, Plus Length</v>
      </c>
      <c r="C9" s="238">
        <v>60</v>
      </c>
      <c r="D9" s="5">
        <f t="shared" ref="D9:D14" si="1">IF(ISBLANK(A9), "", VLOOKUP(A9,Products,4,FALSE)*C9)</f>
        <v>960</v>
      </c>
      <c r="E9" s="6">
        <f>IF(ISBLANK(A9),"",VLOOKUP(IF(VLOOKUP(A9, Products, 3, FALSE) = 1, A9, C9),CHOOSE(VLOOKUP(A9, Products, 3, FALSE), Price1,Price2),2,VLOOKUP(A9, Products, 3, FALSE)&gt;1))</f>
        <v>135</v>
      </c>
      <c r="F9" s="47">
        <f t="shared" ref="F9:F14" si="2">IF(ISBLANK(A9), " ", C9* E9)</f>
        <v>8100</v>
      </c>
    </row>
    <row r="10" spans="1:6" x14ac:dyDescent="0.2">
      <c r="A10" s="240">
        <v>6</v>
      </c>
      <c r="B10" s="46" t="str">
        <f t="shared" si="0"/>
        <v>ExoRacket Graphite - Mid+, Regular Length</v>
      </c>
      <c r="C10" s="238">
        <v>15</v>
      </c>
      <c r="D10" s="5">
        <f t="shared" si="1"/>
        <v>225</v>
      </c>
      <c r="E10" s="221">
        <f>IF(ISBLANK(A10),"",VLOOKUP(IF(VLOOKUP(A10, Products, 3, FALSE) = 1, A10, C10),CHOOSE(VLOOKUP(A10, Products, 3, FALSE), Price1,Price2),2,VLOOKUP(A10, Products, 3, FALSE)&gt;1))</f>
        <v>139.99</v>
      </c>
      <c r="F10" s="236">
        <f t="shared" si="2"/>
        <v>2099.8500000000004</v>
      </c>
    </row>
    <row r="11" spans="1:6" x14ac:dyDescent="0.2">
      <c r="A11" s="240">
        <v>12</v>
      </c>
      <c r="B11" s="46" t="str">
        <f t="shared" si="0"/>
        <v>Touring Bag - One Size</v>
      </c>
      <c r="C11" s="238">
        <v>100</v>
      </c>
      <c r="D11" s="5">
        <f t="shared" si="1"/>
        <v>1200</v>
      </c>
      <c r="E11" s="221">
        <f>IF(ISBLANK(A11),"",VLOOKUP(IF(VLOOKUP(A11, Products, 3, FALSE) = 1, A11, C11),CHOOSE(VLOOKUP(A11, Products, 3, FALSE), Price1,Price2),2,VLOOKUP(A11, Products, 3, FALSE)&gt;1))</f>
        <v>59.99</v>
      </c>
      <c r="F11" s="236">
        <f t="shared" si="2"/>
        <v>5999</v>
      </c>
    </row>
    <row r="12" spans="1:6" x14ac:dyDescent="0.2">
      <c r="A12" s="240">
        <v>100</v>
      </c>
      <c r="B12" s="46" t="str">
        <f t="shared" si="0"/>
        <v>Tennis Balls - Bulk</v>
      </c>
      <c r="C12" s="238">
        <v>300</v>
      </c>
      <c r="D12" s="5">
        <f t="shared" si="1"/>
        <v>30</v>
      </c>
      <c r="E12" s="221">
        <f>IF(ISBLANK(A12),"",VLOOKUP(IF(VLOOKUP(A12, Products, 3, FALSE) = 1, A12, C12),CHOOSE(VLOOKUP(A12, Products, 3, FALSE), Price1,Price2),2,VLOOKUP(A12, Products, 3, FALSE)&gt;1))</f>
        <v>2</v>
      </c>
      <c r="F12" s="236">
        <f t="shared" si="2"/>
        <v>600</v>
      </c>
    </row>
    <row r="13" spans="1:6" x14ac:dyDescent="0.2">
      <c r="A13" s="240"/>
      <c r="B13" s="46" t="str">
        <f t="shared" si="0"/>
        <v xml:space="preserve"> </v>
      </c>
      <c r="C13" s="238"/>
      <c r="D13" s="5" t="str">
        <f t="shared" si="1"/>
        <v/>
      </c>
      <c r="E13" s="221" t="str">
        <f>IF(ISBLANK(A13),"",VLOOKUP(IF(VLOOKUP(A13, Products, 3, FALSE) = 1, A13, C13),CHOOSE(VLOOKUP(A13, Products, 3, FALSE), Schedule1,Schedule2),2,VLOOKUP(A13, Products, 3, FALSE)&gt;1))</f>
        <v/>
      </c>
      <c r="F13" s="236" t="str">
        <f t="shared" si="2"/>
        <v xml:space="preserve"> </v>
      </c>
    </row>
    <row r="14" spans="1:6" x14ac:dyDescent="0.2">
      <c r="A14" s="241"/>
      <c r="B14" s="46" t="str">
        <f t="shared" si="0"/>
        <v xml:space="preserve"> </v>
      </c>
      <c r="C14" s="239"/>
      <c r="D14" s="5" t="str">
        <f t="shared" si="1"/>
        <v/>
      </c>
      <c r="E14" s="221" t="str">
        <f>IF(ISBLANK(A14),"",VLOOKUP(IF(VLOOKUP(A14, Products, 3, FALSE) = 1, A14, C14),CHOOSE(VLOOKUP(A14, Products, 3, FALSE), Schedule1,Schedule2),2,VLOOKUP(A14, Products, 3, FALSE)&gt;1))</f>
        <v/>
      </c>
      <c r="F14" s="236" t="str">
        <f t="shared" si="2"/>
        <v xml:space="preserve"> </v>
      </c>
    </row>
    <row r="15" spans="1:6" x14ac:dyDescent="0.2">
      <c r="A15" s="34"/>
      <c r="B15" s="48"/>
      <c r="C15" s="41"/>
      <c r="D15" s="41"/>
      <c r="E15" s="41"/>
      <c r="F15" s="49"/>
    </row>
    <row r="16" spans="1:6" x14ac:dyDescent="0.2">
      <c r="A16" s="37"/>
      <c r="B16" s="7"/>
      <c r="C16" s="50" t="s">
        <v>56</v>
      </c>
      <c r="D16" s="50">
        <f>SUM(D9:D14)</f>
        <v>2415</v>
      </c>
      <c r="E16" s="5"/>
      <c r="F16" s="47">
        <f>SUM(F9:F14)</f>
        <v>16798.849999999999</v>
      </c>
    </row>
    <row r="17" spans="1:7" x14ac:dyDescent="0.2">
      <c r="A17" s="37"/>
      <c r="B17" s="7"/>
      <c r="C17" s="50" t="s">
        <v>57</v>
      </c>
      <c r="D17" s="50"/>
      <c r="E17" s="5"/>
      <c r="F17" s="236">
        <f>-HLOOKUP(F16,Discounts3,2,TRUE)</f>
        <v>-400</v>
      </c>
    </row>
    <row r="18" spans="1:7" x14ac:dyDescent="0.2">
      <c r="A18" s="37"/>
      <c r="B18" s="7"/>
      <c r="C18" s="51" t="s">
        <v>17</v>
      </c>
      <c r="D18" s="51"/>
      <c r="E18" s="52"/>
      <c r="F18" s="237">
        <f>INDEX((Ship1,Ship2,Ship3),VLOOKUP(F4,States,3,FALSE),MATCH(F5,Shipping_Methods,0),MATCH(F6,Freight_Customer_Types,0))*D16</f>
        <v>1086.75</v>
      </c>
      <c r="G18" s="110" t="s">
        <v>251</v>
      </c>
    </row>
    <row r="19" spans="1:7" x14ac:dyDescent="0.2">
      <c r="A19" s="37"/>
      <c r="B19" s="7"/>
      <c r="C19" s="53"/>
      <c r="D19" s="35"/>
      <c r="E19" s="35"/>
      <c r="F19" s="36"/>
    </row>
    <row r="20" spans="1:7" ht="13.5" thickBot="1" x14ac:dyDescent="0.25">
      <c r="A20" s="38"/>
      <c r="B20" s="39"/>
      <c r="C20" s="54" t="s">
        <v>23</v>
      </c>
      <c r="D20" s="54"/>
      <c r="E20" s="55"/>
      <c r="F20" s="56">
        <f>SUM(F16:F18)</f>
        <v>17485.599999999999</v>
      </c>
      <c r="G20" s="110"/>
    </row>
    <row r="22" spans="1:7" x14ac:dyDescent="0.2">
      <c r="E22" s="109" t="s">
        <v>259</v>
      </c>
      <c r="F22" s="16">
        <f>INDEX(Ship2,VLOOKUP($F$4,States,3,FALSE),MATCH($F$5,Shipping_Methods,0))*$D$16</f>
        <v>990.15</v>
      </c>
      <c r="G22" s="110" t="s">
        <v>250</v>
      </c>
    </row>
    <row r="23" spans="1:7" x14ac:dyDescent="0.2">
      <c r="E23" s="109" t="s">
        <v>258</v>
      </c>
    </row>
    <row r="25" spans="1:7" x14ac:dyDescent="0.2">
      <c r="E25" s="91" t="s">
        <v>257</v>
      </c>
      <c r="F25" s="16">
        <f>INDEX(IF($F$6="Regular",Ship1,IF($F$6="Preferred",Ship2,Ship3)),VLOOKUP($F$4,States,3,FALSE),MATCH($F$5,Shipping_Methods,0))*$D$16</f>
        <v>1086.75</v>
      </c>
      <c r="G25" s="110" t="s">
        <v>250</v>
      </c>
    </row>
    <row r="26" spans="1:7" x14ac:dyDescent="0.2">
      <c r="G26" s="110" t="s">
        <v>261</v>
      </c>
    </row>
    <row r="28" spans="1:7" x14ac:dyDescent="0.2">
      <c r="E28" s="91" t="s">
        <v>260</v>
      </c>
      <c r="F28" s="16">
        <f ca="1">INDEX(INDIRECT(VLOOKUP($F$6,Customer_Table,2,FALSE)),VLOOKUP($F$4,States,3,FALSE),MATCH($F$5,Shipping_Methods,0))*$D$16</f>
        <v>1086.75</v>
      </c>
      <c r="G28" s="110" t="s">
        <v>250</v>
      </c>
    </row>
    <row r="29" spans="1:7" x14ac:dyDescent="0.2">
      <c r="G29" s="110" t="s">
        <v>256</v>
      </c>
    </row>
    <row r="31" spans="1:7" x14ac:dyDescent="0.2">
      <c r="E31" s="109" t="s">
        <v>264</v>
      </c>
      <c r="F31" s="16">
        <f ca="1">INDEX(INDIRECT($F$6),VLOOKUP($F$4,States,3,FALSE),MATCH($F$5,Shipping_Methods,0))*$D$16</f>
        <v>1086.75</v>
      </c>
      <c r="G31" s="110" t="s">
        <v>250</v>
      </c>
    </row>
    <row r="32" spans="1:7" x14ac:dyDescent="0.2">
      <c r="E32" s="109" t="s">
        <v>265</v>
      </c>
      <c r="G32" s="110" t="s">
        <v>256</v>
      </c>
    </row>
  </sheetData>
  <mergeCells count="2">
    <mergeCell ref="A1:F1"/>
    <mergeCell ref="C2:F2"/>
  </mergeCells>
  <dataValidations count="1">
    <dataValidation type="list" allowBlank="1" showInputMessage="1" showErrorMessage="1" sqref="F6" xr:uid="{00000000-0002-0000-2000-000000000000}">
      <formula1>Freight_Customer_Types</formula1>
    </dataValidation>
  </dataValidations>
  <pageMargins left="0.75" right="0.75" top="1" bottom="1" header="0.5" footer="0.5"/>
  <pageSetup orientation="portrait" horizontalDpi="300" verticalDpi="300"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0"/>
  <dimension ref="A1:C17"/>
  <sheetViews>
    <sheetView workbookViewId="0"/>
  </sheetViews>
  <sheetFormatPr defaultColWidth="9.140625" defaultRowHeight="12.75" x14ac:dyDescent="0.2"/>
  <cols>
    <col min="1" max="1" width="9.28515625" style="59" bestFit="1" customWidth="1"/>
    <col min="2" max="2" width="12.28515625" style="59" customWidth="1"/>
    <col min="3" max="16384" width="9.140625" style="59"/>
  </cols>
  <sheetData>
    <row r="1" spans="1:3" ht="30" customHeight="1" x14ac:dyDescent="0.2">
      <c r="A1" s="57" t="s">
        <v>82</v>
      </c>
      <c r="B1" s="58"/>
      <c r="C1" s="58"/>
    </row>
    <row r="3" spans="1:3" x14ac:dyDescent="0.2">
      <c r="A3" s="60" t="s">
        <v>32</v>
      </c>
      <c r="B3" s="61" t="s">
        <v>5</v>
      </c>
    </row>
    <row r="4" spans="1:3" x14ac:dyDescent="0.2">
      <c r="A4" s="46">
        <v>1</v>
      </c>
      <c r="B4" s="62">
        <v>23.75</v>
      </c>
    </row>
    <row r="5" spans="1:3" x14ac:dyDescent="0.2">
      <c r="A5" s="46">
        <v>2</v>
      </c>
      <c r="B5" s="62">
        <v>52.8</v>
      </c>
    </row>
    <row r="6" spans="1:3" x14ac:dyDescent="0.2">
      <c r="A6" s="46">
        <v>3</v>
      </c>
      <c r="B6" s="62">
        <v>15.95</v>
      </c>
    </row>
    <row r="7" spans="1:3" x14ac:dyDescent="0.2">
      <c r="A7" s="46">
        <v>4</v>
      </c>
      <c r="B7" s="62">
        <v>135</v>
      </c>
    </row>
    <row r="8" spans="1:3" x14ac:dyDescent="0.2">
      <c r="A8" s="46">
        <v>5</v>
      </c>
      <c r="B8" s="62">
        <v>135</v>
      </c>
    </row>
    <row r="9" spans="1:3" x14ac:dyDescent="0.2">
      <c r="A9" s="46">
        <v>6</v>
      </c>
      <c r="B9" s="62">
        <v>139.99</v>
      </c>
    </row>
    <row r="10" spans="1:3" x14ac:dyDescent="0.2">
      <c r="A10" s="46">
        <v>7</v>
      </c>
      <c r="B10" s="62">
        <v>142.5</v>
      </c>
    </row>
    <row r="11" spans="1:3" x14ac:dyDescent="0.2">
      <c r="A11" s="46">
        <v>8</v>
      </c>
      <c r="B11" s="62">
        <v>69.989999999999995</v>
      </c>
    </row>
    <row r="12" spans="1:3" x14ac:dyDescent="0.2">
      <c r="A12" s="46">
        <v>9</v>
      </c>
      <c r="B12" s="62">
        <v>99.99</v>
      </c>
    </row>
    <row r="13" spans="1:3" x14ac:dyDescent="0.2">
      <c r="A13" s="46">
        <v>10</v>
      </c>
      <c r="B13" s="62">
        <v>99.99</v>
      </c>
    </row>
    <row r="14" spans="1:3" x14ac:dyDescent="0.2">
      <c r="A14" s="46">
        <v>11</v>
      </c>
      <c r="B14" s="62">
        <v>29.95</v>
      </c>
    </row>
    <row r="15" spans="1:3" x14ac:dyDescent="0.2">
      <c r="A15" s="46">
        <v>12</v>
      </c>
      <c r="B15" s="62">
        <v>59.99</v>
      </c>
    </row>
    <row r="16" spans="1:3" x14ac:dyDescent="0.2">
      <c r="A16" s="46">
        <v>13</v>
      </c>
      <c r="B16" s="62">
        <v>3.25</v>
      </c>
    </row>
    <row r="17" spans="1:2" x14ac:dyDescent="0.2">
      <c r="A17" s="46">
        <v>14</v>
      </c>
      <c r="B17" s="62">
        <v>7.25</v>
      </c>
    </row>
  </sheetData>
  <phoneticPr fontId="2" type="noConversion"/>
  <pageMargins left="0.75" right="0.75" top="1" bottom="1" header="0.5" footer="0.5"/>
  <pageSetup orientation="portrait" r:id="rId1"/>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1"/>
  <dimension ref="A1:D20"/>
  <sheetViews>
    <sheetView workbookViewId="0"/>
  </sheetViews>
  <sheetFormatPr defaultColWidth="9.140625" defaultRowHeight="12.75" x14ac:dyDescent="0.2"/>
  <cols>
    <col min="1" max="1" width="11.42578125" style="59" customWidth="1"/>
    <col min="2" max="2" width="10.28515625" style="59" customWidth="1"/>
    <col min="3" max="16384" width="9.140625" style="59"/>
  </cols>
  <sheetData>
    <row r="1" spans="1:3" ht="30" customHeight="1" x14ac:dyDescent="0.2">
      <c r="A1" s="57" t="s">
        <v>83</v>
      </c>
      <c r="B1" s="58"/>
      <c r="C1" s="58"/>
    </row>
    <row r="3" spans="1:3" x14ac:dyDescent="0.2">
      <c r="A3" s="30" t="s">
        <v>4</v>
      </c>
      <c r="B3" s="63" t="s">
        <v>5</v>
      </c>
    </row>
    <row r="4" spans="1:3" x14ac:dyDescent="0.2">
      <c r="A4" s="46">
        <v>0</v>
      </c>
      <c r="B4" s="64">
        <v>2.4500000000000002</v>
      </c>
    </row>
    <row r="5" spans="1:3" x14ac:dyDescent="0.2">
      <c r="A5" s="46">
        <v>60</v>
      </c>
      <c r="B5" s="64">
        <v>2.27</v>
      </c>
    </row>
    <row r="6" spans="1:3" x14ac:dyDescent="0.2">
      <c r="A6" s="46">
        <v>120</v>
      </c>
      <c r="B6" s="64">
        <v>2.12</v>
      </c>
    </row>
    <row r="7" spans="1:3" x14ac:dyDescent="0.2">
      <c r="A7" s="46">
        <v>240</v>
      </c>
      <c r="B7" s="64">
        <v>2</v>
      </c>
    </row>
    <row r="20" spans="4:4" x14ac:dyDescent="0.2">
      <c r="D20" s="59" t="s">
        <v>196</v>
      </c>
    </row>
  </sheetData>
  <phoneticPr fontId="2" type="noConversion"/>
  <pageMargins left="0.75" right="0.75" top="1" bottom="1" header="0.5" footer="0.5"/>
  <pageSetup orientation="portrait" horizontalDpi="300" verticalDpi="300"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2"/>
  <dimension ref="A1:E4"/>
  <sheetViews>
    <sheetView workbookViewId="0"/>
  </sheetViews>
  <sheetFormatPr defaultRowHeight="12.75" x14ac:dyDescent="0.2"/>
  <cols>
    <col min="1" max="1" width="15.5703125" bestFit="1" customWidth="1"/>
  </cols>
  <sheetData>
    <row r="1" spans="1:5" ht="18" x14ac:dyDescent="0.25">
      <c r="A1" s="102" t="s">
        <v>266</v>
      </c>
    </row>
    <row r="3" spans="1:5" x14ac:dyDescent="0.2">
      <c r="A3" s="65" t="s">
        <v>59</v>
      </c>
      <c r="B3" s="66">
        <v>0</v>
      </c>
      <c r="C3" s="67">
        <v>5000</v>
      </c>
      <c r="D3" s="67">
        <v>10000</v>
      </c>
      <c r="E3" s="67">
        <v>25000</v>
      </c>
    </row>
    <row r="4" spans="1:5" x14ac:dyDescent="0.2">
      <c r="A4" s="65" t="s">
        <v>57</v>
      </c>
      <c r="B4" s="66">
        <v>0</v>
      </c>
      <c r="C4" s="67">
        <v>150</v>
      </c>
      <c r="D4" s="67">
        <v>400</v>
      </c>
      <c r="E4" s="67">
        <v>1000</v>
      </c>
    </row>
  </sheetData>
  <phoneticPr fontId="2" type="noConversion"/>
  <pageMargins left="0.75" right="0.75" top="1" bottom="1" header="0.5" footer="0.5"/>
  <pageSetup orientation="portrait" horizontalDpi="300" verticalDpi="300" r:id="rId1"/>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13"/>
  <dimension ref="A1:J31"/>
  <sheetViews>
    <sheetView workbookViewId="0"/>
  </sheetViews>
  <sheetFormatPr defaultRowHeight="12.75" x14ac:dyDescent="0.2"/>
  <cols>
    <col min="2" max="5" width="9.7109375" customWidth="1"/>
    <col min="7" max="7" width="18.140625" bestFit="1" customWidth="1"/>
    <col min="8" max="8" width="6.28515625" bestFit="1" customWidth="1"/>
    <col min="9" max="9" width="7.5703125" bestFit="1" customWidth="1"/>
    <col min="10" max="10" width="11.28515625" bestFit="1" customWidth="1"/>
  </cols>
  <sheetData>
    <row r="1" spans="1:10" ht="30" customHeight="1" x14ac:dyDescent="0.2">
      <c r="A1" s="57" t="s">
        <v>84</v>
      </c>
      <c r="B1" s="1"/>
      <c r="C1" s="1"/>
      <c r="D1" s="1"/>
      <c r="E1" s="1"/>
      <c r="F1" s="1"/>
      <c r="G1" s="1"/>
      <c r="H1" s="1"/>
      <c r="I1" s="1"/>
      <c r="J1" s="1"/>
    </row>
    <row r="2" spans="1:10" ht="13.5" thickBot="1" x14ac:dyDescent="0.25"/>
    <row r="3" spans="1:10" x14ac:dyDescent="0.2">
      <c r="A3" s="68"/>
      <c r="B3" s="69" t="s">
        <v>263</v>
      </c>
      <c r="C3" s="70"/>
      <c r="D3" s="70"/>
      <c r="E3" s="71"/>
    </row>
    <row r="4" spans="1:10" x14ac:dyDescent="0.2">
      <c r="A4" s="72" t="s">
        <v>65</v>
      </c>
      <c r="B4" s="4" t="s">
        <v>8</v>
      </c>
      <c r="C4" s="4" t="s">
        <v>10</v>
      </c>
      <c r="D4" s="4" t="s">
        <v>85</v>
      </c>
      <c r="E4" s="73" t="s">
        <v>86</v>
      </c>
    </row>
    <row r="5" spans="1:10" x14ac:dyDescent="0.2">
      <c r="A5" s="74">
        <v>1</v>
      </c>
      <c r="B5" s="14">
        <v>0.1</v>
      </c>
      <c r="C5" s="14">
        <v>0.11</v>
      </c>
      <c r="D5" s="14">
        <v>1.5</v>
      </c>
      <c r="E5" s="75" t="s">
        <v>66</v>
      </c>
    </row>
    <row r="6" spans="1:10" x14ac:dyDescent="0.2">
      <c r="A6" s="74">
        <v>2</v>
      </c>
      <c r="B6" s="14">
        <v>0.18</v>
      </c>
      <c r="C6" s="14">
        <v>0.12</v>
      </c>
      <c r="D6" s="14">
        <v>2</v>
      </c>
      <c r="E6" s="75" t="s">
        <v>66</v>
      </c>
    </row>
    <row r="7" spans="1:10" x14ac:dyDescent="0.2">
      <c r="A7" s="74">
        <v>3</v>
      </c>
      <c r="B7" s="14">
        <v>0.24</v>
      </c>
      <c r="C7" s="14">
        <v>0.14000000000000001</v>
      </c>
      <c r="D7" s="14">
        <v>2.1</v>
      </c>
      <c r="E7" s="75">
        <v>0.2</v>
      </c>
    </row>
    <row r="8" spans="1:10" x14ac:dyDescent="0.2">
      <c r="A8" s="74">
        <v>4</v>
      </c>
      <c r="B8" s="14">
        <v>0.28000000000000003</v>
      </c>
      <c r="C8" s="14">
        <v>0.16</v>
      </c>
      <c r="D8" s="14">
        <v>2.25</v>
      </c>
      <c r="E8" s="75">
        <v>0.2</v>
      </c>
    </row>
    <row r="9" spans="1:10" ht="13.5" thickBot="1" x14ac:dyDescent="0.25">
      <c r="A9" s="76">
        <v>5</v>
      </c>
      <c r="B9" s="77">
        <v>0.45</v>
      </c>
      <c r="C9" s="77">
        <v>0.4</v>
      </c>
      <c r="D9" s="77">
        <v>3.5</v>
      </c>
      <c r="E9" s="78">
        <v>0.35</v>
      </c>
    </row>
    <row r="10" spans="1:10" ht="13.5" thickBot="1" x14ac:dyDescent="0.25"/>
    <row r="11" spans="1:10" x14ac:dyDescent="0.2">
      <c r="A11" s="79"/>
      <c r="B11" s="80" t="s">
        <v>67</v>
      </c>
      <c r="C11" s="80"/>
      <c r="D11" s="80"/>
      <c r="E11" s="81"/>
    </row>
    <row r="12" spans="1:10" x14ac:dyDescent="0.2">
      <c r="A12" s="72" t="s">
        <v>65</v>
      </c>
      <c r="B12" s="4" t="s">
        <v>8</v>
      </c>
      <c r="C12" s="4" t="s">
        <v>10</v>
      </c>
      <c r="D12" s="4" t="s">
        <v>85</v>
      </c>
      <c r="E12" s="73" t="s">
        <v>86</v>
      </c>
    </row>
    <row r="13" spans="1:10" x14ac:dyDescent="0.2">
      <c r="A13" s="74">
        <v>1</v>
      </c>
      <c r="B13" s="14">
        <v>0.09</v>
      </c>
      <c r="C13" s="14">
        <v>0.1</v>
      </c>
      <c r="D13" s="14">
        <v>1.35</v>
      </c>
      <c r="E13" s="75" t="s">
        <v>66</v>
      </c>
    </row>
    <row r="14" spans="1:10" x14ac:dyDescent="0.2">
      <c r="A14" s="74">
        <v>2</v>
      </c>
      <c r="B14" s="14">
        <v>0.16</v>
      </c>
      <c r="C14" s="14">
        <v>0.11</v>
      </c>
      <c r="D14" s="14">
        <v>1.8</v>
      </c>
      <c r="E14" s="75" t="s">
        <v>66</v>
      </c>
    </row>
    <row r="15" spans="1:10" x14ac:dyDescent="0.2">
      <c r="A15" s="74">
        <v>3</v>
      </c>
      <c r="B15" s="14">
        <v>0.22</v>
      </c>
      <c r="C15" s="14">
        <v>0.13</v>
      </c>
      <c r="D15" s="14">
        <v>1.89</v>
      </c>
      <c r="E15" s="75">
        <v>0.18</v>
      </c>
    </row>
    <row r="16" spans="1:10" x14ac:dyDescent="0.2">
      <c r="A16" s="74">
        <v>4</v>
      </c>
      <c r="B16" s="14">
        <v>0.25</v>
      </c>
      <c r="C16" s="14">
        <v>0.14000000000000001</v>
      </c>
      <c r="D16" s="14">
        <v>2.0299999999999998</v>
      </c>
      <c r="E16" s="75">
        <v>0.18</v>
      </c>
    </row>
    <row r="17" spans="1:5" ht="13.5" thickBot="1" x14ac:dyDescent="0.25">
      <c r="A17" s="76">
        <v>5</v>
      </c>
      <c r="B17" s="77">
        <v>0.41</v>
      </c>
      <c r="C17" s="77">
        <v>0.36</v>
      </c>
      <c r="D17" s="77">
        <v>3.15</v>
      </c>
      <c r="E17" s="78">
        <v>0.32</v>
      </c>
    </row>
    <row r="18" spans="1:5" ht="13.5" thickBot="1" x14ac:dyDescent="0.25"/>
    <row r="19" spans="1:5" x14ac:dyDescent="0.2">
      <c r="A19" s="79"/>
      <c r="B19" s="80" t="s">
        <v>68</v>
      </c>
      <c r="C19" s="80"/>
      <c r="D19" s="80"/>
      <c r="E19" s="81"/>
    </row>
    <row r="20" spans="1:5" x14ac:dyDescent="0.2">
      <c r="A20" s="72" t="s">
        <v>65</v>
      </c>
      <c r="B20" s="4" t="s">
        <v>8</v>
      </c>
      <c r="C20" s="4" t="s">
        <v>10</v>
      </c>
      <c r="D20" s="4" t="s">
        <v>85</v>
      </c>
      <c r="E20" s="73" t="s">
        <v>86</v>
      </c>
    </row>
    <row r="21" spans="1:5" x14ac:dyDescent="0.2">
      <c r="A21" s="74">
        <v>1</v>
      </c>
      <c r="B21" s="14">
        <v>0.08</v>
      </c>
      <c r="C21" s="14">
        <v>0.09</v>
      </c>
      <c r="D21" s="14">
        <v>1.22</v>
      </c>
      <c r="E21" s="75" t="s">
        <v>66</v>
      </c>
    </row>
    <row r="22" spans="1:5" x14ac:dyDescent="0.2">
      <c r="A22" s="74">
        <v>2</v>
      </c>
      <c r="B22" s="14">
        <v>0.15</v>
      </c>
      <c r="C22" s="14">
        <v>0.1</v>
      </c>
      <c r="D22" s="14">
        <v>1.62</v>
      </c>
      <c r="E22" s="75" t="s">
        <v>66</v>
      </c>
    </row>
    <row r="23" spans="1:5" x14ac:dyDescent="0.2">
      <c r="A23" s="74">
        <v>3</v>
      </c>
      <c r="B23" s="14">
        <v>0.19</v>
      </c>
      <c r="C23" s="14">
        <v>0.11</v>
      </c>
      <c r="D23" s="14">
        <v>1.7</v>
      </c>
      <c r="E23" s="75">
        <v>0.16</v>
      </c>
    </row>
    <row r="24" spans="1:5" x14ac:dyDescent="0.2">
      <c r="A24" s="74">
        <v>4</v>
      </c>
      <c r="B24" s="14">
        <v>0.23</v>
      </c>
      <c r="C24" s="14">
        <v>0.13</v>
      </c>
      <c r="D24" s="14">
        <v>1.82</v>
      </c>
      <c r="E24" s="75">
        <v>0.16</v>
      </c>
    </row>
    <row r="25" spans="1:5" ht="13.5" thickBot="1" x14ac:dyDescent="0.25">
      <c r="A25" s="76">
        <v>5</v>
      </c>
      <c r="B25" s="77">
        <v>0.36</v>
      </c>
      <c r="C25" s="77">
        <v>0.32</v>
      </c>
      <c r="D25" s="77">
        <v>2.84</v>
      </c>
      <c r="E25" s="78">
        <v>0.28000000000000003</v>
      </c>
    </row>
    <row r="28" spans="1:5" ht="38.25" x14ac:dyDescent="0.2">
      <c r="A28" s="111" t="s">
        <v>249</v>
      </c>
      <c r="B28" s="111" t="s">
        <v>255</v>
      </c>
    </row>
    <row r="29" spans="1:5" x14ac:dyDescent="0.2">
      <c r="A29" s="91" t="s">
        <v>247</v>
      </c>
      <c r="B29" s="91" t="s">
        <v>252</v>
      </c>
    </row>
    <row r="30" spans="1:5" x14ac:dyDescent="0.2">
      <c r="A30" s="91" t="s">
        <v>248</v>
      </c>
      <c r="B30" s="91" t="s">
        <v>253</v>
      </c>
    </row>
    <row r="31" spans="1:5" x14ac:dyDescent="0.2">
      <c r="A31" s="91" t="s">
        <v>262</v>
      </c>
      <c r="B31" s="91" t="s">
        <v>254</v>
      </c>
    </row>
  </sheetData>
  <phoneticPr fontId="2" type="noConversion"/>
  <pageMargins left="0.75" right="0.75" top="1" bottom="1" header="0.5" footer="0.5"/>
  <pageSetup orientation="portrait" r:id="rId1"/>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4"/>
  <dimension ref="A1:D54"/>
  <sheetViews>
    <sheetView workbookViewId="0"/>
  </sheetViews>
  <sheetFormatPr defaultColWidth="9.140625" defaultRowHeight="12.75" x14ac:dyDescent="0.2"/>
  <cols>
    <col min="1" max="1" width="17.42578125" style="59" bestFit="1" customWidth="1"/>
    <col min="2" max="2" width="11" style="59" bestFit="1" customWidth="1"/>
    <col min="3" max="3" width="6.7109375" style="59" bestFit="1" customWidth="1"/>
    <col min="4" max="4" width="7.7109375" style="59" bestFit="1" customWidth="1"/>
    <col min="5" max="16384" width="9.140625" style="59"/>
  </cols>
  <sheetData>
    <row r="1" spans="1:4" ht="18" x14ac:dyDescent="0.25">
      <c r="A1" s="102" t="s">
        <v>267</v>
      </c>
    </row>
    <row r="3" spans="1:4" x14ac:dyDescent="0.2">
      <c r="A3" s="30" t="s">
        <v>87</v>
      </c>
      <c r="B3" s="30" t="s">
        <v>88</v>
      </c>
      <c r="C3" s="30" t="s">
        <v>65</v>
      </c>
      <c r="D3" s="30" t="s">
        <v>89</v>
      </c>
    </row>
    <row r="4" spans="1:4" ht="15" customHeight="1" x14ac:dyDescent="0.2">
      <c r="A4" s="82" t="s">
        <v>90</v>
      </c>
      <c r="B4" s="83" t="s">
        <v>91</v>
      </c>
      <c r="C4" s="84" t="s">
        <v>92</v>
      </c>
      <c r="D4" s="84">
        <v>2</v>
      </c>
    </row>
    <row r="5" spans="1:4" ht="15" customHeight="1" x14ac:dyDescent="0.2">
      <c r="A5" s="82" t="s">
        <v>93</v>
      </c>
      <c r="B5" s="83" t="s">
        <v>94</v>
      </c>
      <c r="C5" s="84" t="s">
        <v>95</v>
      </c>
      <c r="D5" s="84">
        <v>5</v>
      </c>
    </row>
    <row r="6" spans="1:4" ht="15" customHeight="1" x14ac:dyDescent="0.2">
      <c r="A6" s="85" t="s">
        <v>96</v>
      </c>
      <c r="B6" s="83" t="s">
        <v>97</v>
      </c>
      <c r="C6" s="84" t="s">
        <v>98</v>
      </c>
      <c r="D6" s="84">
        <v>4</v>
      </c>
    </row>
    <row r="7" spans="1:4" ht="15" customHeight="1" x14ac:dyDescent="0.2">
      <c r="A7" s="85" t="s">
        <v>99</v>
      </c>
      <c r="B7" s="83" t="s">
        <v>100</v>
      </c>
      <c r="C7" s="84" t="s">
        <v>92</v>
      </c>
      <c r="D7" s="84">
        <v>2</v>
      </c>
    </row>
    <row r="8" spans="1:4" ht="15" customHeight="1" x14ac:dyDescent="0.2">
      <c r="A8" s="85" t="s">
        <v>101</v>
      </c>
      <c r="B8" s="83" t="s">
        <v>102</v>
      </c>
      <c r="C8" s="84" t="s">
        <v>95</v>
      </c>
      <c r="D8" s="84">
        <v>5</v>
      </c>
    </row>
    <row r="9" spans="1:4" ht="15" customHeight="1" x14ac:dyDescent="0.2">
      <c r="A9" s="85" t="s">
        <v>103</v>
      </c>
      <c r="B9" s="83" t="s">
        <v>77</v>
      </c>
      <c r="C9" s="84" t="s">
        <v>95</v>
      </c>
      <c r="D9" s="84">
        <v>5</v>
      </c>
    </row>
    <row r="10" spans="1:4" ht="15" customHeight="1" x14ac:dyDescent="0.2">
      <c r="A10" s="85" t="s">
        <v>104</v>
      </c>
      <c r="B10" s="83" t="s">
        <v>105</v>
      </c>
      <c r="C10" s="84" t="s">
        <v>106</v>
      </c>
      <c r="D10" s="84">
        <v>1</v>
      </c>
    </row>
    <row r="11" spans="1:4" x14ac:dyDescent="0.2">
      <c r="A11" s="85" t="s">
        <v>107</v>
      </c>
      <c r="B11" s="83" t="s">
        <v>108</v>
      </c>
      <c r="C11" s="84" t="s">
        <v>106</v>
      </c>
      <c r="D11" s="84">
        <v>1</v>
      </c>
    </row>
    <row r="12" spans="1:4" x14ac:dyDescent="0.2">
      <c r="A12" s="86" t="s">
        <v>109</v>
      </c>
      <c r="B12" s="83" t="s">
        <v>110</v>
      </c>
      <c r="C12" s="83" t="s">
        <v>106</v>
      </c>
      <c r="D12" s="83">
        <v>1</v>
      </c>
    </row>
    <row r="13" spans="1:4" ht="15" customHeight="1" x14ac:dyDescent="0.2">
      <c r="A13" s="85" t="s">
        <v>111</v>
      </c>
      <c r="B13" s="83" t="s">
        <v>112</v>
      </c>
      <c r="C13" s="84" t="s">
        <v>92</v>
      </c>
      <c r="D13" s="84">
        <v>2</v>
      </c>
    </row>
    <row r="14" spans="1:4" ht="15" customHeight="1" x14ac:dyDescent="0.2">
      <c r="A14" s="85" t="s">
        <v>113</v>
      </c>
      <c r="B14" s="83" t="s">
        <v>114</v>
      </c>
      <c r="C14" s="84" t="s">
        <v>92</v>
      </c>
      <c r="D14" s="84">
        <v>2</v>
      </c>
    </row>
    <row r="15" spans="1:4" ht="15" customHeight="1" x14ac:dyDescent="0.2">
      <c r="A15" s="85" t="s">
        <v>115</v>
      </c>
      <c r="B15" s="83" t="s">
        <v>116</v>
      </c>
      <c r="C15" s="84" t="s">
        <v>95</v>
      </c>
      <c r="D15" s="84">
        <v>5</v>
      </c>
    </row>
    <row r="16" spans="1:4" ht="15" customHeight="1" x14ac:dyDescent="0.2">
      <c r="A16" s="85" t="s">
        <v>117</v>
      </c>
      <c r="B16" s="83" t="s">
        <v>118</v>
      </c>
      <c r="C16" s="84" t="s">
        <v>95</v>
      </c>
      <c r="D16" s="84">
        <v>5</v>
      </c>
    </row>
    <row r="17" spans="1:4" ht="15" customHeight="1" x14ac:dyDescent="0.2">
      <c r="A17" s="85" t="s">
        <v>119</v>
      </c>
      <c r="B17" s="83" t="s">
        <v>120</v>
      </c>
      <c r="C17" s="84" t="s">
        <v>121</v>
      </c>
      <c r="D17" s="84">
        <v>3</v>
      </c>
    </row>
    <row r="18" spans="1:4" ht="15" customHeight="1" x14ac:dyDescent="0.2">
      <c r="A18" s="85" t="s">
        <v>122</v>
      </c>
      <c r="B18" s="83" t="s">
        <v>123</v>
      </c>
      <c r="C18" s="84" t="s">
        <v>121</v>
      </c>
      <c r="D18" s="84">
        <v>3</v>
      </c>
    </row>
    <row r="19" spans="1:4" ht="15" customHeight="1" x14ac:dyDescent="0.2">
      <c r="A19" s="85" t="s">
        <v>124</v>
      </c>
      <c r="B19" s="83" t="s">
        <v>125</v>
      </c>
      <c r="C19" s="84" t="s">
        <v>121</v>
      </c>
      <c r="D19" s="84">
        <v>3</v>
      </c>
    </row>
    <row r="20" spans="1:4" ht="15" customHeight="1" x14ac:dyDescent="0.2">
      <c r="A20" s="85" t="s">
        <v>126</v>
      </c>
      <c r="B20" s="83" t="s">
        <v>127</v>
      </c>
      <c r="C20" s="84" t="s">
        <v>121</v>
      </c>
      <c r="D20" s="84">
        <v>3</v>
      </c>
    </row>
    <row r="21" spans="1:4" ht="15" customHeight="1" x14ac:dyDescent="0.2">
      <c r="A21" s="85" t="s">
        <v>128</v>
      </c>
      <c r="B21" s="83" t="s">
        <v>129</v>
      </c>
      <c r="C21" s="84" t="s">
        <v>92</v>
      </c>
      <c r="D21" s="84">
        <v>2</v>
      </c>
    </row>
    <row r="22" spans="1:4" ht="15" customHeight="1" x14ac:dyDescent="0.2">
      <c r="A22" s="85" t="s">
        <v>130</v>
      </c>
      <c r="B22" s="83" t="s">
        <v>131</v>
      </c>
      <c r="C22" s="84" t="s">
        <v>92</v>
      </c>
      <c r="D22" s="84">
        <v>2</v>
      </c>
    </row>
    <row r="23" spans="1:4" ht="15" customHeight="1" x14ac:dyDescent="0.2">
      <c r="A23" s="85" t="s">
        <v>132</v>
      </c>
      <c r="B23" s="83" t="s">
        <v>133</v>
      </c>
      <c r="C23" s="84" t="s">
        <v>106</v>
      </c>
      <c r="D23" s="84">
        <v>1</v>
      </c>
    </row>
    <row r="24" spans="1:4" ht="15" customHeight="1" x14ac:dyDescent="0.2">
      <c r="A24" s="85" t="s">
        <v>134</v>
      </c>
      <c r="B24" s="83" t="s">
        <v>135</v>
      </c>
      <c r="C24" s="84" t="s">
        <v>106</v>
      </c>
      <c r="D24" s="84">
        <v>1</v>
      </c>
    </row>
    <row r="25" spans="1:4" ht="15" customHeight="1" x14ac:dyDescent="0.2">
      <c r="A25" s="85" t="s">
        <v>136</v>
      </c>
      <c r="B25" s="83" t="s">
        <v>137</v>
      </c>
      <c r="C25" s="84" t="s">
        <v>106</v>
      </c>
      <c r="D25" s="84">
        <v>1</v>
      </c>
    </row>
    <row r="26" spans="1:4" ht="15" customHeight="1" x14ac:dyDescent="0.2">
      <c r="A26" s="85" t="s">
        <v>138</v>
      </c>
      <c r="B26" s="83" t="s">
        <v>139</v>
      </c>
      <c r="C26" s="84" t="s">
        <v>121</v>
      </c>
      <c r="D26" s="84">
        <v>3</v>
      </c>
    </row>
    <row r="27" spans="1:4" ht="15" customHeight="1" x14ac:dyDescent="0.2">
      <c r="A27" s="85" t="s">
        <v>140</v>
      </c>
      <c r="B27" s="83" t="s">
        <v>141</v>
      </c>
      <c r="C27" s="84" t="s">
        <v>121</v>
      </c>
      <c r="D27" s="84">
        <v>3</v>
      </c>
    </row>
    <row r="28" spans="1:4" ht="15" customHeight="1" x14ac:dyDescent="0.2">
      <c r="A28" s="85" t="s">
        <v>142</v>
      </c>
      <c r="B28" s="83" t="s">
        <v>143</v>
      </c>
      <c r="C28" s="84" t="s">
        <v>92</v>
      </c>
      <c r="D28" s="84">
        <v>2</v>
      </c>
    </row>
    <row r="29" spans="1:4" ht="15" customHeight="1" x14ac:dyDescent="0.2">
      <c r="A29" s="85" t="s">
        <v>144</v>
      </c>
      <c r="B29" s="83" t="s">
        <v>145</v>
      </c>
      <c r="C29" s="84" t="s">
        <v>121</v>
      </c>
      <c r="D29" s="84">
        <v>3</v>
      </c>
    </row>
    <row r="30" spans="1:4" ht="15" customHeight="1" x14ac:dyDescent="0.2">
      <c r="A30" s="85" t="s">
        <v>146</v>
      </c>
      <c r="B30" s="83" t="s">
        <v>147</v>
      </c>
      <c r="C30" s="84" t="s">
        <v>95</v>
      </c>
      <c r="D30" s="84">
        <v>5</v>
      </c>
    </row>
    <row r="31" spans="1:4" ht="15" customHeight="1" x14ac:dyDescent="0.2">
      <c r="A31" s="85" t="s">
        <v>148</v>
      </c>
      <c r="B31" s="83" t="s">
        <v>106</v>
      </c>
      <c r="C31" s="84" t="s">
        <v>121</v>
      </c>
      <c r="D31" s="84">
        <v>3</v>
      </c>
    </row>
    <row r="32" spans="1:4" ht="15" customHeight="1" x14ac:dyDescent="0.2">
      <c r="A32" s="85" t="s">
        <v>149</v>
      </c>
      <c r="B32" s="83" t="s">
        <v>150</v>
      </c>
      <c r="C32" s="84" t="s">
        <v>95</v>
      </c>
      <c r="D32" s="84">
        <v>5</v>
      </c>
    </row>
    <row r="33" spans="1:4" ht="15" customHeight="1" x14ac:dyDescent="0.2">
      <c r="A33" s="85" t="s">
        <v>151</v>
      </c>
      <c r="B33" s="83" t="s">
        <v>152</v>
      </c>
      <c r="C33" s="84" t="s">
        <v>106</v>
      </c>
      <c r="D33" s="84">
        <v>1</v>
      </c>
    </row>
    <row r="34" spans="1:4" ht="15" customHeight="1" x14ac:dyDescent="0.2">
      <c r="A34" s="85" t="s">
        <v>153</v>
      </c>
      <c r="B34" s="83" t="s">
        <v>154</v>
      </c>
      <c r="C34" s="84" t="s">
        <v>106</v>
      </c>
      <c r="D34" s="84">
        <v>1</v>
      </c>
    </row>
    <row r="35" spans="1:4" ht="15" customHeight="1" x14ac:dyDescent="0.2">
      <c r="A35" s="85" t="s">
        <v>155</v>
      </c>
      <c r="B35" s="83" t="s">
        <v>156</v>
      </c>
      <c r="C35" s="84" t="s">
        <v>98</v>
      </c>
      <c r="D35" s="84">
        <v>4</v>
      </c>
    </row>
    <row r="36" spans="1:4" ht="15" customHeight="1" x14ac:dyDescent="0.2">
      <c r="A36" s="85" t="s">
        <v>157</v>
      </c>
      <c r="B36" s="83" t="s">
        <v>158</v>
      </c>
      <c r="C36" s="84" t="s">
        <v>106</v>
      </c>
      <c r="D36" s="84">
        <v>1</v>
      </c>
    </row>
    <row r="37" spans="1:4" ht="15" customHeight="1" x14ac:dyDescent="0.2">
      <c r="A37" s="85" t="s">
        <v>159</v>
      </c>
      <c r="B37" s="83" t="s">
        <v>160</v>
      </c>
      <c r="C37" s="84" t="s">
        <v>92</v>
      </c>
      <c r="D37" s="84">
        <v>2</v>
      </c>
    </row>
    <row r="38" spans="1:4" ht="15" customHeight="1" x14ac:dyDescent="0.2">
      <c r="A38" s="85" t="s">
        <v>161</v>
      </c>
      <c r="B38" s="83" t="s">
        <v>162</v>
      </c>
      <c r="C38" s="84" t="s">
        <v>121</v>
      </c>
      <c r="D38" s="84">
        <v>3</v>
      </c>
    </row>
    <row r="39" spans="1:4" ht="15" customHeight="1" x14ac:dyDescent="0.2">
      <c r="A39" s="85" t="s">
        <v>163</v>
      </c>
      <c r="B39" s="83" t="s">
        <v>164</v>
      </c>
      <c r="C39" s="84" t="s">
        <v>121</v>
      </c>
      <c r="D39" s="84">
        <v>3</v>
      </c>
    </row>
    <row r="40" spans="1:4" ht="15" customHeight="1" x14ac:dyDescent="0.2">
      <c r="A40" s="85" t="s">
        <v>165</v>
      </c>
      <c r="B40" s="83" t="s">
        <v>166</v>
      </c>
      <c r="C40" s="84" t="s">
        <v>98</v>
      </c>
      <c r="D40" s="84">
        <v>4</v>
      </c>
    </row>
    <row r="41" spans="1:4" ht="15" customHeight="1" x14ac:dyDescent="0.2">
      <c r="A41" s="85" t="s">
        <v>167</v>
      </c>
      <c r="B41" s="83" t="s">
        <v>168</v>
      </c>
      <c r="C41" s="84" t="s">
        <v>95</v>
      </c>
      <c r="D41" s="84">
        <v>5</v>
      </c>
    </row>
    <row r="42" spans="1:4" ht="15" customHeight="1" x14ac:dyDescent="0.2">
      <c r="A42" s="85" t="s">
        <v>169</v>
      </c>
      <c r="B42" s="83" t="s">
        <v>170</v>
      </c>
      <c r="C42" s="84" t="s">
        <v>106</v>
      </c>
      <c r="D42" s="84">
        <v>1</v>
      </c>
    </row>
    <row r="43" spans="1:4" ht="15" customHeight="1" x14ac:dyDescent="0.2">
      <c r="A43" s="85" t="s">
        <v>171</v>
      </c>
      <c r="B43" s="83" t="s">
        <v>172</v>
      </c>
      <c r="C43" s="84" t="s">
        <v>106</v>
      </c>
      <c r="D43" s="84">
        <v>1</v>
      </c>
    </row>
    <row r="44" spans="1:4" ht="15" customHeight="1" x14ac:dyDescent="0.2">
      <c r="A44" s="85" t="s">
        <v>173</v>
      </c>
      <c r="B44" s="83" t="s">
        <v>174</v>
      </c>
      <c r="C44" s="84" t="s">
        <v>92</v>
      </c>
      <c r="D44" s="84">
        <v>2</v>
      </c>
    </row>
    <row r="45" spans="1:4" ht="15" customHeight="1" x14ac:dyDescent="0.2">
      <c r="A45" s="85" t="s">
        <v>175</v>
      </c>
      <c r="B45" s="83" t="s">
        <v>176</v>
      </c>
      <c r="C45" s="84" t="s">
        <v>121</v>
      </c>
      <c r="D45" s="84">
        <v>3</v>
      </c>
    </row>
    <row r="46" spans="1:4" ht="15" customHeight="1" x14ac:dyDescent="0.2">
      <c r="A46" s="85" t="s">
        <v>177</v>
      </c>
      <c r="B46" s="83" t="s">
        <v>178</v>
      </c>
      <c r="C46" s="84" t="s">
        <v>92</v>
      </c>
      <c r="D46" s="84">
        <v>2</v>
      </c>
    </row>
    <row r="47" spans="1:4" ht="15" customHeight="1" x14ac:dyDescent="0.2">
      <c r="A47" s="85" t="s">
        <v>179</v>
      </c>
      <c r="B47" s="83" t="s">
        <v>180</v>
      </c>
      <c r="C47" s="84" t="s">
        <v>98</v>
      </c>
      <c r="D47" s="84">
        <v>4</v>
      </c>
    </row>
    <row r="48" spans="1:4" ht="15" customHeight="1" x14ac:dyDescent="0.2">
      <c r="A48" s="85" t="s">
        <v>181</v>
      </c>
      <c r="B48" s="83" t="s">
        <v>182</v>
      </c>
      <c r="C48" s="84" t="s">
        <v>95</v>
      </c>
      <c r="D48" s="84">
        <v>5</v>
      </c>
    </row>
    <row r="49" spans="1:4" ht="15" customHeight="1" x14ac:dyDescent="0.2">
      <c r="A49" s="85" t="s">
        <v>183</v>
      </c>
      <c r="B49" s="83" t="s">
        <v>184</v>
      </c>
      <c r="C49" s="84" t="s">
        <v>106</v>
      </c>
      <c r="D49" s="84">
        <v>1</v>
      </c>
    </row>
    <row r="50" spans="1:4" ht="15" customHeight="1" x14ac:dyDescent="0.2">
      <c r="A50" s="85" t="s">
        <v>185</v>
      </c>
      <c r="B50" s="83" t="s">
        <v>186</v>
      </c>
      <c r="C50" s="84" t="s">
        <v>92</v>
      </c>
      <c r="D50" s="84">
        <v>2</v>
      </c>
    </row>
    <row r="51" spans="1:4" ht="15" customHeight="1" x14ac:dyDescent="0.2">
      <c r="A51" s="85" t="s">
        <v>187</v>
      </c>
      <c r="B51" s="83" t="s">
        <v>188</v>
      </c>
      <c r="C51" s="84" t="s">
        <v>95</v>
      </c>
      <c r="D51" s="84">
        <v>5</v>
      </c>
    </row>
    <row r="52" spans="1:4" ht="15" customHeight="1" x14ac:dyDescent="0.2">
      <c r="A52" s="85" t="s">
        <v>189</v>
      </c>
      <c r="B52" s="83" t="s">
        <v>190</v>
      </c>
      <c r="C52" s="84" t="s">
        <v>92</v>
      </c>
      <c r="D52" s="84">
        <v>2</v>
      </c>
    </row>
    <row r="53" spans="1:4" ht="15" customHeight="1" x14ac:dyDescent="0.2">
      <c r="A53" s="85" t="s">
        <v>191</v>
      </c>
      <c r="B53" s="83" t="s">
        <v>192</v>
      </c>
      <c r="C53" s="84" t="s">
        <v>121</v>
      </c>
      <c r="D53" s="84">
        <v>3</v>
      </c>
    </row>
    <row r="54" spans="1:4" ht="15" customHeight="1" x14ac:dyDescent="0.2">
      <c r="A54" s="85" t="s">
        <v>193</v>
      </c>
      <c r="B54" s="83" t="s">
        <v>194</v>
      </c>
      <c r="C54" s="84" t="s">
        <v>95</v>
      </c>
      <c r="D54" s="84">
        <v>5</v>
      </c>
    </row>
  </sheetData>
  <phoneticPr fontId="2"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55</vt:i4>
      </vt:variant>
      <vt:variant>
        <vt:lpstr>Named Ranges</vt:lpstr>
      </vt:variant>
      <vt:variant>
        <vt:i4>26</vt:i4>
      </vt:variant>
    </vt:vector>
  </HeadingPairs>
  <TitlesOfParts>
    <vt:vector size="81" baseType="lpstr">
      <vt:lpstr>Documentation</vt:lpstr>
      <vt:lpstr>Functions</vt:lpstr>
      <vt:lpstr>_Nested IF</vt:lpstr>
      <vt:lpstr>with_=</vt:lpstr>
      <vt:lpstr>with_=_IFS</vt:lpstr>
      <vt:lpstr>with_&gt;=</vt:lpstr>
      <vt:lpstr>with_&gt;=_IFS</vt:lpstr>
      <vt:lpstr>_VLOOKUP</vt:lpstr>
      <vt:lpstr>Lookups</vt:lpstr>
      <vt:lpstr>Arguments</vt:lpstr>
      <vt:lpstr>Exact_Match</vt:lpstr>
      <vt:lpstr>Closest_Match</vt:lpstr>
      <vt:lpstr>Algorithm_Book</vt:lpstr>
      <vt:lpstr>Algorithm_Travis</vt:lpstr>
      <vt:lpstr>Algorithm_Travis_3-step</vt:lpstr>
      <vt:lpstr>Rules_Exact_Match</vt:lpstr>
      <vt:lpstr>Rules_Closest_Match</vt:lpstr>
      <vt:lpstr>Clear_Tables</vt:lpstr>
      <vt:lpstr>Flexible_Arrays</vt:lpstr>
      <vt:lpstr>_Other_Lookups</vt:lpstr>
      <vt:lpstr>HLOOKUP</vt:lpstr>
      <vt:lpstr>LOOKUP</vt:lpstr>
      <vt:lpstr>COLUMNS</vt:lpstr>
      <vt:lpstr>MATCH</vt:lpstr>
      <vt:lpstr>_INDEX_MATCH</vt:lpstr>
      <vt:lpstr>INDEX_MATCH_1D</vt:lpstr>
      <vt:lpstr>INDEX_MATCH_2D</vt:lpstr>
      <vt:lpstr>INDEX_MATCH_2D_Array_Result</vt:lpstr>
      <vt:lpstr>VLOOKUP_vs</vt:lpstr>
      <vt:lpstr>INDEX-MATCH_vs</vt:lpstr>
      <vt:lpstr>Row_num_OR_Col_num</vt:lpstr>
      <vt:lpstr>Swapped_Columns</vt:lpstr>
      <vt:lpstr>Descending_Order</vt:lpstr>
      <vt:lpstr>Flexible_INDEX_MATCH</vt:lpstr>
      <vt:lpstr>Same_Size_Arrays</vt:lpstr>
      <vt:lpstr>2D_INDEX</vt:lpstr>
      <vt:lpstr>2D_INDEX_Examples</vt:lpstr>
      <vt:lpstr>XLOOKUP</vt:lpstr>
      <vt:lpstr>2D_XLOOKUP</vt:lpstr>
      <vt:lpstr>2D_XLOOKUP_2</vt:lpstr>
      <vt:lpstr>Key</vt:lpstr>
      <vt:lpstr>_Supplemental</vt:lpstr>
      <vt:lpstr>2-Tennis_Balls</vt:lpstr>
      <vt:lpstr>2-Costs</vt:lpstr>
      <vt:lpstr>2-Orders</vt:lpstr>
      <vt:lpstr>2-Discount</vt:lpstr>
      <vt:lpstr>2-ShipByRegion</vt:lpstr>
      <vt:lpstr>3-Products</vt:lpstr>
      <vt:lpstr>3-Orders</vt:lpstr>
      <vt:lpstr>3-Orders_2</vt:lpstr>
      <vt:lpstr>3-Pricing_Schedule_1</vt:lpstr>
      <vt:lpstr>3-Pricing Schedule_2</vt:lpstr>
      <vt:lpstr>3-Discount</vt:lpstr>
      <vt:lpstr>3-Shipping</vt:lpstr>
      <vt:lpstr>3-States</vt:lpstr>
      <vt:lpstr>Key!_1</vt:lpstr>
      <vt:lpstr>Customer_Table</vt:lpstr>
      <vt:lpstr>Discounts2</vt:lpstr>
      <vt:lpstr>Discounts3</vt:lpstr>
      <vt:lpstr>element_designator</vt:lpstr>
      <vt:lpstr>Freight_Customer_Types</vt:lpstr>
      <vt:lpstr>ItemPrice</vt:lpstr>
      <vt:lpstr>Last_Modified</vt:lpstr>
      <vt:lpstr>Most_preferred</vt:lpstr>
      <vt:lpstr>Preferred</vt:lpstr>
      <vt:lpstr>Price1</vt:lpstr>
      <vt:lpstr>Price2</vt:lpstr>
      <vt:lpstr>Pricing</vt:lpstr>
      <vt:lpstr>Products</vt:lpstr>
      <vt:lpstr>Regular</vt:lpstr>
      <vt:lpstr>Schedule1</vt:lpstr>
      <vt:lpstr>Schedule2</vt:lpstr>
      <vt:lpstr>Schedule3</vt:lpstr>
      <vt:lpstr>Ship1</vt:lpstr>
      <vt:lpstr>Ship2</vt:lpstr>
      <vt:lpstr>Ship3</vt:lpstr>
      <vt:lpstr>Shipping_Discounts</vt:lpstr>
      <vt:lpstr>Shipping_Methods</vt:lpstr>
      <vt:lpstr>States</vt:lpstr>
      <vt:lpstr>TOC</vt:lpstr>
      <vt:lpstr>TotOrderVol</vt:lpstr>
    </vt:vector>
  </TitlesOfParts>
  <Company>UNC - 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Day</dc:creator>
  <cp:lastModifiedBy>Travis Day</cp:lastModifiedBy>
  <dcterms:created xsi:type="dcterms:W3CDTF">2007-02-26T14:35:44Z</dcterms:created>
  <dcterms:modified xsi:type="dcterms:W3CDTF">2022-08-27T01:11:47Z</dcterms:modified>
</cp:coreProperties>
</file>