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omments7.xml" ContentType="application/vnd.openxmlformats-officedocument.spreadsheetml.comments+xml"/>
  <Override PartName="/xl/drawings/drawing4.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pivotTables/pivotTable3.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adminliveunc-my.sharepoint.com/personal/dayt_ad_unc_edu/Documents/Documents/Class/Notes/"/>
    </mc:Choice>
  </mc:AlternateContent>
  <xr:revisionPtr revIDLastSave="302" documentId="8_{E0507760-CA56-4A13-9084-FB1E7C4EFF1F}" xr6:coauthVersionLast="47" xr6:coauthVersionMax="47" xr10:uidLastSave="{F4DABF2E-B71B-4935-83BD-97D1F6786AB8}"/>
  <bookViews>
    <workbookView xWindow="-120" yWindow="-120" windowWidth="29040" windowHeight="17520" tabRatio="803" xr2:uid="{00000000-000D-0000-FFFF-FFFF00000000}"/>
  </bookViews>
  <sheets>
    <sheet name="Documentation" sheetId="1" r:id="rId1"/>
    <sheet name="_SUMPRODUCT" sheetId="41" r:id="rId2"/>
    <sheet name="Without_SUMPRODUCT" sheetId="19" r:id="rId3"/>
    <sheet name="With_SUMPRODUCT" sheetId="20" r:id="rId4"/>
    <sheet name="_Naming_Ranges" sheetId="42" r:id="rId5"/>
    <sheet name="Unnamed_Ranges" sheetId="21" r:id="rId6"/>
    <sheet name="Named_Ranges" sheetId="22" r:id="rId7"/>
    <sheet name="_Scenario_Manager" sheetId="43" r:id="rId8"/>
    <sheet name="Scenario_Switching" sheetId="16" r:id="rId9"/>
    <sheet name="Changing_Cells" sheetId="46" r:id="rId10"/>
    <sheet name="Scenario_Summary" sheetId="18" r:id="rId11"/>
    <sheet name="Unclear_Summary" sheetId="26" r:id="rId12"/>
    <sheet name="Scenario PivotTable" sheetId="36" state="hidden" r:id="rId13"/>
    <sheet name="Scenario PivotTable 2" sheetId="37" state="hidden" r:id="rId14"/>
    <sheet name="_Goal_Seek" sheetId="44" r:id="rId15"/>
    <sheet name="Goal_Seek_1" sheetId="38" r:id="rId16"/>
    <sheet name="Goal_Seek_2" sheetId="39" r:id="rId17"/>
    <sheet name="_Supplemental" sheetId="40" r:id="rId18"/>
    <sheet name="No_Data_Tables" sheetId="45" r:id="rId19"/>
    <sheet name="Data_Tables" sheetId="2" r:id="rId20"/>
    <sheet name="Swimwear" sheetId="3" r:id="rId21"/>
    <sheet name="Swimwear_Scenario_Summary" sheetId="6" r:id="rId22"/>
    <sheet name="PivotTable_&amp;_Chart" sheetId="12" r:id="rId23"/>
    <sheet name="Probabilities" sheetId="10" r:id="rId24"/>
    <sheet name="Key" sheetId="34" r:id="rId25"/>
  </sheets>
  <definedNames>
    <definedName name="_xlnm._FilterDatabase" localSheetId="0" hidden="1">Documentation!$A$10:$I$36</definedName>
    <definedName name="Admin_Costs">Named_Ranges!$23:$23</definedName>
    <definedName name="Administration_costs" localSheetId="9">Changing_Cells!$B$13</definedName>
    <definedName name="Administration_costs">Scenario_Switching!$B$13</definedName>
    <definedName name="Administration_costs__change" localSheetId="9">Changing_Cells!$D$13</definedName>
    <definedName name="Administration_costs__change">Scenario_Switching!$D$13</definedName>
    <definedName name="anscount" hidden="1">1</definedName>
    <definedName name="Change_in_Admin_Costs">Named_Ranges!$D$13</definedName>
    <definedName name="Change_in_Mfg_Costs">Named_Ranges!$D$11</definedName>
    <definedName name="Change_in_Price">Named_Ranges!$D$10</definedName>
    <definedName name="Change_in_Prod_Costs">Named_Ranges!$D$12</definedName>
    <definedName name="Change_in_Sales">Named_Ranges!$D$9</definedName>
    <definedName name="ContributionMargin">Swimwear!$K$17</definedName>
    <definedName name="Disable_Video_Hyperlinks">FALSE</definedName>
    <definedName name="Earnings_Before_Taxes">Named_Ranges!$28:$28</definedName>
    <definedName name="First_year_of_forecast" localSheetId="9">Changing_Cells!$B$14</definedName>
    <definedName name="First_year_of_forecast">Scenario_Switching!$B$14</definedName>
    <definedName name="First_year_sales__change" localSheetId="9">Changing_Cells!$D$9</definedName>
    <definedName name="First_year_sales__change">Scenario_Switching!$D$9</definedName>
    <definedName name="First_year_sales__units" localSheetId="9">Changing_Cells!$B$9</definedName>
    <definedName name="First_year_sales__units">Scenario_Switching!$B$9</definedName>
    <definedName name="Gross_Revenue">Named_Ranges!$19:$19</definedName>
    <definedName name="GrossProfit">Swimwear!$K$14</definedName>
    <definedName name="IncomeBeforeTaxes">Swimwear!$K$23</definedName>
    <definedName name="Initial_Admin_Costs">Named_Ranges!$B$13</definedName>
    <definedName name="Initial_Mfg_Cost">Named_Ranges!$B$11</definedName>
    <definedName name="Initial_Price">Named_Ranges!$B$10</definedName>
    <definedName name="Initial_Prod_Costs">Named_Ranges!$B$12</definedName>
    <definedName name="Initial_Sales">Named_Ranges!$B$9</definedName>
    <definedName name="Initital_year_of_forecast">Named_Ranges!$B$14</definedName>
    <definedName name="Last_modified">Documentation!$B$6</definedName>
    <definedName name="NetIncome">Swimwear!$K$25</definedName>
    <definedName name="PayrollExpense">Swimwear!$J$20</definedName>
    <definedName name="Prod_Facility_Costs">Named_Ranges!$22:$22</definedName>
    <definedName name="Production_facility_costs" localSheetId="9">Changing_Cells!$B$12</definedName>
    <definedName name="Production_facility_costs">Scenario_Switching!$B$12</definedName>
    <definedName name="Production_facility_costs__change" localSheetId="9">Changing_Cells!$D$12</definedName>
    <definedName name="Production_facility_costs__change">Scenario_Switching!$D$12</definedName>
    <definedName name="RacersMktgExp">Swimwear!$C$18</definedName>
    <definedName name="RacersSold">Swimwear!$C$12</definedName>
    <definedName name="SalesRevenue">Swimwear!$K$12</definedName>
    <definedName name="Scenario_Name" localSheetId="9">Changing_Cells!$A$7</definedName>
    <definedName name="Scenario_Name">Scenario_Switching!$A$7</definedName>
    <definedName name="segment_designator">"_"</definedName>
    <definedName name="Selling_price" localSheetId="9">Changing_Cells!$B$10</definedName>
    <definedName name="Selling_price">Scenario_Switching!$B$10</definedName>
    <definedName name="Selling_price__change" localSheetId="9">Changing_Cells!$D$10</definedName>
    <definedName name="Selling_price__change">Scenario_Switching!$D$10</definedName>
    <definedName name="tax_rate">Named_Ranges!$I$8</definedName>
    <definedName name="TOC">Documentation!$A$10</definedName>
    <definedName name="TrunksMktgExp">Swimwear!$D$18</definedName>
    <definedName name="TrunksSold">Swimwear!$D$12</definedName>
    <definedName name="Unit_manufacturing_cost" localSheetId="9">Changing_Cells!$B$11</definedName>
    <definedName name="Unit_manufacturing_cost">Scenario_Switching!$B$11</definedName>
    <definedName name="Unit_manufacturing_cost__change" localSheetId="9">Changing_Cells!$D$11</definedName>
    <definedName name="Unit_manufacturing_cost__change">Scenario_Switching!$D$11</definedName>
    <definedName name="Unit_mfg_cost">Named_Ranges!$25:$25</definedName>
    <definedName name="Unit_Price">Named_Ranges!$18:$18</definedName>
    <definedName name="Units_Sold">Named_Ranges!$17:$17</definedName>
    <definedName name="Var_Mfg_Cost">Named_Ranges!$26:$26</definedName>
    <definedName name="Video_Lengths_Description">"Length of video clips in this segment: "</definedName>
    <definedName name="Video_website">"https://public.kenan-flagler.unc.edu/faculty/dayt/class/video/"</definedName>
    <definedName name="WOneMktgExp">Swimwear!$E$18</definedName>
    <definedName name="WOneSold">Swimwear!$E$12</definedName>
    <definedName name="WTwoMktgExp">Swimwear!$F$18</definedName>
    <definedName name="WTwoSold">Swimwear!$F$12</definedName>
    <definedName name="Year_increment" localSheetId="9">Changing_Cells!$D$14</definedName>
    <definedName name="Year_increment">Scenario_Switching!$D$14</definedName>
  </definedNames>
  <calcPr calcId="191029"/>
  <pivotCaches>
    <pivotCache cacheId="0" r:id="rId26"/>
    <pivotCache cacheId="1" r:id="rId27"/>
    <pivotCache cacheId="2"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 l="1"/>
  <c r="A4" i="45" l="1"/>
  <c r="A3" i="45" s="1"/>
  <c r="A4" i="19"/>
  <c r="A4" i="20"/>
  <c r="A4" i="42"/>
  <c r="A4" i="21"/>
  <c r="A4" i="22"/>
  <c r="A4" i="43"/>
  <c r="A4" i="16"/>
  <c r="A4" i="46"/>
  <c r="A4" i="18"/>
  <c r="A4" i="26"/>
  <c r="A4" i="44"/>
  <c r="A4" i="38"/>
  <c r="A4" i="39"/>
  <c r="A4" i="40"/>
  <c r="A4" i="2"/>
  <c r="A4" i="3"/>
  <c r="A4" i="12"/>
  <c r="A4" i="10"/>
  <c r="A4" i="41"/>
  <c r="D35" i="1"/>
  <c r="C35" i="1"/>
  <c r="B35" i="1"/>
  <c r="D34" i="1"/>
  <c r="C34" i="1"/>
  <c r="B34" i="1"/>
  <c r="D33" i="1"/>
  <c r="C33" i="1"/>
  <c r="B33" i="1"/>
  <c r="D32" i="1"/>
  <c r="C32" i="1"/>
  <c r="B32" i="1"/>
  <c r="D31" i="1"/>
  <c r="C31" i="1"/>
  <c r="B31" i="1"/>
  <c r="D30" i="1"/>
  <c r="C30" i="1"/>
  <c r="B30" i="1"/>
  <c r="D29" i="1"/>
  <c r="C29" i="1"/>
  <c r="B29" i="1"/>
  <c r="D28" i="1"/>
  <c r="C28" i="1"/>
  <c r="B28" i="1"/>
  <c r="D27" i="1"/>
  <c r="C27" i="1"/>
  <c r="B27" i="1"/>
  <c r="D26" i="1"/>
  <c r="C26" i="1"/>
  <c r="B26" i="1"/>
  <c r="D25" i="1"/>
  <c r="C25" i="1"/>
  <c r="B25" i="1"/>
  <c r="D24" i="1"/>
  <c r="C24" i="1"/>
  <c r="B24" i="1"/>
  <c r="D23" i="1"/>
  <c r="C23" i="1"/>
  <c r="B23" i="1"/>
  <c r="D22" i="1"/>
  <c r="C22" i="1"/>
  <c r="B22" i="1"/>
  <c r="D21" i="1"/>
  <c r="C21" i="1"/>
  <c r="B21" i="1"/>
  <c r="D20" i="1"/>
  <c r="C20" i="1"/>
  <c r="B20" i="1"/>
  <c r="D19" i="1"/>
  <c r="C19" i="1"/>
  <c r="B19" i="1"/>
  <c r="D18" i="1"/>
  <c r="C18" i="1"/>
  <c r="B18" i="1"/>
  <c r="D17" i="1"/>
  <c r="C17" i="1"/>
  <c r="B17" i="1"/>
  <c r="D16" i="1"/>
  <c r="C16" i="1"/>
  <c r="B16" i="1"/>
  <c r="D15" i="1"/>
  <c r="C15" i="1"/>
  <c r="B15" i="1"/>
  <c r="D14" i="1"/>
  <c r="C8" i="1" s="1"/>
  <c r="C14" i="1"/>
  <c r="B14" i="1"/>
  <c r="D13" i="1"/>
  <c r="C13" i="1"/>
  <c r="B13" i="1"/>
  <c r="D12" i="1"/>
  <c r="C12" i="1"/>
  <c r="B12" i="1"/>
  <c r="D11" i="1"/>
  <c r="B11" i="1"/>
  <c r="A11" i="1"/>
  <c r="F11" i="1" s="1"/>
  <c r="E10" i="1"/>
  <c r="B25" i="46"/>
  <c r="C25" i="46" s="1"/>
  <c r="D25" i="46" s="1"/>
  <c r="E25" i="46" s="1"/>
  <c r="F25" i="46" s="1"/>
  <c r="B23" i="46"/>
  <c r="C23" i="46" s="1"/>
  <c r="D23" i="46" s="1"/>
  <c r="E23" i="46" s="1"/>
  <c r="F23" i="46" s="1"/>
  <c r="B22" i="46"/>
  <c r="C22" i="46" s="1"/>
  <c r="D22" i="46" s="1"/>
  <c r="E22" i="46" s="1"/>
  <c r="F22" i="46" s="1"/>
  <c r="B18" i="46"/>
  <c r="C18" i="46" s="1"/>
  <c r="D18" i="46" s="1"/>
  <c r="E18" i="46" s="1"/>
  <c r="F18" i="46" s="1"/>
  <c r="B17" i="46"/>
  <c r="B19" i="46" s="1"/>
  <c r="C15" i="46"/>
  <c r="D15" i="46" s="1"/>
  <c r="E15" i="46" s="1"/>
  <c r="F15" i="46" s="1"/>
  <c r="A3" i="46"/>
  <c r="A19" i="1"/>
  <c r="A32" i="1"/>
  <c r="A21" i="1"/>
  <c r="A28" i="1"/>
  <c r="A25" i="1"/>
  <c r="A34" i="1"/>
  <c r="A30" i="1"/>
  <c r="A12" i="1"/>
  <c r="A14" i="1"/>
  <c r="A31" i="1"/>
  <c r="A27" i="1"/>
  <c r="A17" i="1"/>
  <c r="A29" i="1"/>
  <c r="A26" i="1"/>
  <c r="A13" i="1"/>
  <c r="A16" i="1"/>
  <c r="A23" i="1"/>
  <c r="A33" i="1"/>
  <c r="A22" i="1"/>
  <c r="A24" i="1"/>
  <c r="A15" i="1"/>
  <c r="A18" i="1"/>
  <c r="A20" i="1"/>
  <c r="A35" i="1"/>
  <c r="B26" i="46" l="1"/>
  <c r="B28" i="46" s="1"/>
  <c r="C17" i="46"/>
  <c r="F28" i="1"/>
  <c r="F13" i="1"/>
  <c r="F17" i="1"/>
  <c r="F21" i="1"/>
  <c r="F25" i="1"/>
  <c r="F29" i="1"/>
  <c r="F33" i="1"/>
  <c r="F12" i="1"/>
  <c r="F16" i="1"/>
  <c r="F20" i="1"/>
  <c r="F24" i="1"/>
  <c r="F32" i="1"/>
  <c r="F14" i="1"/>
  <c r="F18" i="1"/>
  <c r="F22" i="1"/>
  <c r="F26" i="1"/>
  <c r="F30" i="1"/>
  <c r="F34" i="1"/>
  <c r="F15" i="1"/>
  <c r="F19" i="1"/>
  <c r="F23" i="1"/>
  <c r="F27" i="1"/>
  <c r="F31" i="1"/>
  <c r="F35" i="1"/>
  <c r="G22" i="45"/>
  <c r="K19" i="45"/>
  <c r="L19" i="45" s="1"/>
  <c r="M19" i="45" s="1"/>
  <c r="G21" i="45"/>
  <c r="K18" i="45"/>
  <c r="L18" i="45" s="1"/>
  <c r="M18" i="45" s="1"/>
  <c r="G20" i="45"/>
  <c r="K17" i="45"/>
  <c r="L17" i="45" s="1"/>
  <c r="M17" i="45" s="1"/>
  <c r="K16" i="45"/>
  <c r="L16" i="45" s="1"/>
  <c r="M16" i="45" s="1"/>
  <c r="K15" i="45"/>
  <c r="L15" i="45" s="1"/>
  <c r="M15" i="45" s="1"/>
  <c r="H17" i="45"/>
  <c r="K14" i="45"/>
  <c r="L14" i="45" s="1"/>
  <c r="M14" i="45" s="1"/>
  <c r="K13" i="45"/>
  <c r="L13" i="45" s="1"/>
  <c r="M13" i="45" s="1"/>
  <c r="K12" i="45"/>
  <c r="L12" i="45" s="1"/>
  <c r="M12" i="45" s="1"/>
  <c r="H14" i="45"/>
  <c r="K11" i="45"/>
  <c r="L11" i="45" s="1"/>
  <c r="M11" i="45" s="1"/>
  <c r="H13" i="45"/>
  <c r="H15" i="45" s="1"/>
  <c r="K10" i="45"/>
  <c r="L10" i="45" s="1"/>
  <c r="M10" i="45" s="1"/>
  <c r="N17" i="45" l="1"/>
  <c r="C26" i="46"/>
  <c r="D17" i="46"/>
  <c r="H23" i="45"/>
  <c r="N13" i="45" s="1"/>
  <c r="N12" i="45"/>
  <c r="C19" i="46"/>
  <c r="C28" i="46" s="1"/>
  <c r="N14" i="45"/>
  <c r="N19" i="45"/>
  <c r="L37" i="45"/>
  <c r="P35" i="45"/>
  <c r="P31" i="45"/>
  <c r="N30" i="45"/>
  <c r="P18" i="45"/>
  <c r="P11" i="45"/>
  <c r="K37" i="45"/>
  <c r="O35" i="45"/>
  <c r="O31" i="45"/>
  <c r="M30" i="45"/>
  <c r="P15" i="45"/>
  <c r="K35" i="45"/>
  <c r="K32" i="45"/>
  <c r="N39" i="45"/>
  <c r="N35" i="45"/>
  <c r="L34" i="45"/>
  <c r="L30" i="45"/>
  <c r="P28" i="45"/>
  <c r="P12" i="45"/>
  <c r="M36" i="45"/>
  <c r="M33" i="45"/>
  <c r="K28" i="45"/>
  <c r="O36" i="45"/>
  <c r="M35" i="45"/>
  <c r="M31" i="45"/>
  <c r="K30" i="45"/>
  <c r="P16" i="45"/>
  <c r="O37" i="45"/>
  <c r="L28" i="45"/>
  <c r="K36" i="45"/>
  <c r="P37" i="45"/>
  <c r="N36" i="45"/>
  <c r="N32" i="45"/>
  <c r="L31" i="45"/>
  <c r="L27" i="45"/>
  <c r="P13" i="45"/>
  <c r="M28" i="45"/>
  <c r="P30" i="45"/>
  <c r="O30" i="45"/>
  <c r="P38" i="45"/>
  <c r="P34" i="45"/>
  <c r="N33" i="45"/>
  <c r="P14" i="45"/>
  <c r="O38" i="45"/>
  <c r="H18" i="45"/>
  <c r="A3" i="20"/>
  <c r="A3" i="42"/>
  <c r="A3" i="21"/>
  <c r="A3" i="22"/>
  <c r="A3" i="43"/>
  <c r="A3" i="16"/>
  <c r="A3" i="18"/>
  <c r="A3" i="26"/>
  <c r="A3" i="44"/>
  <c r="A3" i="38"/>
  <c r="A3" i="39"/>
  <c r="A3" i="40"/>
  <c r="A3" i="2"/>
  <c r="A3" i="3"/>
  <c r="A3" i="6"/>
  <c r="A3" i="12"/>
  <c r="A3" i="10"/>
  <c r="A3" i="34"/>
  <c r="A3" i="19"/>
  <c r="A3" i="41"/>
  <c r="N11" i="45" l="1"/>
  <c r="N10" i="45"/>
  <c r="O34" i="45"/>
  <c r="L36" i="45"/>
  <c r="M37" i="45"/>
  <c r="O33" i="45"/>
  <c r="N28" i="45"/>
  <c r="P33" i="45"/>
  <c r="L39" i="45"/>
  <c r="K27" i="45"/>
  <c r="M27" i="45"/>
  <c r="O32" i="45"/>
  <c r="K38" i="45"/>
  <c r="P10" i="45"/>
  <c r="P19" i="45"/>
  <c r="N31" i="45"/>
  <c r="P36" i="45"/>
  <c r="N29" i="45"/>
  <c r="O27" i="45"/>
  <c r="K33" i="45"/>
  <c r="M38" i="45"/>
  <c r="P27" i="45"/>
  <c r="L33" i="45"/>
  <c r="N38" i="45"/>
  <c r="N18" i="45"/>
  <c r="E17" i="46"/>
  <c r="D19" i="46"/>
  <c r="D26" i="46"/>
  <c r="N16" i="45"/>
  <c r="L32" i="45"/>
  <c r="N37" i="45"/>
  <c r="P17" i="45"/>
  <c r="K39" i="45"/>
  <c r="P29" i="45"/>
  <c r="L35" i="45"/>
  <c r="M29" i="45"/>
  <c r="M32" i="45"/>
  <c r="O28" i="45"/>
  <c r="K34" i="45"/>
  <c r="M39" i="45"/>
  <c r="O29" i="45"/>
  <c r="N27" i="45"/>
  <c r="P32" i="45"/>
  <c r="L38" i="45"/>
  <c r="K31" i="45"/>
  <c r="K29" i="45"/>
  <c r="M34" i="45"/>
  <c r="O39" i="45"/>
  <c r="L29" i="45"/>
  <c r="N34" i="45"/>
  <c r="P39" i="45"/>
  <c r="N15" i="45"/>
  <c r="H24" i="45"/>
  <c r="H23" i="20"/>
  <c r="F25" i="20"/>
  <c r="F26" i="20"/>
  <c r="F27" i="20"/>
  <c r="E25" i="20"/>
  <c r="E26" i="20"/>
  <c r="E27" i="20"/>
  <c r="E25" i="19"/>
  <c r="E26" i="19"/>
  <c r="E27" i="19"/>
  <c r="F28" i="20" l="1"/>
  <c r="E19" i="46"/>
  <c r="F17" i="46"/>
  <c r="E26" i="46"/>
  <c r="E28" i="20"/>
  <c r="D28" i="46"/>
  <c r="E28" i="19"/>
  <c r="B18" i="39"/>
  <c r="B24" i="39" s="1"/>
  <c r="E9" i="38"/>
  <c r="E10" i="38"/>
  <c r="E11" i="38"/>
  <c r="E12" i="38"/>
  <c r="E13" i="38"/>
  <c r="E14" i="38"/>
  <c r="E15" i="38"/>
  <c r="E16" i="38"/>
  <c r="E17" i="38"/>
  <c r="E18" i="38"/>
  <c r="E19" i="38"/>
  <c r="E20" i="38"/>
  <c r="E21" i="38"/>
  <c r="E22" i="38"/>
  <c r="E23" i="38"/>
  <c r="E24" i="38"/>
  <c r="E25" i="38"/>
  <c r="E26" i="38"/>
  <c r="E27" i="38"/>
  <c r="E28" i="38"/>
  <c r="E29" i="38"/>
  <c r="E30" i="38"/>
  <c r="E31" i="38"/>
  <c r="E32" i="38"/>
  <c r="E33" i="38"/>
  <c r="E34" i="38"/>
  <c r="E35" i="38"/>
  <c r="E36" i="38"/>
  <c r="E37" i="38"/>
  <c r="E38" i="38"/>
  <c r="E39" i="38"/>
  <c r="E40" i="38"/>
  <c r="E41" i="38"/>
  <c r="E42" i="38"/>
  <c r="E43" i="38"/>
  <c r="E44" i="38"/>
  <c r="E45" i="38"/>
  <c r="E46" i="38"/>
  <c r="E47" i="38"/>
  <c r="E48" i="38"/>
  <c r="E49" i="38"/>
  <c r="E50" i="38"/>
  <c r="E51" i="38"/>
  <c r="E52" i="38"/>
  <c r="E53" i="38"/>
  <c r="E54" i="38"/>
  <c r="E55" i="38"/>
  <c r="E56" i="38"/>
  <c r="E57" i="38"/>
  <c r="E58" i="38"/>
  <c r="E59" i="38"/>
  <c r="E60" i="38"/>
  <c r="E61" i="38"/>
  <c r="E62" i="38"/>
  <c r="E63" i="38"/>
  <c r="E64" i="38"/>
  <c r="E65" i="38"/>
  <c r="E66" i="38"/>
  <c r="E67" i="38"/>
  <c r="E68" i="38"/>
  <c r="E69" i="38"/>
  <c r="E70" i="38"/>
  <c r="E71" i="38"/>
  <c r="E72" i="38"/>
  <c r="E73" i="38"/>
  <c r="E74" i="38"/>
  <c r="E75" i="38"/>
  <c r="E76" i="38"/>
  <c r="E77" i="38"/>
  <c r="E78" i="38"/>
  <c r="E79" i="38"/>
  <c r="E80" i="38"/>
  <c r="E81" i="38"/>
  <c r="E82" i="38"/>
  <c r="E83" i="38"/>
  <c r="E84" i="38"/>
  <c r="E85" i="38"/>
  <c r="E86" i="38"/>
  <c r="E87" i="38"/>
  <c r="E88" i="38"/>
  <c r="E89" i="38"/>
  <c r="E90" i="38"/>
  <c r="E91" i="38"/>
  <c r="E92" i="38"/>
  <c r="E93" i="38"/>
  <c r="E94" i="38"/>
  <c r="E95" i="38"/>
  <c r="E96" i="38"/>
  <c r="E97" i="38"/>
  <c r="E98" i="38"/>
  <c r="E99" i="38"/>
  <c r="E100" i="38"/>
  <c r="E101" i="38"/>
  <c r="E102" i="38"/>
  <c r="E103" i="38"/>
  <c r="E104" i="38"/>
  <c r="E105" i="38"/>
  <c r="E106" i="38"/>
  <c r="E107" i="38"/>
  <c r="E108" i="38"/>
  <c r="C110" i="38"/>
  <c r="D110" i="38"/>
  <c r="C111" i="38"/>
  <c r="D111" i="38"/>
  <c r="C112" i="38"/>
  <c r="D112" i="38"/>
  <c r="F26" i="46" l="1"/>
  <c r="F19" i="46"/>
  <c r="E28" i="46"/>
  <c r="E110" i="38"/>
  <c r="E112" i="38"/>
  <c r="E111" i="38"/>
  <c r="C15" i="21"/>
  <c r="D15" i="21"/>
  <c r="E15" i="21" s="1"/>
  <c r="F15" i="21" s="1"/>
  <c r="C15" i="22"/>
  <c r="D15" i="22"/>
  <c r="E15" i="22" s="1"/>
  <c r="F15" i="22" s="1"/>
  <c r="C15" i="16"/>
  <c r="D15" i="16" s="1"/>
  <c r="E15" i="16" s="1"/>
  <c r="F15" i="16" s="1"/>
  <c r="B17" i="22"/>
  <c r="C17" i="22" s="1"/>
  <c r="B18" i="22"/>
  <c r="C18" i="22" s="1"/>
  <c r="D18" i="22" s="1"/>
  <c r="E18" i="22" s="1"/>
  <c r="F18" i="22" s="1"/>
  <c r="B22" i="22"/>
  <c r="C22" i="22" s="1"/>
  <c r="D22" i="22" s="1"/>
  <c r="E22" i="22" s="1"/>
  <c r="F22" i="22" s="1"/>
  <c r="B23" i="22"/>
  <c r="C23" i="22" s="1"/>
  <c r="D23" i="22" s="1"/>
  <c r="E23" i="22" s="1"/>
  <c r="F23" i="22" s="1"/>
  <c r="B25" i="22"/>
  <c r="C25" i="22" s="1"/>
  <c r="D25" i="22" s="1"/>
  <c r="E25" i="22" s="1"/>
  <c r="F25" i="22" s="1"/>
  <c r="B17" i="21"/>
  <c r="C17" i="21" s="1"/>
  <c r="B18" i="21"/>
  <c r="C18" i="21" s="1"/>
  <c r="D18" i="21" s="1"/>
  <c r="E18" i="21" s="1"/>
  <c r="F18" i="21" s="1"/>
  <c r="B22" i="21"/>
  <c r="C22" i="21"/>
  <c r="D22" i="21" s="1"/>
  <c r="E22" i="21" s="1"/>
  <c r="F22" i="21" s="1"/>
  <c r="B23" i="21"/>
  <c r="C23" i="21" s="1"/>
  <c r="D23" i="21" s="1"/>
  <c r="E23" i="21" s="1"/>
  <c r="F23" i="21" s="1"/>
  <c r="B25" i="21"/>
  <c r="C25" i="21" s="1"/>
  <c r="D25" i="21" s="1"/>
  <c r="E25" i="21" s="1"/>
  <c r="F25" i="21" s="1"/>
  <c r="H10" i="20"/>
  <c r="H11" i="20"/>
  <c r="H12" i="20"/>
  <c r="H13" i="20"/>
  <c r="H14" i="20"/>
  <c r="H15" i="20"/>
  <c r="H16" i="20"/>
  <c r="H17" i="20"/>
  <c r="H18" i="20"/>
  <c r="H19" i="20"/>
  <c r="H20" i="20"/>
  <c r="H21" i="20"/>
  <c r="H22" i="20"/>
  <c r="C25" i="20"/>
  <c r="D25" i="20"/>
  <c r="G25" i="20"/>
  <c r="C26" i="20"/>
  <c r="D26" i="20"/>
  <c r="D28" i="20" s="1"/>
  <c r="G26" i="20"/>
  <c r="C27" i="20"/>
  <c r="D27" i="20"/>
  <c r="G27" i="20"/>
  <c r="H30" i="20"/>
  <c r="G10" i="19"/>
  <c r="G11" i="19"/>
  <c r="G12" i="19"/>
  <c r="G13" i="19"/>
  <c r="G14" i="19"/>
  <c r="G15" i="19"/>
  <c r="G16" i="19"/>
  <c r="G17" i="19"/>
  <c r="G18" i="19"/>
  <c r="G19" i="19"/>
  <c r="G20" i="19"/>
  <c r="G21" i="19"/>
  <c r="G22" i="19"/>
  <c r="G23" i="19"/>
  <c r="C25" i="19"/>
  <c r="D25" i="19"/>
  <c r="F25" i="19"/>
  <c r="C26" i="19"/>
  <c r="D26" i="19"/>
  <c r="F26" i="19"/>
  <c r="C27" i="19"/>
  <c r="D27" i="19"/>
  <c r="F27" i="19"/>
  <c r="G30" i="19"/>
  <c r="B17" i="16"/>
  <c r="C17" i="16" s="1"/>
  <c r="B18" i="16"/>
  <c r="C18" i="16" s="1"/>
  <c r="B22" i="16"/>
  <c r="C22" i="16" s="1"/>
  <c r="D22" i="16" s="1"/>
  <c r="E22" i="16" s="1"/>
  <c r="F22" i="16" s="1"/>
  <c r="B23" i="16"/>
  <c r="C23" i="16" s="1"/>
  <c r="D23" i="16" s="1"/>
  <c r="E23" i="16" s="1"/>
  <c r="F23" i="16" s="1"/>
  <c r="B25" i="16"/>
  <c r="C25" i="16" s="1"/>
  <c r="D25" i="16" s="1"/>
  <c r="E25" i="16" s="1"/>
  <c r="F25" i="16" s="1"/>
  <c r="N14" i="10"/>
  <c r="O14" i="10"/>
  <c r="P14" i="10"/>
  <c r="Q14" i="10"/>
  <c r="R14" i="10"/>
  <c r="M14" i="10"/>
  <c r="N13" i="10"/>
  <c r="O13" i="10"/>
  <c r="P13" i="10"/>
  <c r="Q13" i="10"/>
  <c r="R13" i="10"/>
  <c r="M13" i="10"/>
  <c r="N16" i="10"/>
  <c r="O16" i="10"/>
  <c r="P16" i="10"/>
  <c r="Q16" i="10"/>
  <c r="R16" i="10"/>
  <c r="N15" i="10"/>
  <c r="O15" i="10"/>
  <c r="P15" i="10"/>
  <c r="Q15" i="10"/>
  <c r="R15" i="10"/>
  <c r="M16" i="10"/>
  <c r="M15" i="10"/>
  <c r="B33" i="10"/>
  <c r="G20" i="2"/>
  <c r="B32" i="10"/>
  <c r="D28" i="10"/>
  <c r="D29" i="10" s="1"/>
  <c r="D30" i="10" s="1"/>
  <c r="D31" i="10" s="1"/>
  <c r="E31" i="10"/>
  <c r="E27" i="10"/>
  <c r="E30" i="10"/>
  <c r="E29" i="10"/>
  <c r="E28" i="10"/>
  <c r="H13" i="2"/>
  <c r="K9" i="2" s="1"/>
  <c r="H14" i="2"/>
  <c r="H17" i="2"/>
  <c r="I21" i="10"/>
  <c r="I20" i="10"/>
  <c r="I19" i="10"/>
  <c r="F21" i="3"/>
  <c r="F22" i="3" s="1"/>
  <c r="J20" i="3" s="1"/>
  <c r="J19" i="3"/>
  <c r="K12" i="3"/>
  <c r="K13" i="3"/>
  <c r="K14" i="3" s="1"/>
  <c r="K16" i="3"/>
  <c r="J21" i="3"/>
  <c r="G21" i="2"/>
  <c r="G22" i="2"/>
  <c r="B19" i="21"/>
  <c r="B26" i="21"/>
  <c r="C28" i="20" l="1"/>
  <c r="J22" i="10"/>
  <c r="K17" i="3"/>
  <c r="F28" i="46"/>
  <c r="B28" i="21"/>
  <c r="H23" i="2"/>
  <c r="K22" i="3"/>
  <c r="D13" i="10"/>
  <c r="J13" i="10" s="1"/>
  <c r="F28" i="19"/>
  <c r="G28" i="20"/>
  <c r="C28" i="19"/>
  <c r="K23" i="3"/>
  <c r="C19" i="16"/>
  <c r="D18" i="16"/>
  <c r="E18" i="16" s="1"/>
  <c r="F18" i="16" s="1"/>
  <c r="D17" i="21"/>
  <c r="C19" i="21"/>
  <c r="C26" i="21"/>
  <c r="D28" i="19"/>
  <c r="B19" i="16"/>
  <c r="C26" i="16"/>
  <c r="B26" i="16"/>
  <c r="D17" i="16"/>
  <c r="C26" i="22"/>
  <c r="C19" i="22"/>
  <c r="D17" i="22"/>
  <c r="B19" i="22"/>
  <c r="B26" i="22"/>
  <c r="H15" i="2"/>
  <c r="B28" i="16" l="1"/>
  <c r="J12" i="10"/>
  <c r="J14" i="10" s="1"/>
  <c r="J17" i="10" s="1"/>
  <c r="J23" i="10" s="1"/>
  <c r="L22" i="10" s="1"/>
  <c r="C28" i="22"/>
  <c r="C28" i="16"/>
  <c r="K24" i="3"/>
  <c r="K25" i="3" s="1"/>
  <c r="E17" i="21"/>
  <c r="D19" i="21"/>
  <c r="D26" i="21"/>
  <c r="C28" i="21"/>
  <c r="B28" i="22"/>
  <c r="D26" i="16"/>
  <c r="E17" i="16"/>
  <c r="D19" i="16"/>
  <c r="E17" i="22"/>
  <c r="D26" i="22"/>
  <c r="D19" i="22"/>
  <c r="L9" i="2"/>
  <c r="H18" i="2"/>
  <c r="D28" i="22" l="1"/>
  <c r="D28" i="21"/>
  <c r="E26" i="21"/>
  <c r="F17" i="21"/>
  <c r="E19" i="21"/>
  <c r="D28" i="16"/>
  <c r="F17" i="16"/>
  <c r="E19" i="16"/>
  <c r="E26" i="16"/>
  <c r="E26" i="22"/>
  <c r="E19" i="22"/>
  <c r="F17" i="22"/>
  <c r="M9" i="2"/>
  <c r="H24" i="2"/>
  <c r="E28" i="22" l="1"/>
  <c r="E28" i="21"/>
  <c r="E28" i="16"/>
  <c r="F19" i="21"/>
  <c r="F26" i="21"/>
  <c r="F26" i="16"/>
  <c r="F19" i="16"/>
  <c r="F19" i="22"/>
  <c r="F26" i="22"/>
  <c r="N9" i="2"/>
  <c r="J26" i="2"/>
  <c r="F28" i="16" l="1"/>
  <c r="F28" i="21"/>
  <c r="F28"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A8" authorId="0" shapeId="0" xr:uid="{2305608E-21EC-41F6-8864-0C98D6C8BAA9}">
      <text>
        <r>
          <rPr>
            <b/>
            <sz val="9"/>
            <color indexed="81"/>
            <rFont val="Tahoma"/>
            <family val="2"/>
          </rPr>
          <t>Travis Day:</t>
        </r>
        <r>
          <rPr>
            <sz val="9"/>
            <color indexed="81"/>
            <rFont val="Tahoma"/>
            <family val="2"/>
          </rPr>
          <t xml:space="preserve">
This Notes file contains data tables.  Data tables can often be memory intensive, therefore spreadsheets with data files can often experience periodic delays while data tables recalculate (typically, anytime formulas are entered/edited).  In order to minimize such delays, Excel's calculation method for the Notes file is set to Automatic except for data tables.  With this setting enabled, data tables will only recalculate when the spreadsheet is saved.  (This is a workbook /file setting...not a computer setting.  To change this setting in Excel, look under the Formulas group.) Depending on the speed &amp; resources of your computer, you may notice some delays when editing cells while the data tables update.</t>
        </r>
      </text>
    </comment>
    <comment ref="B8" authorId="0" shapeId="0" xr:uid="{74B53B09-CD1B-4611-B51B-3AC8D213B67F}">
      <text>
        <r>
          <rPr>
            <b/>
            <sz val="9"/>
            <color indexed="81"/>
            <rFont val="Tahoma"/>
            <family val="2"/>
          </rPr>
          <t>Travis Day:</t>
        </r>
        <r>
          <rPr>
            <sz val="9"/>
            <color indexed="81"/>
            <rFont val="Tahoma"/>
            <family val="2"/>
          </rPr>
          <t xml:space="preserve">
This Notes file contains data tables.  Data tables can often be memory intensive, therefore spreadsheets with data files can often experience periodic delays while data tables recalculate (typically, anytime formulas are entered/edited).  In order to minimize such delays, Excel's calculation method for the Notes file is set to Automatic except for data tables.  With this setting enabled, data tables will only recalculate when the spreadsheet is saved.  (This is a workbook /file setting...not a computer setting.  To change this setting in Excel, look under the Formulas group.) Depending on the speed &amp; resources of your computer, you may notice some delays when editing cells while the data tables update.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9" authorId="0" shapeId="0" xr:uid="{7C40E7CF-AAEF-457E-A3DA-6AD91C329BD8}">
      <text>
        <r>
          <rPr>
            <b/>
            <sz val="9"/>
            <color indexed="81"/>
            <rFont val="Tahoma"/>
            <family val="2"/>
          </rPr>
          <t>Travis Day:</t>
        </r>
        <r>
          <rPr>
            <sz val="9"/>
            <color indexed="81"/>
            <rFont val="Tahoma"/>
            <family val="2"/>
          </rPr>
          <t xml:space="preserve">
Inputs (cells with a blue font) have been named. 
When formulas (or scenario summaries) are created, cell names are used instead of cell references.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D7" authorId="0" shapeId="0" xr:uid="{9CF6E381-CF82-4669-98AF-0C6031630739}">
      <text>
        <r>
          <rPr>
            <b/>
            <sz val="9"/>
            <color indexed="81"/>
            <rFont val="Tahoma"/>
            <family val="2"/>
          </rPr>
          <t>Day, Travis:</t>
        </r>
        <r>
          <rPr>
            <sz val="9"/>
            <color indexed="81"/>
            <rFont val="Tahoma"/>
            <family val="2"/>
          </rPr>
          <t xml:space="preserve">
Use the Scenario Manager (Alt, a, w, s) to easily show different sets of assumptions for this forecast.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G6" authorId="0" shapeId="0" xr:uid="{A680F1EB-86A4-4949-8E98-D2E69AC9FA5D}">
      <text>
        <r>
          <rPr>
            <b/>
            <sz val="9"/>
            <color indexed="81"/>
            <rFont val="Tahoma"/>
            <family val="2"/>
          </rPr>
          <t>Travis Day:</t>
        </r>
        <r>
          <rPr>
            <sz val="9"/>
            <color indexed="81"/>
            <rFont val="Tahoma"/>
            <family val="2"/>
          </rPr>
          <t xml:space="preserve">
Scenario Manager's "Changing cells" should never be cells that contain formulas! 
(Excel will DELETE any formulas specified as Changing cells.)
When adding an additional scenario, Excel remembers the same changing cells from the first scenario. (Having different changing cells for different scenarios can result in a "confusing" Scenario PiviotTable report.)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I10" authorId="0" shapeId="0" xr:uid="{360055B0-BDED-4F35-B493-F126CC2E76BB}">
      <text>
        <r>
          <rPr>
            <b/>
            <sz val="9"/>
            <color indexed="81"/>
            <rFont val="Tahoma"/>
            <family val="2"/>
          </rPr>
          <t>Travis Day:</t>
        </r>
        <r>
          <rPr>
            <sz val="9"/>
            <color indexed="81"/>
            <rFont val="Tahoma"/>
            <family val="2"/>
          </rPr>
          <t xml:space="preserve">
Rather than switching back and forth between the different scenarios to compare the results, you can quickly see a side-by-side comparison of the three scenarios using a "scenario summary."  
Note that unless you have given your cells "range names," the Changing  Cells  and Results Cells listed above would only contain cell references.
Therefore you would need to edit the Scenario Summary sheet to make it more clear.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I10" authorId="0" shapeId="0" xr:uid="{D7549082-8C04-4C12-B55F-750BB31F8AE5}">
      <text>
        <r>
          <rPr>
            <b/>
            <sz val="9"/>
            <color indexed="81"/>
            <rFont val="Tahoma"/>
            <family val="2"/>
          </rPr>
          <t>Travis Day:</t>
        </r>
        <r>
          <rPr>
            <sz val="9"/>
            <color indexed="81"/>
            <rFont val="Tahoma"/>
            <family val="2"/>
          </rPr>
          <t xml:space="preserve">
Without range "names," the Changing  Cells  and Results Cells listed above only contain cell references.
Therefore you would need to edit the Scenario Summary sheet to make it more clear.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E7" authorId="0" shapeId="0" xr:uid="{00000000-0006-0000-1900-000001000000}">
      <text>
        <r>
          <rPr>
            <b/>
            <sz val="8"/>
            <color indexed="81"/>
            <rFont val="Tahoma"/>
            <family val="2"/>
          </rPr>
          <t>By changing cell</t>
        </r>
        <r>
          <rPr>
            <sz val="8"/>
            <color indexed="81"/>
            <rFont val="Tahoma"/>
            <family val="2"/>
          </rPr>
          <t xml:space="preserve">
What value for Labor Cost per Hour would result in Total Cost to Inspect of $225?</t>
        </r>
      </text>
    </comment>
    <comment ref="E110" authorId="0" shapeId="0" xr:uid="{00000000-0006-0000-1900-000002000000}">
      <text>
        <r>
          <rPr>
            <b/>
            <sz val="8"/>
            <color indexed="81"/>
            <rFont val="Tahoma"/>
            <family val="2"/>
          </rPr>
          <t xml:space="preserve">Set cell </t>
        </r>
        <r>
          <rPr>
            <sz val="8"/>
            <color indexed="81"/>
            <rFont val="Tahoma"/>
            <family val="2"/>
          </rPr>
          <t xml:space="preserve">
Use Goal Seek to make the result of this formula equal $225, the desired Total Cost to Inspect.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B18" authorId="0" shapeId="0" xr:uid="{8B023F76-61F9-4AD5-BDDD-3A4CAA9D2E02}">
      <text>
        <r>
          <rPr>
            <sz val="8"/>
            <color indexed="81"/>
            <rFont val="Tahoma"/>
            <family val="2"/>
          </rPr>
          <t>You CANNOT change any cells that conain formulas.  In Excel, "changing cells should never be cells with formulas, whether for Goal Seek, Solver, Scenario Manager, etc.</t>
        </r>
      </text>
    </comment>
    <comment ref="B24" authorId="0" shapeId="0" xr:uid="{00000000-0006-0000-1A00-000001000000}">
      <text>
        <r>
          <rPr>
            <sz val="8"/>
            <color indexed="81"/>
            <rFont val="Tahoma"/>
            <family val="2"/>
          </rPr>
          <t>Use goal seek to make the result of this formula be $250 by changing some of the inputs above.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Day, Travis</author>
  </authors>
  <commentList>
    <comment ref="N9" authorId="0" shapeId="0" xr:uid="{49CA3D93-D91C-47EE-9DE3-DE19A0ED3555}">
      <text>
        <r>
          <rPr>
            <sz val="9"/>
            <color indexed="81"/>
            <rFont val="Tahoma"/>
            <family val="2"/>
          </rPr>
          <t>These formulas are calculated based on columns to the left.</t>
        </r>
      </text>
    </comment>
    <comment ref="P9" authorId="0" shapeId="0" xr:uid="{09EE0F1D-78F1-441A-A429-94D4D536EC31}">
      <text>
        <r>
          <rPr>
            <b/>
            <sz val="9"/>
            <color indexed="81"/>
            <rFont val="Tahoma"/>
            <family val="2"/>
          </rPr>
          <t>Day, Travis:</t>
        </r>
        <r>
          <rPr>
            <sz val="9"/>
            <color indexed="81"/>
            <rFont val="Tahoma"/>
            <family val="2"/>
          </rPr>
          <t xml:space="preserve">
These formulas are calculated independent of any of the columns to the left.</t>
        </r>
      </text>
    </comment>
  </commentList>
</comments>
</file>

<file path=xl/sharedStrings.xml><?xml version="1.0" encoding="utf-8"?>
<sst xmlns="http://schemas.openxmlformats.org/spreadsheetml/2006/main" count="652" uniqueCount="328">
  <si>
    <t>Projected Profitability and Break-Even Analysis</t>
  </si>
  <si>
    <t>For the Year Ended Dec 31, 2007</t>
  </si>
  <si>
    <t>TheZone - Apparel Division - TZSwimSkin</t>
  </si>
  <si>
    <t>Assumptions:</t>
  </si>
  <si>
    <t>Projections:</t>
  </si>
  <si>
    <t>Regarding revenues</t>
  </si>
  <si>
    <t>Selling price per unit</t>
  </si>
  <si>
    <t>Regarding variable expenses per unit</t>
  </si>
  <si>
    <t>COGS</t>
  </si>
  <si>
    <t>Distribution</t>
  </si>
  <si>
    <t>Regarding marginal fixed expenses</t>
  </si>
  <si>
    <t>Marketing</t>
  </si>
  <si>
    <t>Payroll</t>
  </si>
  <si>
    <t>Estimated overhead</t>
  </si>
  <si>
    <t>Sales</t>
  </si>
  <si>
    <t>Gross profit</t>
  </si>
  <si>
    <t>Other variable expenses:</t>
  </si>
  <si>
    <t>Distribution expense</t>
  </si>
  <si>
    <t>Contribution margin</t>
  </si>
  <si>
    <t>Fixed expenses:</t>
  </si>
  <si>
    <t>Overhead</t>
  </si>
  <si>
    <t>Total fixed expenses</t>
  </si>
  <si>
    <t>Marginal income before taxes</t>
  </si>
  <si>
    <t>Units</t>
  </si>
  <si>
    <t>Sales, Gross Profit, Contribution Margin, and Income before</t>
  </si>
  <si>
    <t>Taxes Given Varying Numbers of Units Sold</t>
  </si>
  <si>
    <t>Sales Prices</t>
  </si>
  <si>
    <t>Income Before Taxes Given</t>
  </si>
  <si>
    <t>Varying Sales Prices and COGS per Unit</t>
  </si>
  <si>
    <t>TheZone - Apparel Division - Swimwear</t>
  </si>
  <si>
    <t>Swimsuit Style Categories</t>
  </si>
  <si>
    <t>Men's Racers</t>
  </si>
  <si>
    <t>Men's Trunks</t>
  </si>
  <si>
    <t>Women's One-Piece Racers</t>
  </si>
  <si>
    <t>Women's Two-Piece Suits</t>
  </si>
  <si>
    <t>Regarding variable expenses (per unit)</t>
  </si>
  <si>
    <t>Regarding marginal fixed and step-variable expenses</t>
  </si>
  <si>
    <t>Average salary per swimsuit line employee</t>
  </si>
  <si>
    <t>Number of employees need (based on unit sales)</t>
  </si>
  <si>
    <t>Total payroll at estimated units sold (not grouped by style)</t>
  </si>
  <si>
    <t>Estimated overhead (not grouped by style)</t>
  </si>
  <si>
    <t>Other items</t>
  </si>
  <si>
    <t>Total Units Sold Greater Than:</t>
  </si>
  <si>
    <t>Number of Employees Needed:</t>
  </si>
  <si>
    <t>Estimated income tax expense</t>
  </si>
  <si>
    <t>Marginal net income</t>
  </si>
  <si>
    <t>Unit sales price</t>
  </si>
  <si>
    <t>RacersSold</t>
  </si>
  <si>
    <t>TrunksSold</t>
  </si>
  <si>
    <t>WOneSold</t>
  </si>
  <si>
    <t>WTwoSold</t>
  </si>
  <si>
    <t>RacersMktgExp</t>
  </si>
  <si>
    <t>TrunksMktgExp</t>
  </si>
  <si>
    <t>WOneMktgExp</t>
  </si>
  <si>
    <t>WTwoMktgExp</t>
  </si>
  <si>
    <t>Continued Marketing</t>
  </si>
  <si>
    <t>Created by Richard Rayburn on 5/25/2007
The Continued Marketing plan assumes that next year's marketing expenditures will be the same as last year's.
Modified by Lisa Ruffolo on 10/25/2004</t>
  </si>
  <si>
    <t>Discount</t>
  </si>
  <si>
    <t>Created by Richard Rayburn on 5/25/2007
Modified by Lisa Ruffolo on 10/25/2004</t>
  </si>
  <si>
    <t>College</t>
  </si>
  <si>
    <t>Balanced</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</si>
  <si>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</si>
  <si>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</si>
  <si>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</si>
  <si>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</si>
  <si>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</si>
  <si>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</si>
  <si>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</si>
  <si>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GrossProfit</t>
  </si>
  <si>
    <t>ContributionMargin</t>
  </si>
  <si>
    <t>PayrollExpense</t>
  </si>
  <si>
    <t>IncomeBeforeTaxes</t>
  </si>
  <si>
    <t>NetIncome</t>
  </si>
  <si>
    <t>SalesRevenue</t>
  </si>
  <si>
    <t>Marketing Options</t>
  </si>
  <si>
    <t>Projections</t>
  </si>
  <si>
    <t>Sales in units (generated from probability distribution</t>
  </si>
  <si>
    <t>table using a random number)</t>
  </si>
  <si>
    <t>Unit Sales Probabilities</t>
  </si>
  <si>
    <t>Individual Probability</t>
  </si>
  <si>
    <t>Unit Sales Distribution Table</t>
  </si>
  <si>
    <t>Cumulative Probability</t>
  </si>
  <si>
    <t>Related Units</t>
  </si>
  <si>
    <t>Random Number</t>
  </si>
  <si>
    <t>Selling Prices</t>
  </si>
  <si>
    <t>Simulated Income Before Taxes Given Various Selling Prices</t>
  </si>
  <si>
    <t>Simulated Profitability Statistics Given Various Selling Prices</t>
  </si>
  <si>
    <t>Standard deviation</t>
  </si>
  <si>
    <t>Average income</t>
  </si>
  <si>
    <t>Maximum income</t>
  </si>
  <si>
    <t>Minimum income</t>
  </si>
  <si>
    <t>Units sold</t>
  </si>
  <si>
    <t>Marginal tax rate</t>
  </si>
  <si>
    <t>Get Rich Quick Enterprises</t>
  </si>
  <si>
    <t>Conservative Figures</t>
  </si>
  <si>
    <t>Initial conditions</t>
  </si>
  <si>
    <t>Change</t>
  </si>
  <si>
    <t xml:space="preserve">   First year sales (units)</t>
  </si>
  <si>
    <t xml:space="preserve">   Selling price</t>
  </si>
  <si>
    <t xml:space="preserve">   Unit manufacturing cost</t>
  </si>
  <si>
    <t xml:space="preserve">   Production facility costs</t>
  </si>
  <si>
    <t xml:space="preserve">   Administration costs</t>
  </si>
  <si>
    <t>Income</t>
  </si>
  <si>
    <t xml:space="preserve">   Units Sold</t>
  </si>
  <si>
    <t xml:space="preserve">   Unit Price</t>
  </si>
  <si>
    <t>Gross Revenue</t>
  </si>
  <si>
    <t>Fixed costs</t>
  </si>
  <si>
    <t xml:space="preserve">   Production facility</t>
  </si>
  <si>
    <t xml:space="preserve">   Administration</t>
  </si>
  <si>
    <t>Variable cost</t>
  </si>
  <si>
    <t xml:space="preserve">   Unit mfg cost</t>
  </si>
  <si>
    <t xml:space="preserve">   Variable mfg cost</t>
  </si>
  <si>
    <t>Earnings before taxes</t>
  </si>
  <si>
    <t>Worksheet Name</t>
  </si>
  <si>
    <t>Travis Day</t>
  </si>
  <si>
    <t>First_year_sales__units</t>
  </si>
  <si>
    <t>Selling_price</t>
  </si>
  <si>
    <t>Unit_manufacturing_cost</t>
  </si>
  <si>
    <t>Production_facility_costs</t>
  </si>
  <si>
    <t>Administration_costs</t>
  </si>
  <si>
    <t>First_year_sales__change</t>
  </si>
  <si>
    <t>Selling_price__change</t>
  </si>
  <si>
    <t>Unit_manufacturing_cost__change</t>
  </si>
  <si>
    <t>Production_facility_costs__chan</t>
  </si>
  <si>
    <t>Administration_costs__change</t>
  </si>
  <si>
    <t>Aggressive Figures</t>
  </si>
  <si>
    <t>Middle of Road Figures</t>
  </si>
  <si>
    <t>Scenario</t>
  </si>
  <si>
    <t>Scenario Pivot Table &amp; Chart</t>
  </si>
  <si>
    <t>Created by</t>
  </si>
  <si>
    <t>Last Modified</t>
  </si>
  <si>
    <r>
      <t xml:space="preserve">SUMPRODUCT ranges can have </t>
    </r>
    <r>
      <rPr>
        <sz val="10"/>
        <color indexed="10"/>
        <rFont val="Arial"/>
        <family val="2"/>
      </rPr>
      <t>blank cells</t>
    </r>
    <r>
      <rPr>
        <sz val="10"/>
        <rFont val="Arial"/>
        <family val="2"/>
      </rPr>
      <t xml:space="preserve"> within the range (a blank cell is equivalent to multiplying by 0)</t>
    </r>
  </si>
  <si>
    <r>
      <t xml:space="preserve">Use </t>
    </r>
    <r>
      <rPr>
        <sz val="10"/>
        <color indexed="10"/>
        <rFont val="Arial"/>
        <family val="2"/>
      </rPr>
      <t>SUMPRODUCT</t>
    </r>
    <r>
      <rPr>
        <sz val="10"/>
        <rFont val="Arial"/>
        <family val="2"/>
      </rPr>
      <t xml:space="preserve"> when you have a (cell*cell)+(cell*cell)… situation.  (It's </t>
    </r>
    <r>
      <rPr>
        <sz val="10"/>
        <color indexed="10"/>
        <rFont val="Arial"/>
        <family val="2"/>
      </rPr>
      <t>simpler</t>
    </r>
    <r>
      <rPr>
        <sz val="10"/>
        <rFont val="Arial"/>
        <family val="2"/>
      </rPr>
      <t xml:space="preserve"> and more flexible.)</t>
    </r>
  </si>
  <si>
    <t>Exam Weights</t>
  </si>
  <si>
    <t>Range</t>
  </si>
  <si>
    <t>Lowest Grade</t>
  </si>
  <si>
    <t>Highest Grade</t>
  </si>
  <si>
    <t>Average</t>
  </si>
  <si>
    <t>Smith, Adam</t>
  </si>
  <si>
    <t>Moldof, Adam</t>
  </si>
  <si>
    <t>Milgrom, Marion</t>
  </si>
  <si>
    <t>Goodman, Neil</t>
  </si>
  <si>
    <t>Glassman, Kris</t>
  </si>
  <si>
    <t>Ford, Judd</t>
  </si>
  <si>
    <t>Fegin, Richard</t>
  </si>
  <si>
    <t>Coulter, Sara</t>
  </si>
  <si>
    <t>Carson, Kit</t>
  </si>
  <si>
    <t>Brown, James</t>
  </si>
  <si>
    <t>Borow, Jeff</t>
  </si>
  <si>
    <t>Boone, Dan</t>
  </si>
  <si>
    <t>Barber, Maryann</t>
  </si>
  <si>
    <t>Adams, John</t>
  </si>
  <si>
    <t>Test Average</t>
  </si>
  <si>
    <t>Final</t>
  </si>
  <si>
    <t>Test 3</t>
  </si>
  <si>
    <t>Test 2</t>
  </si>
  <si>
    <t>Test 1</t>
  </si>
  <si>
    <t>Student ID</t>
  </si>
  <si>
    <t>Name</t>
  </si>
  <si>
    <t>10 point grading scale</t>
  </si>
  <si>
    <t>Professor's Grade Book</t>
  </si>
  <si>
    <t>Using Cell*Cell+Cell*Cell to Achieve "Weighting"</t>
  </si>
  <si>
    <t>Using SUMPRODUCT to Achieve "Weighting"</t>
  </si>
  <si>
    <t>Variable mfg cost</t>
  </si>
  <si>
    <t>Unit mfg cost</t>
  </si>
  <si>
    <t>Administration costs</t>
  </si>
  <si>
    <t>Production facility costs</t>
  </si>
  <si>
    <t>Unit Price</t>
  </si>
  <si>
    <t>Units Sold</t>
  </si>
  <si>
    <t>Unit manufacturing cost</t>
  </si>
  <si>
    <t>Selling price</t>
  </si>
  <si>
    <t>Sales (units)</t>
  </si>
  <si>
    <t>$F$27</t>
  </si>
  <si>
    <t>$E$27</t>
  </si>
  <si>
    <t>$D$27</t>
  </si>
  <si>
    <t>$C$27</t>
  </si>
  <si>
    <t>$B$27</t>
  </si>
  <si>
    <t>$D$11</t>
  </si>
  <si>
    <t>$D$10</t>
  </si>
  <si>
    <t>$D$9</t>
  </si>
  <si>
    <t>$D$8</t>
  </si>
  <si>
    <t>$D$7</t>
  </si>
  <si>
    <t>$B$11</t>
  </si>
  <si>
    <t>$B$10</t>
  </si>
  <si>
    <t>$B$9</t>
  </si>
  <si>
    <t>$B$8</t>
  </si>
  <si>
    <t>$B$7</t>
  </si>
  <si>
    <t>$A$5</t>
  </si>
  <si>
    <t>(All)</t>
  </si>
  <si>
    <t>Scenario Summary - Swimwear</t>
  </si>
  <si>
    <t>Formulas with Unnamed Ranges</t>
  </si>
  <si>
    <t>Formulas with Named Ranges</t>
  </si>
  <si>
    <t>Row Labels</t>
  </si>
  <si>
    <t>Scenario Pivot Table before Formatting, Cleanup</t>
  </si>
  <si>
    <t>Formatted Scenario Pivot Table</t>
  </si>
  <si>
    <t>Earnings Before Taxes</t>
  </si>
  <si>
    <t>Use Scenario Manager to Switch Between Sets of Assumptions</t>
  </si>
  <si>
    <t>Scenario Summary (with Named Ranges) Compares Results of Each Scenario</t>
  </si>
  <si>
    <t>Scenario Summary (without Named Ranges) Requires Editing In Order to Be Clear</t>
  </si>
  <si>
    <t>SCENARIOS</t>
  </si>
  <si>
    <r>
      <t xml:space="preserve">Use </t>
    </r>
    <r>
      <rPr>
        <sz val="10"/>
        <color indexed="10"/>
        <rFont val="Arial"/>
        <family val="2"/>
      </rPr>
      <t>Scenarios</t>
    </r>
    <r>
      <rPr>
        <sz val="10"/>
        <rFont val="Arial"/>
        <family val="2"/>
      </rPr>
      <t xml:space="preserve"> to save different sets of assumptions, and be able to quickly switch between those sets.</t>
    </r>
  </si>
  <si>
    <r>
      <t>Save the first set of assumptions as a scenario before changing any data for any following scenarios.  (This will help to avoid accidentally "</t>
    </r>
    <r>
      <rPr>
        <sz val="10"/>
        <color indexed="10"/>
        <rFont val="Arial"/>
        <family val="2"/>
      </rPr>
      <t>leaving out</t>
    </r>
    <r>
      <rPr>
        <sz val="10"/>
        <rFont val="Arial"/>
        <family val="2"/>
      </rPr>
      <t xml:space="preserve">" a </t>
    </r>
    <r>
      <rPr>
        <sz val="10"/>
        <color indexed="10"/>
        <rFont val="Arial"/>
        <family val="2"/>
      </rPr>
      <t>scenario</t>
    </r>
    <r>
      <rPr>
        <sz val="10"/>
        <rFont val="Arial"/>
        <family val="2"/>
      </rPr>
      <t>.)</t>
    </r>
  </si>
  <si>
    <r>
      <t xml:space="preserve">Use </t>
    </r>
    <r>
      <rPr>
        <sz val="10"/>
        <color indexed="10"/>
        <rFont val="Arial"/>
        <family val="2"/>
      </rPr>
      <t>descriptive names</t>
    </r>
    <r>
      <rPr>
        <sz val="10"/>
        <rFont val="Arial"/>
        <family val="2"/>
      </rPr>
      <t xml:space="preserve"> for scenarios so it's easy to tell which scenario is which  (do not use  "Scenario 1", "Scenario 2")</t>
    </r>
  </si>
  <si>
    <r>
      <t xml:space="preserve">Scenarios </t>
    </r>
    <r>
      <rPr>
        <sz val="10"/>
        <color indexed="10"/>
        <rFont val="Arial"/>
        <family val="2"/>
      </rPr>
      <t>cannot change merged cells</t>
    </r>
    <r>
      <rPr>
        <sz val="10"/>
        <rFont val="Arial"/>
        <family val="2"/>
      </rPr>
      <t>.  (Use Center Across Selection rather than the Merge &amp; Center toolbar button when trying to center text labels such as titles.)</t>
    </r>
  </si>
  <si>
    <r>
      <t xml:space="preserve">After setting up scenarios, show each scenario to </t>
    </r>
    <r>
      <rPr>
        <sz val="10"/>
        <color indexed="10"/>
        <rFont val="Arial"/>
        <family val="2"/>
      </rPr>
      <t>verify everything is set up properly</t>
    </r>
    <r>
      <rPr>
        <sz val="10"/>
        <rFont val="Arial"/>
        <family val="2"/>
      </rPr>
      <t>.</t>
    </r>
  </si>
  <si>
    <t>Key Points &amp; Grading Key Sample Items</t>
  </si>
  <si>
    <t>All instances of your scenario name in a worksheet should change when switching scenarios.</t>
  </si>
  <si>
    <r>
      <rPr>
        <sz val="10"/>
        <color indexed="10"/>
        <rFont val="Arial"/>
        <family val="2"/>
      </rPr>
      <t>Changing cells</t>
    </r>
    <r>
      <rPr>
        <sz val="10"/>
        <rFont val="Arial"/>
        <family val="2"/>
      </rPr>
      <t xml:space="preserve"> should be cells that contain the number &amp; text values to be changed (usually assumptions &amp; headings).</t>
    </r>
  </si>
  <si>
    <r>
      <rPr>
        <sz val="10"/>
        <color indexed="10"/>
        <rFont val="Arial"/>
        <family val="2"/>
      </rPr>
      <t>Never</t>
    </r>
    <r>
      <rPr>
        <sz val="10"/>
        <rFont val="Arial"/>
        <family val="2"/>
      </rPr>
      <t xml:space="preserve"> choose cells with </t>
    </r>
    <r>
      <rPr>
        <sz val="10"/>
        <color indexed="10"/>
        <rFont val="Arial"/>
        <family val="2"/>
      </rPr>
      <t>formulas</t>
    </r>
    <r>
      <rPr>
        <sz val="10"/>
        <rFont val="Arial"/>
        <family val="2"/>
      </rPr>
      <t xml:space="preserve"> as Scenarios' </t>
    </r>
    <r>
      <rPr>
        <sz val="10"/>
        <color indexed="10"/>
        <rFont val="Arial"/>
        <family val="2"/>
      </rPr>
      <t>changing cells</t>
    </r>
    <r>
      <rPr>
        <sz val="10"/>
        <rFont val="Arial"/>
        <family val="2"/>
      </rPr>
      <t>!</t>
    </r>
  </si>
  <si>
    <t>Changing cells are usually the same cells for each scenario.</t>
  </si>
  <si>
    <r>
      <t xml:space="preserve">When using scenarios, it is not necessary to include extra columns or sheets for the various sets of data (all of data for the various </t>
    </r>
    <r>
      <rPr>
        <sz val="10"/>
        <color rgb="FFFF0000"/>
        <rFont val="Arial"/>
        <family val="2"/>
      </rPr>
      <t>scenarios reside within the current workshee</t>
    </r>
    <r>
      <rPr>
        <sz val="10"/>
        <rFont val="Arial"/>
        <family val="2"/>
      </rPr>
      <t>t).</t>
    </r>
  </si>
  <si>
    <r>
      <t xml:space="preserve">When copying worksheets, always </t>
    </r>
    <r>
      <rPr>
        <sz val="10"/>
        <color indexed="10"/>
        <rFont val="Arial"/>
        <family val="2"/>
      </rPr>
      <t>copy the whole worksheet</t>
    </r>
    <r>
      <rPr>
        <sz val="10"/>
        <rFont val="Arial"/>
        <family val="2"/>
      </rPr>
      <t xml:space="preserve"> (i.e. by right-clicking on the sheet tab.)</t>
    </r>
    <r>
      <rPr>
        <sz val="10"/>
        <color indexed="10"/>
        <rFont val="Arial"/>
        <family val="2"/>
      </rPr>
      <t xml:space="preserve">  </t>
    </r>
    <r>
      <rPr>
        <sz val="10"/>
        <color rgb="FFFF0000"/>
        <rFont val="Arial"/>
        <family val="2"/>
      </rPr>
      <t>Otherwise, scenarios will be lost.</t>
    </r>
  </si>
  <si>
    <r>
      <t xml:space="preserve">To use the </t>
    </r>
    <r>
      <rPr>
        <sz val="10"/>
        <color indexed="10"/>
        <rFont val="Arial"/>
        <family val="2"/>
      </rPr>
      <t>Scenario "selector" drop-down</t>
    </r>
    <r>
      <rPr>
        <sz val="10"/>
        <rFont val="Arial"/>
        <family val="2"/>
      </rPr>
      <t xml:space="preserve"> menu</t>
    </r>
    <r>
      <rPr>
        <sz val="10"/>
        <color rgb="FFFF0000"/>
        <rFont val="Arial"/>
        <family val="2"/>
      </rPr>
      <t xml:space="preserve"> in Excel 2003</t>
    </r>
    <r>
      <rPr>
        <sz val="10"/>
        <rFont val="Arial"/>
        <family val="2"/>
      </rPr>
      <t>, customize one of your toolbars.</t>
    </r>
  </si>
  <si>
    <t xml:space="preserve">To customize a toolbar in Excel 2003, right-click in the toolbar area, Customize..., Commands tab, Tools, and drag the Scenario: toolbar button ONTO a toolbar, NOT into the blank gray toolbar area. </t>
  </si>
  <si>
    <r>
      <t>Note that any Toolbar changes are effective only on the computer being used…</t>
    </r>
    <r>
      <rPr>
        <sz val="10"/>
        <color rgb="FFFF0000"/>
        <rFont val="Arial"/>
        <family val="2"/>
      </rPr>
      <t>toolbar changes do not save with the file</t>
    </r>
    <r>
      <rPr>
        <sz val="10"/>
        <rFont val="Arial"/>
        <family val="2"/>
      </rPr>
      <t>.</t>
    </r>
  </si>
  <si>
    <r>
      <t xml:space="preserve">To </t>
    </r>
    <r>
      <rPr>
        <sz val="10"/>
        <color rgb="FFFF0000"/>
        <rFont val="Arial"/>
        <family val="2"/>
      </rPr>
      <t>Customize the Quick Access Toolbar,</t>
    </r>
    <r>
      <rPr>
        <sz val="10"/>
        <rFont val="Arial"/>
        <family val="2"/>
      </rPr>
      <t xml:space="preserve"> access the pull-down menu at the right end of the Quick Access toolbar, and select More Commands..., then under "Choose commands from" choose "All Commands", ...then find and add the "Scenario" item (by double-clicking it or selecting it and then the Add&gt;&gt; button).</t>
    </r>
  </si>
  <si>
    <r>
      <t xml:space="preserve">To use the </t>
    </r>
    <r>
      <rPr>
        <sz val="10"/>
        <color indexed="10"/>
        <rFont val="Arial"/>
        <family val="2"/>
      </rPr>
      <t>Scenario "selector" drop-down</t>
    </r>
    <r>
      <rPr>
        <sz val="10"/>
        <rFont val="Arial"/>
        <family val="2"/>
      </rPr>
      <t xml:space="preserve"> menu</t>
    </r>
    <r>
      <rPr>
        <sz val="10"/>
        <color rgb="FFFF0000"/>
        <rFont val="Arial"/>
        <family val="2"/>
      </rPr>
      <t xml:space="preserve"> in Excel 2007</t>
    </r>
    <r>
      <rPr>
        <sz val="10"/>
        <rFont val="Arial"/>
        <family val="2"/>
      </rPr>
      <t>, customize the QuickAccess Toolbar.</t>
    </r>
  </si>
  <si>
    <r>
      <rPr>
        <sz val="10"/>
        <color indexed="10"/>
        <rFont val="Arial"/>
        <family val="2"/>
      </rPr>
      <t xml:space="preserve">Include the name </t>
    </r>
    <r>
      <rPr>
        <sz val="10"/>
        <rFont val="Arial"/>
        <family val="2"/>
      </rPr>
      <t xml:space="preserve">of the scenario somewhere within the worksheet and include that cell as one of the  </t>
    </r>
    <r>
      <rPr>
        <sz val="10"/>
        <color indexed="10"/>
        <rFont val="Arial"/>
        <family val="2"/>
      </rPr>
      <t>changing cells</t>
    </r>
    <r>
      <rPr>
        <sz val="10"/>
        <rFont val="Arial"/>
        <family val="2"/>
      </rPr>
      <t xml:space="preserve"> in your scenarios.  This way, a user can easily tell which scenario is currently being used/shown.</t>
    </r>
  </si>
  <si>
    <t>Blank Figures</t>
  </si>
  <si>
    <t>Blank Values</t>
  </si>
  <si>
    <t>Created by Travis Day on 1/21/2020</t>
  </si>
  <si>
    <t>Middle of the Road Figures</t>
  </si>
  <si>
    <t>Earnings before taxes 2023</t>
  </si>
  <si>
    <t>Earnings before taxes 2024</t>
  </si>
  <si>
    <t>Scenario_name</t>
  </si>
  <si>
    <t>2020</t>
  </si>
  <si>
    <t>2021</t>
  </si>
  <si>
    <t>2022</t>
  </si>
  <si>
    <t>2023</t>
  </si>
  <si>
    <t>2024</t>
  </si>
  <si>
    <t>Scenario_Name,$B$7:$B$11,$D$7:</t>
  </si>
  <si>
    <t>User</t>
  </si>
  <si>
    <t>Worksheet Title</t>
  </si>
  <si>
    <t>SUMPRODUCT</t>
  </si>
  <si>
    <t>Naming Ranges</t>
  </si>
  <si>
    <t>Scenario Manager</t>
  </si>
  <si>
    <t>Std. Deviation:</t>
  </si>
  <si>
    <t>Average:</t>
  </si>
  <si>
    <t>Total:</t>
  </si>
  <si>
    <t>A</t>
  </si>
  <si>
    <t>E</t>
  </si>
  <si>
    <t>R</t>
  </si>
  <si>
    <t>Total Cost to Inspect</t>
  </si>
  <si>
    <t>Torsion Strength Testing</t>
  </si>
  <si>
    <t>Friction Coefficient Testing</t>
  </si>
  <si>
    <t>Style</t>
  </si>
  <si>
    <t>MFG ID#</t>
  </si>
  <si>
    <t>Actual Time in Minutes</t>
  </si>
  <si>
    <t>Time Data for Quality Control Testing - Per Ski</t>
  </si>
  <si>
    <t>Considering Alternatives:  What-If Analysis and Goal Seek</t>
  </si>
  <si>
    <t>Changing cells should NEVER be cells containing formulas.</t>
  </si>
  <si>
    <t xml:space="preserve">"By changing cell" must be a cell containing a value. </t>
  </si>
  <si>
    <t>"Set cell" MUST be a cell containing a formula.</t>
  </si>
  <si>
    <t>Set cell</t>
  </si>
  <si>
    <t>Monthly payment</t>
  </si>
  <si>
    <t>Pmt Type (beg=1, end=0)</t>
  </si>
  <si>
    <t>Payments per year</t>
  </si>
  <si>
    <t>Can be a changing cell.</t>
  </si>
  <si>
    <t>Term (years)</t>
  </si>
  <si>
    <t>Interest rate</t>
  </si>
  <si>
    <t>CANNOT be a changing cell.</t>
  </si>
  <si>
    <t>Amount to finance</t>
  </si>
  <si>
    <t>Down payment</t>
  </si>
  <si>
    <t>Manufacturer's rebate</t>
  </si>
  <si>
    <t>Price of car</t>
  </si>
  <si>
    <t>Solver can be though ot as a "souped up" version of Goal Seek, but Goal Seek can be quicker and easier for many simple tasks.</t>
  </si>
  <si>
    <t>Solver allows you to save your Solver "scenario" in order to quickly re-solve a problem.</t>
  </si>
  <si>
    <t>Solver also can also maximize or minimize the "Set cell" (known as the "Taget cell" in Solver.</t>
  </si>
  <si>
    <r>
      <t xml:space="preserve">Excel provides a more powerful tool known as </t>
    </r>
    <r>
      <rPr>
        <b/>
        <i/>
        <sz val="10"/>
        <rFont val="Arial"/>
        <family val="2"/>
      </rPr>
      <t>Solver</t>
    </r>
    <r>
      <rPr>
        <sz val="10"/>
        <rFont val="Arial"/>
        <family val="2"/>
      </rPr>
      <t xml:space="preserve"> that can vary multiple input variables (changing cells).</t>
    </r>
  </si>
  <si>
    <t>***With Goal Seek, only one parameter (e.g., Price of car OR Down payment, etc.) can be varied at a time.</t>
  </si>
  <si>
    <r>
      <rPr>
        <b/>
        <i/>
        <sz val="10"/>
        <rFont val="Arial"/>
        <family val="2"/>
      </rPr>
      <t>Goal Seek</t>
    </r>
    <r>
      <rPr>
        <sz val="10"/>
        <rFont val="Arial"/>
        <family val="2"/>
      </rPr>
      <t xml:space="preserve"> enables you to set an end result for a formula (e.g., monthly payment) by changing one of that formula's inputs (e.g. Price of car).</t>
    </r>
  </si>
  <si>
    <t>Goal Seek - Another Example</t>
  </si>
  <si>
    <t>Test 4</t>
  </si>
  <si>
    <t>tax rate</t>
  </si>
  <si>
    <t>ss tax</t>
  </si>
  <si>
    <t>Supplemental Examples</t>
  </si>
  <si>
    <t>Hidden</t>
  </si>
  <si>
    <t>Visibility</t>
  </si>
  <si>
    <t>UNC_DAYT_EXCEL_3.6.1_LECTURE_SUMPRODUCT.mp4</t>
  </si>
  <si>
    <t>UNC_DAYT_EXCEL_3.6.2_LECTURE_NAMING_RANGES.mp4</t>
  </si>
  <si>
    <t>UNC_DAYT_EXCEL_3.6.3_LECTURE_SCENARIO_MANAGER.mp4</t>
  </si>
  <si>
    <t>UNC_DAYT_EXCEL_3.6.4_LECTURE_CREATING_SCENARIOS_&amp;_SCENARIO_SUMMARY.mp4</t>
  </si>
  <si>
    <t>Goal Seek</t>
  </si>
  <si>
    <t>UNC_DAYT_EXCEL_3.6.5_LECTURE_GOAL_SEEK.mp4</t>
  </si>
  <si>
    <t>Video Link</t>
  </si>
  <si>
    <t>Using Data Tables</t>
  </si>
  <si>
    <t>COGS/unit</t>
  </si>
  <si>
    <t>Sales Revenue</t>
  </si>
  <si>
    <t>Gross Profit</t>
  </si>
  <si>
    <t>CM</t>
  </si>
  <si>
    <t>Using Formulas Only, Instead of Data Tables</t>
  </si>
  <si>
    <t>* The formula could be very long  and tedious to enter if it had to include lots of Tests.</t>
  </si>
  <si>
    <t xml:space="preserve">The  formula to calculate the Test Average uses  a Cell*Cell+Cell*Cell+... formula.  </t>
  </si>
  <si>
    <t>Problems with this:</t>
  </si>
  <si>
    <t>Created by Travis Day on 2/29/2020</t>
  </si>
  <si>
    <r>
      <t xml:space="preserve">What-if analysis  </t>
    </r>
    <r>
      <rPr>
        <sz val="10"/>
        <color rgb="FF000000"/>
        <rFont val="Arial"/>
        <family val="2"/>
      </rPr>
      <t>Determines the outcome of changing one or more input values and evaluates the recalculated results</t>
    </r>
  </si>
  <si>
    <r>
      <t xml:space="preserve">Goal Seek tool </t>
    </r>
    <r>
      <rPr>
        <sz val="10"/>
        <color rgb="FF000000"/>
        <rFont val="Arial"/>
        <family val="2"/>
      </rPr>
      <t>Specifies the outcome you want and which input value you want to vary. Excel automatically calculates the solution</t>
    </r>
  </si>
  <si>
    <r>
      <t>Set cell</t>
    </r>
    <r>
      <rPr>
        <sz val="10"/>
        <color rgb="FF000000"/>
        <rFont val="Arial"/>
        <family val="2"/>
      </rPr>
      <t xml:space="preserve"> - Indicates the cell containing the output value</t>
    </r>
  </si>
  <si>
    <r>
      <t>To value</t>
    </r>
    <r>
      <rPr>
        <sz val="10"/>
        <color rgb="FF000000"/>
        <rFont val="Arial"/>
        <family val="2"/>
      </rPr>
      <t xml:space="preserve"> - Indicates the desired output value--in other words, the goal you are seeking. </t>
    </r>
  </si>
  <si>
    <r>
      <t>By changing cell</t>
    </r>
    <r>
      <rPr>
        <sz val="10"/>
        <color rgb="FF000000"/>
        <rFont val="Arial"/>
        <family val="2"/>
      </rPr>
      <t xml:space="preserve"> - Indicates the cell containing the data to vary to reach the desired output</t>
    </r>
  </si>
  <si>
    <t>Goal Seek allows you to vary only a single input.</t>
  </si>
  <si>
    <t xml:space="preserve">The input cannot be a value derived from a formula; it must be a constant value, such as 35. </t>
  </si>
  <si>
    <t>This cell cannot contain a formula such as =30+5; it must contain the value 35. Otherwise, the warning “The cell must contain a value” will be displayed.</t>
  </si>
  <si>
    <t>You could vary the labor rate or the number of minutes it takes to perform a single test for a single ski, but not both simultaneously.</t>
  </si>
  <si>
    <t>Workbook Description</t>
  </si>
  <si>
    <t>Video Length</t>
  </si>
  <si>
    <t>Segment</t>
  </si>
  <si>
    <t>Simulated Income Projections Using Data Tables</t>
  </si>
  <si>
    <r>
      <t xml:space="preserve">This is an example of a spreadsheet </t>
    </r>
    <r>
      <rPr>
        <b/>
        <i/>
        <sz val="10"/>
        <rFont val="Arial"/>
        <family val="2"/>
      </rPr>
      <t>with</t>
    </r>
    <r>
      <rPr>
        <sz val="10"/>
        <rFont val="Arial"/>
        <family val="2"/>
      </rPr>
      <t xml:space="preserve"> Range Names.</t>
    </r>
  </si>
  <si>
    <r>
      <t xml:space="preserve">This is an example of a spreadsheet </t>
    </r>
    <r>
      <rPr>
        <b/>
        <i/>
        <sz val="10"/>
        <rFont val="Arial"/>
        <family val="2"/>
      </rPr>
      <t>without</t>
    </r>
    <r>
      <rPr>
        <sz val="10"/>
        <rFont val="Arial"/>
        <family val="2"/>
      </rPr>
      <t xml:space="preserve"> Range Names.
</t>
    </r>
  </si>
  <si>
    <t>The assumptions with the yellow background  can be changed to show different results in the Earnings Before Taxes.
What if your boss wants to be able to compare the results using 3 different sets of assumptions:  Conservative Figures, Aggressive Figures and Middle of the Road Figures.
Don't make three separate worksheets for the Financial Forecast...instead, use a single worksheet with three separate scenarios.
Select Data, What-If Analysis, Scenario Manager (Alt, a, w, s)  to bring up the options to show results for each of the different scenarios.  
Notice that when  the scenarios are changed, the subtitle changes as well to show the current scenario being used. 
Rather than switching back and forth between the different scenarios, you can quickly see a side-by-side comparison of the three scenarios using a "scenario summary,"
To create a Scenario Summary, start Scenario Manager, click the Summary button, and for the "Result cells"  select the  cells containing  the formulas whose values you want to see compared side-by-side.
The Scenario Manager enables you to evaluate multiple sets of initial conditions and assumptions (scenarios).  Each scenario represents a different set of what-if conditions that you want to consider in assessing the outcome of a spreadsheet model.</t>
  </si>
  <si>
    <t>Total Video Length</t>
  </si>
  <si>
    <t xml:space="preserve">	Using Excel Tools for What-If Analysis</t>
  </si>
  <si>
    <t>and the function will still calculate the results.</t>
  </si>
  <si>
    <r>
      <t xml:space="preserve">Using the </t>
    </r>
    <r>
      <rPr>
        <sz val="10"/>
        <color indexed="10"/>
        <rFont val="Arial"/>
        <family val="2"/>
      </rPr>
      <t>SUMPRODUCT</t>
    </r>
    <r>
      <rPr>
        <sz val="10"/>
        <rFont val="Arial"/>
        <family val="2"/>
      </rPr>
      <t xml:space="preserve"> function is </t>
    </r>
    <r>
      <rPr>
        <sz val="10"/>
        <color indexed="10"/>
        <rFont val="Arial"/>
        <family val="2"/>
      </rPr>
      <t>flexible</t>
    </r>
    <r>
      <rPr>
        <sz val="10"/>
        <rFont val="Arial"/>
        <family val="2"/>
      </rPr>
      <t xml:space="preserve"> in that columns or rows can be easily added or deleted, </t>
    </r>
  </si>
  <si>
    <t>This will make it possible to easily include new data by simply inserting new columns.</t>
  </si>
  <si>
    <r>
      <t>Items within the SUMPRODUCT ranges are multiplied in the same</t>
    </r>
    <r>
      <rPr>
        <sz val="10"/>
        <color rgb="FFFF0000"/>
        <rFont val="Arial"/>
        <family val="2"/>
      </rPr>
      <t xml:space="preserve"> respective order.</t>
    </r>
  </si>
  <si>
    <r>
      <t>SUMPRODUCT arrays are</t>
    </r>
    <r>
      <rPr>
        <sz val="10"/>
        <color rgb="FFFF0000"/>
        <rFont val="Arial"/>
        <family val="2"/>
      </rPr>
      <t xml:space="preserve"> lined up </t>
    </r>
    <r>
      <rPr>
        <sz val="10"/>
        <rFont val="Arial"/>
        <family val="2"/>
      </rPr>
      <t xml:space="preserve">so that they start/end in the same columns.  </t>
    </r>
  </si>
  <si>
    <r>
      <t>SUMPRODUCT uses at least</t>
    </r>
    <r>
      <rPr>
        <sz val="10"/>
        <color indexed="10"/>
        <rFont val="Arial"/>
        <family val="2"/>
      </rPr>
      <t xml:space="preserve"> two arrays </t>
    </r>
    <r>
      <rPr>
        <sz val="10"/>
        <rFont val="Arial"/>
        <family val="2"/>
      </rPr>
      <t xml:space="preserve">(ranges) that are the </t>
    </r>
    <r>
      <rPr>
        <sz val="10"/>
        <color indexed="10"/>
        <rFont val="Arial"/>
        <family val="2"/>
      </rPr>
      <t>same size,</t>
    </r>
    <r>
      <rPr>
        <sz val="10"/>
        <rFont val="Arial"/>
        <family val="2"/>
      </rPr>
      <t xml:space="preserve"> </t>
    </r>
  </si>
  <si>
    <t>arranged in the same direction (both vertical or horizontal).</t>
  </si>
  <si>
    <t>"To value" MUST be entered manually.  Using cell references is not possible.</t>
  </si>
  <si>
    <t xml:space="preserve">* If you needed to insert a Test 4, you'd have to edit the Test Average formula </t>
  </si>
  <si>
    <t>and copy it down in order to accommodate the extra test.</t>
  </si>
  <si>
    <t xml:space="preserve">* If you needed to delete Test 3, you'd  also have to edit the Test Average formula </t>
  </si>
  <si>
    <t>and copy it down in order to accommodate the deleted test.</t>
  </si>
  <si>
    <t>Earnings before taxes 2025</t>
  </si>
  <si>
    <t>Earnings before taxes 2026</t>
  </si>
  <si>
    <t>Earnings before taxes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</si>
</sst>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Sales Revenue&quot;;&quot;Sales Revenue&quot;"/>
    <numFmt numFmtId="165" formatCode="&quot;Gross Profit&quot;;&quot;Gross Profit&quot;"/>
    <numFmt numFmtId="166" formatCode="&quot;CM&quot;;&quot;CM&quot;"/>
    <numFmt numFmtId="167" formatCode="&quot;Income&quot;;&quot;Income&quot;"/>
    <numFmt numFmtId="168" formatCode="&quot;Units&quot;;&quot;Units&quot;"/>
    <numFmt numFmtId="169" formatCode="&quot;COGS/unit&quot;;&quot;COGS/unit&quot;"/>
    <numFmt numFmtId="170" formatCode="&quot;$&quot;#,##0.00"/>
    <numFmt numFmtId="171" formatCode="0.0"/>
    <numFmt numFmtId="172" formatCode="&quot;Iterations&quot;;&quot;Iterations&quot;"/>
    <numFmt numFmtId="173" formatCode="&quot;$&quot;#,##0"/>
    <numFmt numFmtId="174" formatCode="0.0%"/>
    <numFmt numFmtId="175" formatCode="m/d/yyyy\ h:mm\ AM/PM"/>
    <numFmt numFmtId="176" formatCode="000\-00\-0000"/>
    <numFmt numFmtId="177" formatCode="_(* #,##0_);_(* \(#,##0\);_(* &quot;-&quot;??_);_(@_)"/>
    <numFmt numFmtId="178" formatCode="_(* #,##0.00_);_(* \(#,##0.00\);_(* &quot;0&quot;_);_(@_)"/>
    <numFmt numFmtId="179" formatCode="_(* #,##0.0_);_(* \(#,##0.0\);_(* &quot;-&quot;??_);_(@_)"/>
    <numFmt numFmtId="180" formatCode="&quot;$&quot;0.00&quot;/hr-labor&quot;"/>
    <numFmt numFmtId="181" formatCode="_(&quot;$&quot;* #,##0_);[Red]_(&quot;$&quot;* \(#,##0\);_(&quot;$&quot;* &quot;-&quot;_);_(@_)"/>
    <numFmt numFmtId="182" formatCode="_(* #,##0_);[Red]_(* \(#,##0\);_(* &quot;-&quot;_);_(@_)"/>
    <numFmt numFmtId="183" formatCode="[&lt;0.0415]m&quot;min&quot;\ s&quot;sec&quot;;[h]&quot;hr&quot;\ m&quot;min&quot;\ s&quot;sec&quot;;@"/>
    <numFmt numFmtId="184" formatCode="[&lt;0.0415]m&quot;m&quot;\ s&quot;s&quot;;[h]&quot;h&quot;\ m&quot;m&quot;\ s&quot;s&quot;;@"/>
  </numFmts>
  <fonts count="43" x14ac:knownFonts="1">
    <font>
      <sz val="10"/>
      <name val="Arial"/>
    </font>
    <font>
      <sz val="10"/>
      <name val="Arial"/>
      <family val="2"/>
    </font>
    <font>
      <sz val="8"/>
      <name val="Arial"/>
      <family val="2"/>
    </font>
    <font>
      <sz val="11"/>
      <name val="Arial"/>
      <family val="2"/>
    </font>
    <font>
      <sz val="10"/>
      <color indexed="10"/>
      <name val="Arial"/>
      <family val="2"/>
    </font>
    <font>
      <b/>
      <sz val="10"/>
      <name val="Arial"/>
      <family val="2"/>
    </font>
    <font>
      <b/>
      <sz val="11"/>
      <color indexed="9"/>
      <name val="Arial"/>
      <family val="2"/>
    </font>
    <font>
      <b/>
      <sz val="10"/>
      <color indexed="8"/>
      <name val="Arial"/>
      <family val="2"/>
    </font>
    <font>
      <b/>
      <sz val="10"/>
      <color indexed="18"/>
      <name val="Arial"/>
      <family val="2"/>
    </font>
    <font>
      <sz val="9"/>
      <color indexed="9"/>
      <name val="Arial"/>
      <family val="2"/>
    </font>
    <font>
      <sz val="8"/>
      <name val="Arial"/>
      <family val="2"/>
    </font>
    <font>
      <u/>
      <sz val="10"/>
      <color indexed="12"/>
      <name val="Arial"/>
      <family val="2"/>
    </font>
    <font>
      <b/>
      <sz val="11"/>
      <name val="Arial"/>
      <family val="2"/>
    </font>
    <font>
      <sz val="10"/>
      <color indexed="12"/>
      <name val="Arial"/>
      <family val="2"/>
    </font>
    <font>
      <b/>
      <sz val="10"/>
      <color indexed="12"/>
      <name val="Arial"/>
      <family val="2"/>
    </font>
    <font>
      <sz val="8"/>
      <color indexed="81"/>
      <name val="Tahoma"/>
      <family val="2"/>
    </font>
    <font>
      <b/>
      <sz val="11"/>
      <color indexed="9"/>
      <name val="Arial"/>
      <family val="2"/>
    </font>
    <font>
      <b/>
      <sz val="10"/>
      <color indexed="8"/>
      <name val="Arial"/>
      <family val="2"/>
    </font>
    <font>
      <b/>
      <sz val="10"/>
      <color indexed="18"/>
      <name val="Arial"/>
      <family val="2"/>
    </font>
    <font>
      <sz val="9"/>
      <color indexed="9"/>
      <name val="Arial"/>
      <family val="2"/>
    </font>
    <font>
      <b/>
      <sz val="14"/>
      <name val="Arial"/>
      <family val="2"/>
    </font>
    <font>
      <b/>
      <sz val="12"/>
      <name val="Arial"/>
      <family val="2"/>
    </font>
    <font>
      <b/>
      <i/>
      <sz val="10"/>
      <name val="Arial"/>
      <family val="2"/>
    </font>
    <font>
      <sz val="10"/>
      <color rgb="FFFF0000"/>
      <name val="Arial"/>
      <family val="2"/>
    </font>
    <font>
      <sz val="9"/>
      <name val="Arial"/>
      <family val="2"/>
    </font>
    <font>
      <sz val="10"/>
      <name val="Arial"/>
      <family val="2"/>
    </font>
    <font>
      <b/>
      <sz val="10"/>
      <color rgb="FF0070C0"/>
      <name val="Arial"/>
      <family val="2"/>
    </font>
    <font>
      <sz val="10"/>
      <color rgb="FF0070C0"/>
      <name val="Arial"/>
      <family val="2"/>
    </font>
    <font>
      <b/>
      <sz val="8"/>
      <name val="Arial"/>
      <family val="2"/>
    </font>
    <font>
      <b/>
      <sz val="8"/>
      <color indexed="81"/>
      <name val="Tahoma"/>
      <family val="2"/>
    </font>
    <font>
      <sz val="10"/>
      <color indexed="9"/>
      <name val="Arial"/>
      <family val="2"/>
    </font>
    <font>
      <sz val="10"/>
      <name val="Arial"/>
      <family val="2"/>
    </font>
    <font>
      <sz val="10"/>
      <color indexed="8"/>
      <name val="Arial"/>
      <family val="2"/>
    </font>
    <font>
      <sz val="9"/>
      <color indexed="81"/>
      <name val="Tahoma"/>
      <family val="2"/>
    </font>
    <font>
      <b/>
      <sz val="9"/>
      <color indexed="81"/>
      <name val="Tahoma"/>
      <family val="2"/>
    </font>
    <font>
      <b/>
      <sz val="10"/>
      <color rgb="FF000000"/>
      <name val="Arial"/>
      <family val="2"/>
    </font>
    <font>
      <sz val="10"/>
      <color rgb="FF000000"/>
      <name val="Arial"/>
      <family val="2"/>
    </font>
    <font>
      <sz val="10"/>
      <color rgb="FF0000FF"/>
      <name val="Arial"/>
      <family val="2"/>
    </font>
    <font>
      <b/>
      <u/>
      <sz val="10"/>
      <color indexed="12"/>
      <name val="Arial"/>
      <family val="2"/>
    </font>
    <font>
      <b/>
      <u/>
      <sz val="10"/>
      <name val="Arial"/>
      <family val="2"/>
    </font>
    <font>
      <b/>
      <u/>
      <sz val="10"/>
      <color rgb="FF3333FF"/>
      <name val="Arial"/>
      <family val="2"/>
    </font>
    <font>
      <u/>
      <sz val="10"/>
      <color rgb="FF3333FF"/>
      <name val="Arial"/>
      <family val="2"/>
    </font>
    <font>
      <sz val="8"/>
      <name val="Arial"/>
    </font>
  </fonts>
  <fills count="9">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64"/>
      </patternFill>
    </fill>
    <fill>
      <patternFill patternType="solid">
        <fgColor indexed="22"/>
        <bgColor indexed="7"/>
      </patternFill>
    </fill>
    <fill>
      <patternFill patternType="solid">
        <fgColor rgb="FFFFFFCC"/>
        <bgColor indexed="64"/>
      </patternFill>
    </fill>
    <fill>
      <patternFill patternType="solid">
        <fgColor theme="4" tint="0.79998168889431442"/>
        <bgColor indexed="64"/>
      </patternFill>
    </fill>
    <fill>
      <patternFill patternType="solid">
        <fgColor indexed="43"/>
        <bgColor indexed="64"/>
      </patternFill>
    </fill>
  </fills>
  <borders count="30">
    <border>
      <left/>
      <right/>
      <top/>
      <bottom/>
      <diagonal/>
    </border>
    <border>
      <left/>
      <right/>
      <top/>
      <bottom style="medium">
        <color indexed="64"/>
      </bottom>
      <diagonal/>
    </border>
    <border>
      <left/>
      <right/>
      <top style="thin">
        <color indexed="64"/>
      </top>
      <bottom style="double">
        <color indexed="64"/>
      </bottom>
      <diagonal/>
    </border>
    <border>
      <left/>
      <right/>
      <top/>
      <bottom style="thin">
        <color indexed="64"/>
      </bottom>
      <diagonal/>
    </border>
    <border>
      <left/>
      <right/>
      <top style="medium">
        <color indexed="64"/>
      </top>
      <bottom/>
      <diagonal/>
    </border>
    <border>
      <left/>
      <right/>
      <top style="thin">
        <color indexed="64"/>
      </top>
      <bottom style="thin">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bottom/>
      <diagonal/>
    </border>
    <border>
      <left style="thin">
        <color indexed="8"/>
      </left>
      <right/>
      <top/>
      <bottom style="thin">
        <color indexed="8"/>
      </bottom>
      <diagonal/>
    </border>
    <border>
      <left/>
      <right/>
      <top style="thin">
        <color indexed="8"/>
      </top>
      <bottom/>
      <diagonal/>
    </border>
    <border>
      <left/>
      <right style="thin">
        <color indexed="8"/>
      </right>
      <top style="thin">
        <color indexed="8"/>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48"/>
      </left>
      <right/>
      <top style="thin">
        <color indexed="48"/>
      </top>
      <bottom/>
      <diagonal/>
    </border>
    <border>
      <left/>
      <right/>
      <top style="thin">
        <color indexed="48"/>
      </top>
      <bottom/>
      <diagonal/>
    </border>
    <border>
      <left/>
      <right style="thin">
        <color indexed="48"/>
      </right>
      <top style="thin">
        <color indexed="48"/>
      </top>
      <bottom/>
      <diagonal/>
    </border>
    <border>
      <left style="thin">
        <color indexed="48"/>
      </left>
      <right/>
      <top/>
      <bottom/>
      <diagonal/>
    </border>
    <border>
      <left/>
      <right style="thin">
        <color indexed="48"/>
      </right>
      <top/>
      <bottom/>
      <diagonal/>
    </border>
    <border>
      <left style="thin">
        <color indexed="64"/>
      </left>
      <right/>
      <top/>
      <bottom/>
      <diagonal/>
    </border>
    <border>
      <left/>
      <right/>
      <top style="double">
        <color indexed="64"/>
      </top>
      <bottom style="medium">
        <color indexed="64"/>
      </bottom>
      <diagonal/>
    </border>
    <border>
      <left style="medium">
        <color indexed="64"/>
      </left>
      <right/>
      <top style="double">
        <color indexed="64"/>
      </top>
      <bottom style="medium">
        <color indexed="64"/>
      </bottom>
      <diagonal/>
    </border>
    <border>
      <left style="double">
        <color indexed="64"/>
      </left>
      <right/>
      <top/>
      <bottom/>
      <diagonal/>
    </border>
    <border>
      <left/>
      <right style="double">
        <color indexed="64"/>
      </right>
      <top/>
      <bottom/>
      <diagonal/>
    </border>
    <border>
      <left style="medium">
        <color indexed="64"/>
      </left>
      <right/>
      <top/>
      <bottom/>
      <diagonal/>
    </border>
    <border>
      <left style="double">
        <color indexed="64"/>
      </left>
      <right/>
      <top style="medium">
        <color indexed="64"/>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s>
  <cellStyleXfs count="15">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43" fontId="1" fillId="0" borderId="0" applyFont="0" applyFill="0" applyBorder="0" applyAlignment="0" applyProtection="0"/>
    <xf numFmtId="175" fontId="1" fillId="0" borderId="0" applyFont="0" applyFill="0" applyBorder="0" applyAlignment="0" applyProtection="0"/>
    <xf numFmtId="175" fontId="1" fillId="0" borderId="0" applyFont="0" applyFill="0" applyBorder="0" applyAlignment="0" applyProtection="0"/>
    <xf numFmtId="175" fontId="1" fillId="0" borderId="0" applyFont="0" applyFill="0" applyBorder="0" applyAlignment="0" applyProtection="0"/>
    <xf numFmtId="0" fontId="24" fillId="0" borderId="0" applyNumberFormat="0" applyFont="0" applyFill="0" applyBorder="0" applyProtection="0">
      <alignment wrapText="1"/>
    </xf>
    <xf numFmtId="43" fontId="25" fillId="0" borderId="0" applyFont="0" applyFill="0" applyBorder="0" applyAlignment="0" applyProtection="0"/>
    <xf numFmtId="44" fontId="1" fillId="0" borderId="0" applyFont="0" applyFill="0" applyBorder="0" applyAlignment="0" applyProtection="0"/>
    <xf numFmtId="0" fontId="20" fillId="0" borderId="0" applyNumberFormat="0" applyFill="0" applyBorder="0" applyAlignment="0" applyProtection="0">
      <alignment horizontal="centerContinuous"/>
    </xf>
    <xf numFmtId="7" fontId="1" fillId="0" borderId="0" applyFont="0" applyFill="0" applyBorder="0" applyAlignment="0" applyProtection="0"/>
    <xf numFmtId="41" fontId="31" fillId="0" borderId="0" applyFont="0" applyFill="0" applyBorder="0" applyAlignment="0" applyProtection="0"/>
    <xf numFmtId="41" fontId="1" fillId="0" borderId="0" applyFont="0" applyFill="0" applyBorder="0" applyAlignment="0" applyProtection="0"/>
  </cellStyleXfs>
  <cellXfs count="366">
    <xf numFmtId="0" fontId="0" fillId="0" borderId="0" xfId="0"/>
    <xf numFmtId="0" fontId="3" fillId="0" borderId="0" xfId="0" applyFont="1" applyFill="1" applyAlignment="1">
      <alignment horizontal="center"/>
    </xf>
    <xf numFmtId="42" fontId="0" fillId="0" borderId="0" xfId="0" applyNumberFormat="1"/>
    <xf numFmtId="3" fontId="0" fillId="0" borderId="0" xfId="0" applyNumberFormat="1"/>
    <xf numFmtId="0" fontId="5" fillId="0" borderId="0" xfId="0" applyFont="1"/>
    <xf numFmtId="0" fontId="5" fillId="0" borderId="0" xfId="0" applyFont="1" applyBorder="1" applyAlignment="1">
      <alignment horizontal="center"/>
    </xf>
    <xf numFmtId="164" fontId="5" fillId="0" borderId="1" xfId="0" applyNumberFormat="1" applyFont="1" applyBorder="1" applyAlignment="1">
      <alignment horizontal="center"/>
    </xf>
    <xf numFmtId="165" fontId="5" fillId="0" borderId="1" xfId="0" applyNumberFormat="1" applyFont="1" applyBorder="1" applyAlignment="1">
      <alignment horizontal="center"/>
    </xf>
    <xf numFmtId="166" fontId="5" fillId="0" borderId="1" xfId="0" applyNumberFormat="1" applyFont="1" applyBorder="1" applyAlignment="1">
      <alignment horizontal="center"/>
    </xf>
    <xf numFmtId="167" fontId="5" fillId="0" borderId="1" xfId="0" applyNumberFormat="1" applyFont="1" applyBorder="1" applyAlignment="1">
      <alignment horizontal="center"/>
    </xf>
    <xf numFmtId="168" fontId="5" fillId="0" borderId="1" xfId="0" applyNumberFormat="1" applyFont="1" applyBorder="1" applyAlignment="1">
      <alignment horizontal="center"/>
    </xf>
    <xf numFmtId="42" fontId="4" fillId="0" borderId="0" xfId="0" applyNumberFormat="1" applyFont="1"/>
    <xf numFmtId="38" fontId="0" fillId="0" borderId="0" xfId="0" applyNumberFormat="1"/>
    <xf numFmtId="169" fontId="5" fillId="0" borderId="0" xfId="0" applyNumberFormat="1" applyFont="1" applyAlignment="1">
      <alignment horizontal="center"/>
    </xf>
    <xf numFmtId="170" fontId="0" fillId="0" borderId="1" xfId="0" applyNumberFormat="1" applyBorder="1"/>
    <xf numFmtId="169" fontId="5" fillId="0" borderId="1" xfId="0" applyNumberFormat="1" applyFont="1" applyBorder="1" applyAlignment="1">
      <alignment horizontal="center"/>
    </xf>
    <xf numFmtId="9" fontId="0" fillId="0" borderId="0" xfId="0" applyNumberFormat="1"/>
    <xf numFmtId="0" fontId="0" fillId="0" borderId="3" xfId="0" applyBorder="1" applyAlignment="1">
      <alignment horizontal="center" wrapText="1"/>
    </xf>
    <xf numFmtId="0" fontId="0" fillId="0" borderId="0" xfId="0" applyFill="1" applyBorder="1" applyAlignment="1"/>
    <xf numFmtId="37" fontId="0" fillId="0" borderId="0" xfId="0" applyNumberFormat="1" applyFill="1" applyBorder="1" applyAlignment="1"/>
    <xf numFmtId="42" fontId="0" fillId="0" borderId="0" xfId="0" applyNumberFormat="1" applyFill="1" applyBorder="1" applyAlignment="1"/>
    <xf numFmtId="41" fontId="0" fillId="0" borderId="0" xfId="0" applyNumberFormat="1" applyFill="1" applyBorder="1" applyAlignment="1"/>
    <xf numFmtId="42" fontId="0" fillId="0" borderId="1" xfId="0" applyNumberFormat="1" applyFill="1" applyBorder="1" applyAlignment="1"/>
    <xf numFmtId="0" fontId="6" fillId="2" borderId="3" xfId="0" applyFont="1" applyFill="1" applyBorder="1" applyAlignment="1">
      <alignment horizontal="left"/>
    </xf>
    <xf numFmtId="0" fontId="6" fillId="2" borderId="4" xfId="0" applyFont="1" applyFill="1" applyBorder="1" applyAlignment="1">
      <alignment horizontal="left"/>
    </xf>
    <xf numFmtId="0" fontId="0" fillId="0" borderId="5" xfId="0" applyFill="1" applyBorder="1" applyAlignment="1"/>
    <xf numFmtId="0" fontId="7" fillId="3" borderId="0" xfId="0" applyFont="1" applyFill="1" applyBorder="1" applyAlignment="1">
      <alignment horizontal="left"/>
    </xf>
    <xf numFmtId="0" fontId="8" fillId="3" borderId="5" xfId="0" applyFont="1" applyFill="1" applyBorder="1" applyAlignment="1">
      <alignment horizontal="left"/>
    </xf>
    <xf numFmtId="0" fontId="7" fillId="3" borderId="1" xfId="0" applyFont="1" applyFill="1" applyBorder="1" applyAlignment="1">
      <alignment horizontal="left"/>
    </xf>
    <xf numFmtId="0" fontId="9" fillId="2" borderId="4" xfId="0" applyFont="1" applyFill="1" applyBorder="1" applyAlignment="1">
      <alignment horizontal="right"/>
    </xf>
    <xf numFmtId="0" fontId="9" fillId="2" borderId="3" xfId="0" applyFont="1" applyFill="1" applyBorder="1" applyAlignment="1">
      <alignment horizontal="right"/>
    </xf>
    <xf numFmtId="37" fontId="0" fillId="4" borderId="0" xfId="0" applyNumberFormat="1" applyFill="1" applyBorder="1" applyAlignment="1"/>
    <xf numFmtId="42" fontId="0" fillId="4" borderId="0" xfId="0" applyNumberFormat="1" applyFill="1" applyBorder="1" applyAlignment="1"/>
    <xf numFmtId="0" fontId="10" fillId="0" borderId="0" xfId="0" applyFont="1" applyFill="1" applyBorder="1" applyAlignment="1">
      <alignment vertical="top" wrapText="1"/>
    </xf>
    <xf numFmtId="0" fontId="0" fillId="0" borderId="6" xfId="0" applyBorder="1"/>
    <xf numFmtId="0" fontId="0" fillId="0" borderId="6" xfId="0" pivotButton="1"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6" xfId="0" applyFont="1" applyBorder="1"/>
    <xf numFmtId="0" fontId="5" fillId="0" borderId="11" xfId="0" applyFont="1" applyBorder="1"/>
    <xf numFmtId="0" fontId="5" fillId="0" borderId="12" xfId="0" applyFont="1" applyBorder="1"/>
    <xf numFmtId="42" fontId="0" fillId="0" borderId="6" xfId="0" applyNumberFormat="1" applyBorder="1"/>
    <xf numFmtId="42" fontId="0" fillId="0" borderId="11" xfId="0" applyNumberFormat="1" applyBorder="1"/>
    <xf numFmtId="42" fontId="0" fillId="0" borderId="12" xfId="0" applyNumberFormat="1" applyBorder="1"/>
    <xf numFmtId="42" fontId="0" fillId="0" borderId="9" xfId="0" applyNumberFormat="1" applyBorder="1"/>
    <xf numFmtId="42" fontId="0" fillId="0" borderId="13" xfId="0" applyNumberFormat="1" applyBorder="1"/>
    <xf numFmtId="42" fontId="0" fillId="0" borderId="10" xfId="0" applyNumberFormat="1" applyBorder="1"/>
    <xf numFmtId="42" fontId="0" fillId="0" borderId="14" xfId="0" applyNumberFormat="1" applyBorder="1"/>
    <xf numFmtId="42" fontId="0" fillId="0" borderId="15" xfId="0" applyNumberFormat="1" applyBorder="1"/>
    <xf numFmtId="0" fontId="0" fillId="0" borderId="3" xfId="0" applyBorder="1" applyAlignment="1">
      <alignment horizontal="center"/>
    </xf>
    <xf numFmtId="172" fontId="5" fillId="0" borderId="3" xfId="0" applyNumberFormat="1" applyFont="1" applyBorder="1"/>
    <xf numFmtId="0" fontId="0" fillId="0" borderId="0" xfId="0" applyAlignment="1">
      <alignment horizontal="right" wrapText="1"/>
    </xf>
    <xf numFmtId="0" fontId="0" fillId="0" borderId="0" xfId="0" applyFill="1"/>
    <xf numFmtId="0" fontId="0" fillId="0" borderId="0" xfId="0" applyNumberFormat="1"/>
    <xf numFmtId="0" fontId="0" fillId="0" borderId="0" xfId="0" applyBorder="1"/>
    <xf numFmtId="0" fontId="5" fillId="0" borderId="0" xfId="0" applyFont="1" applyBorder="1"/>
    <xf numFmtId="0" fontId="5" fillId="0" borderId="0" xfId="0" applyFont="1" applyBorder="1" applyAlignment="1">
      <alignment horizontal="right"/>
    </xf>
    <xf numFmtId="3" fontId="0" fillId="0" borderId="0" xfId="0" applyNumberFormat="1" applyBorder="1"/>
    <xf numFmtId="170" fontId="0" fillId="0" borderId="0" xfId="0" applyNumberFormat="1" applyBorder="1"/>
    <xf numFmtId="173" fontId="0" fillId="0" borderId="0" xfId="0" applyNumberFormat="1" applyBorder="1"/>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5" fillId="0" borderId="0" xfId="0" applyFont="1" applyAlignment="1">
      <alignment vertical="top"/>
    </xf>
    <xf numFmtId="3" fontId="0" fillId="0" borderId="0" xfId="0" applyNumberFormat="1" applyFill="1" applyBorder="1" applyAlignment="1"/>
    <xf numFmtId="170" fontId="0" fillId="0" borderId="0" xfId="0" applyNumberFormat="1" applyFill="1" applyBorder="1" applyAlignment="1"/>
    <xf numFmtId="173" fontId="0" fillId="0" borderId="0" xfId="0" applyNumberFormat="1" applyFill="1" applyBorder="1" applyAlignment="1"/>
    <xf numFmtId="174" fontId="0" fillId="0" borderId="0" xfId="0" applyNumberFormat="1" applyFill="1" applyBorder="1" applyAlignment="1"/>
    <xf numFmtId="0" fontId="16" fillId="2" borderId="3" xfId="0" applyFont="1" applyFill="1" applyBorder="1" applyAlignment="1">
      <alignment horizontal="left"/>
    </xf>
    <xf numFmtId="0" fontId="16" fillId="2" borderId="4" xfId="0" applyFont="1" applyFill="1" applyBorder="1" applyAlignment="1">
      <alignment horizontal="left"/>
    </xf>
    <xf numFmtId="0" fontId="17" fillId="3" borderId="0" xfId="0" applyFont="1" applyFill="1" applyBorder="1" applyAlignment="1">
      <alignment horizontal="left"/>
    </xf>
    <xf numFmtId="0" fontId="18" fillId="3" borderId="5" xfId="0" applyFont="1" applyFill="1" applyBorder="1" applyAlignment="1">
      <alignment horizontal="left"/>
    </xf>
    <xf numFmtId="0" fontId="19" fillId="2" borderId="4" xfId="0" applyFont="1" applyFill="1" applyBorder="1" applyAlignment="1">
      <alignment horizontal="right"/>
    </xf>
    <xf numFmtId="0" fontId="10" fillId="0" borderId="0" xfId="0" applyFont="1"/>
    <xf numFmtId="173" fontId="0" fillId="0" borderId="1" xfId="0" applyNumberFormat="1" applyFill="1" applyBorder="1" applyAlignment="1"/>
    <xf numFmtId="0" fontId="17" fillId="3" borderId="1" xfId="0" applyFont="1" applyFill="1" applyBorder="1" applyAlignment="1">
      <alignment horizontal="left"/>
    </xf>
    <xf numFmtId="3" fontId="0" fillId="5" borderId="0" xfId="0" applyNumberFormat="1" applyFill="1" applyBorder="1" applyAlignment="1"/>
    <xf numFmtId="170" fontId="0" fillId="5" borderId="0" xfId="0" applyNumberFormat="1" applyFill="1" applyBorder="1" applyAlignment="1"/>
    <xf numFmtId="173" fontId="0" fillId="5" borderId="0" xfId="0" applyNumberFormat="1" applyFill="1" applyBorder="1" applyAlignment="1"/>
    <xf numFmtId="174" fontId="0" fillId="5" borderId="0" xfId="0" applyNumberFormat="1" applyFill="1" applyBorder="1" applyAlignment="1"/>
    <xf numFmtId="0" fontId="20" fillId="0" borderId="0" xfId="0" applyFont="1"/>
    <xf numFmtId="175" fontId="0" fillId="0" borderId="0" xfId="0" applyNumberFormat="1" applyAlignment="1">
      <alignment horizontal="left"/>
    </xf>
    <xf numFmtId="0" fontId="1" fillId="0" borderId="0" xfId="3"/>
    <xf numFmtId="171" fontId="1" fillId="0" borderId="0" xfId="3" applyNumberFormat="1" applyFont="1" applyBorder="1" applyAlignment="1">
      <alignment horizontal="center"/>
    </xf>
    <xf numFmtId="0" fontId="1" fillId="0" borderId="0" xfId="3" applyFont="1" applyBorder="1" applyAlignment="1">
      <alignment horizontal="centerContinuous" wrapText="1"/>
    </xf>
    <xf numFmtId="0" fontId="5" fillId="0" borderId="26" xfId="3" applyFont="1" applyBorder="1" applyAlignment="1">
      <alignment horizontal="centerContinuous" wrapText="1"/>
    </xf>
    <xf numFmtId="0" fontId="1" fillId="0" borderId="4" xfId="3" applyFont="1" applyBorder="1" applyAlignment="1">
      <alignment horizontal="centerContinuous"/>
    </xf>
    <xf numFmtId="0" fontId="21" fillId="0" borderId="4" xfId="3" applyFont="1" applyBorder="1" applyAlignment="1">
      <alignment horizontal="centerContinuous"/>
    </xf>
    <xf numFmtId="0" fontId="20" fillId="0" borderId="0" xfId="3" applyFont="1"/>
    <xf numFmtId="173" fontId="1" fillId="0" borderId="20" xfId="3" applyNumberFormat="1" applyBorder="1"/>
    <xf numFmtId="173" fontId="1" fillId="0" borderId="0" xfId="3" applyNumberFormat="1" applyBorder="1"/>
    <xf numFmtId="0" fontId="1" fillId="0" borderId="19" xfId="3" applyBorder="1"/>
    <xf numFmtId="0" fontId="1" fillId="0" borderId="19" xfId="3" applyBorder="1" applyAlignment="1">
      <alignment horizontal="left" indent="1"/>
    </xf>
    <xf numFmtId="170" fontId="1" fillId="0" borderId="20" xfId="3" applyNumberFormat="1" applyBorder="1"/>
    <xf numFmtId="170" fontId="1" fillId="0" borderId="0" xfId="3" applyNumberFormat="1" applyBorder="1"/>
    <xf numFmtId="0" fontId="5" fillId="0" borderId="19" xfId="3" applyFont="1" applyBorder="1"/>
    <xf numFmtId="3" fontId="1" fillId="0" borderId="20" xfId="3" applyNumberFormat="1" applyBorder="1"/>
    <xf numFmtId="3" fontId="1" fillId="0" borderId="0" xfId="3" applyNumberFormat="1" applyBorder="1"/>
    <xf numFmtId="0" fontId="1" fillId="0" borderId="20" xfId="3" applyBorder="1"/>
    <xf numFmtId="0" fontId="1" fillId="0" borderId="0" xfId="3" applyBorder="1"/>
    <xf numFmtId="0" fontId="5" fillId="0" borderId="0" xfId="3" applyFont="1" applyBorder="1"/>
    <xf numFmtId="0" fontId="1" fillId="0" borderId="0" xfId="3" applyFill="1" applyAlignment="1">
      <alignment horizontal="centerContinuous"/>
    </xf>
    <xf numFmtId="173" fontId="1" fillId="0" borderId="1" xfId="3" applyNumberFormat="1" applyFill="1" applyBorder="1" applyAlignment="1"/>
    <xf numFmtId="0" fontId="7" fillId="3" borderId="1" xfId="3" applyFont="1" applyFill="1" applyBorder="1" applyAlignment="1">
      <alignment horizontal="left"/>
    </xf>
    <xf numFmtId="173" fontId="1" fillId="0" borderId="0" xfId="3" applyNumberFormat="1" applyFill="1" applyBorder="1" applyAlignment="1"/>
    <xf numFmtId="0" fontId="7" fillId="3" borderId="0" xfId="3" applyFont="1" applyFill="1" applyBorder="1" applyAlignment="1">
      <alignment horizontal="left"/>
    </xf>
    <xf numFmtId="0" fontId="1" fillId="0" borderId="5" xfId="3" applyFill="1" applyBorder="1" applyAlignment="1"/>
    <xf numFmtId="0" fontId="8" fillId="3" borderId="5" xfId="3" applyFont="1" applyFill="1" applyBorder="1" applyAlignment="1">
      <alignment horizontal="left"/>
    </xf>
    <xf numFmtId="174" fontId="1" fillId="4" borderId="0" xfId="3" applyNumberFormat="1" applyFill="1" applyBorder="1" applyAlignment="1"/>
    <xf numFmtId="174" fontId="1" fillId="0" borderId="0" xfId="3" applyNumberFormat="1" applyFill="1" applyBorder="1" applyAlignment="1"/>
    <xf numFmtId="173" fontId="1" fillId="4" borderId="0" xfId="3" applyNumberFormat="1" applyFill="1" applyBorder="1" applyAlignment="1"/>
    <xf numFmtId="170" fontId="1" fillId="4" borderId="0" xfId="3" applyNumberFormat="1" applyFill="1" applyBorder="1" applyAlignment="1"/>
    <xf numFmtId="170" fontId="1" fillId="0" borderId="0" xfId="3" applyNumberFormat="1" applyFill="1" applyBorder="1" applyAlignment="1"/>
    <xf numFmtId="3" fontId="1" fillId="4" borderId="0" xfId="3" applyNumberFormat="1" applyFill="1" applyBorder="1" applyAlignment="1"/>
    <xf numFmtId="3" fontId="1" fillId="0" borderId="0" xfId="3" applyNumberFormat="1" applyFill="1" applyBorder="1" applyAlignment="1"/>
    <xf numFmtId="0" fontId="1" fillId="0" borderId="0" xfId="3" applyFill="1" applyBorder="1" applyAlignment="1"/>
    <xf numFmtId="0" fontId="9" fillId="2" borderId="4" xfId="3" applyFont="1" applyFill="1" applyBorder="1" applyAlignment="1">
      <alignment horizontal="right"/>
    </xf>
    <xf numFmtId="0" fontId="6" fillId="2" borderId="4" xfId="3" applyFont="1" applyFill="1" applyBorder="1" applyAlignment="1">
      <alignment horizontal="left"/>
    </xf>
    <xf numFmtId="0" fontId="5" fillId="0" borderId="0" xfId="3" applyFont="1"/>
    <xf numFmtId="0" fontId="1" fillId="0" borderId="0" xfId="0" applyFont="1"/>
    <xf numFmtId="0" fontId="0" fillId="0" borderId="0" xfId="0" pivotButton="1"/>
    <xf numFmtId="0" fontId="0" fillId="0" borderId="0" xfId="0" applyAlignment="1">
      <alignment horizontal="left"/>
    </xf>
    <xf numFmtId="8" fontId="1" fillId="0" borderId="29" xfId="0" applyNumberFormat="1" applyFont="1" applyFill="1" applyBorder="1" applyAlignment="1">
      <alignment vertical="center" wrapText="1"/>
    </xf>
    <xf numFmtId="8" fontId="1" fillId="0" borderId="29" xfId="0" applyNumberFormat="1" applyFont="1" applyFill="1" applyBorder="1" applyAlignment="1">
      <alignment horizontal="left" vertical="center" wrapText="1"/>
    </xf>
    <xf numFmtId="0" fontId="1" fillId="0" borderId="29" xfId="8" applyFont="1" applyFill="1" applyBorder="1" applyAlignment="1" applyProtection="1">
      <alignment vertical="center" wrapText="1"/>
      <protection locked="0"/>
    </xf>
    <xf numFmtId="0" fontId="1" fillId="0" borderId="29" xfId="8" applyFont="1" applyFill="1" applyBorder="1" applyAlignment="1" applyProtection="1">
      <alignment horizontal="left" vertical="center" wrapText="1"/>
      <protection locked="0"/>
    </xf>
    <xf numFmtId="0" fontId="1" fillId="0" borderId="29" xfId="8" applyFont="1" applyFill="1" applyBorder="1" applyAlignment="1" applyProtection="1">
      <alignment horizontal="left" vertical="center" wrapText="1" indent="1"/>
      <protection locked="0"/>
    </xf>
    <xf numFmtId="8" fontId="1" fillId="0" borderId="29" xfId="0" applyNumberFormat="1" applyFont="1" applyFill="1" applyBorder="1" applyAlignment="1">
      <alignment horizontal="left" vertical="center" wrapText="1" indent="1"/>
    </xf>
    <xf numFmtId="0" fontId="1" fillId="0" borderId="21" xfId="8" applyFont="1" applyFill="1" applyBorder="1" applyAlignment="1" applyProtection="1">
      <alignment vertical="center" wrapText="1"/>
      <protection locked="0"/>
    </xf>
    <xf numFmtId="0" fontId="1" fillId="0" borderId="21" xfId="8" applyFont="1" applyFill="1" applyBorder="1" applyAlignment="1" applyProtection="1">
      <alignment horizontal="left" vertical="center" wrapText="1" indent="1"/>
      <protection locked="0"/>
    </xf>
    <xf numFmtId="8" fontId="5" fillId="0" borderId="29" xfId="0" applyNumberFormat="1" applyFont="1" applyFill="1" applyBorder="1" applyAlignment="1">
      <alignment vertical="center" wrapText="1"/>
    </xf>
    <xf numFmtId="0" fontId="3" fillId="7" borderId="0" xfId="0" applyFont="1" applyFill="1" applyAlignment="1">
      <alignment horizontal="centerContinuous"/>
    </xf>
    <xf numFmtId="0" fontId="13" fillId="0" borderId="26" xfId="3" applyFont="1" applyFill="1" applyBorder="1"/>
    <xf numFmtId="176" fontId="13" fillId="0" borderId="0" xfId="3" applyNumberFormat="1" applyFont="1" applyFill="1" applyBorder="1" applyAlignment="1">
      <alignment horizontal="center"/>
    </xf>
    <xf numFmtId="0" fontId="13" fillId="0" borderId="0" xfId="3" applyFont="1" applyFill="1" applyBorder="1" applyAlignment="1">
      <alignment horizontal="center"/>
    </xf>
    <xf numFmtId="0" fontId="5" fillId="7" borderId="28" xfId="3" applyFont="1" applyFill="1" applyBorder="1" applyAlignment="1">
      <alignment horizontal="left"/>
    </xf>
    <xf numFmtId="0" fontId="5" fillId="7" borderId="4" xfId="3" applyFont="1" applyFill="1" applyBorder="1" applyAlignment="1">
      <alignment horizontal="center"/>
    </xf>
    <xf numFmtId="0" fontId="5" fillId="7" borderId="4" xfId="3" applyFont="1" applyFill="1" applyBorder="1" applyAlignment="1">
      <alignment horizontal="center" wrapText="1"/>
    </xf>
    <xf numFmtId="0" fontId="5" fillId="7" borderId="28" xfId="3" applyFont="1" applyFill="1" applyBorder="1"/>
    <xf numFmtId="171" fontId="1" fillId="7" borderId="4" xfId="3" applyNumberFormat="1" applyFont="1" applyFill="1" applyBorder="1"/>
    <xf numFmtId="0" fontId="5" fillId="7" borderId="27" xfId="3" applyFont="1" applyFill="1" applyBorder="1" applyAlignment="1">
      <alignment horizontal="center"/>
    </xf>
    <xf numFmtId="0" fontId="5" fillId="7" borderId="26" xfId="3" applyFont="1" applyFill="1" applyBorder="1"/>
    <xf numFmtId="171" fontId="1" fillId="7" borderId="0" xfId="3" applyNumberFormat="1" applyFont="1" applyFill="1" applyBorder="1"/>
    <xf numFmtId="171" fontId="1" fillId="7" borderId="0" xfId="3" applyNumberFormat="1" applyFont="1" applyFill="1" applyBorder="1" applyAlignment="1">
      <alignment horizontal="center"/>
    </xf>
    <xf numFmtId="0" fontId="5" fillId="7" borderId="24" xfId="3" applyFont="1" applyFill="1" applyBorder="1" applyAlignment="1">
      <alignment horizontal="center"/>
    </xf>
    <xf numFmtId="0" fontId="1" fillId="7" borderId="0" xfId="3" applyFont="1" applyFill="1" applyBorder="1"/>
    <xf numFmtId="0" fontId="1" fillId="7" borderId="0" xfId="3" applyNumberFormat="1" applyFont="1" applyFill="1" applyBorder="1" applyAlignment="1">
      <alignment horizontal="center"/>
    </xf>
    <xf numFmtId="0" fontId="1" fillId="7" borderId="24" xfId="3" applyFont="1" applyFill="1" applyBorder="1"/>
    <xf numFmtId="0" fontId="1" fillId="7" borderId="24" xfId="3" applyFont="1" applyFill="1" applyBorder="1" applyAlignment="1">
      <alignment horizontal="center"/>
    </xf>
    <xf numFmtId="0" fontId="1" fillId="7" borderId="0" xfId="3" applyFont="1" applyFill="1" applyBorder="1" applyAlignment="1">
      <alignment horizontal="center"/>
    </xf>
    <xf numFmtId="0" fontId="1" fillId="7" borderId="25" xfId="3" applyFont="1" applyFill="1" applyBorder="1" applyAlignment="1">
      <alignment horizontal="center"/>
    </xf>
    <xf numFmtId="9" fontId="5" fillId="7" borderId="22" xfId="3" applyNumberFormat="1" applyFont="1" applyFill="1" applyBorder="1" applyAlignment="1">
      <alignment horizontal="center"/>
    </xf>
    <xf numFmtId="0" fontId="5" fillId="7" borderId="23" xfId="3" applyFont="1" applyFill="1" applyBorder="1"/>
    <xf numFmtId="0" fontId="1" fillId="7" borderId="22" xfId="3" applyFont="1" applyFill="1" applyBorder="1"/>
    <xf numFmtId="9" fontId="14" fillId="6" borderId="22" xfId="3" applyNumberFormat="1" applyFont="1" applyFill="1" applyBorder="1" applyAlignment="1">
      <alignment horizontal="center"/>
    </xf>
    <xf numFmtId="0" fontId="20" fillId="7" borderId="16" xfId="3" applyFont="1" applyFill="1" applyBorder="1" applyAlignment="1">
      <alignment horizontal="centerContinuous"/>
    </xf>
    <xf numFmtId="0" fontId="20" fillId="7" borderId="17" xfId="3" applyFont="1" applyFill="1" applyBorder="1" applyAlignment="1">
      <alignment horizontal="centerContinuous"/>
    </xf>
    <xf numFmtId="0" fontId="20" fillId="7" borderId="18" xfId="3" applyFont="1" applyFill="1" applyBorder="1" applyAlignment="1">
      <alignment horizontal="centerContinuous"/>
    </xf>
    <xf numFmtId="0" fontId="1" fillId="7" borderId="19" xfId="3" applyFont="1" applyFill="1" applyBorder="1"/>
    <xf numFmtId="0" fontId="5" fillId="7" borderId="0" xfId="3" applyFont="1" applyFill="1" applyBorder="1"/>
    <xf numFmtId="0" fontId="5" fillId="7" borderId="19" xfId="3" applyFont="1" applyFill="1" applyBorder="1"/>
    <xf numFmtId="173" fontId="5" fillId="7" borderId="0" xfId="3" applyNumberFormat="1" applyFont="1" applyFill="1" applyBorder="1"/>
    <xf numFmtId="173" fontId="5" fillId="7" borderId="20" xfId="3" applyNumberFormat="1" applyFont="1" applyFill="1" applyBorder="1"/>
    <xf numFmtId="0" fontId="26" fillId="0" borderId="0" xfId="3" applyFont="1" applyFill="1" applyAlignment="1">
      <alignment horizontal="centerContinuous"/>
    </xf>
    <xf numFmtId="3" fontId="27" fillId="0" borderId="0" xfId="3" applyNumberFormat="1" applyFont="1" applyFill="1" applyBorder="1"/>
    <xf numFmtId="170" fontId="27" fillId="0" borderId="0" xfId="3" applyNumberFormat="1" applyFont="1" applyFill="1" applyBorder="1"/>
    <xf numFmtId="173" fontId="27" fillId="0" borderId="0" xfId="3" applyNumberFormat="1" applyFont="1" applyFill="1" applyBorder="1"/>
    <xf numFmtId="174" fontId="27" fillId="0" borderId="0" xfId="2" applyNumberFormat="1" applyFont="1" applyFill="1" applyBorder="1"/>
    <xf numFmtId="0" fontId="5" fillId="7" borderId="0" xfId="0" applyFont="1" applyFill="1" applyBorder="1"/>
    <xf numFmtId="173" fontId="5" fillId="7" borderId="0" xfId="0" applyNumberFormat="1" applyFont="1" applyFill="1" applyBorder="1"/>
    <xf numFmtId="0" fontId="20" fillId="7" borderId="0" xfId="0" applyFont="1" applyFill="1" applyBorder="1" applyAlignment="1">
      <alignment horizontal="centerContinuous"/>
    </xf>
    <xf numFmtId="0" fontId="20" fillId="0" borderId="0" xfId="0" applyFont="1" applyBorder="1"/>
    <xf numFmtId="0" fontId="1" fillId="7" borderId="0" xfId="0" applyFont="1" applyFill="1" applyBorder="1"/>
    <xf numFmtId="0" fontId="20" fillId="0" borderId="0" xfId="3" applyFont="1" applyBorder="1"/>
    <xf numFmtId="0" fontId="20" fillId="7" borderId="0" xfId="3" applyFont="1" applyFill="1" applyBorder="1" applyAlignment="1">
      <alignment horizontal="centerContinuous"/>
    </xf>
    <xf numFmtId="0" fontId="26" fillId="0" borderId="0" xfId="3" applyFont="1" applyFill="1" applyBorder="1" applyAlignment="1">
      <alignment horizontal="centerContinuous"/>
    </xf>
    <xf numFmtId="0" fontId="1" fillId="0" borderId="0" xfId="3" applyFill="1" applyBorder="1" applyAlignment="1">
      <alignment horizontal="centerContinuous"/>
    </xf>
    <xf numFmtId="0" fontId="1" fillId="0" borderId="0" xfId="3" applyBorder="1" applyAlignment="1">
      <alignment horizontal="left" indent="1"/>
    </xf>
    <xf numFmtId="0" fontId="26" fillId="6" borderId="0" xfId="0" applyFont="1" applyFill="1" applyBorder="1" applyAlignment="1">
      <alignment horizontal="centerContinuous"/>
    </xf>
    <xf numFmtId="0" fontId="27" fillId="6" borderId="0" xfId="0" applyFont="1" applyFill="1" applyBorder="1" applyAlignment="1">
      <alignment horizontal="centerContinuous"/>
    </xf>
    <xf numFmtId="3" fontId="27" fillId="6" borderId="0" xfId="0" applyNumberFormat="1" applyFont="1" applyFill="1" applyBorder="1"/>
    <xf numFmtId="170" fontId="27" fillId="6" borderId="0" xfId="0" applyNumberFormat="1" applyFont="1" applyFill="1" applyBorder="1"/>
    <xf numFmtId="173" fontId="27" fillId="6" borderId="0" xfId="0" applyNumberFormat="1" applyFont="1" applyFill="1" applyBorder="1"/>
    <xf numFmtId="174" fontId="27" fillId="6" borderId="0" xfId="2" applyNumberFormat="1" applyFont="1" applyFill="1" applyBorder="1"/>
    <xf numFmtId="0" fontId="5" fillId="0" borderId="1" xfId="0" applyFont="1" applyFill="1" applyBorder="1"/>
    <xf numFmtId="42" fontId="0" fillId="0" borderId="0" xfId="0" applyNumberFormat="1" applyFill="1"/>
    <xf numFmtId="41" fontId="0" fillId="0" borderId="3" xfId="0" applyNumberFormat="1" applyFill="1" applyBorder="1"/>
    <xf numFmtId="41" fontId="0" fillId="0" borderId="0" xfId="0" applyNumberFormat="1" applyFill="1"/>
    <xf numFmtId="0" fontId="0" fillId="0" borderId="0" xfId="0" applyFill="1" applyAlignment="1">
      <alignment horizontal="left" indent="1"/>
    </xf>
    <xf numFmtId="0" fontId="5" fillId="0" borderId="0" xfId="0" applyFont="1" applyFill="1"/>
    <xf numFmtId="42" fontId="0" fillId="0" borderId="2" xfId="0" applyNumberFormat="1" applyFill="1" applyBorder="1"/>
    <xf numFmtId="0" fontId="27" fillId="0" borderId="0" xfId="0" applyFont="1" applyFill="1"/>
    <xf numFmtId="44" fontId="27" fillId="0" borderId="0" xfId="0" applyNumberFormat="1" applyFont="1" applyFill="1"/>
    <xf numFmtId="42" fontId="27" fillId="0" borderId="0" xfId="0" applyNumberFormat="1" applyFont="1" applyFill="1"/>
    <xf numFmtId="0" fontId="27" fillId="0" borderId="0" xfId="0" applyFont="1"/>
    <xf numFmtId="4" fontId="27" fillId="0" borderId="0" xfId="0" applyNumberFormat="1" applyFont="1"/>
    <xf numFmtId="177" fontId="27" fillId="0" borderId="0" xfId="9" applyNumberFormat="1" applyFont="1"/>
    <xf numFmtId="37" fontId="27" fillId="0" borderId="0" xfId="0" applyNumberFormat="1" applyFont="1" applyFill="1"/>
    <xf numFmtId="0" fontId="0" fillId="7" borderId="0" xfId="0" applyFill="1" applyAlignment="1">
      <alignment horizontal="centerContinuous"/>
    </xf>
    <xf numFmtId="0" fontId="0" fillId="0" borderId="3" xfId="0" applyFill="1" applyBorder="1" applyAlignment="1">
      <alignment horizontal="center"/>
    </xf>
    <xf numFmtId="0" fontId="0" fillId="0" borderId="3" xfId="0" applyFill="1" applyBorder="1" applyAlignment="1">
      <alignment horizontal="center" wrapText="1"/>
    </xf>
    <xf numFmtId="9" fontId="27" fillId="0" borderId="0" xfId="0" applyNumberFormat="1" applyFont="1" applyFill="1"/>
    <xf numFmtId="3" fontId="27" fillId="0" borderId="0" xfId="0" applyNumberFormat="1" applyFont="1"/>
    <xf numFmtId="171" fontId="27" fillId="0" borderId="0" xfId="0" applyNumberFormat="1" applyFont="1"/>
    <xf numFmtId="0" fontId="12" fillId="0" borderId="1" xfId="0" applyFont="1" applyFill="1" applyBorder="1"/>
    <xf numFmtId="0" fontId="0" fillId="0" borderId="0" xfId="0" applyFill="1" applyAlignment="1">
      <alignment horizontal="left" indent="2"/>
    </xf>
    <xf numFmtId="0" fontId="5" fillId="0" borderId="0" xfId="0" applyFont="1" applyFill="1" applyAlignment="1">
      <alignment horizontal="left"/>
    </xf>
    <xf numFmtId="0" fontId="0" fillId="0" borderId="0" xfId="0" applyFill="1" applyAlignment="1">
      <alignment horizontal="left"/>
    </xf>
    <xf numFmtId="9" fontId="27" fillId="0" borderId="0" xfId="0" applyNumberFormat="1" applyFont="1"/>
    <xf numFmtId="0" fontId="26" fillId="7" borderId="0" xfId="0" applyFont="1" applyFill="1" applyBorder="1"/>
    <xf numFmtId="173" fontId="0" fillId="0" borderId="0" xfId="0" applyNumberFormat="1"/>
    <xf numFmtId="0" fontId="2" fillId="0" borderId="0" xfId="0" applyFont="1" applyFill="1" applyBorder="1" applyAlignment="1">
      <alignment vertical="top" wrapText="1"/>
    </xf>
    <xf numFmtId="0" fontId="0" fillId="0" borderId="0" xfId="0" applyAlignment="1">
      <alignment horizontal="right"/>
    </xf>
    <xf numFmtId="0" fontId="0" fillId="0" borderId="0" xfId="0" applyAlignment="1">
      <alignment horizontal="centerContinuous"/>
    </xf>
    <xf numFmtId="0" fontId="5" fillId="0" borderId="0" xfId="0" applyFont="1" applyAlignment="1">
      <alignment horizontal="centerContinuous"/>
    </xf>
    <xf numFmtId="0" fontId="2" fillId="0" borderId="0" xfId="3" applyFont="1"/>
    <xf numFmtId="0" fontId="2" fillId="0" borderId="0" xfId="3" applyFont="1" applyAlignment="1">
      <alignment horizontal="center"/>
    </xf>
    <xf numFmtId="171" fontId="2" fillId="0" borderId="0" xfId="3" applyNumberFormat="1" applyFont="1"/>
    <xf numFmtId="0" fontId="1" fillId="0" borderId="0" xfId="3" applyAlignment="1">
      <alignment horizontal="centerContinuous"/>
    </xf>
    <xf numFmtId="8" fontId="1" fillId="0" borderId="0" xfId="3" applyNumberFormat="1"/>
    <xf numFmtId="0" fontId="13" fillId="0" borderId="0" xfId="3" applyFont="1"/>
    <xf numFmtId="9" fontId="13" fillId="0" borderId="0" xfId="3" applyNumberFormat="1" applyFont="1"/>
    <xf numFmtId="5" fontId="1" fillId="0" borderId="0" xfId="12" applyNumberFormat="1"/>
    <xf numFmtId="5" fontId="13" fillId="0" borderId="3" xfId="12" applyNumberFormat="1" applyFont="1" applyFill="1" applyBorder="1"/>
    <xf numFmtId="5" fontId="13" fillId="0" borderId="0" xfId="12" applyNumberFormat="1" applyFont="1" applyFill="1"/>
    <xf numFmtId="6" fontId="13" fillId="0" borderId="0" xfId="3" applyNumberFormat="1" applyFont="1"/>
    <xf numFmtId="9" fontId="1" fillId="0" borderId="0" xfId="3" applyNumberFormat="1" applyBorder="1"/>
    <xf numFmtId="0" fontId="1" fillId="0" borderId="0" xfId="3" applyFont="1"/>
    <xf numFmtId="0" fontId="1" fillId="7" borderId="0" xfId="0" applyFont="1" applyFill="1" applyAlignment="1">
      <alignment horizontal="centerContinuous"/>
    </xf>
    <xf numFmtId="0" fontId="30" fillId="2" borderId="0" xfId="0" applyFont="1" applyFill="1" applyBorder="1" applyAlignment="1">
      <alignment horizontal="right"/>
    </xf>
    <xf numFmtId="0" fontId="1" fillId="0" borderId="0" xfId="3" applyFont="1" applyAlignment="1">
      <alignment horizontal="centerContinuous"/>
    </xf>
    <xf numFmtId="0" fontId="1" fillId="0" borderId="0" xfId="0" applyFont="1" applyBorder="1"/>
    <xf numFmtId="0" fontId="1" fillId="0" borderId="0" xfId="3" applyFont="1" applyBorder="1"/>
    <xf numFmtId="0" fontId="30" fillId="2" borderId="0" xfId="0" applyFont="1" applyFill="1" applyBorder="1" applyAlignment="1">
      <alignment horizontal="left"/>
    </xf>
    <xf numFmtId="0" fontId="1" fillId="0" borderId="0" xfId="11" applyFont="1" applyAlignment="1">
      <alignment horizontal="centerContinuous"/>
    </xf>
    <xf numFmtId="0" fontId="11" fillId="0" borderId="0" xfId="0" applyFont="1"/>
    <xf numFmtId="0" fontId="11" fillId="2" borderId="0" xfId="0" applyFont="1" applyFill="1" applyBorder="1" applyAlignment="1">
      <alignment horizontal="left"/>
    </xf>
    <xf numFmtId="0" fontId="11" fillId="0" borderId="0" xfId="3" applyFont="1"/>
    <xf numFmtId="0" fontId="11" fillId="0" borderId="0" xfId="11" applyFont="1" applyAlignment="1">
      <alignment horizontal="centerContinuous"/>
    </xf>
    <xf numFmtId="0" fontId="11" fillId="0" borderId="0" xfId="0" applyFont="1" applyBorder="1"/>
    <xf numFmtId="0" fontId="11" fillId="0" borderId="0" xfId="3" applyFont="1" applyBorder="1"/>
    <xf numFmtId="0" fontId="5" fillId="0" borderId="1" xfId="3" applyFont="1" applyBorder="1"/>
    <xf numFmtId="0" fontId="27" fillId="0" borderId="0" xfId="3" applyFont="1"/>
    <xf numFmtId="0" fontId="5" fillId="0" borderId="0" xfId="3" applyFont="1" applyAlignment="1">
      <alignment horizontal="center"/>
    </xf>
    <xf numFmtId="168" fontId="5" fillId="0" borderId="1" xfId="3" applyNumberFormat="1" applyFont="1" applyBorder="1" applyAlignment="1">
      <alignment horizontal="center"/>
    </xf>
    <xf numFmtId="177" fontId="27" fillId="0" borderId="0" xfId="4" applyNumberFormat="1" applyFont="1"/>
    <xf numFmtId="181" fontId="1" fillId="0" borderId="0" xfId="3" applyNumberFormat="1"/>
    <xf numFmtId="181" fontId="32" fillId="0" borderId="0" xfId="3" applyNumberFormat="1" applyFont="1"/>
    <xf numFmtId="37" fontId="27" fillId="0" borderId="0" xfId="3" applyNumberFormat="1" applyFont="1"/>
    <xf numFmtId="42" fontId="1" fillId="0" borderId="0" xfId="3" applyNumberFormat="1"/>
    <xf numFmtId="182" fontId="0" fillId="0" borderId="0" xfId="14" applyNumberFormat="1" applyFont="1"/>
    <xf numFmtId="182" fontId="1" fillId="0" borderId="0" xfId="14" applyNumberFormat="1" applyFont="1"/>
    <xf numFmtId="182" fontId="32" fillId="0" borderId="0" xfId="14" applyNumberFormat="1" applyFont="1"/>
    <xf numFmtId="44" fontId="27" fillId="0" borderId="0" xfId="3" applyNumberFormat="1" applyFont="1"/>
    <xf numFmtId="41" fontId="1" fillId="0" borderId="3" xfId="3" applyNumberFormat="1" applyBorder="1"/>
    <xf numFmtId="41" fontId="1" fillId="0" borderId="0" xfId="3" applyNumberFormat="1"/>
    <xf numFmtId="0" fontId="1" fillId="0" borderId="0" xfId="3" applyAlignment="1">
      <alignment horizontal="left" indent="1"/>
    </xf>
    <xf numFmtId="42" fontId="27" fillId="0" borderId="0" xfId="3" applyNumberFormat="1" applyFont="1"/>
    <xf numFmtId="42" fontId="1" fillId="0" borderId="2" xfId="3" applyNumberFormat="1" applyBorder="1"/>
    <xf numFmtId="3" fontId="1" fillId="0" borderId="0" xfId="3" applyNumberFormat="1"/>
    <xf numFmtId="169" fontId="5" fillId="0" borderId="0" xfId="3" applyNumberFormat="1" applyFont="1" applyAlignment="1">
      <alignment horizontal="center"/>
    </xf>
    <xf numFmtId="170" fontId="1" fillId="0" borderId="1" xfId="3" applyNumberFormat="1" applyBorder="1"/>
    <xf numFmtId="4" fontId="27" fillId="0" borderId="0" xfId="3" applyNumberFormat="1" applyFont="1"/>
    <xf numFmtId="41" fontId="0" fillId="0" borderId="0" xfId="13" applyFont="1"/>
    <xf numFmtId="0" fontId="5" fillId="0" borderId="0" xfId="3" applyFont="1" applyAlignment="1">
      <alignment horizontal="centerContinuous"/>
    </xf>
    <xf numFmtId="0" fontId="21" fillId="0" borderId="0" xfId="0" applyFont="1"/>
    <xf numFmtId="0" fontId="5" fillId="0" borderId="1" xfId="3" applyNumberFormat="1" applyFont="1" applyBorder="1" applyAlignment="1">
      <alignment horizontal="center"/>
    </xf>
    <xf numFmtId="0" fontId="1" fillId="0" borderId="0" xfId="3" applyNumberFormat="1"/>
    <xf numFmtId="0" fontId="1" fillId="0" borderId="0" xfId="3" applyFont="1" applyFill="1" applyBorder="1" applyAlignment="1">
      <alignment horizontal="left" vertical="center" wrapText="1"/>
    </xf>
    <xf numFmtId="0" fontId="1" fillId="0" borderId="0" xfId="3" applyBorder="1" applyAlignment="1">
      <alignment vertical="top"/>
    </xf>
    <xf numFmtId="0" fontId="1" fillId="0" borderId="0" xfId="3" applyBorder="1" applyAlignment="1"/>
    <xf numFmtId="0" fontId="1" fillId="0" borderId="0" xfId="0" applyFont="1" applyBorder="1" applyAlignment="1">
      <alignment vertical="top"/>
    </xf>
    <xf numFmtId="0" fontId="19" fillId="2" borderId="3" xfId="0" applyFont="1" applyFill="1" applyBorder="1" applyAlignment="1">
      <alignment horizontal="right" wrapText="1"/>
    </xf>
    <xf numFmtId="0" fontId="9" fillId="2" borderId="3" xfId="0" applyFont="1" applyFill="1" applyBorder="1" applyAlignment="1">
      <alignment horizontal="right" wrapText="1"/>
    </xf>
    <xf numFmtId="0" fontId="17" fillId="3" borderId="0" xfId="0" applyFont="1" applyFill="1" applyBorder="1" applyAlignment="1">
      <alignment horizontal="left" wrapText="1"/>
    </xf>
    <xf numFmtId="0" fontId="7" fillId="3" borderId="0" xfId="0" applyFont="1" applyFill="1" applyBorder="1" applyAlignment="1">
      <alignment horizontal="left" wrapText="1"/>
    </xf>
    <xf numFmtId="0" fontId="0" fillId="0" borderId="0" xfId="0" applyFill="1" applyBorder="1" applyAlignment="1">
      <alignment horizontal="right" wrapText="1"/>
    </xf>
    <xf numFmtId="0" fontId="1" fillId="0" borderId="0" xfId="0" applyFont="1" applyFill="1" applyBorder="1" applyAlignment="1">
      <alignment horizontal="right" wrapText="1"/>
    </xf>
    <xf numFmtId="0" fontId="0" fillId="5" borderId="0" xfId="0" applyFill="1" applyBorder="1" applyAlignment="1">
      <alignment horizontal="right" wrapText="1"/>
    </xf>
    <xf numFmtId="0" fontId="1" fillId="0" borderId="0" xfId="3" applyAlignment="1">
      <alignment wrapText="1"/>
    </xf>
    <xf numFmtId="0" fontId="6" fillId="2" borderId="3" xfId="3" applyFont="1" applyFill="1" applyBorder="1" applyAlignment="1">
      <alignment horizontal="left" wrapText="1"/>
    </xf>
    <xf numFmtId="0" fontId="9" fillId="2" borderId="3" xfId="3" applyFont="1" applyFill="1" applyBorder="1" applyAlignment="1">
      <alignment horizontal="right" wrapText="1"/>
    </xf>
    <xf numFmtId="0" fontId="7" fillId="3" borderId="0" xfId="3" applyFont="1" applyFill="1" applyBorder="1" applyAlignment="1">
      <alignment horizontal="left" wrapText="1"/>
    </xf>
    <xf numFmtId="0" fontId="1" fillId="0" borderId="0" xfId="3" applyFill="1" applyBorder="1" applyAlignment="1">
      <alignment horizontal="right" wrapText="1"/>
    </xf>
    <xf numFmtId="0" fontId="1" fillId="4" borderId="0" xfId="3" applyFill="1" applyBorder="1" applyAlignment="1">
      <alignment horizontal="right" wrapText="1"/>
    </xf>
    <xf numFmtId="0" fontId="35" fillId="0" borderId="0" xfId="0" applyFont="1" applyAlignment="1">
      <alignment horizontal="left" vertical="center" readingOrder="1"/>
    </xf>
    <xf numFmtId="0" fontId="22" fillId="0" borderId="0" xfId="3" applyFont="1"/>
    <xf numFmtId="0" fontId="22" fillId="0" borderId="0" xfId="3" applyFont="1" applyAlignment="1">
      <alignment horizontal="center"/>
    </xf>
    <xf numFmtId="0" fontId="1" fillId="0" borderId="0" xfId="3" applyFont="1" applyAlignment="1">
      <alignment horizontal="center"/>
    </xf>
    <xf numFmtId="180" fontId="37" fillId="8" borderId="0" xfId="10" applyNumberFormat="1" applyFont="1" applyFill="1" applyBorder="1" applyAlignment="1">
      <alignment horizontal="center"/>
    </xf>
    <xf numFmtId="0" fontId="1" fillId="7" borderId="0" xfId="3" applyFont="1" applyFill="1" applyAlignment="1">
      <alignment horizontal="center" wrapText="1"/>
    </xf>
    <xf numFmtId="0" fontId="37" fillId="0" borderId="0" xfId="3" applyFont="1"/>
    <xf numFmtId="0" fontId="37" fillId="0" borderId="0" xfId="3" applyFont="1" applyAlignment="1">
      <alignment horizontal="center"/>
    </xf>
    <xf numFmtId="179" fontId="37" fillId="0" borderId="0" xfId="4" applyNumberFormat="1" applyFont="1" applyFill="1" applyBorder="1"/>
    <xf numFmtId="44" fontId="1" fillId="0" borderId="0" xfId="10" applyFont="1" applyBorder="1"/>
    <xf numFmtId="178" fontId="1" fillId="0" borderId="0" xfId="4" applyNumberFormat="1" applyFont="1" applyBorder="1"/>
    <xf numFmtId="0" fontId="1" fillId="7" borderId="0" xfId="3" applyFont="1" applyFill="1"/>
    <xf numFmtId="0" fontId="1" fillId="7" borderId="0" xfId="3" applyFont="1" applyFill="1" applyAlignment="1">
      <alignment horizontal="center"/>
    </xf>
    <xf numFmtId="171" fontId="1" fillId="7" borderId="0" xfId="3" applyNumberFormat="1" applyFont="1" applyFill="1"/>
    <xf numFmtId="171" fontId="1" fillId="0" borderId="0" xfId="3" applyNumberFormat="1" applyFont="1"/>
    <xf numFmtId="44" fontId="1" fillId="0" borderId="0" xfId="10" applyFont="1" applyFill="1" applyBorder="1"/>
    <xf numFmtId="43" fontId="1" fillId="0" borderId="0" xfId="10" applyNumberFormat="1" applyFont="1" applyFill="1" applyBorder="1"/>
    <xf numFmtId="183" fontId="11" fillId="0" borderId="0" xfId="0" applyNumberFormat="1" applyFont="1"/>
    <xf numFmtId="183" fontId="0" fillId="0" borderId="0" xfId="0" applyNumberFormat="1"/>
    <xf numFmtId="0" fontId="38" fillId="0" borderId="0" xfId="1" applyFont="1" applyAlignment="1" applyProtection="1"/>
    <xf numFmtId="0" fontId="39" fillId="0" borderId="0" xfId="0" applyFont="1"/>
    <xf numFmtId="183" fontId="39" fillId="0" borderId="0" xfId="0" applyNumberFormat="1" applyFont="1"/>
    <xf numFmtId="0" fontId="11" fillId="0" borderId="0" xfId="1" applyAlignment="1" applyProtection="1">
      <alignment horizontal="left" indent="1"/>
    </xf>
    <xf numFmtId="0" fontId="40" fillId="0" borderId="0" xfId="0" applyFont="1"/>
    <xf numFmtId="0" fontId="41" fillId="0" borderId="0" xfId="0" applyFont="1"/>
    <xf numFmtId="0" fontId="32" fillId="0" borderId="0" xfId="1" applyFont="1" applyAlignment="1" applyProtection="1">
      <alignment horizontal="left"/>
    </xf>
    <xf numFmtId="0" fontId="27" fillId="2" borderId="0" xfId="0" applyFont="1" applyFill="1" applyBorder="1" applyAlignment="1">
      <alignment horizontal="left"/>
    </xf>
    <xf numFmtId="0" fontId="27" fillId="2" borderId="0" xfId="0" applyFont="1" applyFill="1" applyBorder="1" applyAlignment="1">
      <alignment horizontal="right"/>
    </xf>
    <xf numFmtId="0" fontId="27" fillId="0" borderId="0" xfId="11" applyFont="1" applyAlignment="1">
      <alignment horizontal="centerContinuous"/>
    </xf>
    <xf numFmtId="0" fontId="27" fillId="0" borderId="0" xfId="3" applyFont="1" applyAlignment="1">
      <alignment horizontal="centerContinuous"/>
    </xf>
    <xf numFmtId="0" fontId="27" fillId="0" borderId="0" xfId="0" applyFont="1" applyBorder="1"/>
    <xf numFmtId="0" fontId="27" fillId="0" borderId="0" xfId="3" applyFont="1" applyBorder="1"/>
    <xf numFmtId="21" fontId="27" fillId="0" borderId="0" xfId="0" applyNumberFormat="1" applyFont="1"/>
    <xf numFmtId="21" fontId="27" fillId="2" borderId="0" xfId="0" applyNumberFormat="1" applyFont="1" applyFill="1" applyBorder="1" applyAlignment="1">
      <alignment horizontal="left"/>
    </xf>
    <xf numFmtId="21" fontId="27" fillId="0" borderId="0" xfId="3" applyNumberFormat="1" applyFont="1"/>
    <xf numFmtId="21" fontId="27" fillId="0" borderId="0" xfId="11" applyNumberFormat="1" applyFont="1" applyAlignment="1">
      <alignment horizontal="centerContinuous"/>
    </xf>
    <xf numFmtId="21" fontId="27" fillId="0" borderId="0" xfId="0" applyNumberFormat="1" applyFont="1" applyBorder="1"/>
    <xf numFmtId="21" fontId="27" fillId="0" borderId="0" xfId="3" applyNumberFormat="1" applyFont="1" applyBorder="1"/>
    <xf numFmtId="184" fontId="0" fillId="0" borderId="0" xfId="0" applyNumberFormat="1" applyAlignment="1">
      <alignment horizontal="left" wrapText="1"/>
    </xf>
    <xf numFmtId="0" fontId="3" fillId="0" borderId="0" xfId="0" applyFont="1" applyFill="1" applyAlignment="1">
      <alignment horizontal="centerContinuous"/>
    </xf>
    <xf numFmtId="0" fontId="27" fillId="0" borderId="0" xfId="0" applyFont="1" applyFill="1" applyAlignment="1">
      <alignment horizontal="centerContinuous"/>
    </xf>
    <xf numFmtId="21" fontId="27" fillId="0" borderId="0" xfId="0" applyNumberFormat="1" applyFont="1" applyFill="1" applyAlignment="1">
      <alignment horizontal="centerContinuous"/>
    </xf>
    <xf numFmtId="0" fontId="11" fillId="0" borderId="0" xfId="0" applyFont="1" applyFill="1" applyAlignment="1">
      <alignment horizontal="centerContinuous"/>
    </xf>
    <xf numFmtId="0" fontId="1" fillId="0" borderId="0" xfId="0" applyFont="1" applyFill="1" applyAlignment="1">
      <alignment horizontal="centerContinuous"/>
    </xf>
    <xf numFmtId="184" fontId="0" fillId="0" borderId="0" xfId="0" applyNumberFormat="1" applyFill="1" applyAlignment="1">
      <alignment horizontal="left" wrapText="1"/>
    </xf>
    <xf numFmtId="0" fontId="20" fillId="0" borderId="0" xfId="0" applyFont="1" applyFill="1" applyAlignment="1">
      <alignment horizontal="centerContinuous"/>
    </xf>
    <xf numFmtId="0" fontId="5" fillId="0" borderId="0" xfId="3" applyFont="1" applyBorder="1" applyAlignment="1">
      <alignment horizontal="center"/>
    </xf>
    <xf numFmtId="174" fontId="27" fillId="0" borderId="0" xfId="2" applyNumberFormat="1" applyFont="1" applyFill="1" applyBorder="1" applyAlignment="1"/>
    <xf numFmtId="0" fontId="20" fillId="0" borderId="0" xfId="11" applyAlignment="1">
      <alignment horizontal="left"/>
    </xf>
    <xf numFmtId="0" fontId="28" fillId="0" borderId="0" xfId="11" applyFont="1" applyAlignment="1">
      <alignment horizontal="left"/>
    </xf>
    <xf numFmtId="0" fontId="2" fillId="0" borderId="0" xfId="3" applyFont="1" applyAlignment="1">
      <alignment horizontal="left"/>
    </xf>
    <xf numFmtId="0" fontId="1" fillId="0" borderId="0" xfId="3" applyAlignment="1">
      <alignment horizontal="left"/>
    </xf>
    <xf numFmtId="0" fontId="12" fillId="7" borderId="0" xfId="0" applyFont="1" applyFill="1" applyAlignment="1">
      <alignment horizontal="centerContinuous"/>
    </xf>
    <xf numFmtId="0" fontId="0" fillId="0" borderId="0" xfId="0" applyFill="1" applyAlignment="1">
      <alignment horizontal="centerContinuous"/>
    </xf>
    <xf numFmtId="6" fontId="0" fillId="0" borderId="0" xfId="0" applyNumberFormat="1"/>
    <xf numFmtId="6" fontId="27" fillId="0" borderId="3" xfId="0" applyNumberFormat="1" applyFont="1" applyBorder="1"/>
    <xf numFmtId="6" fontId="27" fillId="0" borderId="0" xfId="0" applyNumberFormat="1" applyFont="1"/>
    <xf numFmtId="6" fontId="27" fillId="0" borderId="0" xfId="0" applyNumberFormat="1" applyFont="1" applyFill="1"/>
    <xf numFmtId="6" fontId="0" fillId="0" borderId="0" xfId="0" applyNumberFormat="1" applyFill="1"/>
    <xf numFmtId="6" fontId="0" fillId="0" borderId="3" xfId="0" applyNumberFormat="1" applyFill="1" applyBorder="1"/>
    <xf numFmtId="6" fontId="27" fillId="0" borderId="3" xfId="0" applyNumberFormat="1" applyFont="1" applyFill="1" applyBorder="1"/>
    <xf numFmtId="183" fontId="5" fillId="0" borderId="0" xfId="0" applyNumberFormat="1" applyFont="1"/>
    <xf numFmtId="183" fontId="5" fillId="0" borderId="0" xfId="0" applyNumberFormat="1" applyFont="1" applyAlignment="1">
      <alignment vertical="center"/>
    </xf>
    <xf numFmtId="183" fontId="7" fillId="0" borderId="0" xfId="0" applyNumberFormat="1" applyFont="1" applyAlignment="1">
      <alignment horizontal="center"/>
    </xf>
    <xf numFmtId="0" fontId="20" fillId="0" borderId="0" xfId="0" applyFont="1" applyAlignment="1">
      <alignment horizontal="left"/>
    </xf>
    <xf numFmtId="0" fontId="1" fillId="0" borderId="0" xfId="0" applyFont="1" applyAlignment="1">
      <alignment vertical="top"/>
    </xf>
    <xf numFmtId="0" fontId="1" fillId="0" borderId="0" xfId="0" applyFont="1" applyBorder="1" applyAlignment="1">
      <alignment vertical="top" wrapText="1"/>
    </xf>
    <xf numFmtId="0" fontId="1" fillId="7" borderId="0" xfId="3" applyFont="1" applyFill="1" applyAlignment="1">
      <alignment horizontal="center"/>
    </xf>
    <xf numFmtId="0" fontId="5" fillId="0" borderId="0" xfId="3" applyFont="1" applyAlignment="1">
      <alignment horizontal="center"/>
    </xf>
    <xf numFmtId="0" fontId="1" fillId="0" borderId="0" xfId="3" applyAlignment="1">
      <alignment horizontal="center"/>
    </xf>
    <xf numFmtId="0" fontId="5" fillId="0" borderId="0" xfId="0" applyFont="1" applyAlignment="1">
      <alignment horizontal="center"/>
    </xf>
    <xf numFmtId="0" fontId="0" fillId="0" borderId="0" xfId="0" applyAlignment="1">
      <alignment horizontal="center"/>
    </xf>
    <xf numFmtId="0" fontId="5" fillId="0" borderId="0" xfId="0" applyFont="1" applyFill="1" applyAlignment="1">
      <alignment horizontal="center"/>
    </xf>
    <xf numFmtId="0" fontId="0" fillId="0" borderId="0" xfId="0" applyFill="1" applyAlignment="1">
      <alignment horizontal="center"/>
    </xf>
    <xf numFmtId="0" fontId="5" fillId="0" borderId="0" xfId="0" applyFont="1" applyBorder="1" applyAlignment="1">
      <alignment horizontal="center"/>
    </xf>
    <xf numFmtId="0" fontId="0" fillId="0" borderId="0" xfId="0" applyAlignment="1"/>
    <xf numFmtId="0" fontId="1" fillId="0" borderId="0" xfId="3" applyFont="1" applyFill="1" applyBorder="1" applyAlignment="1">
      <alignment horizontal="left" vertical="center"/>
    </xf>
    <xf numFmtId="0" fontId="1" fillId="0" borderId="0" xfId="3" applyFont="1" applyFill="1" applyBorder="1" applyAlignment="1">
      <alignment horizontal="left" vertical="center" indent="1"/>
    </xf>
    <xf numFmtId="0" fontId="32" fillId="0" borderId="0" xfId="3" applyFont="1" applyFill="1" applyBorder="1" applyAlignment="1">
      <alignment horizontal="left" vertical="center"/>
    </xf>
  </cellXfs>
  <cellStyles count="15">
    <cellStyle name="Comma" xfId="9" builtinId="3"/>
    <cellStyle name="Comma [0]" xfId="13" builtinId="6"/>
    <cellStyle name="Comma [0] 2" xfId="14" xr:uid="{340C0301-4E09-4EFE-B21F-2313142B1DCA}"/>
    <cellStyle name="Comma 2" xfId="4" xr:uid="{00000000-0005-0000-0000-000001000000}"/>
    <cellStyle name="Currency 2" xfId="5" xr:uid="{00000000-0005-0000-0000-000002000000}"/>
    <cellStyle name="Currency 2 2" xfId="12" xr:uid="{F2D7A627-7932-46FF-901D-FA44A170CE08}"/>
    <cellStyle name="Currency 3" xfId="6" xr:uid="{00000000-0005-0000-0000-000003000000}"/>
    <cellStyle name="Currency 4" xfId="7" xr:uid="{00000000-0005-0000-0000-000004000000}"/>
    <cellStyle name="Currency 5" xfId="10" xr:uid="{1F845228-8D2E-46E0-918A-3D5AE3F5151A}"/>
    <cellStyle name="Hyperlink" xfId="1" builtinId="8"/>
    <cellStyle name="Normal" xfId="0" builtinId="0"/>
    <cellStyle name="Normal 2" xfId="3" xr:uid="{00000000-0005-0000-0000-000007000000}"/>
    <cellStyle name="Percent" xfId="2" builtinId="5"/>
    <cellStyle name="Title 2" xfId="11" xr:uid="{FF60123C-292E-4741-AA78-F290A11733B6}"/>
    <cellStyle name="WrapText" xfId="8" xr:uid="{00000000-0005-0000-0000-000009000000}"/>
  </cellStyles>
  <dxfs count="7">
    <dxf>
      <font>
        <b/>
      </font>
    </dxf>
    <dxf>
      <numFmt numFmtId="173" formatCode="&quot;$&quot;#,##0"/>
    </dxf>
    <dxf>
      <numFmt numFmtId="173" formatCode="&quot;$&quot;#,##0"/>
    </dxf>
    <dxf>
      <numFmt numFmtId="173" formatCode="&quot;$&quot;#,##0"/>
    </dxf>
    <dxf>
      <numFmt numFmtId="173" formatCode="&quot;$&quot;#,##0"/>
    </dxf>
    <dxf>
      <numFmt numFmtId="173" formatCode="&quot;$&quot;#,##0"/>
    </dxf>
    <dxf>
      <alignment horizontal="right"/>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[6_What-if_Analysis_Notes.xlsx]PivotTable_&amp;_Chart!PivotTable2</c:name>
    <c:fmtId val="0"/>
  </c:pivotSource>
  <c:chart>
    <c:autoTitleDeleted val="0"/>
    <c:pivotFmts>
      <c:pivotFmt>
        <c:idx val="0"/>
        <c:spPr>
          <a:solidFill>
            <a:srgbClr val="9999FF"/>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
        <c:idx val="1"/>
        <c:spPr>
          <a:solidFill>
            <a:srgbClr val="993366"/>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
        <c:idx val="2"/>
        <c:spPr>
          <a:solidFill>
            <a:srgbClr val="FFFFCC"/>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
        <c:idx val="3"/>
        <c:spPr>
          <a:solidFill>
            <a:srgbClr val="CCFFFF"/>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
        <c:idx val="4"/>
        <c:spPr>
          <a:solidFill>
            <a:srgbClr val="660066"/>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
        <c:idx val="5"/>
        <c:spPr>
          <a:solidFill>
            <a:srgbClr val="FF8080"/>
          </a:solidFill>
          <a:ln w="12700">
            <a:solidFill>
              <a:srgbClr val="000000"/>
            </a:solidFill>
            <a:prstDash val="solid"/>
          </a:ln>
        </c:spPr>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'PivotTable_&amp;_Chart'!$B$6:$B$7</c:f>
              <c:strCache>
                <c:ptCount val="1"/>
                <c:pt idx="0">
                  <c:v>SalesRevenue</c:v>
                </c:pt>
              </c:strCache>
            </c:strRef>
          </c:tx>
          <c:spPr>
            <a:solidFill>
              <a:srgbClr val="9999FF"/>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'PivotTable_&amp;_Chart'!$B$8:$B$11</c:f>
              <c:numCache>
                <c:formatCode>_("$"* #,##0_);_("$"* \(#,##0\);_("$"* "-"_);_(@_)</c:formatCode>
                <c:ptCount val="4"/>
                <c:pt idx="0">
                  <c:v>1847950</c:v>
                </c:pt>
                <c:pt idx="1">
                  <c:v>1158675</c:v>
                </c:pt>
                <c:pt idx="2">
                  <c:v>1438400</c:v>
                </c:pt>
                <c:pt idx="3">
                  <c:v>1303600</c:v>
                </c:pt>
              </c:numCache>
            </c:numRef>
          </c:val>
          <c:extLst>
            <c:ext xmlns:c16="http://schemas.microsoft.com/office/drawing/2014/chart" uri="{C3380CC4-5D6E-409C-BE32-E72D297353CC}">
              <c16:uniqueId val="{00000000-5EA4-4F4D-B249-C33C6FCE850A}"/>
            </c:ext>
          </c:extLst>
        </c:ser>
        <c:ser>
          <c:idx val="1"/>
          <c:order val="1"/>
          <c:tx>
            <c:strRef>
              <c:f>'PivotTable_&amp;_Chart'!$C$6:$C$7</c:f>
              <c:strCache>
                <c:ptCount val="1"/>
                <c:pt idx="0">
                  <c:v>GrossProfit</c:v>
                </c:pt>
              </c:strCache>
            </c:strRef>
          </c:tx>
          <c:spPr>
            <a:solidFill>
              <a:srgbClr val="993366"/>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'PivotTable_&amp;_Chart'!$C$8:$C$11</c:f>
              <c:numCache>
                <c:formatCode>_("$"* #,##0_);_("$"* \(#,##0\);_("$"* "-"_);_(@_)</c:formatCode>
                <c:ptCount val="4"/>
                <c:pt idx="0">
                  <c:v>814200</c:v>
                </c:pt>
                <c:pt idx="1">
                  <c:v>549175</c:v>
                </c:pt>
                <c:pt idx="2">
                  <c:v>655400</c:v>
                </c:pt>
                <c:pt idx="3">
                  <c:v>688350</c:v>
                </c:pt>
              </c:numCache>
            </c:numRef>
          </c:val>
          <c:extLst>
            <c:ext xmlns:c16="http://schemas.microsoft.com/office/drawing/2014/chart" uri="{C3380CC4-5D6E-409C-BE32-E72D297353CC}">
              <c16:uniqueId val="{00000001-5EA4-4F4D-B249-C33C6FCE850A}"/>
            </c:ext>
          </c:extLst>
        </c:ser>
        <c:ser>
          <c:idx val="2"/>
          <c:order val="2"/>
          <c:tx>
            <c:strRef>
              <c:f>'PivotTable_&amp;_Chart'!$D$6:$D$7</c:f>
              <c:strCache>
                <c:ptCount val="1"/>
                <c:pt idx="0">
                  <c:v>ContributionMargin</c:v>
                </c:pt>
              </c:strCache>
            </c:strRef>
          </c:tx>
          <c:spPr>
            <a:solidFill>
              <a:srgbClr val="FFFFCC"/>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'PivotTable_&amp;_Chart'!$D$8:$D$11</c:f>
              <c:numCache>
                <c:formatCode>_("$"* #,##0_);_("$"* \(#,##0\);_("$"* "-"_);_(@_)</c:formatCode>
                <c:ptCount val="4"/>
                <c:pt idx="0">
                  <c:v>696450</c:v>
                </c:pt>
                <c:pt idx="1">
                  <c:v>479175</c:v>
                </c:pt>
                <c:pt idx="2">
                  <c:v>564400</c:v>
                </c:pt>
                <c:pt idx="3">
                  <c:v>602850</c:v>
                </c:pt>
              </c:numCache>
            </c:numRef>
          </c:val>
          <c:extLst>
            <c:ext xmlns:c16="http://schemas.microsoft.com/office/drawing/2014/chart" uri="{C3380CC4-5D6E-409C-BE32-E72D297353CC}">
              <c16:uniqueId val="{00000002-5EA4-4F4D-B249-C33C6FCE850A}"/>
            </c:ext>
          </c:extLst>
        </c:ser>
        <c:ser>
          <c:idx val="3"/>
          <c:order val="3"/>
          <c:tx>
            <c:strRef>
              <c:f>'PivotTable_&amp;_Chart'!$E$6:$E$7</c:f>
              <c:strCache>
                <c:ptCount val="1"/>
                <c:pt idx="0">
                  <c:v>PayrollExpense</c:v>
                </c:pt>
              </c:strCache>
            </c:strRef>
          </c:tx>
          <c:spPr>
            <a:solidFill>
              <a:srgbClr val="CCFFFF"/>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'PivotTable_&amp;_Chart'!$E$8:$E$11</c:f>
              <c:numCache>
                <c:formatCode>_("$"* #,##0_);_("$"* \(#,##0\);_("$"* "-"_);_(@_)</c:formatCode>
                <c:ptCount val="4"/>
                <c:pt idx="0">
                  <c:v>192500</c:v>
                </c:pt>
                <c:pt idx="1">
                  <c:v>192500</c:v>
                </c:pt>
                <c:pt idx="2">
                  <c:v>192500</c:v>
                </c:pt>
                <c:pt idx="3">
                  <c:v>192500</c:v>
                </c:pt>
              </c:numCache>
            </c:numRef>
          </c:val>
          <c:extLst>
            <c:ext xmlns:c16="http://schemas.microsoft.com/office/drawing/2014/chart" uri="{C3380CC4-5D6E-409C-BE32-E72D297353CC}">
              <c16:uniqueId val="{00000003-5EA4-4F4D-B249-C33C6FCE850A}"/>
            </c:ext>
          </c:extLst>
        </c:ser>
        <c:ser>
          <c:idx val="4"/>
          <c:order val="4"/>
          <c:tx>
            <c:strRef>
              <c:f>'PivotTable_&amp;_Chart'!$F$6:$F$7</c:f>
              <c:strCache>
                <c:ptCount val="1"/>
                <c:pt idx="0">
                  <c:v>IncomeBeforeTaxes</c:v>
                </c:pt>
              </c:strCache>
            </c:strRef>
          </c:tx>
          <c:spPr>
            <a:solidFill>
              <a:srgbClr val="660066"/>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'PivotTable_&amp;_Chart'!$F$8:$F$11</c:f>
              <c:numCache>
                <c:formatCode>_("$"* #,##0_);_("$"* \(#,##0\);_("$"* "-"_);_(@_)</c:formatCode>
                <c:ptCount val="4"/>
                <c:pt idx="0">
                  <c:v>303950</c:v>
                </c:pt>
                <c:pt idx="1">
                  <c:v>99175</c:v>
                </c:pt>
                <c:pt idx="2">
                  <c:v>163900</c:v>
                </c:pt>
                <c:pt idx="3">
                  <c:v>212350</c:v>
                </c:pt>
              </c:numCache>
            </c:numRef>
          </c:val>
          <c:extLst>
            <c:ext xmlns:c16="http://schemas.microsoft.com/office/drawing/2014/chart" uri="{C3380CC4-5D6E-409C-BE32-E72D297353CC}">
              <c16:uniqueId val="{00000004-5EA4-4F4D-B249-C33C6FCE850A}"/>
            </c:ext>
          </c:extLst>
        </c:ser>
        <c:ser>
          <c:idx val="5"/>
          <c:order val="5"/>
          <c:tx>
            <c:strRef>
              <c:f>'PivotTable_&amp;_Chart'!$G$6:$G$7</c:f>
              <c:strCache>
                <c:ptCount val="1"/>
                <c:pt idx="0">
                  <c:v>NetIncome</c:v>
                </c:pt>
              </c:strCache>
            </c:strRef>
          </c:tx>
          <c:spPr>
            <a:solidFill>
              <a:srgbClr val="FF8080"/>
            </a:solidFill>
            <a:ln w="12700">
              <a:solidFill>
                <a:srgbClr val="000000"/>
              </a:solidFill>
              <a:prstDash val="solid"/>
            </a:ln>
          </c:spPr>
          <c:invertIfNegative val="0"/>
          <c:cat>
            <c:strRef>
              <c:f>'PivotTable_&amp;_Chart'!$A$8:$A$11</c:f>
              <c:strCache>
                <c:ptCount val="4"/>
                <c:pt idx="0">
                  <c:v>Balanced</c:v>
                </c:pt>
                <c:pt idx="1">
                  <c:v>College</c:v>
                </c:pt>
                <c:pt idx="2">
                  <c:v>Continued Marketing</c:v>
                </c:pt>
                <c:pt idx="3">
                  <c:v>Discount</c:v>
                </c:pt>
              </c:strCache>
            </c:strRef>
          </c:cat>
          <c:val>
            <c:numRef>
              <c:f>'PivotTable_&amp;_Chart'!$G$8:$G$11</c:f>
              <c:numCache>
                <c:formatCode>_("$"* #,##0_);_("$"* \(#,##0\);_("$"* "-"_);_(@_)</c:formatCode>
                <c:ptCount val="4"/>
                <c:pt idx="0">
                  <c:v>197567.5</c:v>
                </c:pt>
                <c:pt idx="1">
                  <c:v>64463.75</c:v>
                </c:pt>
                <c:pt idx="2">
                  <c:v>106535</c:v>
                </c:pt>
                <c:pt idx="3">
                  <c:v>138027.5</c:v>
                </c:pt>
              </c:numCache>
            </c:numRef>
          </c:val>
          <c:extLst>
            <c:ext xmlns:c16="http://schemas.microsoft.com/office/drawing/2014/chart" uri="{C3380CC4-5D6E-409C-BE32-E72D297353CC}">
              <c16:uniqueId val="{00000005-5EA4-4F4D-B249-C33C6FCE850A}"/>
            </c:ext>
          </c:extLst>
        </c:ser>
        <c:dLbls>
          <c:showLegendKey val="0"/>
          <c:showVal val="0"/>
          <c:showCatName val="0"/>
          <c:showSerName val="0"/>
          <c:showPercent val="0"/>
          <c:showBubbleSize val="0"/>
        </c:dLbls>
        <c:gapWidth val="150"/>
        <c:overlap val="100"/>
        <c:axId val="241192784"/>
        <c:axId val="241193176"/>
      </c:barChart>
      <c:catAx>
        <c:axId val="2411927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41193176"/>
        <c:crosses val="autoZero"/>
        <c:auto val="0"/>
        <c:lblAlgn val="ctr"/>
        <c:lblOffset val="100"/>
        <c:tickLblSkip val="1"/>
        <c:tickMarkSkip val="1"/>
        <c:noMultiLvlLbl val="0"/>
      </c:catAx>
      <c:valAx>
        <c:axId val="241193176"/>
        <c:scaling>
          <c:orientation val="minMax"/>
        </c:scaling>
        <c:delete val="0"/>
        <c:axPos val="l"/>
        <c:majorGridlines>
          <c:spPr>
            <a:ln w="3175">
              <a:solidFill>
                <a:srgbClr val="000000"/>
              </a:solidFill>
              <a:prstDash val="solid"/>
            </a:ln>
          </c:spPr>
        </c:majorGridlines>
        <c:numFmt formatCode="_(&quot;$&quot;* #,##0_);_(&quot;$&quot;* \(#,##0\);_(&quot;$&quot;* &quot;-&quot;_);_(@_)"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4119278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465483</xdr:colOff>
      <xdr:row>4</xdr:row>
      <xdr:rowOff>45141</xdr:rowOff>
    </xdr:from>
    <xdr:to>
      <xdr:col>20</xdr:col>
      <xdr:colOff>137904</xdr:colOff>
      <xdr:row>25</xdr:row>
      <xdr:rowOff>11023</xdr:rowOff>
    </xdr:to>
    <xdr:pic>
      <xdr:nvPicPr>
        <xdr:cNvPr id="2" name="Picture 1">
          <a:extLst>
            <a:ext uri="{FF2B5EF4-FFF2-40B4-BE49-F238E27FC236}">
              <a16:creationId xmlns:a16="http://schemas.microsoft.com/office/drawing/2014/main" id="{2E152B2D-99D8-47F5-94E2-E4DD85151ABC}"/>
            </a:ext>
          </a:extLst>
        </xdr:cNvPr>
        <xdr:cNvPicPr>
          <a:picLocks noChangeAspect="1"/>
        </xdr:cNvPicPr>
      </xdr:nvPicPr>
      <xdr:blipFill>
        <a:blip xmlns:r="http://schemas.openxmlformats.org/officeDocument/2006/relationships" r:embed="rId1"/>
        <a:stretch>
          <a:fillRect/>
        </a:stretch>
      </xdr:blipFill>
      <xdr:spPr>
        <a:xfrm>
          <a:off x="10711070" y="608358"/>
          <a:ext cx="3349898" cy="35068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25136</xdr:colOff>
      <xdr:row>12</xdr:row>
      <xdr:rowOff>23812</xdr:rowOff>
    </xdr:from>
    <xdr:to>
      <xdr:col>11</xdr:col>
      <xdr:colOff>350818</xdr:colOff>
      <xdr:row>29</xdr:row>
      <xdr:rowOff>124587</xdr:rowOff>
    </xdr:to>
    <xdr:pic>
      <xdr:nvPicPr>
        <xdr:cNvPr id="4" name="Picture 3">
          <a:extLst>
            <a:ext uri="{FF2B5EF4-FFF2-40B4-BE49-F238E27FC236}">
              <a16:creationId xmlns:a16="http://schemas.microsoft.com/office/drawing/2014/main" id="{BA3263BA-1B21-49E2-ACFC-F0D6C6079D08}"/>
            </a:ext>
          </a:extLst>
        </xdr:cNvPr>
        <xdr:cNvPicPr>
          <a:picLocks noChangeAspect="1"/>
        </xdr:cNvPicPr>
      </xdr:nvPicPr>
      <xdr:blipFill>
        <a:blip xmlns:r="http://schemas.openxmlformats.org/officeDocument/2006/relationships" r:embed="rId1"/>
        <a:stretch>
          <a:fillRect/>
        </a:stretch>
      </xdr:blipFill>
      <xdr:spPr>
        <a:xfrm>
          <a:off x="5966355" y="1922859"/>
          <a:ext cx="2754557" cy="2833259"/>
        </a:xfrm>
        <a:prstGeom prst="rect">
          <a:avLst/>
        </a:prstGeom>
      </xdr:spPr>
    </xdr:pic>
    <xdr:clientData/>
  </xdr:twoCellAnchor>
  <xdr:twoCellAnchor editAs="oneCell">
    <xdr:from>
      <xdr:col>11</xdr:col>
      <xdr:colOff>470297</xdr:colOff>
      <xdr:row>13</xdr:row>
      <xdr:rowOff>142876</xdr:rowOff>
    </xdr:from>
    <xdr:to>
      <xdr:col>15</xdr:col>
      <xdr:colOff>174755</xdr:colOff>
      <xdr:row>24</xdr:row>
      <xdr:rowOff>79560</xdr:rowOff>
    </xdr:to>
    <xdr:pic>
      <xdr:nvPicPr>
        <xdr:cNvPr id="5" name="Picture 4">
          <a:extLst>
            <a:ext uri="{FF2B5EF4-FFF2-40B4-BE49-F238E27FC236}">
              <a16:creationId xmlns:a16="http://schemas.microsoft.com/office/drawing/2014/main" id="{7512C673-9DC4-4BA9-A7E5-89A33F1825F1}"/>
            </a:ext>
          </a:extLst>
        </xdr:cNvPr>
        <xdr:cNvPicPr>
          <a:picLocks noChangeAspect="1"/>
        </xdr:cNvPicPr>
      </xdr:nvPicPr>
      <xdr:blipFill>
        <a:blip xmlns:r="http://schemas.openxmlformats.org/officeDocument/2006/relationships" r:embed="rId2"/>
        <a:stretch>
          <a:fillRect/>
        </a:stretch>
      </xdr:blipFill>
      <xdr:spPr>
        <a:xfrm>
          <a:off x="8840391" y="2202657"/>
          <a:ext cx="2133333" cy="17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24848</xdr:colOff>
      <xdr:row>105</xdr:row>
      <xdr:rowOff>107675</xdr:rowOff>
    </xdr:from>
    <xdr:to>
      <xdr:col>14</xdr:col>
      <xdr:colOff>39863</xdr:colOff>
      <xdr:row>114</xdr:row>
      <xdr:rowOff>85549</xdr:rowOff>
    </xdr:to>
    <xdr:pic>
      <xdr:nvPicPr>
        <xdr:cNvPr id="2" name="Picture 1">
          <a:extLst>
            <a:ext uri="{FF2B5EF4-FFF2-40B4-BE49-F238E27FC236}">
              <a16:creationId xmlns:a16="http://schemas.microsoft.com/office/drawing/2014/main" id="{C3CDE02A-A55F-42ED-A0CB-922F6F21B26E}"/>
            </a:ext>
          </a:extLst>
        </xdr:cNvPr>
        <xdr:cNvPicPr>
          <a:picLocks noChangeAspect="1"/>
        </xdr:cNvPicPr>
      </xdr:nvPicPr>
      <xdr:blipFill>
        <a:blip xmlns:r="http://schemas.openxmlformats.org/officeDocument/2006/relationships" r:embed="rId1"/>
        <a:stretch>
          <a:fillRect/>
        </a:stretch>
      </xdr:blipFill>
      <xdr:spPr>
        <a:xfrm>
          <a:off x="5665305" y="17501153"/>
          <a:ext cx="2466667" cy="1419048"/>
        </a:xfrm>
        <a:prstGeom prst="rect">
          <a:avLst/>
        </a:prstGeom>
      </xdr:spPr>
    </xdr:pic>
    <xdr:clientData/>
  </xdr:twoCellAnchor>
  <xdr:twoCellAnchor editAs="oneCell">
    <xdr:from>
      <xdr:col>6</xdr:col>
      <xdr:colOff>16568</xdr:colOff>
      <xdr:row>93</xdr:row>
      <xdr:rowOff>91110</xdr:rowOff>
    </xdr:from>
    <xdr:to>
      <xdr:col>9</xdr:col>
      <xdr:colOff>270179</xdr:colOff>
      <xdr:row>101</xdr:row>
      <xdr:rowOff>156368</xdr:rowOff>
    </xdr:to>
    <xdr:pic>
      <xdr:nvPicPr>
        <xdr:cNvPr id="3" name="Picture 2">
          <a:extLst>
            <a:ext uri="{FF2B5EF4-FFF2-40B4-BE49-F238E27FC236}">
              <a16:creationId xmlns:a16="http://schemas.microsoft.com/office/drawing/2014/main" id="{A685BB08-EB55-4413-B998-52427193384B}"/>
            </a:ext>
          </a:extLst>
        </xdr:cNvPr>
        <xdr:cNvPicPr>
          <a:picLocks noChangeAspect="1"/>
        </xdr:cNvPicPr>
      </xdr:nvPicPr>
      <xdr:blipFill>
        <a:blip xmlns:r="http://schemas.openxmlformats.org/officeDocument/2006/relationships" r:embed="rId2"/>
        <a:stretch>
          <a:fillRect/>
        </a:stretch>
      </xdr:blipFill>
      <xdr:spPr>
        <a:xfrm>
          <a:off x="3288198" y="13343284"/>
          <a:ext cx="2009524" cy="13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476250</xdr:colOff>
      <xdr:row>15</xdr:row>
      <xdr:rowOff>51913</xdr:rowOff>
    </xdr:from>
    <xdr:to>
      <xdr:col>9</xdr:col>
      <xdr:colOff>515289</xdr:colOff>
      <xdr:row>25</xdr:row>
      <xdr:rowOff>152226</xdr:rowOff>
    </xdr:to>
    <xdr:pic>
      <xdr:nvPicPr>
        <xdr:cNvPr id="2" name="Picture 1">
          <a:extLst>
            <a:ext uri="{FF2B5EF4-FFF2-40B4-BE49-F238E27FC236}">
              <a16:creationId xmlns:a16="http://schemas.microsoft.com/office/drawing/2014/main" id="{CE786FF6-CE04-4584-A22C-DEF851B82414}"/>
            </a:ext>
          </a:extLst>
        </xdr:cNvPr>
        <xdr:cNvPicPr>
          <a:picLocks noChangeAspect="1"/>
        </xdr:cNvPicPr>
      </xdr:nvPicPr>
      <xdr:blipFill>
        <a:blip xmlns:r="http://schemas.openxmlformats.org/officeDocument/2006/relationships" r:embed="rId1"/>
        <a:stretch>
          <a:fillRect/>
        </a:stretch>
      </xdr:blipFill>
      <xdr:spPr>
        <a:xfrm>
          <a:off x="4363641" y="2367679"/>
          <a:ext cx="2467914" cy="17076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104775</xdr:colOff>
      <xdr:row>12</xdr:row>
      <xdr:rowOff>85725</xdr:rowOff>
    </xdr:from>
    <xdr:to>
      <xdr:col>7</xdr:col>
      <xdr:colOff>0</xdr:colOff>
      <xdr:row>34</xdr:row>
      <xdr:rowOff>124558</xdr:rowOff>
    </xdr:to>
    <xdr:graphicFrame macro="">
      <xdr:nvGraphicFramePr>
        <xdr:cNvPr id="3077" name="Chart 1">
          <a:extLst>
            <a:ext uri="{FF2B5EF4-FFF2-40B4-BE49-F238E27FC236}">
              <a16:creationId xmlns:a16="http://schemas.microsoft.com/office/drawing/2014/main" id="{00000000-0008-0000-1000-000005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avis Day" refreshedDate="39175.621935995368" createdVersion="1" refreshedVersion="2" recordCount="4" upgradeOnRefresh="1" xr:uid="{00000000-000A-0000-FFFF-FFFF0A000000}">
  <cacheSource type="scenario"/>
  <cacheFields count="8">
    <cacheField name="$C$8:$F$8,$C$14:$F$14" numFmtId="0">
      <sharedItems containsNonDate="0" count="4">
        <s v="Continued Marketing"/>
        <s v="Discount"/>
        <s v="College"/>
        <s v="Balanced"/>
      </sharedItems>
    </cacheField>
    <cacheField name="$C$8:$F$8,$C$14:$F$14 by" numFmtId="0">
      <sharedItems containsNonDate="0" count="1">
        <s v="Lisa Ruffolo"/>
      </sharedItems>
    </cacheField>
    <cacheField name="res SalesRevenue" numFmtId="0">
      <sharedItems containsSemiMixedTypes="0" containsNonDate="0" containsString="0" containsNumber="1" containsInteger="1" minValue="1158675" maxValue="1847950" count="4">
        <n v="1438400"/>
        <n v="1303600"/>
        <n v="1158675"/>
        <n v="1847950"/>
      </sharedItems>
    </cacheField>
    <cacheField name="res GrossProfit" numFmtId="0">
      <sharedItems containsSemiMixedTypes="0" containsNonDate="0" containsString="0" containsNumber="1" containsInteger="1" minValue="549175" maxValue="814200" count="4">
        <n v="655400"/>
        <n v="688350"/>
        <n v="549175"/>
        <n v="814200"/>
      </sharedItems>
    </cacheField>
    <cacheField name="res ContributionMargin" numFmtId="0">
      <sharedItems containsSemiMixedTypes="0" containsNonDate="0" containsString="0" containsNumber="1" containsInteger="1" minValue="479175" maxValue="696450" count="4">
        <n v="564400"/>
        <n v="602850"/>
        <n v="479175"/>
        <n v="696450"/>
      </sharedItems>
    </cacheField>
    <cacheField name="res PayrollExpense" numFmtId="0">
      <sharedItems containsSemiMixedTypes="0" containsNonDate="0" containsString="0" containsNumber="1" containsInteger="1" minValue="192500" maxValue="192500" count="1">
        <n v="192500"/>
      </sharedItems>
    </cacheField>
    <cacheField name="res IncomeBeforeTaxes" numFmtId="0">
      <sharedItems containsSemiMixedTypes="0" containsNonDate="0" containsString="0" containsNumber="1" containsInteger="1" minValue="99175" maxValue="303950" count="4">
        <n v="163900"/>
        <n v="212350"/>
        <n v="99175"/>
        <n v="303950"/>
      </sharedItems>
    </cacheField>
    <cacheField name="res NetIncome" numFmtId="0">
      <sharedItems containsSemiMixedTypes="0" containsNonDate="0" containsString="0" containsNumber="1" minValue="64463.75" maxValue="197567.5" count="4">
        <n v="106535"/>
        <n v="138027.5"/>
        <n v="64463.75"/>
        <n v="197567.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avis Day" refreshedDate="43851.378576504627" createdVersion="6" refreshedVersion="6" minRefreshableVersion="3" recordCount="4" xr:uid="{626102EC-03D9-4D76-946E-28EF0CE002A1}">
  <cacheSource type="scenario"/>
  <cacheFields count="7">
    <cacheField name="Scenario_Name,$B$7:$B$11,$D$7:$D$11" numFmtId="0">
      <sharedItems containsNonDate="0" count="4">
        <s v="Blank Values"/>
        <s v="Conservative Figures"/>
        <s v="Aggressive Figures"/>
        <s v="Middle of the Road Figures"/>
      </sharedItems>
    </cacheField>
    <cacheField name="Scenario_Name,$B$7:$B$11,$D$7:" numFmtId="0">
      <sharedItems containsNonDate="0" count="1">
        <s v="Travis Day"/>
      </sharedItems>
    </cacheField>
    <cacheField name="res $B$27" numFmtId="0">
      <sharedItems containsSemiMixedTypes="0" containsNonDate="0" containsString="0" containsNumber="1" containsInteger="1" minValue="0" maxValue="533000" count="4">
        <n v="0"/>
        <n v="75000"/>
        <n v="533000"/>
        <n v="132500"/>
      </sharedItems>
    </cacheField>
    <cacheField name="res $C$27" numFmtId="0">
      <sharedItems containsSemiMixedTypes="0" containsNonDate="0" containsString="0" containsNumber="1" minValue="0" maxValue="662670" count="4">
        <n v="0"/>
        <n v="84750"/>
        <n v="662670"/>
        <n v="150973.75"/>
      </sharedItems>
    </cacheField>
    <cacheField name="res $D$27" numFmtId="0">
      <sharedItems containsSemiMixedTypes="0" containsNonDate="0" containsString="0" containsNumber="1" minValue="0" maxValue="821736.04999999981" count="4">
        <n v="0"/>
        <n v="94710"/>
        <n v="821736.04999999981"/>
        <n v="170731.39062499988"/>
      </sharedItems>
    </cacheField>
    <cacheField name="res $E$27" numFmtId="0">
      <sharedItems containsSemiMixedTypes="0" containsNonDate="0" containsString="0" containsNumber="1" minValue="0" maxValue="1016720.429025" count="4">
        <n v="0"/>
        <n v="104579.28750000003"/>
        <n v="1016720.429025"/>
        <n v="191528.67199948744"/>
      </sharedItems>
    </cacheField>
    <cacheField name="res $F$27" numFmtId="0">
      <sharedItems containsSemiMixedTypes="0" containsNonDate="0" containsString="0" containsNumber="1" minValue="0" maxValue="1255576.6107470379" count="4">
        <n v="0"/>
        <n v="113936.38443750015"/>
        <n v="1255576.6107470379"/>
        <n v="212975.86996205407"/>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avis Day" refreshedDate="43851.380381828705" createdVersion="6" refreshedVersion="6" minRefreshableVersion="3" recordCount="4" xr:uid="{70C45545-ABC5-4117-BD11-110ED7A4CE5B}">
  <cacheSource type="scenario"/>
  <cacheFields count="7">
    <cacheField name="Scenario_Name,$B$7:$B$11,$D$7:$D$11" numFmtId="0">
      <sharedItems containsNonDate="0" count="4">
        <s v="Blank Values"/>
        <s v="Conservative Figures"/>
        <s v="Aggressive Figures"/>
        <s v="Middle of the Road Figures"/>
      </sharedItems>
    </cacheField>
    <cacheField name="Scenario_Name,$B$7:$B$11,$D$7:" numFmtId="0">
      <sharedItems containsNonDate="0" count="1">
        <s v="Travis Day"/>
      </sharedItems>
    </cacheField>
    <cacheField name="res $B$27" numFmtId="0">
      <sharedItems containsSemiMixedTypes="0" containsNonDate="0" containsString="0" containsNumber="1" containsInteger="1" minValue="0" maxValue="533000" count="4">
        <n v="0"/>
        <n v="75000"/>
        <n v="533000"/>
        <n v="132500"/>
      </sharedItems>
    </cacheField>
    <cacheField name="res $C$27" numFmtId="0">
      <sharedItems containsSemiMixedTypes="0" containsNonDate="0" containsString="0" containsNumber="1" minValue="0" maxValue="662670" count="4">
        <n v="0"/>
        <n v="84750"/>
        <n v="662670"/>
        <n v="150973.75"/>
      </sharedItems>
    </cacheField>
    <cacheField name="res $D$27" numFmtId="0">
      <sharedItems containsSemiMixedTypes="0" containsNonDate="0" containsString="0" containsNumber="1" minValue="0" maxValue="821736.04999999981" count="4">
        <n v="0"/>
        <n v="94710"/>
        <n v="821736.04999999981"/>
        <n v="170731.39062499988"/>
      </sharedItems>
    </cacheField>
    <cacheField name="res $E$27" numFmtId="0">
      <sharedItems containsSemiMixedTypes="0" containsNonDate="0" containsString="0" containsNumber="1" minValue="0" maxValue="1016720.429025" count="4">
        <n v="0"/>
        <n v="104579.28750000003"/>
        <n v="1016720.429025"/>
        <n v="191528.67199948744"/>
      </sharedItems>
    </cacheField>
    <cacheField name="res $F$27" numFmtId="0">
      <sharedItems containsSemiMixedTypes="0" containsNonDate="0" containsString="0" containsNumber="1" minValue="0" maxValue="1255576.6107470379" count="4">
        <n v="0"/>
        <n v="113936.38443750015"/>
        <n v="1255576.6107470379"/>
        <n v="212975.86996205407"/>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1220BE-3FE6-4B61-8D78-71613833732E}" name="PivotTable1" cacheId="1" applyNumberFormats="0" applyBorderFormats="0" applyFontFormats="0" applyPatternFormats="0" applyAlignmentFormats="0" applyWidthHeightFormats="1" dataCaption="Result Cells" updatedVersion="6" minRefreshableVersion="3" useAutoFormatting="1" rowGrandTotals="0" colGrandTotals="0" itemPrintTitles="1" createdVersion="6" indent="0" outline="1" outlineData="1" multipleFieldFilters="0" fieldListSortAscending="1">
  <location ref="A5:F9" firstHeaderRow="0" firstDataRow="1" firstDataCol="1" rowPageCount="1" colPageCount="1"/>
  <pivotFields count="7">
    <pivotField axis="axisRow" showAll="0" defaultSubtotal="0">
      <items count="4">
        <item x="2"/>
        <item x="0"/>
        <item x="1"/>
        <item x="3"/>
      </items>
    </pivotField>
    <pivotField axis="axisPage" showAll="0">
      <items count="2">
        <item x="0"/>
        <item t="default"/>
      </items>
    </pivotField>
    <pivotField dataField="1" showAll="0"/>
    <pivotField dataField="1" showAll="0"/>
    <pivotField dataField="1" showAll="0"/>
    <pivotField dataField="1" showAll="0"/>
    <pivotField dataField="1" showAll="0"/>
  </pivotFields>
  <rowFields count="1">
    <field x="0"/>
  </rowFields>
  <rowItems count="4">
    <i>
      <x/>
    </i>
    <i>
      <x v="1"/>
    </i>
    <i>
      <x v="2"/>
    </i>
    <i>
      <x v="3"/>
    </i>
  </rowItems>
  <colFields count="1">
    <field x="-2"/>
  </colFields>
  <colItems count="5">
    <i>
      <x/>
    </i>
    <i i="1">
      <x v="1"/>
    </i>
    <i i="2">
      <x v="2"/>
    </i>
    <i i="3">
      <x v="3"/>
    </i>
    <i i="4">
      <x v="4"/>
    </i>
  </colItems>
  <pageFields count="1">
    <pageField fld="1" hier="-1"/>
  </pageFields>
  <dataFields count="5">
    <dataField name="$B$27" fld="2" baseField="0" baseItem="0"/>
    <dataField name="$C$27" fld="3" baseField="0" baseItem="0"/>
    <dataField name="$D$27" fld="4" baseField="0" baseItem="0"/>
    <dataField name="$E$27" fld="5" baseField="0" baseItem="0"/>
    <dataField name="$F$27"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04E2FC-7AD9-417A-975B-2FFA13A5F9DA}" name="PivotTable2" cacheId="2" applyNumberFormats="0" applyBorderFormats="0" applyFontFormats="0" applyPatternFormats="0" applyAlignmentFormats="0" applyWidthHeightFormats="1" dataCaption="Result Cells" updatedVersion="6" minRefreshableVersion="3" useAutoFormatting="1" rowGrandTotals="0" colGrandTotals="0" itemPrintTitles="1" createdVersion="6" indent="0" outline="1" outlineData="1" multipleFieldFilters="0" rowHeaderCaption="Scenario" fieldListSortAscending="1">
  <location ref="A5:F8" firstHeaderRow="0" firstDataRow="1" firstDataCol="1" rowPageCount="1" colPageCount="1"/>
  <pivotFields count="7">
    <pivotField axis="axisRow" showAll="0" defaultSubtotal="0">
      <items count="4">
        <item x="2"/>
        <item h="1" x="0"/>
        <item x="1"/>
        <item x="3"/>
      </items>
    </pivotField>
    <pivotField name="User" axis="axisPage" showAll="0">
      <items count="2">
        <item x="0"/>
        <item t="default"/>
      </items>
    </pivotField>
    <pivotField dataField="1" showAll="0"/>
    <pivotField dataField="1" showAll="0"/>
    <pivotField dataField="1" showAll="0"/>
    <pivotField dataField="1" showAll="0"/>
    <pivotField dataField="1" showAll="0"/>
  </pivotFields>
  <rowFields count="1">
    <field x="0"/>
  </rowFields>
  <rowItems count="3">
    <i>
      <x/>
    </i>
    <i>
      <x v="2"/>
    </i>
    <i>
      <x v="3"/>
    </i>
  </rowItems>
  <colFields count="1">
    <field x="-2"/>
  </colFields>
  <colItems count="5">
    <i>
      <x/>
    </i>
    <i i="1">
      <x v="1"/>
    </i>
    <i i="2">
      <x v="2"/>
    </i>
    <i i="3">
      <x v="3"/>
    </i>
    <i i="4">
      <x v="4"/>
    </i>
  </colItems>
  <pageFields count="1">
    <pageField fld="1" hier="-1"/>
  </pageFields>
  <dataFields count="5">
    <dataField name="2020" fld="2" baseField="0" baseItem="1" numFmtId="173"/>
    <dataField name="2021" fld="3" baseField="0" baseItem="2" numFmtId="173"/>
    <dataField name="2022" fld="4" baseField="0" baseItem="1" numFmtId="173"/>
    <dataField name="2023" fld="5" baseField="0" baseItem="2" numFmtId="173"/>
    <dataField name="2024" fld="6" baseField="0" baseItem="3" numFmtId="173"/>
  </dataFields>
  <formats count="6">
    <format dxfId="6">
      <pivotArea dataOnly="0" labelOnly="1" outline="0" fieldPosition="0">
        <references count="1">
          <reference field="4294967294" count="5">
            <x v="0"/>
            <x v="1"/>
            <x v="2"/>
            <x v="3"/>
            <x v="4"/>
          </reference>
        </references>
      </pivotArea>
    </format>
    <format dxfId="5">
      <pivotArea outline="0" fieldPosition="0">
        <references count="1">
          <reference field="4294967294" count="1">
            <x v="0"/>
          </reference>
        </references>
      </pivotArea>
    </format>
    <format dxfId="4">
      <pivotArea outline="0" fieldPosition="0">
        <references count="1">
          <reference field="4294967294" count="1">
            <x v="4"/>
          </reference>
        </references>
      </pivotArea>
    </format>
    <format dxfId="3">
      <pivotArea outline="0" fieldPosition="0">
        <references count="1">
          <reference field="4294967294" count="1">
            <x v="1"/>
          </reference>
        </references>
      </pivotArea>
    </format>
    <format dxfId="2">
      <pivotArea outline="0" fieldPosition="0">
        <references count="1">
          <reference field="4294967294" count="1">
            <x v="2"/>
          </reference>
        </references>
      </pivotArea>
    </format>
    <format dxfId="1">
      <pivotArea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PivotTable2" cacheId="0" applyNumberFormats="0" applyBorderFormats="0" applyFontFormats="0" applyPatternFormats="0" applyAlignmentFormats="0" applyWidthHeightFormats="1" dataCaption="Projections" updatedVersion="2" showMemberPropertyTips="0" useAutoFormatting="1" rowGrandTotals="0" colGrandTotals="0" itemPrintTitles="1" createdVersion="1" indent="0" compact="0" compactData="0" gridDropZones="1" chartFormat="1" fieldListSortAscending="1">
  <location ref="A6:G11" firstHeaderRow="1" firstDataRow="2" firstDataCol="1"/>
  <pivotFields count="8">
    <pivotField name="Marketing Options" axis="axisRow" compact="0" outline="0" subtotalTop="0" showAll="0" includeNewItemsInFilter="1" defaultSubtotal="0">
      <items count="4">
        <item x="3"/>
        <item x="2"/>
        <item x="0"/>
        <item x="1"/>
      </items>
    </pivotField>
    <pivotField compact="0" outline="0" subtotalTop="0" showAll="0" includeNewItemsInFilter="1">
      <items count="2">
        <item x="0"/>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1">
    <field x="0"/>
  </rowFields>
  <rowItems count="4">
    <i>
      <x/>
    </i>
    <i>
      <x v="1"/>
    </i>
    <i>
      <x v="2"/>
    </i>
    <i>
      <x v="3"/>
    </i>
  </rowItems>
  <colFields count="1">
    <field x="-2"/>
  </colFields>
  <colItems count="6">
    <i>
      <x/>
    </i>
    <i i="1">
      <x v="1"/>
    </i>
    <i i="2">
      <x v="2"/>
    </i>
    <i i="3">
      <x v="3"/>
    </i>
    <i i="4">
      <x v="4"/>
    </i>
    <i i="5">
      <x v="5"/>
    </i>
  </colItems>
  <dataFields count="6">
    <dataField name="SalesRevenue" fld="2" baseField="0" baseItem="0" numFmtId="42"/>
    <dataField name="GrossProfit" fld="3" baseField="0" baseItem="0" numFmtId="42"/>
    <dataField name="ContributionMargin" fld="4" baseField="0" baseItem="0" numFmtId="42"/>
    <dataField name="PayrollExpense" fld="5" baseField="0" baseItem="0" numFmtId="42"/>
    <dataField name="IncomeBeforeTaxes" fld="6" baseField="0" baseItem="0" numFmtId="42"/>
    <dataField name="NetIncome" fld="7" baseField="0" baseItem="0" numFmtId="42"/>
  </dataFields>
  <formats count="1">
    <format dxfId="0">
      <pivotArea dataOnly="0" labelOnly="1" outline="0" fieldPosition="0">
        <references count="1">
          <reference field="4294967294"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CC"/>
        </a:solidFill>
        <a:ln w="19050">
          <a:headEnd type="none"/>
          <a:tailEnd type="triangle"/>
        </a:ln>
      </a:spPr>
      <a:bodyPr rtlCol="0" anchor="t"/>
      <a:lstStyle>
        <a:defPPr algn="l">
          <a:defRPr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solidFill>
          <a:srgbClr val="FFFFCC"/>
        </a:solidFill>
        <a:ln w="9525" cmpd="sng">
          <a:solidFill>
            <a:schemeClr val="lt1">
              <a:shade val="50000"/>
            </a:schemeClr>
          </a:solidFill>
        </a:ln>
      </a:spPr>
      <a:bodyPr wrap="square" rtlCol="0" anchor="t"/>
      <a:lstStyle>
        <a:defPPr>
          <a:defRPr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pivotTable" Target="../pivotTables/pivotTable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outlinePr summaryBelow="0" summaryRight="0"/>
  </sheetPr>
  <dimension ref="A1:I36"/>
  <sheetViews>
    <sheetView tabSelected="1" zoomScale="130" zoomScaleNormal="130" workbookViewId="0">
      <pane ySplit="10" topLeftCell="A11" activePane="bottomLeft" state="frozen"/>
      <selection pane="bottomLeft" activeCell="B6" sqref="B6"/>
    </sheetView>
  </sheetViews>
  <sheetFormatPr defaultRowHeight="12.75" outlineLevelRow="1" outlineLevelCol="1" x14ac:dyDescent="0.2"/>
  <cols>
    <col min="1" max="1" width="27.28515625" bestFit="1" customWidth="1"/>
    <col min="2" max="2" width="71" customWidth="1"/>
    <col min="3" max="3" width="13.28515625" style="304" customWidth="1" outlineLevel="1"/>
    <col min="4" max="4" width="84.42578125" style="311" bestFit="1" customWidth="1" outlineLevel="1"/>
    <col min="5" max="5" width="2.7109375" customWidth="1" collapsed="1"/>
    <col min="6" max="6" width="21.5703125" hidden="1" customWidth="1" outlineLevel="1"/>
    <col min="7" max="7" width="8.7109375" hidden="1" customWidth="1" outlineLevel="1"/>
  </cols>
  <sheetData>
    <row r="1" spans="1:9" ht="18" collapsed="1" x14ac:dyDescent="0.25">
      <c r="A1" s="351" t="str">
        <f ca="1">SUBSTITUTE(MID(CELL("filename",A1),FIND("[",CELL("filename",A1),1)+1,FIND("]",CELL("filename",A1),1)-FIND("[",CELL("filename",A1),1)-1),".xlsx","")</f>
        <v>6_What-if_Analysis_Notes</v>
      </c>
    </row>
    <row r="2" spans="1:9" hidden="1" outlineLevel="1" x14ac:dyDescent="0.2"/>
    <row r="4" spans="1:9" ht="14.25" x14ac:dyDescent="0.2">
      <c r="A4" s="1"/>
      <c r="B4" s="1"/>
    </row>
    <row r="5" spans="1:9" outlineLevel="1" x14ac:dyDescent="0.2">
      <c r="A5" t="s">
        <v>129</v>
      </c>
      <c r="B5" t="s">
        <v>114</v>
      </c>
    </row>
    <row r="6" spans="1:9" outlineLevel="1" x14ac:dyDescent="0.2">
      <c r="A6" t="s">
        <v>130</v>
      </c>
      <c r="B6" s="83">
        <v>44629.703763194448</v>
      </c>
    </row>
    <row r="7" spans="1:9" outlineLevel="1" x14ac:dyDescent="0.2">
      <c r="C7" s="350" t="s">
        <v>311</v>
      </c>
    </row>
    <row r="8" spans="1:9" outlineLevel="1" x14ac:dyDescent="0.2">
      <c r="A8" s="65" t="s">
        <v>304</v>
      </c>
      <c r="B8" s="352" t="s">
        <v>312</v>
      </c>
      <c r="C8" s="349">
        <f>SUMIFS(C11:C62,D11:D62,"?*")</f>
        <v>3.0636574074074076E-2</v>
      </c>
      <c r="D8" s="64"/>
    </row>
    <row r="9" spans="1:9" x14ac:dyDescent="0.2">
      <c r="A9" s="63"/>
      <c r="B9" s="62"/>
    </row>
    <row r="10" spans="1:9" s="4" customFormat="1" x14ac:dyDescent="0.2">
      <c r="A10" s="307" t="s">
        <v>113</v>
      </c>
      <c r="B10" s="307" t="s">
        <v>232</v>
      </c>
      <c r="C10" s="308" t="s">
        <v>305</v>
      </c>
      <c r="D10" s="4" t="s">
        <v>284</v>
      </c>
      <c r="E10" s="307" t="str">
        <f>segment_designator</f>
        <v>_</v>
      </c>
      <c r="F10" s="307" t="s">
        <v>306</v>
      </c>
      <c r="G10" s="307" t="s">
        <v>277</v>
      </c>
      <c r="H10" s="307"/>
      <c r="I10" s="307"/>
    </row>
    <row r="11" spans="1:9" x14ac:dyDescent="0.2">
      <c r="A11" s="309" t="str">
        <f ca="1">HYPERLINK("#"&amp;CELL("address",Documentation!$A$1),MID(CELL("filename",Documentation!$A$1),FIND("]",CELL("filename",Documentation!$A$1))+1,255))</f>
        <v>Documentation</v>
      </c>
      <c r="B11" t="str">
        <f ca="1">IF(Documentation!$A$1="","", Documentation!$A$1)</f>
        <v>6_What-if_Analysis_Notes</v>
      </c>
      <c r="C11" s="348"/>
      <c r="D11" s="311" t="str">
        <f>IF(Documentation!$A$2="","",HYPERLINK(Video_website&amp;Documentation!$A$2, Documentation!$A$2))</f>
        <v/>
      </c>
      <c r="F11" t="str">
        <f t="shared" ref="F11:F35" ca="1" si="0">IF(LEFT($A11,1)=segment_designator,B11,"")</f>
        <v/>
      </c>
    </row>
    <row r="12" spans="1:9" x14ac:dyDescent="0.2">
      <c r="A12" s="306" t="str">
        <f ca="1">HYPERLINK("#"&amp;CELL("address",_SUMPRODUCT!$A$1),MID(CELL("filename",_SUMPRODUCT!$A$1),FIND("]",CELL("filename",_SUMPRODUCT!$A$1))+1,255))</f>
        <v>_SUMPRODUCT</v>
      </c>
      <c r="B12" s="307" t="str">
        <f>IF(_SUMPRODUCT!$A$1="","", _SUMPRODUCT!$A$1)</f>
        <v>SUMPRODUCT</v>
      </c>
      <c r="C12" s="308">
        <f>IF(_SUMPRODUCT!$B$2="","",_SUMPRODUCT!$B$2)</f>
        <v>4.4675925925925933E-3</v>
      </c>
      <c r="D12" s="310" t="str">
        <f>IF(_SUMPRODUCT!$A$2="","",HYPERLINK(Video_website&amp;_SUMPRODUCT!$A$2, _SUMPRODUCT!$A$2))</f>
        <v>UNC_DAYT_EXCEL_3.6.1_LECTURE_SUMPRODUCT.mp4</v>
      </c>
      <c r="E12" s="307"/>
      <c r="F12" s="307" t="str">
        <f t="shared" ca="1" si="0"/>
        <v>SUMPRODUCT</v>
      </c>
      <c r="G12" s="307"/>
      <c r="H12" s="307"/>
      <c r="I12" s="307"/>
    </row>
    <row r="13" spans="1:9" x14ac:dyDescent="0.2">
      <c r="A13" s="309" t="str">
        <f ca="1">HYPERLINK("#"&amp;CELL("address",Without_SUMPRODUCT!$A$1),MID(CELL("filename",Without_SUMPRODUCT!$A$1),FIND("]",CELL("filename",Without_SUMPRODUCT!$A$1))+1,255))</f>
        <v>Without_SUMPRODUCT</v>
      </c>
      <c r="B13" t="str">
        <f>IF(Without_SUMPRODUCT!$A$1="","", Without_SUMPRODUCT!$A$1)</f>
        <v>Using Cell*Cell+Cell*Cell to Achieve "Weighting"</v>
      </c>
      <c r="C13" s="305" t="str">
        <f>IF(Without_SUMPRODUCT!$B$2="","",Without_SUMPRODUCT!$B$2)</f>
        <v/>
      </c>
      <c r="D13" s="311" t="str">
        <f>IF(Without_SUMPRODUCT!$A$2="","",HYPERLINK(Video_website&amp;Without_SUMPRODUCT!$A$2, Without_SUMPRODUCT!$A$2))</f>
        <v/>
      </c>
      <c r="F13" t="str">
        <f t="shared" ca="1" si="0"/>
        <v/>
      </c>
    </row>
    <row r="14" spans="1:9" x14ac:dyDescent="0.2">
      <c r="A14" s="309" t="str">
        <f ca="1">HYPERLINK("#"&amp;CELL("address",With_SUMPRODUCT!$A$1),MID(CELL("filename",With_SUMPRODUCT!$A$1),FIND("]",CELL("filename",With_SUMPRODUCT!$A$1))+1,255))</f>
        <v>With_SUMPRODUCT</v>
      </c>
      <c r="B14" t="str">
        <f>IF(With_SUMPRODUCT!$A$1="","", With_SUMPRODUCT!$A$1)</f>
        <v>Using SUMPRODUCT to Achieve "Weighting"</v>
      </c>
      <c r="C14" s="305" t="str">
        <f>IF(With_SUMPRODUCT!$B$2="","",With_SUMPRODUCT!$B$2)</f>
        <v/>
      </c>
      <c r="D14" s="311" t="str">
        <f>IF(With_SUMPRODUCT!$A$2="","",HYPERLINK(Video_website&amp;With_SUMPRODUCT!$A$2, With_SUMPRODUCT!$A$2))</f>
        <v/>
      </c>
      <c r="F14" t="str">
        <f t="shared" ca="1" si="0"/>
        <v/>
      </c>
    </row>
    <row r="15" spans="1:9" x14ac:dyDescent="0.2">
      <c r="A15" s="306" t="str">
        <f ca="1">HYPERLINK("#"&amp;CELL("address",_Naming_Ranges!$A$1),MID(CELL("filename",_Naming_Ranges!$A$1),FIND("]",CELL("filename",_Naming_Ranges!$A$1))+1,255))</f>
        <v>_Naming_Ranges</v>
      </c>
      <c r="B15" s="307" t="str">
        <f>IF(_Naming_Ranges!$A$1="","", _Naming_Ranges!$A$1)</f>
        <v>Naming Ranges</v>
      </c>
      <c r="C15" s="308">
        <f>IF(_Naming_Ranges!$B$2="","",_Naming_Ranges!$B$2)</f>
        <v>7.4537037037037028E-3</v>
      </c>
      <c r="D15" s="310" t="str">
        <f>IF(_Naming_Ranges!$A$2="","",HYPERLINK(Video_website&amp;_Naming_Ranges!$A$2, _Naming_Ranges!$A$2))</f>
        <v>UNC_DAYT_EXCEL_3.6.2_LECTURE_NAMING_RANGES.mp4</v>
      </c>
      <c r="E15" s="307"/>
      <c r="F15" s="307" t="str">
        <f t="shared" ca="1" si="0"/>
        <v>Naming Ranges</v>
      </c>
      <c r="G15" s="307"/>
      <c r="H15" s="307"/>
      <c r="I15" s="307"/>
    </row>
    <row r="16" spans="1:9" x14ac:dyDescent="0.2">
      <c r="A16" s="309" t="str">
        <f ca="1">HYPERLINK("#"&amp;CELL("address",Unnamed_Ranges!$A$1),MID(CELL("filename",Unnamed_Ranges!$A$1),FIND("]",CELL("filename",Unnamed_Ranges!$A$1))+1,255))</f>
        <v>Unnamed_Ranges</v>
      </c>
      <c r="B16" t="str">
        <f>IF(Unnamed_Ranges!$A$1="","", Unnamed_Ranges!$A$1)</f>
        <v>Formulas with Unnamed Ranges</v>
      </c>
      <c r="C16" s="305" t="str">
        <f>IF(Unnamed_Ranges!$B$2="","",Unnamed_Ranges!$B$2)</f>
        <v/>
      </c>
      <c r="D16" s="311" t="str">
        <f>IF(Unnamed_Ranges!$A$2="","",HYPERLINK(Video_website&amp;Unnamed_Ranges!$A$2, Unnamed_Ranges!$A$2))</f>
        <v/>
      </c>
      <c r="F16" t="str">
        <f t="shared" ca="1" si="0"/>
        <v/>
      </c>
    </row>
    <row r="17" spans="1:9" x14ac:dyDescent="0.2">
      <c r="A17" s="309" t="str">
        <f ca="1">HYPERLINK("#"&amp;CELL("address",Named_Ranges!$A$1),MID(CELL("filename",Named_Ranges!$A$1),FIND("]",CELL("filename",Named_Ranges!$A$1))+1,255))</f>
        <v>Named_Ranges</v>
      </c>
      <c r="B17" t="str">
        <f>IF(Named_Ranges!$A$1="","", Named_Ranges!$A$1)</f>
        <v>Formulas with Named Ranges</v>
      </c>
      <c r="C17" s="305" t="str">
        <f>IF(Named_Ranges!$B$2="","",Named_Ranges!$B$2)</f>
        <v/>
      </c>
      <c r="D17" s="311" t="str">
        <f>IF(Named_Ranges!$A$2="","",HYPERLINK(Video_website&amp;Named_Ranges!$A$2, Named_Ranges!$A$2))</f>
        <v/>
      </c>
      <c r="F17" t="str">
        <f t="shared" ca="1" si="0"/>
        <v/>
      </c>
    </row>
    <row r="18" spans="1:9" x14ac:dyDescent="0.2">
      <c r="A18" s="306" t="str">
        <f ca="1">HYPERLINK("#"&amp;CELL("address",_Scenario_Manager!$A$1),MID(CELL("filename",_Scenario_Manager!$A$1),FIND("]",CELL("filename",_Scenario_Manager!$A$1))+1,255))</f>
        <v>_Scenario_Manager</v>
      </c>
      <c r="B18" s="307" t="str">
        <f>IF(_Scenario_Manager!$A$1="","", _Scenario_Manager!$A$1)</f>
        <v>Scenario Manager</v>
      </c>
      <c r="C18" s="308">
        <f>IF(_Scenario_Manager!$B$2="","",_Scenario_Manager!$B$2)</f>
        <v>5.6134259259259271E-3</v>
      </c>
      <c r="D18" s="310" t="str">
        <f>IF(_Scenario_Manager!$A$2="","",HYPERLINK(Video_website&amp;_Scenario_Manager!$A$2, _Scenario_Manager!$A$2))</f>
        <v>UNC_DAYT_EXCEL_3.6.3_LECTURE_SCENARIO_MANAGER.mp4</v>
      </c>
      <c r="E18" s="307"/>
      <c r="F18" s="307" t="str">
        <f t="shared" ca="1" si="0"/>
        <v>Scenario Manager</v>
      </c>
      <c r="G18" s="307"/>
      <c r="H18" s="307"/>
      <c r="I18" s="307"/>
    </row>
    <row r="19" spans="1:9" x14ac:dyDescent="0.2">
      <c r="A19" s="309" t="str">
        <f ca="1">HYPERLINK("#"&amp;CELL("address",Scenario_Switching!$A$1),MID(CELL("filename",Scenario_Switching!$A$1),FIND("]",CELL("filename",Scenario_Switching!$A$1))+1,255))</f>
        <v>Scenario_Switching</v>
      </c>
      <c r="B19" t="str">
        <f>IF(Scenario_Switching!$A$1="","", Scenario_Switching!$A$1)</f>
        <v>Use Scenario Manager to Switch Between Sets of Assumptions</v>
      </c>
      <c r="C19" s="305" t="str">
        <f>IF(Scenario_Switching!$B$2="","",Scenario_Switching!$B$2)</f>
        <v/>
      </c>
      <c r="D19" s="311" t="str">
        <f>IF(Scenario_Switching!$A$2="","",HYPERLINK(Video_website&amp;Scenario_Switching!$A$2, Scenario_Switching!$A$2))</f>
        <v/>
      </c>
      <c r="F19" t="str">
        <f t="shared" ca="1" si="0"/>
        <v/>
      </c>
    </row>
    <row r="20" spans="1:9" x14ac:dyDescent="0.2">
      <c r="A20" s="309" t="str">
        <f ca="1">HYPERLINK("#"&amp;CELL("address",Changing_Cells!$A$1),MID(CELL("filename",Changing_Cells!$A$1),FIND("]",CELL("filename",Changing_Cells!$A$1))+1,255))</f>
        <v>Changing_Cells</v>
      </c>
      <c r="B20" t="str">
        <f>IF(Changing_Cells!$A$1="","", Changing_Cells!$A$1)</f>
        <v>Use Scenario Manager to Switch Between Sets of Assumptions</v>
      </c>
      <c r="C20" s="305" t="str">
        <f>IF(Changing_Cells!$B$2="","",Changing_Cells!$B$2)</f>
        <v/>
      </c>
      <c r="D20" s="311" t="str">
        <f>IF(Changing_Cells!$A$2="","",HYPERLINK(Video_website&amp;Changing_Cells!$A$2, Changing_Cells!$A$2))</f>
        <v/>
      </c>
      <c r="F20" t="str">
        <f t="shared" ca="1" si="0"/>
        <v/>
      </c>
    </row>
    <row r="21" spans="1:9" x14ac:dyDescent="0.2">
      <c r="A21" s="309" t="str">
        <f ca="1">HYPERLINK("#"&amp;CELL("address",Scenario_Summary!$A$1),MID(CELL("filename",Scenario_Summary!$A$1),FIND("]",CELL("filename",Scenario_Summary!$A$1))+1,255))</f>
        <v>Scenario_Summary</v>
      </c>
      <c r="B21" t="str">
        <f>IF(Scenario_Summary!$A$1="","", Scenario_Summary!$A$1)</f>
        <v>Scenario Summary (with Named Ranges) Compares Results of Each Scenario</v>
      </c>
      <c r="C21" s="305">
        <f>IF(Scenario_Summary!$B$2="","",Scenario_Summary!$B$2)</f>
        <v>8.2407407407407412E-3</v>
      </c>
      <c r="D21" s="311" t="str">
        <f>IF(Scenario_Summary!$A$2="","",HYPERLINK(Video_website&amp;Scenario_Summary!$A$2, Scenario_Summary!$A$2))</f>
        <v>UNC_DAYT_EXCEL_3.6.4_LECTURE_CREATING_SCENARIOS_&amp;_SCENARIO_SUMMARY.mp4</v>
      </c>
      <c r="F21" t="str">
        <f t="shared" ca="1" si="0"/>
        <v/>
      </c>
    </row>
    <row r="22" spans="1:9" x14ac:dyDescent="0.2">
      <c r="A22" s="309" t="str">
        <f ca="1">HYPERLINK("#"&amp;CELL("address",Unclear_Summary!$A$1),MID(CELL("filename",Unclear_Summary!$A$1),FIND("]",CELL("filename",Unclear_Summary!$A$1))+1,255))</f>
        <v>Unclear_Summary</v>
      </c>
      <c r="B22" t="str">
        <f>IF(Unclear_Summary!$A$1="","", Unclear_Summary!$A$1)</f>
        <v>Scenario Summary (without Named Ranges) Requires Editing In Order to Be Clear</v>
      </c>
      <c r="C22" s="305" t="str">
        <f>IF(Unclear_Summary!$B$2="","",Unclear_Summary!$B$2)</f>
        <v/>
      </c>
      <c r="D22" s="311" t="str">
        <f>IF(Unclear_Summary!$A$2="","",HYPERLINK(Video_website&amp;Unclear_Summary!$A$2, Unclear_Summary!$A$2))</f>
        <v/>
      </c>
      <c r="F22" t="str">
        <f t="shared" ca="1" si="0"/>
        <v/>
      </c>
    </row>
    <row r="23" spans="1:9" hidden="1" x14ac:dyDescent="0.2">
      <c r="A23" s="309" t="str">
        <f ca="1">HYPERLINK("#"&amp;CELL("address",'Scenario PivotTable'!$A$1),MID(CELL("filename",'Scenario PivotTable'!$A$1),FIND("]",CELL("filename",'Scenario PivotTable'!$A$1))+1,255))</f>
        <v>Scenario PivotTable</v>
      </c>
      <c r="B23" t="str">
        <f>IF('Scenario PivotTable'!$A$1="","", 'Scenario PivotTable'!$A$1)</f>
        <v>Scenario Pivot Table before Formatting, Cleanup</v>
      </c>
      <c r="C23" s="305" t="str">
        <f>IF('Scenario PivotTable'!$B$2="","",'Scenario PivotTable'!$B$2)</f>
        <v/>
      </c>
      <c r="D23" s="311" t="str">
        <f>IF('Scenario PivotTable'!$A$2="","",HYPERLINK(Video_website&amp;'Scenario PivotTable'!$A$2, 'Scenario PivotTable'!$A$2))</f>
        <v/>
      </c>
      <c r="F23" t="str">
        <f t="shared" ca="1" si="0"/>
        <v/>
      </c>
      <c r="G23" t="s">
        <v>276</v>
      </c>
    </row>
    <row r="24" spans="1:9" hidden="1" x14ac:dyDescent="0.2">
      <c r="A24" s="309" t="str">
        <f ca="1">HYPERLINK("#"&amp;CELL("address",'Scenario PivotTable 2'!$A$1),MID(CELL("filename",'Scenario PivotTable 2'!$A$1),FIND("]",CELL("filename",'Scenario PivotTable 2'!$A$1))+1,255))</f>
        <v>Scenario PivotTable 2</v>
      </c>
      <c r="B24" t="str">
        <f>IF('Scenario PivotTable 2'!$A$1="","", 'Scenario PivotTable 2'!$A$1)</f>
        <v>Formatted Scenario Pivot Table</v>
      </c>
      <c r="C24" s="305" t="str">
        <f>IF('Scenario PivotTable 2'!$B$2="","",'Scenario PivotTable 2'!$B$2)</f>
        <v/>
      </c>
      <c r="D24" s="311" t="str">
        <f>IF('Scenario PivotTable 2'!$A$2="","",HYPERLINK(Video_website&amp;'Scenario PivotTable 2'!$A$2, 'Scenario PivotTable 2'!$A$2))</f>
        <v/>
      </c>
      <c r="F24" t="str">
        <f t="shared" ca="1" si="0"/>
        <v/>
      </c>
      <c r="G24" t="s">
        <v>276</v>
      </c>
    </row>
    <row r="25" spans="1:9" x14ac:dyDescent="0.2">
      <c r="A25" s="306" t="str">
        <f ca="1">HYPERLINK("#"&amp;CELL("address",_Goal_Seek!$A$1),MID(CELL("filename",_Goal_Seek!$A$1),FIND("]",CELL("filename",_Goal_Seek!$A$1))+1,255))</f>
        <v>_Goal_Seek</v>
      </c>
      <c r="B25" s="307" t="str">
        <f>IF(_Goal_Seek!$A$1="","", _Goal_Seek!$A$1)</f>
        <v>Goal Seek</v>
      </c>
      <c r="C25" s="308">
        <f>IF(_Goal_Seek!$B$2="","",_Goal_Seek!$B$2)</f>
        <v>4.8611111111111112E-3</v>
      </c>
      <c r="D25" s="310" t="str">
        <f>IF(_Goal_Seek!$A$2="","",HYPERLINK(Video_website&amp;_Goal_Seek!$A$2, _Goal_Seek!$A$2))</f>
        <v>UNC_DAYT_EXCEL_3.6.5_LECTURE_GOAL_SEEK.mp4</v>
      </c>
      <c r="E25" s="307"/>
      <c r="F25" s="307" t="str">
        <f t="shared" ca="1" si="0"/>
        <v>Goal Seek</v>
      </c>
      <c r="G25" s="307"/>
      <c r="H25" s="307"/>
      <c r="I25" s="307"/>
    </row>
    <row r="26" spans="1:9" x14ac:dyDescent="0.2">
      <c r="A26" s="309" t="str">
        <f ca="1">HYPERLINK("#"&amp;CELL("address",Goal_Seek_1!$A$1),MID(CELL("filename",Goal_Seek_1!$A$1),FIND("]",CELL("filename",Goal_Seek_1!$A$1))+1,255))</f>
        <v>Goal_Seek_1</v>
      </c>
      <c r="B26" t="str">
        <f>IF(Goal_Seek_1!$A$1="","", Goal_Seek_1!$A$1)</f>
        <v>Considering Alternatives:  What-If Analysis and Goal Seek</v>
      </c>
      <c r="C26" s="305" t="str">
        <f>IF(Goal_Seek_1!$B$2="","",Goal_Seek_1!$B$2)</f>
        <v/>
      </c>
      <c r="D26" s="311" t="str">
        <f>IF(Goal_Seek_1!$A$2="","",HYPERLINK(Video_website&amp;Goal_Seek_1!$A$2, Goal_Seek_1!$A$2))</f>
        <v/>
      </c>
      <c r="F26" t="str">
        <f t="shared" ca="1" si="0"/>
        <v/>
      </c>
    </row>
    <row r="27" spans="1:9" x14ac:dyDescent="0.2">
      <c r="A27" s="309" t="str">
        <f ca="1">HYPERLINK("#"&amp;CELL("address",Goal_Seek_2!$A$1),MID(CELL("filename",Goal_Seek_2!$A$1),FIND("]",CELL("filename",Goal_Seek_2!$A$1))+1,255))</f>
        <v>Goal_Seek_2</v>
      </c>
      <c r="B27" t="str">
        <f>IF(Goal_Seek_2!$A$1="","", Goal_Seek_2!$A$1)</f>
        <v>Goal Seek - Another Example</v>
      </c>
      <c r="C27" s="305" t="str">
        <f>IF(Goal_Seek_2!$B$2="","",Goal_Seek_2!$B$2)</f>
        <v/>
      </c>
      <c r="D27" s="311" t="str">
        <f>IF(Goal_Seek_2!$A$2="","",HYPERLINK(Video_website&amp;Goal_Seek_2!$A$2, Goal_Seek_2!$A$2))</f>
        <v/>
      </c>
      <c r="F27" t="str">
        <f t="shared" ca="1" si="0"/>
        <v/>
      </c>
    </row>
    <row r="28" spans="1:9" x14ac:dyDescent="0.2">
      <c r="A28" s="306" t="str">
        <f ca="1">HYPERLINK("#"&amp;CELL("address",_Supplemental!$A$1),MID(CELL("filename",_Supplemental!$A$1),FIND("]",CELL("filename",_Supplemental!$A$1))+1,255))</f>
        <v>_Supplemental</v>
      </c>
      <c r="B28" s="307" t="str">
        <f>IF(_Supplemental!$A$1="","", _Supplemental!$A$1)</f>
        <v>Supplemental Examples</v>
      </c>
      <c r="C28" s="308" t="str">
        <f>IF(_Supplemental!$B$2="","",_Supplemental!$B$2)</f>
        <v/>
      </c>
      <c r="D28" s="310" t="str">
        <f>IF(_Supplemental!$A$2="","",HYPERLINK(Video_website&amp;_Supplemental!$A$2, _Supplemental!$A$2))</f>
        <v/>
      </c>
      <c r="E28" s="307"/>
      <c r="F28" s="307" t="str">
        <f t="shared" ca="1" si="0"/>
        <v>Supplemental Examples</v>
      </c>
      <c r="G28" s="307"/>
      <c r="H28" s="307"/>
      <c r="I28" s="307"/>
    </row>
    <row r="29" spans="1:9" x14ac:dyDescent="0.2">
      <c r="A29" s="309" t="str">
        <f ca="1">HYPERLINK("#"&amp;CELL("address",Data_Tables!$A$1),MID(CELL("filename",Data_Tables!$A$1),FIND("]",CELL("filename",Data_Tables!$A$1))+1,255))</f>
        <v>Data_Tables</v>
      </c>
      <c r="B29" t="str">
        <f>IF(Data_Tables!$A$1="","", Data_Tables!$A$1)</f>
        <v>Using Data Tables</v>
      </c>
      <c r="C29" s="305" t="str">
        <f>IF(Data_Tables!$B$2="","",Data_Tables!$B$2)</f>
        <v/>
      </c>
      <c r="D29" s="311" t="str">
        <f>IF(Data_Tables!$A$2="","",HYPERLINK(Video_website&amp;Data_Tables!$A$2, Data_Tables!$A$2))</f>
        <v/>
      </c>
      <c r="F29" t="str">
        <f t="shared" ca="1" si="0"/>
        <v/>
      </c>
    </row>
    <row r="30" spans="1:9" x14ac:dyDescent="0.2">
      <c r="A30" s="309" t="str">
        <f ca="1">HYPERLINK("#"&amp;CELL("address",No_Data_Tables!$A$1),MID(CELL("filename",No_Data_Tables!$A$1),FIND("]",CELL("filename",No_Data_Tables!$A$1))+1,255))</f>
        <v>No_Data_Tables</v>
      </c>
      <c r="B30" t="str">
        <f>IF(No_Data_Tables!$A$1="","", No_Data_Tables!$A$1)</f>
        <v>Using Formulas Only, Instead of Data Tables</v>
      </c>
      <c r="C30" s="305" t="str">
        <f>IF(No_Data_Tables!$B$2="","",No_Data_Tables!$B$2)</f>
        <v/>
      </c>
      <c r="D30" s="311" t="str">
        <f>IF(No_Data_Tables!$A$2="","",HYPERLINK(Video_website&amp;No_Data_Tables!$A$2, No_Data_Tables!$A$2))</f>
        <v/>
      </c>
      <c r="F30" t="str">
        <f t="shared" ca="1" si="0"/>
        <v/>
      </c>
    </row>
    <row r="31" spans="1:9" x14ac:dyDescent="0.2">
      <c r="A31" s="309" t="str">
        <f ca="1">HYPERLINK("#"&amp;CELL("address",Swimwear!$A$1),MID(CELL("filename",Swimwear!$A$1),FIND("]",CELL("filename",Swimwear!$A$1))+1,255))</f>
        <v>Swimwear</v>
      </c>
      <c r="B31" t="str">
        <f>IF(Swimwear!$A$1="","", Swimwear!$A$1)</f>
        <v>TheZone - Apparel Division - Swimwear</v>
      </c>
      <c r="C31" s="305" t="str">
        <f>IF(Swimwear!$B$2="","",Swimwear!$B$2)</f>
        <v/>
      </c>
      <c r="D31" s="311" t="str">
        <f>IF(Swimwear!$A$2="","",HYPERLINK(Video_website&amp;Swimwear!$A$2, Swimwear!$A$2))</f>
        <v/>
      </c>
      <c r="F31" t="str">
        <f t="shared" ca="1" si="0"/>
        <v/>
      </c>
    </row>
    <row r="32" spans="1:9" x14ac:dyDescent="0.2">
      <c r="A32" s="309" t="str">
        <f ca="1">HYPERLINK("#"&amp;CELL("address",Swimwear_Scenario_Summary!$A$1),MID(CELL("filename",Swimwear_Scenario_Summary!$A$1),FIND("]",CELL("filename",Swimwear_Scenario_Summary!$A$1))+1,255))</f>
        <v>Swimwear_Scenario_Summary</v>
      </c>
      <c r="B32" t="str">
        <f>IF(Swimwear_Scenario_Summary!$A$1="","", Swimwear_Scenario_Summary!$A$1)</f>
        <v>Scenario Summary - Swimwear</v>
      </c>
      <c r="C32" s="305" t="str">
        <f>IF(Swimwear_Scenario_Summary!$B$2="","",Swimwear_Scenario_Summary!$B$2)</f>
        <v/>
      </c>
      <c r="D32" s="311" t="str">
        <f>IF(Swimwear_Scenario_Summary!$A$2="","",HYPERLINK(Video_website&amp;Swimwear_Scenario_Summary!$A$2, Swimwear_Scenario_Summary!$A$2))</f>
        <v/>
      </c>
      <c r="F32" t="str">
        <f t="shared" ca="1" si="0"/>
        <v/>
      </c>
    </row>
    <row r="33" spans="1:6" x14ac:dyDescent="0.2">
      <c r="A33" s="309" t="str">
        <f ca="1">HYPERLINK("#"&amp;CELL("address",'PivotTable_&amp;_Chart'!$A$1),MID(CELL("filename",'PivotTable_&amp;_Chart'!$A$1),FIND("]",CELL("filename",'PivotTable_&amp;_Chart'!$A$1))+1,255))</f>
        <v>PivotTable_&amp;_Chart</v>
      </c>
      <c r="B33" t="str">
        <f>IF('PivotTable_&amp;_Chart'!$A$1="","", 'PivotTable_&amp;_Chart'!$A$1)</f>
        <v>Scenario Pivot Table &amp; Chart</v>
      </c>
      <c r="C33" s="305" t="str">
        <f>IF('PivotTable_&amp;_Chart'!$B$2="","",'PivotTable_&amp;_Chart'!$B$2)</f>
        <v/>
      </c>
      <c r="D33" s="311" t="str">
        <f>IF('PivotTable_&amp;_Chart'!$A$2="","",HYPERLINK(Video_website&amp;'PivotTable_&amp;_Chart'!$A$2, 'PivotTable_&amp;_Chart'!$A$2))</f>
        <v/>
      </c>
      <c r="F33" t="str">
        <f t="shared" ca="1" si="0"/>
        <v/>
      </c>
    </row>
    <row r="34" spans="1:6" x14ac:dyDescent="0.2">
      <c r="A34" s="309" t="str">
        <f ca="1">HYPERLINK("#"&amp;CELL("address",Probabilities!$A$1),MID(CELL("filename",Probabilities!$A$1),FIND("]",CELL("filename",Probabilities!$A$1))+1,255))</f>
        <v>Probabilities</v>
      </c>
      <c r="B34" t="str">
        <f>IF(Probabilities!$A$1="","", Probabilities!$A$1)</f>
        <v>Simulated Income Projections Using Data Tables</v>
      </c>
      <c r="C34" s="305" t="str">
        <f>IF(Probabilities!$B$2="","",Probabilities!$B$2)</f>
        <v/>
      </c>
      <c r="D34" s="311" t="str">
        <f>IF(Probabilities!$A$2="","",HYPERLINK(Video_website&amp;Probabilities!$A$2, Probabilities!$A$2))</f>
        <v/>
      </c>
      <c r="F34" t="str">
        <f t="shared" ca="1" si="0"/>
        <v/>
      </c>
    </row>
    <row r="35" spans="1:6" x14ac:dyDescent="0.2">
      <c r="A35" s="309" t="str">
        <f ca="1">HYPERLINK("#"&amp;CELL("address",Key!$A$1),MID(CELL("filename",Key!$A$1),FIND("]",CELL("filename",Key!$A$1))+1,255))</f>
        <v>Key</v>
      </c>
      <c r="B35" t="str">
        <f>IF(Key!$A$1="","", Key!$A$1)</f>
        <v>Key Points &amp; Grading Key Sample Items</v>
      </c>
      <c r="C35" s="305" t="str">
        <f>IF(Key!$B$2="","",Key!$B$2)</f>
        <v/>
      </c>
      <c r="D35" s="311" t="str">
        <f>IF(Key!$A$2="","",HYPERLINK(Video_website&amp;Key!$A$2, Key!$A$2))</f>
        <v/>
      </c>
      <c r="F35" t="str">
        <f t="shared" ca="1" si="0"/>
        <v/>
      </c>
    </row>
    <row r="36" spans="1:6" x14ac:dyDescent="0.2">
      <c r="C36" s="305"/>
    </row>
  </sheetData>
  <autoFilter ref="A10:I36" xr:uid="{00000000-0001-0000-0000-000000000000}">
    <filterColumn colId="6">
      <filters blank="1"/>
    </filterColumn>
  </autoFilter>
  <phoneticPr fontId="2" type="noConversion"/>
  <pageMargins left="0.75" right="0.75" top="1" bottom="1" header="0.5" footer="0.5"/>
  <pageSetup orientation="portrait" horizontalDpi="4294967293"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AF79-8007-4B9E-82CF-CF0AE173A7F5}">
  <sheetPr codeName="Sheet19"/>
  <dimension ref="A1:B7"/>
  <sheetViews>
    <sheetView zoomScale="145" zoomScaleNormal="145" workbookViewId="0">
      <selection activeCell="A2" sqref="A2"/>
    </sheetView>
  </sheetViews>
  <sheetFormatPr defaultRowHeight="12.75" x14ac:dyDescent="0.2"/>
  <sheetData>
    <row r="1" spans="1:2" ht="18" x14ac:dyDescent="0.25">
      <c r="A1" s="82" t="s">
        <v>233</v>
      </c>
    </row>
    <row r="2" spans="1:2" s="196" customFormat="1" hidden="1" x14ac:dyDescent="0.2">
      <c r="A2" s="196" t="s">
        <v>278</v>
      </c>
      <c r="B2" s="319">
        <v>4.4675925925925933E-3</v>
      </c>
    </row>
    <row r="3" spans="1:2" s="121" customFormat="1" x14ac:dyDescent="0.2">
      <c r="A3" s="237" t="str">
        <f>IF(A2="","",IF(Disable_Video_Hyperlinks,A2,HYPERLINK(Video_website&amp;A2,A2)))</f>
        <v>UNC_DAYT_EXCEL_3.6.1_LECTURE_SUMPRODUCT.mp4</v>
      </c>
    </row>
    <row r="4" spans="1:2" x14ac:dyDescent="0.2">
      <c r="A4" s="325">
        <f>IF(B2="","",B2)</f>
        <v>4.4675925925925933E-3</v>
      </c>
    </row>
    <row r="5" spans="1:2" x14ac:dyDescent="0.2">
      <c r="A5" s="325"/>
    </row>
    <row r="7" spans="1:2" x14ac:dyDescent="0.2">
      <c r="A7" s="3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I30"/>
  <sheetViews>
    <sheetView zoomScale="145" zoomScaleNormal="145" workbookViewId="0">
      <pane xSplit="1" ySplit="9" topLeftCell="B10" activePane="bottomRight" state="frozen"/>
      <selection activeCell="B2" sqref="B2"/>
      <selection pane="topRight" activeCell="B2" sqref="B2"/>
      <selection pane="bottomLeft" activeCell="B2" sqref="B2"/>
      <selection pane="bottomRight" activeCell="A4" sqref="A4"/>
    </sheetView>
  </sheetViews>
  <sheetFormatPr defaultRowHeight="12.75" x14ac:dyDescent="0.2"/>
  <cols>
    <col min="1" max="1" width="17" style="84" customWidth="1"/>
    <col min="2" max="2" width="12.42578125" style="84" customWidth="1"/>
    <col min="3" max="6" width="8.28515625" style="84" customWidth="1"/>
    <col min="7" max="7" width="10.5703125" style="84" customWidth="1"/>
    <col min="8" max="10" width="9.140625" style="84"/>
    <col min="11" max="11" width="10.28515625" style="84" bestFit="1" customWidth="1"/>
    <col min="12" max="16384" width="9.140625" style="84"/>
  </cols>
  <sheetData>
    <row r="1" spans="1:9" ht="18" x14ac:dyDescent="0.25">
      <c r="A1" s="90" t="s">
        <v>161</v>
      </c>
    </row>
    <row r="2" spans="1:9" s="244" customFormat="1" hidden="1" x14ac:dyDescent="0.2">
      <c r="B2" s="321"/>
    </row>
    <row r="3" spans="1:9" s="229" customFormat="1" collapsed="1" x14ac:dyDescent="0.2">
      <c r="A3" s="239" t="str">
        <f>IF(A2="","",IF(Disable_Video_Hyperlinks,A2,HYPERLINK(Video_website&amp;A2,A2)))</f>
        <v/>
      </c>
    </row>
    <row r="4" spans="1:9" x14ac:dyDescent="0.2">
      <c r="A4" s="325" t="str">
        <f>IF(B2="","",B2)</f>
        <v/>
      </c>
    </row>
    <row r="5" spans="1:9" ht="13.5" thickBot="1" x14ac:dyDescent="0.25">
      <c r="A5" s="325"/>
    </row>
    <row r="6" spans="1:9" ht="15.75" x14ac:dyDescent="0.25">
      <c r="A6" s="89" t="s">
        <v>160</v>
      </c>
      <c r="B6" s="88"/>
      <c r="C6" s="88"/>
      <c r="D6" s="88"/>
      <c r="E6" s="88"/>
      <c r="F6" s="88"/>
      <c r="G6" s="88"/>
    </row>
    <row r="7" spans="1:9" x14ac:dyDescent="0.2">
      <c r="A7" s="87" t="s">
        <v>159</v>
      </c>
      <c r="B7" s="86"/>
      <c r="C7" s="86"/>
      <c r="D7" s="86"/>
      <c r="E7" s="86"/>
      <c r="F7" s="86"/>
      <c r="G7" s="86"/>
    </row>
    <row r="8" spans="1:9" ht="13.5" thickBot="1" x14ac:dyDescent="0.25">
      <c r="A8" s="87"/>
      <c r="B8" s="86"/>
      <c r="C8" s="86"/>
      <c r="D8" s="86"/>
      <c r="E8" s="86"/>
      <c r="F8" s="86"/>
      <c r="G8" s="86"/>
    </row>
    <row r="9" spans="1:9" ht="27" customHeight="1" x14ac:dyDescent="0.2">
      <c r="A9" s="137" t="s">
        <v>158</v>
      </c>
      <c r="B9" s="138" t="s">
        <v>157</v>
      </c>
      <c r="C9" s="138" t="s">
        <v>156</v>
      </c>
      <c r="D9" s="138" t="s">
        <v>155</v>
      </c>
      <c r="E9" s="138" t="s">
        <v>154</v>
      </c>
      <c r="F9" s="138" t="s">
        <v>153</v>
      </c>
      <c r="G9" s="139" t="s">
        <v>152</v>
      </c>
    </row>
    <row r="10" spans="1:9" x14ac:dyDescent="0.2">
      <c r="A10" s="134" t="s">
        <v>151</v>
      </c>
      <c r="B10" s="135">
        <v>11122333</v>
      </c>
      <c r="C10" s="136">
        <v>80</v>
      </c>
      <c r="D10" s="136">
        <v>71</v>
      </c>
      <c r="E10" s="136">
        <v>70</v>
      </c>
      <c r="F10" s="136">
        <v>84</v>
      </c>
      <c r="G10" s="85">
        <f t="shared" ref="G10:G23" si="0">C10*$C$30+D10*$D$30+E10*$E$30+F10*$F$30</f>
        <v>77.800000000000011</v>
      </c>
      <c r="I10" s="84" t="s">
        <v>292</v>
      </c>
    </row>
    <row r="11" spans="1:9" x14ac:dyDescent="0.2">
      <c r="A11" s="134" t="s">
        <v>150</v>
      </c>
      <c r="B11" s="135">
        <v>444556666</v>
      </c>
      <c r="C11" s="136">
        <v>96</v>
      </c>
      <c r="D11" s="136">
        <v>98</v>
      </c>
      <c r="E11" s="136">
        <v>97</v>
      </c>
      <c r="F11" s="136">
        <v>90</v>
      </c>
      <c r="G11" s="85">
        <f t="shared" si="0"/>
        <v>94.2</v>
      </c>
    </row>
    <row r="12" spans="1:9" x14ac:dyDescent="0.2">
      <c r="A12" s="134" t="s">
        <v>149</v>
      </c>
      <c r="B12" s="135">
        <v>777889999</v>
      </c>
      <c r="C12" s="136">
        <v>78</v>
      </c>
      <c r="D12" s="136">
        <v>81</v>
      </c>
      <c r="E12" s="136">
        <v>70</v>
      </c>
      <c r="F12" s="136">
        <v>78</v>
      </c>
      <c r="G12" s="85">
        <f t="shared" si="0"/>
        <v>77</v>
      </c>
      <c r="I12" s="84" t="s">
        <v>293</v>
      </c>
    </row>
    <row r="13" spans="1:9" x14ac:dyDescent="0.2">
      <c r="A13" s="134" t="s">
        <v>148</v>
      </c>
      <c r="B13" s="135">
        <v>123456789</v>
      </c>
      <c r="C13" s="136">
        <v>65</v>
      </c>
      <c r="D13" s="136">
        <v>65</v>
      </c>
      <c r="E13" s="136">
        <v>65</v>
      </c>
      <c r="F13" s="136">
        <v>60</v>
      </c>
      <c r="G13" s="85">
        <f t="shared" si="0"/>
        <v>63</v>
      </c>
      <c r="I13" s="84" t="s">
        <v>291</v>
      </c>
    </row>
    <row r="14" spans="1:9" x14ac:dyDescent="0.2">
      <c r="A14" s="134" t="s">
        <v>147</v>
      </c>
      <c r="B14" s="135">
        <v>999999999</v>
      </c>
      <c r="C14" s="136">
        <v>92</v>
      </c>
      <c r="D14" s="136">
        <v>95</v>
      </c>
      <c r="E14" s="136">
        <v>79</v>
      </c>
      <c r="F14" s="136">
        <v>80</v>
      </c>
      <c r="G14" s="85">
        <f t="shared" si="0"/>
        <v>85.2</v>
      </c>
    </row>
    <row r="15" spans="1:9" x14ac:dyDescent="0.2">
      <c r="A15" s="134" t="s">
        <v>146</v>
      </c>
      <c r="B15" s="135">
        <v>888888888</v>
      </c>
      <c r="C15" s="136">
        <v>90</v>
      </c>
      <c r="D15" s="136">
        <v>90</v>
      </c>
      <c r="E15" s="136">
        <v>90</v>
      </c>
      <c r="F15" s="136">
        <v>70</v>
      </c>
      <c r="G15" s="85">
        <f t="shared" si="0"/>
        <v>82</v>
      </c>
      <c r="I15" s="84" t="s">
        <v>321</v>
      </c>
    </row>
    <row r="16" spans="1:9" x14ac:dyDescent="0.2">
      <c r="A16" s="134" t="s">
        <v>145</v>
      </c>
      <c r="B16" s="135">
        <v>100000000</v>
      </c>
      <c r="C16" s="136">
        <v>60</v>
      </c>
      <c r="D16" s="136">
        <v>50</v>
      </c>
      <c r="E16" s="136">
        <v>40</v>
      </c>
      <c r="F16" s="136">
        <v>79</v>
      </c>
      <c r="G16" s="85">
        <f t="shared" si="0"/>
        <v>61.6</v>
      </c>
      <c r="I16" s="258" t="s">
        <v>322</v>
      </c>
    </row>
    <row r="17" spans="1:9" x14ac:dyDescent="0.2">
      <c r="A17" s="134" t="s">
        <v>144</v>
      </c>
      <c r="B17" s="135">
        <v>222222222</v>
      </c>
      <c r="C17" s="136">
        <v>75</v>
      </c>
      <c r="D17" s="136">
        <v>70</v>
      </c>
      <c r="E17" s="136">
        <v>65</v>
      </c>
      <c r="F17" s="136">
        <v>95</v>
      </c>
      <c r="G17" s="85">
        <f t="shared" si="0"/>
        <v>80</v>
      </c>
      <c r="I17" s="258"/>
    </row>
    <row r="18" spans="1:9" x14ac:dyDescent="0.2">
      <c r="A18" s="134" t="s">
        <v>143</v>
      </c>
      <c r="B18" s="135">
        <v>200000000</v>
      </c>
      <c r="C18" s="136">
        <v>90</v>
      </c>
      <c r="D18" s="136">
        <v>90</v>
      </c>
      <c r="E18" s="136">
        <v>80</v>
      </c>
      <c r="F18" s="136">
        <v>90</v>
      </c>
      <c r="G18" s="85">
        <f t="shared" si="0"/>
        <v>88</v>
      </c>
      <c r="I18" s="84" t="s">
        <v>323</v>
      </c>
    </row>
    <row r="19" spans="1:9" x14ac:dyDescent="0.2">
      <c r="A19" s="134" t="s">
        <v>142</v>
      </c>
      <c r="B19" s="135">
        <v>444444444</v>
      </c>
      <c r="C19" s="136">
        <v>82</v>
      </c>
      <c r="D19" s="136">
        <v>78</v>
      </c>
      <c r="E19" s="136">
        <v>62</v>
      </c>
      <c r="F19" s="136">
        <v>77</v>
      </c>
      <c r="G19" s="85">
        <f t="shared" si="0"/>
        <v>75.2</v>
      </c>
      <c r="I19" s="258" t="s">
        <v>324</v>
      </c>
    </row>
    <row r="20" spans="1:9" x14ac:dyDescent="0.2">
      <c r="A20" s="134" t="s">
        <v>141</v>
      </c>
      <c r="B20" s="135">
        <v>555555555</v>
      </c>
      <c r="C20" s="136">
        <v>92</v>
      </c>
      <c r="D20" s="136">
        <v>88</v>
      </c>
      <c r="E20" s="136">
        <v>65</v>
      </c>
      <c r="F20" s="136">
        <v>78</v>
      </c>
      <c r="G20" s="85">
        <f t="shared" si="0"/>
        <v>80.2</v>
      </c>
    </row>
    <row r="21" spans="1:9" x14ac:dyDescent="0.2">
      <c r="A21" s="134" t="s">
        <v>140</v>
      </c>
      <c r="B21" s="135">
        <v>666666666</v>
      </c>
      <c r="C21" s="136">
        <v>94</v>
      </c>
      <c r="D21" s="136">
        <v>92</v>
      </c>
      <c r="E21" s="136">
        <v>86</v>
      </c>
      <c r="F21" s="136">
        <v>84</v>
      </c>
      <c r="G21" s="85">
        <f t="shared" si="0"/>
        <v>88</v>
      </c>
    </row>
    <row r="22" spans="1:9" x14ac:dyDescent="0.2">
      <c r="A22" s="134" t="s">
        <v>139</v>
      </c>
      <c r="B22" s="135">
        <v>300000000</v>
      </c>
      <c r="C22" s="136">
        <v>92</v>
      </c>
      <c r="D22" s="136">
        <v>78</v>
      </c>
      <c r="E22" s="136">
        <v>65</v>
      </c>
      <c r="F22" s="136">
        <v>84</v>
      </c>
      <c r="G22" s="85">
        <f t="shared" si="0"/>
        <v>80.599999999999994</v>
      </c>
    </row>
    <row r="23" spans="1:9" ht="13.5" thickBot="1" x14ac:dyDescent="0.25">
      <c r="A23" s="134" t="s">
        <v>138</v>
      </c>
      <c r="B23" s="135">
        <v>777777777</v>
      </c>
      <c r="C23" s="136">
        <v>60</v>
      </c>
      <c r="D23" s="136">
        <v>50</v>
      </c>
      <c r="E23" s="136">
        <v>65</v>
      </c>
      <c r="F23" s="136">
        <v>80</v>
      </c>
      <c r="G23" s="85">
        <f t="shared" si="0"/>
        <v>67</v>
      </c>
    </row>
    <row r="24" spans="1:9" x14ac:dyDescent="0.2">
      <c r="A24" s="140"/>
      <c r="B24" s="141"/>
      <c r="C24" s="141"/>
      <c r="D24" s="141"/>
      <c r="E24" s="141"/>
      <c r="F24" s="141"/>
      <c r="G24" s="142"/>
    </row>
    <row r="25" spans="1:9" x14ac:dyDescent="0.2">
      <c r="A25" s="143" t="s">
        <v>137</v>
      </c>
      <c r="B25" s="144"/>
      <c r="C25" s="145">
        <f>AVERAGE(C$10:C$24)</f>
        <v>81.857142857142861</v>
      </c>
      <c r="D25" s="145">
        <f>AVERAGE(D$10:D$24)</f>
        <v>78.285714285714292</v>
      </c>
      <c r="E25" s="145">
        <f>AVERAGE(E$10:E$24)</f>
        <v>71.357142857142861</v>
      </c>
      <c r="F25" s="145">
        <f>AVERAGE(F$10:F$24)</f>
        <v>80.642857142857139</v>
      </c>
      <c r="G25" s="146"/>
    </row>
    <row r="26" spans="1:9" x14ac:dyDescent="0.2">
      <c r="A26" s="143" t="s">
        <v>136</v>
      </c>
      <c r="B26" s="147"/>
      <c r="C26" s="148">
        <f>MAX(C$10:C$24)</f>
        <v>96</v>
      </c>
      <c r="D26" s="148">
        <f>MAX(D$10:D$24)</f>
        <v>98</v>
      </c>
      <c r="E26" s="148">
        <f>MAX(E$10:E$24)</f>
        <v>97</v>
      </c>
      <c r="F26" s="148">
        <f>MAX(F$10:F$24)</f>
        <v>95</v>
      </c>
      <c r="G26" s="149"/>
    </row>
    <row r="27" spans="1:9" x14ac:dyDescent="0.2">
      <c r="A27" s="143" t="s">
        <v>135</v>
      </c>
      <c r="B27" s="147"/>
      <c r="C27" s="148">
        <f>MIN(C$10:C$24)</f>
        <v>60</v>
      </c>
      <c r="D27" s="148">
        <f>MIN(D$10:D$24)</f>
        <v>50</v>
      </c>
      <c r="E27" s="148">
        <f>MIN(E$10:E$24)</f>
        <v>40</v>
      </c>
      <c r="F27" s="148">
        <f>MIN(F$10:F$24)</f>
        <v>60</v>
      </c>
      <c r="G27" s="149"/>
    </row>
    <row r="28" spans="1:9" x14ac:dyDescent="0.2">
      <c r="A28" s="143" t="s">
        <v>134</v>
      </c>
      <c r="B28" s="147"/>
      <c r="C28" s="148">
        <f>C26-C27</f>
        <v>36</v>
      </c>
      <c r="D28" s="148">
        <f>D26-D27</f>
        <v>48</v>
      </c>
      <c r="E28" s="148">
        <f>E26-E27</f>
        <v>57</v>
      </c>
      <c r="F28" s="148">
        <f>F26-F27</f>
        <v>35</v>
      </c>
      <c r="G28" s="150"/>
    </row>
    <row r="29" spans="1:9" ht="13.5" thickBot="1" x14ac:dyDescent="0.25">
      <c r="A29" s="143"/>
      <c r="B29" s="147"/>
      <c r="C29" s="151"/>
      <c r="D29" s="151"/>
      <c r="E29" s="151"/>
      <c r="F29" s="152"/>
      <c r="G29" s="149"/>
    </row>
    <row r="30" spans="1:9" ht="14.25" thickTop="1" thickBot="1" x14ac:dyDescent="0.25">
      <c r="A30" s="154" t="s">
        <v>133</v>
      </c>
      <c r="B30" s="155"/>
      <c r="C30" s="156">
        <v>0.2</v>
      </c>
      <c r="D30" s="156">
        <v>0.2</v>
      </c>
      <c r="E30" s="156">
        <v>0.2</v>
      </c>
      <c r="F30" s="156">
        <v>0.4</v>
      </c>
      <c r="G30" s="153">
        <f>SUM(C30:F30)</f>
        <v>1</v>
      </c>
    </row>
  </sheetData>
  <pageMargins left="0.75" right="0.75" top="1" bottom="1" header="0.5" footer="0.5"/>
  <pageSetup scale="88"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J38"/>
  <sheetViews>
    <sheetView zoomScale="145" zoomScaleNormal="145" workbookViewId="0">
      <pane xSplit="1" ySplit="9" topLeftCell="B10" activePane="bottomRight" state="frozen"/>
      <selection activeCell="B2" sqref="B2"/>
      <selection pane="topRight" activeCell="B2" sqref="B2"/>
      <selection pane="bottomLeft" activeCell="B2" sqref="B2"/>
      <selection pane="bottomRight" activeCell="J20" sqref="J20"/>
    </sheetView>
  </sheetViews>
  <sheetFormatPr defaultRowHeight="12.75" x14ac:dyDescent="0.2"/>
  <cols>
    <col min="1" max="1" width="17" style="84" customWidth="1"/>
    <col min="2" max="2" width="12.42578125" style="84" customWidth="1"/>
    <col min="3" max="7" width="8.28515625" style="84" customWidth="1"/>
    <col min="8" max="8" width="10.5703125" style="84" customWidth="1"/>
    <col min="9" max="11" width="9.140625" style="84"/>
    <col min="12" max="12" width="10.28515625" style="84" bestFit="1" customWidth="1"/>
    <col min="13" max="16384" width="9.140625" style="84"/>
  </cols>
  <sheetData>
    <row r="1" spans="1:10" ht="18" x14ac:dyDescent="0.25">
      <c r="A1" s="90" t="s">
        <v>162</v>
      </c>
    </row>
    <row r="2" spans="1:10" s="244" customFormat="1" hidden="1" x14ac:dyDescent="0.2">
      <c r="B2" s="321"/>
    </row>
    <row r="3" spans="1:10" s="229" customFormat="1" collapsed="1" x14ac:dyDescent="0.2">
      <c r="A3" s="239" t="str">
        <f>IF(A2="","",IF(Disable_Video_Hyperlinks,A2,HYPERLINK(Video_website&amp;A2,A2)))</f>
        <v/>
      </c>
    </row>
    <row r="4" spans="1:10" x14ac:dyDescent="0.2">
      <c r="A4" s="325" t="str">
        <f>IF(B2="","",B2)</f>
        <v/>
      </c>
    </row>
    <row r="5" spans="1:10" ht="13.5" thickBot="1" x14ac:dyDescent="0.25">
      <c r="A5" s="325"/>
    </row>
    <row r="6" spans="1:10" ht="15.75" x14ac:dyDescent="0.25">
      <c r="A6" s="89" t="s">
        <v>160</v>
      </c>
      <c r="B6" s="88"/>
      <c r="C6" s="88"/>
      <c r="D6" s="88"/>
      <c r="E6" s="88"/>
      <c r="F6" s="88"/>
      <c r="G6" s="88"/>
      <c r="H6" s="88"/>
    </row>
    <row r="7" spans="1:10" x14ac:dyDescent="0.2">
      <c r="A7" s="87" t="s">
        <v>159</v>
      </c>
      <c r="B7" s="86"/>
      <c r="C7" s="86"/>
      <c r="D7" s="86"/>
      <c r="E7" s="86"/>
      <c r="F7" s="86"/>
      <c r="G7" s="86"/>
      <c r="H7" s="86"/>
    </row>
    <row r="8" spans="1:10" ht="13.5" thickBot="1" x14ac:dyDescent="0.25">
      <c r="A8" s="87"/>
      <c r="B8" s="86"/>
      <c r="C8" s="86"/>
      <c r="D8" s="86"/>
      <c r="E8" s="86"/>
      <c r="F8" s="86"/>
      <c r="G8" s="86"/>
      <c r="H8" s="86"/>
    </row>
    <row r="9" spans="1:10" ht="27" customHeight="1" x14ac:dyDescent="0.2">
      <c r="A9" s="137" t="s">
        <v>158</v>
      </c>
      <c r="B9" s="138" t="s">
        <v>157</v>
      </c>
      <c r="C9" s="138" t="s">
        <v>156</v>
      </c>
      <c r="D9" s="138" t="s">
        <v>155</v>
      </c>
      <c r="E9" s="138" t="s">
        <v>154</v>
      </c>
      <c r="F9" s="138" t="s">
        <v>272</v>
      </c>
      <c r="G9" s="138" t="s">
        <v>153</v>
      </c>
      <c r="H9" s="139" t="s">
        <v>152</v>
      </c>
    </row>
    <row r="10" spans="1:10" x14ac:dyDescent="0.2">
      <c r="A10" s="134" t="s">
        <v>151</v>
      </c>
      <c r="B10" s="135">
        <v>11122333</v>
      </c>
      <c r="C10" s="136">
        <v>80</v>
      </c>
      <c r="D10" s="136">
        <v>71</v>
      </c>
      <c r="E10" s="136">
        <v>70</v>
      </c>
      <c r="F10" s="136">
        <v>70</v>
      </c>
      <c r="G10" s="136">
        <v>84</v>
      </c>
      <c r="H10" s="85">
        <f t="shared" ref="H10:H23" si="0">SUMPRODUCT(C10:G10,$C$30:$G$30)</f>
        <v>75</v>
      </c>
      <c r="I10" s="101"/>
      <c r="J10" s="363" t="s">
        <v>132</v>
      </c>
    </row>
    <row r="11" spans="1:10" x14ac:dyDescent="0.2">
      <c r="A11" s="134" t="s">
        <v>150</v>
      </c>
      <c r="B11" s="135">
        <v>444556666</v>
      </c>
      <c r="C11" s="136">
        <v>96</v>
      </c>
      <c r="D11" s="136">
        <v>98</v>
      </c>
      <c r="E11" s="136">
        <v>97</v>
      </c>
      <c r="F11" s="136">
        <v>97</v>
      </c>
      <c r="G11" s="136">
        <v>90</v>
      </c>
      <c r="H11" s="85">
        <f t="shared" si="0"/>
        <v>95.600000000000009</v>
      </c>
      <c r="I11" s="101"/>
      <c r="J11" s="363"/>
    </row>
    <row r="12" spans="1:10" x14ac:dyDescent="0.2">
      <c r="A12" s="134" t="s">
        <v>149</v>
      </c>
      <c r="B12" s="135">
        <v>777889999</v>
      </c>
      <c r="C12" s="136">
        <v>78</v>
      </c>
      <c r="D12" s="136">
        <v>81</v>
      </c>
      <c r="E12" s="136">
        <v>70</v>
      </c>
      <c r="F12" s="136">
        <v>70</v>
      </c>
      <c r="G12" s="136">
        <v>78</v>
      </c>
      <c r="H12" s="85">
        <f t="shared" si="0"/>
        <v>75.400000000000006</v>
      </c>
      <c r="I12" s="101"/>
      <c r="J12" s="363" t="s">
        <v>314</v>
      </c>
    </row>
    <row r="13" spans="1:10" x14ac:dyDescent="0.2">
      <c r="A13" s="134" t="s">
        <v>148</v>
      </c>
      <c r="B13" s="135">
        <v>123456789</v>
      </c>
      <c r="C13" s="136">
        <v>65</v>
      </c>
      <c r="D13" s="136">
        <v>65</v>
      </c>
      <c r="E13" s="136">
        <v>65</v>
      </c>
      <c r="F13" s="136">
        <v>65</v>
      </c>
      <c r="G13" s="136">
        <v>60</v>
      </c>
      <c r="H13" s="85">
        <f t="shared" si="0"/>
        <v>64</v>
      </c>
      <c r="I13" s="101"/>
      <c r="J13" s="364" t="s">
        <v>313</v>
      </c>
    </row>
    <row r="14" spans="1:10" x14ac:dyDescent="0.2">
      <c r="A14" s="134" t="s">
        <v>147</v>
      </c>
      <c r="B14" s="135">
        <v>999999999</v>
      </c>
      <c r="C14" s="136">
        <v>92</v>
      </c>
      <c r="D14" s="136">
        <v>95</v>
      </c>
      <c r="E14" s="136">
        <v>79</v>
      </c>
      <c r="F14" s="136">
        <v>79</v>
      </c>
      <c r="G14" s="136">
        <v>80</v>
      </c>
      <c r="H14" s="85">
        <f t="shared" si="0"/>
        <v>85</v>
      </c>
      <c r="I14" s="101"/>
      <c r="J14" s="101"/>
    </row>
    <row r="15" spans="1:10" x14ac:dyDescent="0.2">
      <c r="A15" s="134" t="s">
        <v>146</v>
      </c>
      <c r="B15" s="135">
        <v>888888888</v>
      </c>
      <c r="C15" s="136">
        <v>90</v>
      </c>
      <c r="D15" s="136">
        <v>90</v>
      </c>
      <c r="E15" s="136">
        <v>90</v>
      </c>
      <c r="F15" s="136">
        <v>90</v>
      </c>
      <c r="G15" s="136">
        <v>70</v>
      </c>
      <c r="H15" s="85">
        <f t="shared" si="0"/>
        <v>86</v>
      </c>
      <c r="I15" s="101"/>
      <c r="J15" s="363" t="s">
        <v>318</v>
      </c>
    </row>
    <row r="16" spans="1:10" x14ac:dyDescent="0.2">
      <c r="A16" s="134" t="s">
        <v>145</v>
      </c>
      <c r="B16" s="135">
        <v>100000000</v>
      </c>
      <c r="C16" s="136">
        <v>60</v>
      </c>
      <c r="D16" s="136">
        <v>50</v>
      </c>
      <c r="E16" s="136">
        <v>40</v>
      </c>
      <c r="F16" s="136">
        <v>40</v>
      </c>
      <c r="G16" s="136">
        <v>79</v>
      </c>
      <c r="H16" s="85">
        <f t="shared" si="0"/>
        <v>53.8</v>
      </c>
      <c r="I16" s="101"/>
      <c r="J16" s="364" t="s">
        <v>319</v>
      </c>
    </row>
    <row r="17" spans="1:10" x14ac:dyDescent="0.2">
      <c r="A17" s="134" t="s">
        <v>144</v>
      </c>
      <c r="B17" s="135">
        <v>222222222</v>
      </c>
      <c r="C17" s="136">
        <v>75</v>
      </c>
      <c r="D17" s="136">
        <v>70</v>
      </c>
      <c r="E17" s="136">
        <v>65</v>
      </c>
      <c r="F17" s="136">
        <v>65</v>
      </c>
      <c r="G17" s="136">
        <v>95</v>
      </c>
      <c r="H17" s="85">
        <f t="shared" si="0"/>
        <v>74</v>
      </c>
      <c r="I17" s="101"/>
    </row>
    <row r="18" spans="1:10" x14ac:dyDescent="0.2">
      <c r="A18" s="134" t="s">
        <v>143</v>
      </c>
      <c r="B18" s="135">
        <v>200000000</v>
      </c>
      <c r="C18" s="136">
        <v>90</v>
      </c>
      <c r="D18" s="136">
        <v>90</v>
      </c>
      <c r="E18" s="136">
        <v>80</v>
      </c>
      <c r="F18" s="136">
        <v>80</v>
      </c>
      <c r="G18" s="136">
        <v>90</v>
      </c>
      <c r="H18" s="85">
        <f t="shared" si="0"/>
        <v>86</v>
      </c>
      <c r="I18" s="101"/>
      <c r="J18" s="365" t="s">
        <v>316</v>
      </c>
    </row>
    <row r="19" spans="1:10" x14ac:dyDescent="0.2">
      <c r="A19" s="134" t="s">
        <v>142</v>
      </c>
      <c r="B19" s="135">
        <v>444444444</v>
      </c>
      <c r="C19" s="136">
        <v>82</v>
      </c>
      <c r="D19" s="136">
        <v>78</v>
      </c>
      <c r="E19" s="136">
        <v>62</v>
      </c>
      <c r="F19" s="136">
        <v>62</v>
      </c>
      <c r="G19" s="136">
        <v>77</v>
      </c>
      <c r="H19" s="85">
        <f t="shared" si="0"/>
        <v>72.2</v>
      </c>
      <c r="I19" s="101"/>
      <c r="J19" s="365"/>
    </row>
    <row r="20" spans="1:10" x14ac:dyDescent="0.2">
      <c r="A20" s="134" t="s">
        <v>141</v>
      </c>
      <c r="B20" s="135">
        <v>555555555</v>
      </c>
      <c r="C20" s="136">
        <v>92</v>
      </c>
      <c r="D20" s="136">
        <v>88</v>
      </c>
      <c r="E20" s="136">
        <v>65</v>
      </c>
      <c r="F20" s="136">
        <v>65</v>
      </c>
      <c r="G20" s="136">
        <v>78</v>
      </c>
      <c r="H20" s="85">
        <f t="shared" si="0"/>
        <v>77.599999999999994</v>
      </c>
      <c r="I20" s="101"/>
      <c r="J20" s="363" t="s">
        <v>131</v>
      </c>
    </row>
    <row r="21" spans="1:10" x14ac:dyDescent="0.2">
      <c r="A21" s="134" t="s">
        <v>140</v>
      </c>
      <c r="B21" s="135">
        <v>666666666</v>
      </c>
      <c r="C21" s="136">
        <v>94</v>
      </c>
      <c r="D21" s="136">
        <v>92</v>
      </c>
      <c r="E21" s="136">
        <v>86</v>
      </c>
      <c r="F21" s="136">
        <v>86</v>
      </c>
      <c r="G21" s="136">
        <v>84</v>
      </c>
      <c r="H21" s="85">
        <f t="shared" si="0"/>
        <v>88.4</v>
      </c>
      <c r="I21" s="101"/>
      <c r="J21" s="363"/>
    </row>
    <row r="22" spans="1:10" x14ac:dyDescent="0.2">
      <c r="A22" s="134" t="s">
        <v>139</v>
      </c>
      <c r="B22" s="135">
        <v>300000000</v>
      </c>
      <c r="C22" s="136">
        <v>92</v>
      </c>
      <c r="D22" s="136">
        <v>78</v>
      </c>
      <c r="E22" s="136">
        <v>65</v>
      </c>
      <c r="F22" s="136">
        <v>65</v>
      </c>
      <c r="G22" s="136">
        <v>84</v>
      </c>
      <c r="H22" s="85">
        <f t="shared" si="0"/>
        <v>76.8</v>
      </c>
      <c r="I22" s="101"/>
      <c r="J22" s="363" t="s">
        <v>317</v>
      </c>
    </row>
    <row r="23" spans="1:10" ht="13.5" thickBot="1" x14ac:dyDescent="0.25">
      <c r="A23" s="134" t="s">
        <v>138</v>
      </c>
      <c r="B23" s="135">
        <v>777777777</v>
      </c>
      <c r="C23" s="136">
        <v>60</v>
      </c>
      <c r="D23" s="136">
        <v>50</v>
      </c>
      <c r="E23" s="136">
        <v>65</v>
      </c>
      <c r="F23" s="136">
        <v>65</v>
      </c>
      <c r="G23" s="136">
        <v>80</v>
      </c>
      <c r="H23" s="85">
        <f t="shared" si="0"/>
        <v>64</v>
      </c>
      <c r="I23" s="101"/>
      <c r="J23" s="179" t="s">
        <v>315</v>
      </c>
    </row>
    <row r="24" spans="1:10" x14ac:dyDescent="0.2">
      <c r="A24" s="140"/>
      <c r="B24" s="141"/>
      <c r="C24" s="141"/>
      <c r="D24" s="141"/>
      <c r="E24" s="141"/>
      <c r="F24" s="141"/>
      <c r="G24" s="141"/>
      <c r="H24" s="142"/>
    </row>
    <row r="25" spans="1:10" x14ac:dyDescent="0.2">
      <c r="A25" s="143" t="s">
        <v>137</v>
      </c>
      <c r="B25" s="144"/>
      <c r="C25" s="145">
        <f>AVERAGE(C$10:C$24)</f>
        <v>81.857142857142861</v>
      </c>
      <c r="D25" s="145">
        <f>AVERAGE(D$10:D$24)</f>
        <v>78.285714285714292</v>
      </c>
      <c r="E25" s="145">
        <f>AVERAGE(E$10:E$24)</f>
        <v>71.357142857142861</v>
      </c>
      <c r="F25" s="145">
        <f>AVERAGE(F$10:F$24)</f>
        <v>71.357142857142861</v>
      </c>
      <c r="G25" s="145">
        <f>AVERAGE(G$10:G$24)</f>
        <v>80.642857142857139</v>
      </c>
      <c r="H25" s="146"/>
    </row>
    <row r="26" spans="1:10" x14ac:dyDescent="0.2">
      <c r="A26" s="143" t="s">
        <v>136</v>
      </c>
      <c r="B26" s="147"/>
      <c r="C26" s="148">
        <f>MAX(C$10:C$24)</f>
        <v>96</v>
      </c>
      <c r="D26" s="148">
        <f>MAX(D$10:D$24)</f>
        <v>98</v>
      </c>
      <c r="E26" s="148">
        <f>MAX(E$10:E$24)</f>
        <v>97</v>
      </c>
      <c r="F26" s="148">
        <f>MAX(F$10:F$24)</f>
        <v>97</v>
      </c>
      <c r="G26" s="148">
        <f>MAX(G$10:G$24)</f>
        <v>95</v>
      </c>
      <c r="H26" s="149"/>
    </row>
    <row r="27" spans="1:10" x14ac:dyDescent="0.2">
      <c r="A27" s="143" t="s">
        <v>135</v>
      </c>
      <c r="B27" s="147"/>
      <c r="C27" s="148">
        <f>MIN(C$10:C$24)</f>
        <v>60</v>
      </c>
      <c r="D27" s="148">
        <f>MIN(D$10:D$24)</f>
        <v>50</v>
      </c>
      <c r="E27" s="148">
        <f>MIN(E$10:E$24)</f>
        <v>40</v>
      </c>
      <c r="F27" s="148">
        <f>MIN(F$10:F$24)</f>
        <v>40</v>
      </c>
      <c r="G27" s="148">
        <f>MIN(G$10:G$24)</f>
        <v>60</v>
      </c>
      <c r="H27" s="149"/>
    </row>
    <row r="28" spans="1:10" x14ac:dyDescent="0.2">
      <c r="A28" s="143" t="s">
        <v>134</v>
      </c>
      <c r="B28" s="147"/>
      <c r="C28" s="148">
        <f>C26-C27</f>
        <v>36</v>
      </c>
      <c r="D28" s="148">
        <f>D26-D27</f>
        <v>48</v>
      </c>
      <c r="E28" s="148">
        <f>E26-E27</f>
        <v>57</v>
      </c>
      <c r="F28" s="148">
        <f>F26-F27</f>
        <v>57</v>
      </c>
      <c r="G28" s="148">
        <f>G26-G27</f>
        <v>35</v>
      </c>
      <c r="H28" s="150"/>
    </row>
    <row r="29" spans="1:10" ht="13.5" thickBot="1" x14ac:dyDescent="0.25">
      <c r="A29" s="143"/>
      <c r="B29" s="147"/>
      <c r="C29" s="151"/>
      <c r="D29" s="151"/>
      <c r="E29" s="151"/>
      <c r="F29" s="151"/>
      <c r="G29" s="152"/>
      <c r="H29" s="149"/>
    </row>
    <row r="30" spans="1:10" ht="14.25" thickTop="1" thickBot="1" x14ac:dyDescent="0.25">
      <c r="A30" s="154" t="s">
        <v>133</v>
      </c>
      <c r="B30" s="155"/>
      <c r="C30" s="156">
        <v>0.2</v>
      </c>
      <c r="D30" s="156">
        <v>0.2</v>
      </c>
      <c r="E30" s="156">
        <v>0.2</v>
      </c>
      <c r="F30" s="156">
        <v>0.2</v>
      </c>
      <c r="G30" s="156">
        <v>0.2</v>
      </c>
      <c r="H30" s="153">
        <f>SUM(C30:G30)</f>
        <v>1</v>
      </c>
    </row>
    <row r="33" spans="2:8" x14ac:dyDescent="0.2">
      <c r="B33" s="270"/>
      <c r="C33" s="270"/>
      <c r="D33" s="270"/>
      <c r="E33" s="270"/>
      <c r="F33" s="270"/>
      <c r="G33" s="270"/>
      <c r="H33" s="270"/>
    </row>
    <row r="34" spans="2:8" x14ac:dyDescent="0.2">
      <c r="B34" s="270"/>
      <c r="C34" s="270"/>
      <c r="D34" s="270"/>
      <c r="E34" s="270"/>
      <c r="F34" s="270"/>
      <c r="G34" s="270"/>
      <c r="H34" s="270"/>
    </row>
    <row r="35" spans="2:8" x14ac:dyDescent="0.2">
      <c r="B35" s="270"/>
      <c r="C35" s="270"/>
      <c r="D35" s="270"/>
      <c r="E35" s="270"/>
      <c r="F35" s="270"/>
      <c r="G35" s="270"/>
      <c r="H35" s="270"/>
    </row>
    <row r="36" spans="2:8" x14ac:dyDescent="0.2">
      <c r="B36" s="270"/>
      <c r="C36" s="270"/>
      <c r="D36" s="270"/>
      <c r="E36" s="270"/>
      <c r="F36" s="270"/>
      <c r="G36" s="270"/>
      <c r="H36" s="270"/>
    </row>
    <row r="37" spans="2:8" x14ac:dyDescent="0.2">
      <c r="B37" s="270"/>
      <c r="C37" s="270"/>
      <c r="D37" s="270"/>
      <c r="E37" s="270"/>
      <c r="F37" s="270"/>
      <c r="G37" s="270"/>
      <c r="H37" s="270"/>
    </row>
    <row r="38" spans="2:8" x14ac:dyDescent="0.2">
      <c r="B38" s="270"/>
      <c r="C38" s="270"/>
      <c r="D38" s="270"/>
      <c r="E38" s="270"/>
      <c r="F38" s="270"/>
      <c r="G38" s="270"/>
      <c r="H38" s="270"/>
    </row>
  </sheetData>
  <pageMargins left="0.75" right="0.75" top="1" bottom="1" header="0.5" footer="0.5"/>
  <pageSetup scale="88" orientation="portrait" horizontalDpi="300" verticalDpi="300" r:id="rId1"/>
  <headerFooter alignWithMargins="0"/>
  <ignoredErrors>
    <ignoredError sqref="H10:H23"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3A553-1BD6-4182-BA32-11CC2B7A5D72}">
  <sheetPr codeName="Sheet21"/>
  <dimension ref="A1:B5"/>
  <sheetViews>
    <sheetView zoomScale="160" zoomScaleNormal="160" workbookViewId="0">
      <selection activeCell="A2" sqref="A2"/>
    </sheetView>
  </sheetViews>
  <sheetFormatPr defaultRowHeight="12.75" x14ac:dyDescent="0.2"/>
  <sheetData>
    <row r="1" spans="1:2" ht="18" x14ac:dyDescent="0.25">
      <c r="A1" s="82" t="s">
        <v>234</v>
      </c>
    </row>
    <row r="2" spans="1:2" s="196" customFormat="1" hidden="1" x14ac:dyDescent="0.2">
      <c r="A2" s="196" t="s">
        <v>279</v>
      </c>
      <c r="B2" s="319">
        <v>7.4537037037037028E-3</v>
      </c>
    </row>
    <row r="3" spans="1:2" s="121" customFormat="1" collapsed="1" x14ac:dyDescent="0.2">
      <c r="A3" s="237" t="str">
        <f>IF(A2="","",IF(Disable_Video_Hyperlinks,A2,HYPERLINK(Video_website&amp;A2,A2)))</f>
        <v>UNC_DAYT_EXCEL_3.6.2_LECTURE_NAMING_RANGES.mp4</v>
      </c>
    </row>
    <row r="4" spans="1:2" x14ac:dyDescent="0.2">
      <c r="A4" s="325">
        <f>IF(B2="","",B2)</f>
        <v>7.4537037037037028E-3</v>
      </c>
    </row>
    <row r="5" spans="1:2" x14ac:dyDescent="0.2">
      <c r="A5" s="3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F30"/>
  <sheetViews>
    <sheetView showFormulas="1" zoomScale="145" zoomScaleNormal="145" workbookViewId="0">
      <selection activeCell="B15" sqref="B15"/>
    </sheetView>
  </sheetViews>
  <sheetFormatPr defaultRowHeight="12.75" x14ac:dyDescent="0.2"/>
  <cols>
    <col min="1" max="1" width="23.28515625" style="84" customWidth="1"/>
    <col min="2" max="2" width="9.5703125" style="84" customWidth="1"/>
    <col min="3" max="6" width="15.5703125" style="84" customWidth="1"/>
    <col min="7" max="16384" width="9.140625" style="84"/>
  </cols>
  <sheetData>
    <row r="1" spans="1:6" ht="18" x14ac:dyDescent="0.25">
      <c r="A1" s="90" t="s">
        <v>190</v>
      </c>
    </row>
    <row r="2" spans="1:6" s="244" customFormat="1" hidden="1" x14ac:dyDescent="0.2">
      <c r="B2" s="321"/>
    </row>
    <row r="3" spans="1:6" s="229" customFormat="1" x14ac:dyDescent="0.2">
      <c r="A3" s="239" t="str">
        <f>IF(A2="","",IF(Disable_Video_Hyperlinks,A2,HYPERLINK(Video_website&amp;A2,A2)))</f>
        <v/>
      </c>
    </row>
    <row r="4" spans="1:6" x14ac:dyDescent="0.2">
      <c r="A4" s="325" t="str">
        <f>IF(B2="","",B2)</f>
        <v/>
      </c>
    </row>
    <row r="5" spans="1:6" x14ac:dyDescent="0.2">
      <c r="A5" s="325"/>
    </row>
    <row r="6" spans="1:6" ht="18" x14ac:dyDescent="0.25">
      <c r="A6" s="157" t="s">
        <v>93</v>
      </c>
      <c r="B6" s="158"/>
      <c r="C6" s="158"/>
      <c r="D6" s="158"/>
      <c r="E6" s="158"/>
      <c r="F6" s="159"/>
    </row>
    <row r="7" spans="1:6" ht="12.75" customHeight="1" x14ac:dyDescent="0.2">
      <c r="A7" s="165" t="s">
        <v>94</v>
      </c>
      <c r="B7" s="103"/>
      <c r="C7" s="103"/>
      <c r="D7" s="103"/>
      <c r="E7" s="103"/>
      <c r="F7" s="103"/>
    </row>
    <row r="8" spans="1:6" x14ac:dyDescent="0.2">
      <c r="A8" s="101"/>
      <c r="B8" s="333" t="s">
        <v>95</v>
      </c>
      <c r="C8" s="101"/>
      <c r="D8" s="333" t="s">
        <v>96</v>
      </c>
    </row>
    <row r="9" spans="1:6" x14ac:dyDescent="0.2">
      <c r="A9" s="93" t="s">
        <v>171</v>
      </c>
      <c r="B9" s="166">
        <v>100000</v>
      </c>
      <c r="C9" s="101"/>
      <c r="D9" s="334">
        <v>0.1</v>
      </c>
    </row>
    <row r="10" spans="1:6" x14ac:dyDescent="0.2">
      <c r="A10" s="93" t="s">
        <v>170</v>
      </c>
      <c r="B10" s="167">
        <v>3</v>
      </c>
      <c r="C10" s="101"/>
      <c r="D10" s="334">
        <v>0.05</v>
      </c>
    </row>
    <row r="11" spans="1:6" x14ac:dyDescent="0.2">
      <c r="A11" s="93" t="s">
        <v>169</v>
      </c>
      <c r="B11" s="167">
        <v>1.5</v>
      </c>
      <c r="C11" s="101"/>
      <c r="D11" s="334">
        <v>0.1</v>
      </c>
    </row>
    <row r="12" spans="1:6" x14ac:dyDescent="0.2">
      <c r="A12" s="93" t="s">
        <v>166</v>
      </c>
      <c r="B12" s="168">
        <v>50000</v>
      </c>
      <c r="C12" s="101"/>
      <c r="D12" s="334">
        <v>0.08</v>
      </c>
    </row>
    <row r="13" spans="1:6" x14ac:dyDescent="0.2">
      <c r="A13" s="101" t="s">
        <v>165</v>
      </c>
      <c r="B13" s="168">
        <v>25000</v>
      </c>
      <c r="C13" s="101"/>
      <c r="D13" s="334">
        <v>0.05</v>
      </c>
    </row>
    <row r="14" spans="1:6" x14ac:dyDescent="0.2">
      <c r="A14"/>
      <c r="B14"/>
      <c r="C14"/>
      <c r="D14"/>
    </row>
    <row r="15" spans="1:6" x14ac:dyDescent="0.2">
      <c r="A15" s="160"/>
      <c r="B15" s="211">
        <v>2023</v>
      </c>
      <c r="C15" s="170">
        <f>B15+1</f>
        <v>2024</v>
      </c>
      <c r="D15" s="170">
        <f t="shared" ref="D15:F15" si="0">C15+1</f>
        <v>2025</v>
      </c>
      <c r="E15" s="170">
        <f t="shared" si="0"/>
        <v>2026</v>
      </c>
      <c r="F15" s="170">
        <f t="shared" si="0"/>
        <v>2027</v>
      </c>
    </row>
    <row r="16" spans="1:6" x14ac:dyDescent="0.2">
      <c r="A16" s="97" t="s">
        <v>102</v>
      </c>
      <c r="B16" s="101"/>
      <c r="C16" s="101"/>
      <c r="D16" s="101"/>
      <c r="E16" s="101"/>
      <c r="F16" s="100"/>
    </row>
    <row r="17" spans="1:6" x14ac:dyDescent="0.2">
      <c r="A17" s="94" t="s">
        <v>168</v>
      </c>
      <c r="B17" s="99">
        <f>B9</f>
        <v>100000</v>
      </c>
      <c r="C17" s="99">
        <f>B17+B17*$D$9</f>
        <v>110000</v>
      </c>
      <c r="D17" s="99">
        <f>C17+C17*$D$9</f>
        <v>121000</v>
      </c>
      <c r="E17" s="99">
        <f>D17+D17*$D$9</f>
        <v>133100</v>
      </c>
      <c r="F17" s="98">
        <f>E17+E17*$D$9</f>
        <v>146410</v>
      </c>
    </row>
    <row r="18" spans="1:6" x14ac:dyDescent="0.2">
      <c r="A18" s="94" t="s">
        <v>167</v>
      </c>
      <c r="B18" s="96">
        <f>B10</f>
        <v>3</v>
      </c>
      <c r="C18" s="96">
        <f>B18+B18*$D$10</f>
        <v>3.15</v>
      </c>
      <c r="D18" s="96">
        <f>C18+C18*$D$10</f>
        <v>3.3075000000000001</v>
      </c>
      <c r="E18" s="96">
        <f>D18+D18*$D$10</f>
        <v>3.4728750000000002</v>
      </c>
      <c r="F18" s="95">
        <f>E18+E18*$D$10</f>
        <v>3.6465187500000003</v>
      </c>
    </row>
    <row r="19" spans="1:6" x14ac:dyDescent="0.2">
      <c r="A19" s="97" t="s">
        <v>105</v>
      </c>
      <c r="B19" s="92">
        <f>B17*B18</f>
        <v>300000</v>
      </c>
      <c r="C19" s="92">
        <f>C17*C18</f>
        <v>346500</v>
      </c>
      <c r="D19" s="92">
        <f>D17*D18</f>
        <v>400207.5</v>
      </c>
      <c r="E19" s="92">
        <f>E17*E18</f>
        <v>462239.66250000003</v>
      </c>
      <c r="F19" s="91">
        <f>F17*F18</f>
        <v>533886.81018750009</v>
      </c>
    </row>
    <row r="20" spans="1:6" x14ac:dyDescent="0.2">
      <c r="A20" s="93"/>
      <c r="B20" s="92"/>
      <c r="C20" s="92"/>
      <c r="D20" s="92"/>
      <c r="E20" s="92"/>
      <c r="F20" s="91"/>
    </row>
    <row r="21" spans="1:6" x14ac:dyDescent="0.2">
      <c r="A21" s="97" t="s">
        <v>106</v>
      </c>
      <c r="B21" s="92"/>
      <c r="C21" s="92"/>
      <c r="D21" s="92"/>
      <c r="E21" s="92"/>
      <c r="F21" s="91"/>
    </row>
    <row r="22" spans="1:6" x14ac:dyDescent="0.2">
      <c r="A22" s="94" t="s">
        <v>166</v>
      </c>
      <c r="B22" s="92">
        <f>B12</f>
        <v>50000</v>
      </c>
      <c r="C22" s="92">
        <f>B22+B22*$D$12</f>
        <v>54000</v>
      </c>
      <c r="D22" s="92">
        <f>C22+C22*$D$12</f>
        <v>58320</v>
      </c>
      <c r="E22" s="92">
        <f>D22+D22*$D$12</f>
        <v>62985.599999999999</v>
      </c>
      <c r="F22" s="91">
        <f>E22+E22*$D$12</f>
        <v>68024.448000000004</v>
      </c>
    </row>
    <row r="23" spans="1:6" x14ac:dyDescent="0.2">
      <c r="A23" s="94" t="s">
        <v>165</v>
      </c>
      <c r="B23" s="92">
        <f>B13</f>
        <v>25000</v>
      </c>
      <c r="C23" s="92">
        <f>B23+B23*$D$13</f>
        <v>26250</v>
      </c>
      <c r="D23" s="92">
        <f>C23+C23*$D$13</f>
        <v>27562.5</v>
      </c>
      <c r="E23" s="92">
        <f>D23+D23*$D$13</f>
        <v>28940.625</v>
      </c>
      <c r="F23" s="91">
        <f>E23+E23*$D$13</f>
        <v>30387.65625</v>
      </c>
    </row>
    <row r="24" spans="1:6" x14ac:dyDescent="0.2">
      <c r="A24" s="97" t="s">
        <v>109</v>
      </c>
      <c r="B24" s="92"/>
      <c r="C24" s="92"/>
      <c r="D24" s="92"/>
      <c r="E24" s="92"/>
      <c r="F24" s="91"/>
    </row>
    <row r="25" spans="1:6" x14ac:dyDescent="0.2">
      <c r="A25" s="94" t="s">
        <v>164</v>
      </c>
      <c r="B25" s="96">
        <f>B11</f>
        <v>1.5</v>
      </c>
      <c r="C25" s="96">
        <f>B25+B25*$D$11</f>
        <v>1.65</v>
      </c>
      <c r="D25" s="96">
        <f>C25+C25*$D$11</f>
        <v>1.8149999999999999</v>
      </c>
      <c r="E25" s="96">
        <f>D25+D25*$D$11</f>
        <v>1.9964999999999999</v>
      </c>
      <c r="F25" s="95">
        <f>E25+E25*$D$11</f>
        <v>2.1961499999999998</v>
      </c>
    </row>
    <row r="26" spans="1:6" x14ac:dyDescent="0.2">
      <c r="A26" s="94" t="s">
        <v>163</v>
      </c>
      <c r="B26" s="92">
        <f>B17*B25</f>
        <v>150000</v>
      </c>
      <c r="C26" s="92">
        <f>C17*C25</f>
        <v>181500</v>
      </c>
      <c r="D26" s="92">
        <f>D17*D25</f>
        <v>219615</v>
      </c>
      <c r="E26" s="92">
        <f>E17*E25</f>
        <v>265734.14999999997</v>
      </c>
      <c r="F26" s="91">
        <f>F17*F25</f>
        <v>321538.32149999996</v>
      </c>
    </row>
    <row r="27" spans="1:6" x14ac:dyDescent="0.2">
      <c r="A27" s="93"/>
      <c r="B27" s="92"/>
      <c r="C27" s="92"/>
      <c r="D27" s="92"/>
      <c r="E27" s="92"/>
      <c r="F27" s="91"/>
    </row>
    <row r="28" spans="1:6" x14ac:dyDescent="0.2">
      <c r="A28" s="162" t="s">
        <v>112</v>
      </c>
      <c r="B28" s="163">
        <f>B19-(B22+B23+B26)</f>
        <v>75000</v>
      </c>
      <c r="C28" s="163">
        <f>C19-(C22+C23+C26)</f>
        <v>84750</v>
      </c>
      <c r="D28" s="163">
        <f>D19-(D22+D23+D26)</f>
        <v>94710</v>
      </c>
      <c r="E28" s="163">
        <f>E19-(E22+E23+E26)</f>
        <v>104579.28750000003</v>
      </c>
      <c r="F28" s="164">
        <f>F19-(F22+F23+F26)</f>
        <v>113936.38443750015</v>
      </c>
    </row>
    <row r="30" spans="1:6" s="101" customFormat="1" x14ac:dyDescent="0.2">
      <c r="A30" s="271" t="s">
        <v>309</v>
      </c>
      <c r="B30" s="271"/>
      <c r="C30" s="271"/>
      <c r="D30" s="271"/>
      <c r="E30" s="271"/>
      <c r="F30" s="271"/>
    </row>
  </sheetData>
  <pageMargins left="0.75" right="0.75" top="1" bottom="1" header="0.5" footer="0.5"/>
  <pageSetup orientation="portrait" verticalDpi="300"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dimension ref="A1:I31"/>
  <sheetViews>
    <sheetView showFormulas="1" zoomScale="145" zoomScaleNormal="145" workbookViewId="0">
      <selection activeCell="B15" sqref="B15"/>
    </sheetView>
  </sheetViews>
  <sheetFormatPr defaultRowHeight="12.75" x14ac:dyDescent="0.2"/>
  <cols>
    <col min="1" max="1" width="23.85546875" style="101" customWidth="1"/>
    <col min="2" max="2" width="9.5703125" style="101" customWidth="1"/>
    <col min="3" max="6" width="15.5703125" style="101" customWidth="1"/>
    <col min="7" max="16384" width="9.140625" style="101"/>
  </cols>
  <sheetData>
    <row r="1" spans="1:9" ht="18" x14ac:dyDescent="0.25">
      <c r="A1" s="175" t="s">
        <v>191</v>
      </c>
    </row>
    <row r="2" spans="1:9" s="318" customFormat="1" hidden="1" x14ac:dyDescent="0.2">
      <c r="B2" s="324"/>
    </row>
    <row r="3" spans="1:9" s="234" customFormat="1" x14ac:dyDescent="0.2">
      <c r="A3" s="242" t="str">
        <f>IF(A2="","",IF(Disable_Video_Hyperlinks,A2,HYPERLINK(Video_website&amp;A2,A2)))</f>
        <v/>
      </c>
    </row>
    <row r="4" spans="1:9" x14ac:dyDescent="0.2">
      <c r="A4" s="325" t="str">
        <f>IF(B2="","",B2)</f>
        <v/>
      </c>
    </row>
    <row r="5" spans="1:9" x14ac:dyDescent="0.2">
      <c r="A5" s="325"/>
    </row>
    <row r="6" spans="1:9" ht="18" x14ac:dyDescent="0.25">
      <c r="A6" s="176" t="s">
        <v>93</v>
      </c>
      <c r="B6" s="176"/>
      <c r="C6" s="176"/>
      <c r="D6" s="176"/>
      <c r="E6" s="176"/>
      <c r="F6" s="176"/>
    </row>
    <row r="7" spans="1:9" ht="12.75" customHeight="1" x14ac:dyDescent="0.2">
      <c r="A7" s="177" t="s">
        <v>94</v>
      </c>
      <c r="B7" s="178"/>
      <c r="C7" s="178"/>
      <c r="D7" s="178"/>
      <c r="E7" s="178"/>
      <c r="F7" s="178"/>
    </row>
    <row r="8" spans="1:9" x14ac:dyDescent="0.2">
      <c r="B8" s="333" t="s">
        <v>95</v>
      </c>
      <c r="D8" s="333" t="s">
        <v>96</v>
      </c>
      <c r="H8" s="101" t="s">
        <v>273</v>
      </c>
      <c r="I8" s="228">
        <v>0.3</v>
      </c>
    </row>
    <row r="9" spans="1:9" x14ac:dyDescent="0.2">
      <c r="A9" s="101" t="s">
        <v>171</v>
      </c>
      <c r="B9" s="166">
        <v>100000</v>
      </c>
      <c r="D9" s="169">
        <v>0.1</v>
      </c>
      <c r="H9" s="101" t="s">
        <v>274</v>
      </c>
      <c r="I9" s="228">
        <v>0.15</v>
      </c>
    </row>
    <row r="10" spans="1:9" x14ac:dyDescent="0.2">
      <c r="A10" s="101" t="s">
        <v>170</v>
      </c>
      <c r="B10" s="167">
        <v>3</v>
      </c>
      <c r="D10" s="169">
        <v>0.05</v>
      </c>
    </row>
    <row r="11" spans="1:9" x14ac:dyDescent="0.2">
      <c r="A11" s="101" t="s">
        <v>169</v>
      </c>
      <c r="B11" s="167">
        <v>1.5</v>
      </c>
      <c r="D11" s="169">
        <v>0.1</v>
      </c>
    </row>
    <row r="12" spans="1:9" x14ac:dyDescent="0.2">
      <c r="A12" s="101" t="s">
        <v>166</v>
      </c>
      <c r="B12" s="168">
        <v>50000</v>
      </c>
      <c r="D12" s="169">
        <v>0.08</v>
      </c>
    </row>
    <row r="13" spans="1:9" x14ac:dyDescent="0.2">
      <c r="A13" s="101" t="s">
        <v>165</v>
      </c>
      <c r="B13" s="168">
        <v>25000</v>
      </c>
      <c r="D13" s="169">
        <v>0.05</v>
      </c>
    </row>
    <row r="14" spans="1:9" x14ac:dyDescent="0.2">
      <c r="A14"/>
      <c r="B14"/>
      <c r="C14"/>
      <c r="D14"/>
    </row>
    <row r="15" spans="1:9" x14ac:dyDescent="0.2">
      <c r="A15" s="147"/>
      <c r="B15" s="211">
        <v>2023</v>
      </c>
      <c r="C15" s="170">
        <f>B15+1</f>
        <v>2024</v>
      </c>
      <c r="D15" s="170">
        <f t="shared" ref="D15:F15" si="0">C15+1</f>
        <v>2025</v>
      </c>
      <c r="E15" s="170">
        <f t="shared" si="0"/>
        <v>2026</v>
      </c>
      <c r="F15" s="170">
        <f t="shared" si="0"/>
        <v>2027</v>
      </c>
    </row>
    <row r="16" spans="1:9" x14ac:dyDescent="0.2">
      <c r="A16" s="102" t="s">
        <v>102</v>
      </c>
    </row>
    <row r="17" spans="1:6" x14ac:dyDescent="0.2">
      <c r="A17" s="179" t="s">
        <v>168</v>
      </c>
      <c r="B17" s="99">
        <f>Initial_Sales</f>
        <v>100000</v>
      </c>
      <c r="C17" s="99">
        <f>B17+B17*Change_in_Sales</f>
        <v>110000</v>
      </c>
      <c r="D17" s="99">
        <f>C17+C17*Change_in_Sales</f>
        <v>121000</v>
      </c>
      <c r="E17" s="99">
        <f>D17+D17*Change_in_Sales</f>
        <v>133100</v>
      </c>
      <c r="F17" s="99">
        <f>E17+E17*Change_in_Sales</f>
        <v>146410</v>
      </c>
    </row>
    <row r="18" spans="1:6" x14ac:dyDescent="0.2">
      <c r="A18" s="179" t="s">
        <v>167</v>
      </c>
      <c r="B18" s="96">
        <f>Initial_Price</f>
        <v>3</v>
      </c>
      <c r="C18" s="96">
        <f>B18+B18*Change_in_Price</f>
        <v>3.15</v>
      </c>
      <c r="D18" s="96">
        <f>C18+C18*Change_in_Price</f>
        <v>3.3075000000000001</v>
      </c>
      <c r="E18" s="96">
        <f>D18+D18*Change_in_Price</f>
        <v>3.4728750000000002</v>
      </c>
      <c r="F18" s="96">
        <f>E18+E18*Change_in_Price</f>
        <v>3.6465187500000003</v>
      </c>
    </row>
    <row r="19" spans="1:6" x14ac:dyDescent="0.2">
      <c r="A19" s="102" t="s">
        <v>105</v>
      </c>
      <c r="B19" s="92">
        <f>B17*B18</f>
        <v>300000</v>
      </c>
      <c r="C19" s="92">
        <f>C17*C18</f>
        <v>346500</v>
      </c>
      <c r="D19" s="92">
        <f>D17*D18</f>
        <v>400207.5</v>
      </c>
      <c r="E19" s="92">
        <f>E17*E18</f>
        <v>462239.66250000003</v>
      </c>
      <c r="F19" s="92">
        <f>F17*F18</f>
        <v>533886.81018750009</v>
      </c>
    </row>
    <row r="20" spans="1:6" x14ac:dyDescent="0.2">
      <c r="B20" s="92"/>
      <c r="C20" s="92"/>
      <c r="D20" s="92"/>
      <c r="E20" s="92"/>
      <c r="F20" s="92"/>
    </row>
    <row r="21" spans="1:6" x14ac:dyDescent="0.2">
      <c r="A21" s="102" t="s">
        <v>106</v>
      </c>
      <c r="B21" s="92"/>
      <c r="C21" s="92"/>
      <c r="D21" s="92"/>
      <c r="E21" s="92"/>
      <c r="F21" s="92"/>
    </row>
    <row r="22" spans="1:6" x14ac:dyDescent="0.2">
      <c r="A22" s="179" t="s">
        <v>166</v>
      </c>
      <c r="B22" s="92">
        <f>Initial_Prod_Costs</f>
        <v>50000</v>
      </c>
      <c r="C22" s="92">
        <f>B22+B22*Change_in_Prod_Costs</f>
        <v>54000</v>
      </c>
      <c r="D22" s="92">
        <f>C22+C22*Change_in_Prod_Costs</f>
        <v>58320</v>
      </c>
      <c r="E22" s="92">
        <f>D22+D22*Change_in_Prod_Costs</f>
        <v>62985.599999999999</v>
      </c>
      <c r="F22" s="92">
        <f>E22+E22*Change_in_Prod_Costs</f>
        <v>68024.448000000004</v>
      </c>
    </row>
    <row r="23" spans="1:6" x14ac:dyDescent="0.2">
      <c r="A23" s="179" t="s">
        <v>165</v>
      </c>
      <c r="B23" s="92">
        <f>B13</f>
        <v>25000</v>
      </c>
      <c r="C23" s="92">
        <f>B23+B23*Change_in_Admin_Costs</f>
        <v>26250</v>
      </c>
      <c r="D23" s="92">
        <f>C23+C23*Change_in_Admin_Costs</f>
        <v>27562.5</v>
      </c>
      <c r="E23" s="92">
        <f>D23+D23*Change_in_Admin_Costs</f>
        <v>28940.625</v>
      </c>
      <c r="F23" s="92">
        <f>E23+E23*Change_in_Admin_Costs</f>
        <v>30387.65625</v>
      </c>
    </row>
    <row r="24" spans="1:6" x14ac:dyDescent="0.2">
      <c r="A24" s="102" t="s">
        <v>109</v>
      </c>
      <c r="B24" s="92"/>
      <c r="C24" s="92"/>
      <c r="D24" s="92"/>
      <c r="E24" s="92"/>
      <c r="F24" s="92"/>
    </row>
    <row r="25" spans="1:6" x14ac:dyDescent="0.2">
      <c r="A25" s="179" t="s">
        <v>164</v>
      </c>
      <c r="B25" s="96">
        <f>Initial_Mfg_Cost</f>
        <v>1.5</v>
      </c>
      <c r="C25" s="96">
        <f>B25+B25*Change_in_Mfg_Costs</f>
        <v>1.65</v>
      </c>
      <c r="D25" s="96">
        <f>C25+C25*Change_in_Mfg_Costs</f>
        <v>1.8149999999999999</v>
      </c>
      <c r="E25" s="96">
        <f>D25+D25*Change_in_Mfg_Costs</f>
        <v>1.9964999999999999</v>
      </c>
      <c r="F25" s="96">
        <f>E25+E25*Change_in_Mfg_Costs</f>
        <v>2.1961499999999998</v>
      </c>
    </row>
    <row r="26" spans="1:6" x14ac:dyDescent="0.2">
      <c r="A26" s="179" t="s">
        <v>163</v>
      </c>
      <c r="B26" s="92">
        <f>B17*B25</f>
        <v>150000</v>
      </c>
      <c r="C26" s="92">
        <f>C17*C25</f>
        <v>181500</v>
      </c>
      <c r="D26" s="92">
        <f>D17*D25</f>
        <v>219615</v>
      </c>
      <c r="E26" s="92">
        <f>E17*E25</f>
        <v>265734.14999999997</v>
      </c>
      <c r="F26" s="92">
        <f>F17*F25</f>
        <v>321538.32149999996</v>
      </c>
    </row>
    <row r="27" spans="1:6" x14ac:dyDescent="0.2">
      <c r="B27" s="92"/>
      <c r="C27" s="92"/>
      <c r="D27" s="92"/>
      <c r="E27" s="92"/>
      <c r="F27" s="92"/>
    </row>
    <row r="28" spans="1:6" x14ac:dyDescent="0.2">
      <c r="A28" s="161" t="s">
        <v>112</v>
      </c>
      <c r="B28" s="163">
        <f>B19-(B22+B23+B26)</f>
        <v>75000</v>
      </c>
      <c r="C28" s="163">
        <f>C19-(C22+C23+C26)</f>
        <v>84750</v>
      </c>
      <c r="D28" s="163">
        <f>D19-(D22+D23+D26)</f>
        <v>94710</v>
      </c>
      <c r="E28" s="163">
        <f>E19-(E22+E23+E26)</f>
        <v>104579.28750000003</v>
      </c>
      <c r="F28" s="163">
        <f>F19-(F22+F23+F26)</f>
        <v>113936.38443750015</v>
      </c>
    </row>
    <row r="30" spans="1:6" x14ac:dyDescent="0.2">
      <c r="A30" s="271" t="s">
        <v>308</v>
      </c>
    </row>
    <row r="31" spans="1:6" s="272" customFormat="1" x14ac:dyDescent="0.2">
      <c r="A31" s="101"/>
      <c r="B31" s="271"/>
      <c r="C31" s="271"/>
      <c r="D31" s="271"/>
      <c r="E31" s="271"/>
      <c r="F31" s="271"/>
    </row>
  </sheetData>
  <pageMargins left="0.75" right="0.75" top="1" bottom="1" header="0.5" footer="0.5"/>
  <pageSetup orientation="portrait" verticalDpi="300" r:id="rId1"/>
  <headerFooter alignWithMargins="0">
    <oddHeader>&amp;A</oddHeader>
    <oddFooter>Page &amp;P</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F2C8-E61A-4863-A7AD-9BC4C867E0C3}">
  <sheetPr codeName="Sheet22"/>
  <dimension ref="A1:B5"/>
  <sheetViews>
    <sheetView zoomScale="145" zoomScaleNormal="145" workbookViewId="0">
      <selection activeCell="A2" sqref="A2"/>
    </sheetView>
  </sheetViews>
  <sheetFormatPr defaultRowHeight="12.75" x14ac:dyDescent="0.2"/>
  <sheetData>
    <row r="1" spans="1:2" ht="18" x14ac:dyDescent="0.25">
      <c r="A1" s="82" t="s">
        <v>235</v>
      </c>
    </row>
    <row r="2" spans="1:2" s="196" customFormat="1" hidden="1" x14ac:dyDescent="0.2">
      <c r="A2" s="196" t="s">
        <v>280</v>
      </c>
      <c r="B2" s="319">
        <v>5.6134259259259271E-3</v>
      </c>
    </row>
    <row r="3" spans="1:2" s="121" customFormat="1" collapsed="1" x14ac:dyDescent="0.2">
      <c r="A3" s="237" t="str">
        <f>IF(A2="","",IF(Disable_Video_Hyperlinks,A2,HYPERLINK(Video_website&amp;A2,A2)))</f>
        <v>UNC_DAYT_EXCEL_3.6.3_LECTURE_SCENARIO_MANAGER.mp4</v>
      </c>
    </row>
    <row r="4" spans="1:2" x14ac:dyDescent="0.2">
      <c r="A4" s="325">
        <f>IF(B2="","",B2)</f>
        <v>5.6134259259259271E-3</v>
      </c>
    </row>
    <row r="5" spans="1:2" x14ac:dyDescent="0.2">
      <c r="A5" s="3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0"/>
  <dimension ref="A1:H28"/>
  <sheetViews>
    <sheetView zoomScale="160" zoomScaleNormal="160" workbookViewId="0">
      <selection activeCell="B15" sqref="B15"/>
    </sheetView>
  </sheetViews>
  <sheetFormatPr defaultRowHeight="12.75" x14ac:dyDescent="0.2"/>
  <cols>
    <col min="1" max="1" width="25.140625" style="56" customWidth="1"/>
    <col min="2" max="2" width="10.85546875" style="56" customWidth="1"/>
    <col min="3" max="6" width="11" style="56" customWidth="1"/>
    <col min="7" max="7" width="6.5703125" style="56" customWidth="1"/>
    <col min="8" max="8" width="77.85546875" style="56" customWidth="1"/>
    <col min="9" max="16384" width="9.140625" style="56"/>
  </cols>
  <sheetData>
    <row r="1" spans="1:8" ht="18" collapsed="1" x14ac:dyDescent="0.25">
      <c r="A1" s="173" t="s">
        <v>196</v>
      </c>
    </row>
    <row r="2" spans="1:8" s="317" customFormat="1" hidden="1" x14ac:dyDescent="0.2">
      <c r="B2" s="323"/>
    </row>
    <row r="3" spans="1:8" s="233" customFormat="1" collapsed="1" x14ac:dyDescent="0.2">
      <c r="A3" s="241" t="str">
        <f>IF(A2="","",IF(Disable_Video_Hyperlinks,A2,HYPERLINK(Video_website&amp;A2,A2)))</f>
        <v/>
      </c>
    </row>
    <row r="4" spans="1:8" x14ac:dyDescent="0.2">
      <c r="A4" s="325" t="str">
        <f>IF(B2="","",B2)</f>
        <v/>
      </c>
    </row>
    <row r="5" spans="1:8" x14ac:dyDescent="0.2">
      <c r="A5" s="325"/>
    </row>
    <row r="6" spans="1:8" ht="18" x14ac:dyDescent="0.25">
      <c r="A6" s="172" t="s">
        <v>93</v>
      </c>
      <c r="B6" s="172"/>
      <c r="C6" s="172"/>
      <c r="D6" s="172"/>
      <c r="E6" s="172"/>
      <c r="F6" s="172"/>
      <c r="H6" s="353" t="s">
        <v>310</v>
      </c>
    </row>
    <row r="7" spans="1:8" ht="12.75" customHeight="1" x14ac:dyDescent="0.2">
      <c r="A7" s="180" t="s">
        <v>94</v>
      </c>
      <c r="B7" s="181"/>
      <c r="C7" s="181"/>
      <c r="D7" s="181"/>
      <c r="E7" s="181"/>
      <c r="F7" s="181"/>
      <c r="H7" s="353"/>
    </row>
    <row r="8" spans="1:8" x14ac:dyDescent="0.2">
      <c r="B8" s="57" t="s">
        <v>95</v>
      </c>
      <c r="D8" s="58" t="s">
        <v>96</v>
      </c>
      <c r="H8" s="353"/>
    </row>
    <row r="9" spans="1:8" x14ac:dyDescent="0.2">
      <c r="A9" s="56" t="s">
        <v>97</v>
      </c>
      <c r="B9" s="182">
        <v>100000</v>
      </c>
      <c r="D9" s="185">
        <v>0.1</v>
      </c>
      <c r="H9" s="353"/>
    </row>
    <row r="10" spans="1:8" x14ac:dyDescent="0.2">
      <c r="A10" s="56" t="s">
        <v>98</v>
      </c>
      <c r="B10" s="183">
        <v>3</v>
      </c>
      <c r="D10" s="185">
        <v>0.05</v>
      </c>
      <c r="H10" s="353"/>
    </row>
    <row r="11" spans="1:8" x14ac:dyDescent="0.2">
      <c r="A11" s="56" t="s">
        <v>99</v>
      </c>
      <c r="B11" s="183">
        <v>1.5</v>
      </c>
      <c r="D11" s="185">
        <v>0.1</v>
      </c>
      <c r="H11" s="353"/>
    </row>
    <row r="12" spans="1:8" x14ac:dyDescent="0.2">
      <c r="A12" s="56" t="s">
        <v>100</v>
      </c>
      <c r="B12" s="184">
        <v>50000</v>
      </c>
      <c r="D12" s="185">
        <v>0.08</v>
      </c>
      <c r="H12" s="353"/>
    </row>
    <row r="13" spans="1:8" x14ac:dyDescent="0.2">
      <c r="A13" s="56" t="s">
        <v>101</v>
      </c>
      <c r="B13" s="184">
        <v>25000</v>
      </c>
      <c r="D13" s="185">
        <v>0.05</v>
      </c>
      <c r="H13" s="353"/>
    </row>
    <row r="14" spans="1:8" x14ac:dyDescent="0.2">
      <c r="A14"/>
      <c r="B14"/>
      <c r="C14"/>
      <c r="D14"/>
      <c r="H14" s="353"/>
    </row>
    <row r="15" spans="1:8" x14ac:dyDescent="0.2">
      <c r="A15" s="174"/>
      <c r="B15" s="211">
        <v>2023</v>
      </c>
      <c r="C15" s="170">
        <f>B15+1</f>
        <v>2024</v>
      </c>
      <c r="D15" s="170">
        <f t="shared" ref="D15:F15" si="0">C15+1</f>
        <v>2025</v>
      </c>
      <c r="E15" s="170">
        <f t="shared" si="0"/>
        <v>2026</v>
      </c>
      <c r="F15" s="170">
        <f t="shared" si="0"/>
        <v>2027</v>
      </c>
      <c r="H15" s="353"/>
    </row>
    <row r="16" spans="1:8" x14ac:dyDescent="0.2">
      <c r="A16" s="57" t="s">
        <v>102</v>
      </c>
      <c r="H16" s="353"/>
    </row>
    <row r="17" spans="1:8" x14ac:dyDescent="0.2">
      <c r="A17" s="56" t="s">
        <v>103</v>
      </c>
      <c r="B17" s="59">
        <f>B9</f>
        <v>100000</v>
      </c>
      <c r="C17" s="59">
        <f>B17+B17*$D$9</f>
        <v>110000</v>
      </c>
      <c r="D17" s="59">
        <f>C17+C17*$D$9</f>
        <v>121000</v>
      </c>
      <c r="E17" s="59">
        <f>D17+D17*$D$9</f>
        <v>133100</v>
      </c>
      <c r="F17" s="59">
        <f>E17+E17*$D$9</f>
        <v>146410</v>
      </c>
      <c r="H17" s="353"/>
    </row>
    <row r="18" spans="1:8" x14ac:dyDescent="0.2">
      <c r="A18" s="56" t="s">
        <v>104</v>
      </c>
      <c r="B18" s="60">
        <f>B10</f>
        <v>3</v>
      </c>
      <c r="C18" s="60">
        <f>B18+B18*$D$10</f>
        <v>3.15</v>
      </c>
      <c r="D18" s="60">
        <f>C18+C18*$D$10</f>
        <v>3.3075000000000001</v>
      </c>
      <c r="E18" s="60">
        <f>D18+D18*$D$10</f>
        <v>3.4728750000000002</v>
      </c>
      <c r="F18" s="60">
        <f>E18+E18*$D$10</f>
        <v>3.6465187500000003</v>
      </c>
      <c r="H18" s="353"/>
    </row>
    <row r="19" spans="1:8" x14ac:dyDescent="0.2">
      <c r="A19" s="57" t="s">
        <v>105</v>
      </c>
      <c r="B19" s="61">
        <f>B17*B18</f>
        <v>300000</v>
      </c>
      <c r="C19" s="61">
        <f>C17*C18</f>
        <v>346500</v>
      </c>
      <c r="D19" s="61">
        <f>D17*D18</f>
        <v>400207.5</v>
      </c>
      <c r="E19" s="61">
        <f>E17*E18</f>
        <v>462239.66250000003</v>
      </c>
      <c r="F19" s="61">
        <f>F17*F18</f>
        <v>533886.81018750009</v>
      </c>
      <c r="H19" s="353"/>
    </row>
    <row r="20" spans="1:8" x14ac:dyDescent="0.2">
      <c r="B20" s="61"/>
      <c r="C20" s="61"/>
      <c r="D20" s="61"/>
      <c r="E20" s="61"/>
      <c r="F20" s="61"/>
      <c r="H20" s="353"/>
    </row>
    <row r="21" spans="1:8" x14ac:dyDescent="0.2">
      <c r="A21" s="57" t="s">
        <v>106</v>
      </c>
      <c r="B21" s="61"/>
      <c r="C21" s="61"/>
      <c r="D21" s="61"/>
      <c r="E21" s="61"/>
      <c r="F21" s="61"/>
      <c r="H21" s="353"/>
    </row>
    <row r="22" spans="1:8" x14ac:dyDescent="0.2">
      <c r="A22" s="56" t="s">
        <v>107</v>
      </c>
      <c r="B22" s="61">
        <f>B12</f>
        <v>50000</v>
      </c>
      <c r="C22" s="61">
        <f>B22+B22*$D$12</f>
        <v>54000</v>
      </c>
      <c r="D22" s="61">
        <f>C22+C22*$D$12</f>
        <v>58320</v>
      </c>
      <c r="E22" s="61">
        <f>D22+D22*$D$12</f>
        <v>62985.599999999999</v>
      </c>
      <c r="F22" s="61">
        <f>E22+E22*$D$12</f>
        <v>68024.448000000004</v>
      </c>
      <c r="H22" s="353"/>
    </row>
    <row r="23" spans="1:8" x14ac:dyDescent="0.2">
      <c r="A23" s="56" t="s">
        <v>108</v>
      </c>
      <c r="B23" s="61">
        <f>B13</f>
        <v>25000</v>
      </c>
      <c r="C23" s="61">
        <f>B23+B23*$D$13</f>
        <v>26250</v>
      </c>
      <c r="D23" s="61">
        <f>C23+C23*$D$13</f>
        <v>27562.5</v>
      </c>
      <c r="E23" s="61">
        <f>D23+D23*$D$13</f>
        <v>28940.625</v>
      </c>
      <c r="F23" s="61">
        <f>E23+E23*$D$13</f>
        <v>30387.65625</v>
      </c>
      <c r="H23" s="353"/>
    </row>
    <row r="24" spans="1:8" x14ac:dyDescent="0.2">
      <c r="A24" s="57" t="s">
        <v>109</v>
      </c>
      <c r="B24" s="61"/>
      <c r="C24" s="61"/>
      <c r="D24" s="61"/>
      <c r="E24" s="61"/>
      <c r="F24" s="61"/>
      <c r="H24" s="353"/>
    </row>
    <row r="25" spans="1:8" x14ac:dyDescent="0.2">
      <c r="A25" s="56" t="s">
        <v>110</v>
      </c>
      <c r="B25" s="60">
        <f>B11</f>
        <v>1.5</v>
      </c>
      <c r="C25" s="60">
        <f>B25+B25*$D$11</f>
        <v>1.65</v>
      </c>
      <c r="D25" s="60">
        <f>C25+C25*$D$11</f>
        <v>1.8149999999999999</v>
      </c>
      <c r="E25" s="60">
        <f>D25+D25*$D$11</f>
        <v>1.9964999999999999</v>
      </c>
      <c r="F25" s="60">
        <f>E25+E25*$D$11</f>
        <v>2.1961499999999998</v>
      </c>
      <c r="H25" s="353"/>
    </row>
    <row r="26" spans="1:8" x14ac:dyDescent="0.2">
      <c r="A26" s="56" t="s">
        <v>111</v>
      </c>
      <c r="B26" s="61">
        <f>B17*B25</f>
        <v>150000</v>
      </c>
      <c r="C26" s="61">
        <f>C17*C25</f>
        <v>181500</v>
      </c>
      <c r="D26" s="61">
        <f>D17*D25</f>
        <v>219615</v>
      </c>
      <c r="E26" s="61">
        <f>E17*E25</f>
        <v>265734.14999999997</v>
      </c>
      <c r="F26" s="61">
        <f>F17*F25</f>
        <v>321538.32149999996</v>
      </c>
      <c r="H26" s="353"/>
    </row>
    <row r="27" spans="1:8" x14ac:dyDescent="0.2">
      <c r="B27" s="61"/>
      <c r="C27" s="61"/>
      <c r="D27" s="61"/>
      <c r="E27" s="61"/>
      <c r="F27" s="61"/>
      <c r="H27" s="353"/>
    </row>
    <row r="28" spans="1:8" x14ac:dyDescent="0.2">
      <c r="A28" s="170" t="s">
        <v>112</v>
      </c>
      <c r="B28" s="171">
        <f>B19-(B22+B23+B26)</f>
        <v>75000</v>
      </c>
      <c r="C28" s="171">
        <f>C19-(C22+C23+C26)</f>
        <v>84750</v>
      </c>
      <c r="D28" s="171">
        <f>D19-(D22+D23+D26)</f>
        <v>94710</v>
      </c>
      <c r="E28" s="171">
        <f>E19-(E22+E23+E26)</f>
        <v>104579.28750000003</v>
      </c>
      <c r="F28" s="171">
        <f>F19-(F22+F23+F26)</f>
        <v>113936.38443750015</v>
      </c>
      <c r="H28" s="353"/>
    </row>
  </sheetData>
  <scenarios current="1" show="1" sqref="B27:F27">
    <scenario name="Blank Values" locked="1" count="11" user="Travis Day" comment="Created by Travis Day on 1/21/2020">
      <inputCells r="A7" val="Blank Figures"/>
      <inputCells r="B9" val="" numFmtId="3"/>
      <inputCells r="B10" val="" numFmtId="170"/>
      <inputCells r="B11" val="" numFmtId="170"/>
      <inputCells r="B12" val="" numFmtId="173"/>
      <inputCells r="B13" val="" numFmtId="173"/>
      <inputCells r="D9" val="" numFmtId="174"/>
      <inputCells r="D10" val="" numFmtId="174"/>
      <inputCells r="D11" val="" numFmtId="174"/>
      <inputCells r="D12" val="" numFmtId="174"/>
      <inputCells r="D13" val="" numFmtId="174"/>
    </scenario>
    <scenario name="Conservative Figures" locked="1" count="11" user="Travis Day" comment="Created by Travis Day on 1/21/2020">
      <inputCells r="A7" val="Conservative Figures"/>
      <inputCells r="B9" val="100000" numFmtId="3"/>
      <inputCells r="B10" val="3" numFmtId="170"/>
      <inputCells r="B11" val="1.5" numFmtId="170"/>
      <inputCells r="B12" val="50000" numFmtId="173"/>
      <inputCells r="B13" val="25000" numFmtId="173"/>
      <inputCells r="D9" val="0.1" numFmtId="174"/>
      <inputCells r="D10" val="0.05" numFmtId="174"/>
      <inputCells r="D11" val="0.1" numFmtId="174"/>
      <inputCells r="D12" val="0.08" numFmtId="174"/>
      <inputCells r="D13" val="0.05" numFmtId="174"/>
    </scenario>
    <scenario name="Aggressive Figures" locked="1" count="11" user="Travis Day" comment="Created by Travis Day on 1/21/2020">
      <inputCells r="A7" val="Aggressive Figures"/>
      <inputCells r="B9" val="200000" numFmtId="3"/>
      <inputCells r="B10" val="4" numFmtId="170"/>
      <inputCells r="B11" val="1" numFmtId="170"/>
      <inputCells r="B12" val="45000" numFmtId="173"/>
      <inputCells r="B13" val="22000" numFmtId="173"/>
      <inputCells r="D9" val="0.15" numFmtId="174"/>
      <inputCells r="D10" val="0.07" numFmtId="174"/>
      <inputCells r="D11" val="0.09" numFmtId="174"/>
      <inputCells r="D12" val="0.07" numFmtId="174"/>
      <inputCells r="D13" val="0.04" numFmtId="174"/>
    </scenario>
    <scenario name="Middle of the Road Figures" locked="1" count="11" user="Travis Day" comment="Created by Travis Day on 1/21/2020">
      <inputCells r="A7" val="Middle of Road Figures"/>
      <inputCells r="B9" val="150000" numFmtId="3"/>
      <inputCells r="B10" val="3.5" numFmtId="170"/>
      <inputCells r="B11" val="2.25" numFmtId="170"/>
      <inputCells r="B12" val="40000" numFmtId="173"/>
      <inputCells r="B13" val="15000" numFmtId="173"/>
      <inputCells r="D9" val="0.11" numFmtId="174"/>
      <inputCells r="D10" val="0.06" numFmtId="174"/>
      <inputCells r="D11" val="0.09" numFmtId="174"/>
      <inputCells r="D12" val="0.07" numFmtId="174"/>
      <inputCells r="D13" val="0.04" numFmtId="174"/>
    </scenario>
  </scenarios>
  <mergeCells count="1">
    <mergeCell ref="H6:H28"/>
  </mergeCells>
  <phoneticPr fontId="0" type="noConversion"/>
  <pageMargins left="0.75" right="0.75" top="1" bottom="1" header="0.5" footer="0.5"/>
  <pageSetup orientation="portrait" verticalDpi="300" r:id="rId1"/>
  <headerFooter alignWithMargins="0">
    <oddHeader>&amp;A</oddHeader>
    <oddFooter>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4DA3-DCFE-498A-91DB-F03B263E15B7}">
  <dimension ref="A1:K31"/>
  <sheetViews>
    <sheetView topLeftCell="A3" zoomScale="160" zoomScaleNormal="160" workbookViewId="0">
      <selection activeCell="B16" sqref="B16"/>
    </sheetView>
  </sheetViews>
  <sheetFormatPr defaultRowHeight="12.75" x14ac:dyDescent="0.2"/>
  <cols>
    <col min="1" max="1" width="25.140625" style="56" customWidth="1"/>
    <col min="2" max="2" width="10.85546875" style="56" customWidth="1"/>
    <col min="3" max="6" width="11" style="56" customWidth="1"/>
    <col min="7" max="16384" width="9.140625" style="56"/>
  </cols>
  <sheetData>
    <row r="1" spans="1:7" ht="18" x14ac:dyDescent="0.25">
      <c r="A1" s="173" t="s">
        <v>196</v>
      </c>
    </row>
    <row r="2" spans="1:7" s="317" customFormat="1" hidden="1" x14ac:dyDescent="0.2">
      <c r="B2" s="323"/>
    </row>
    <row r="3" spans="1:7" s="233" customFormat="1" x14ac:dyDescent="0.2">
      <c r="A3" s="241" t="str">
        <f>IF(A2="","",IF(Disable_Video_Hyperlinks,A2,HYPERLINK(Video_website&amp;A2,A2)))</f>
        <v/>
      </c>
    </row>
    <row r="4" spans="1:7" x14ac:dyDescent="0.2">
      <c r="A4" s="325" t="str">
        <f>IF(B2="","",B2)</f>
        <v/>
      </c>
    </row>
    <row r="5" spans="1:7" x14ac:dyDescent="0.2">
      <c r="A5" s="325"/>
    </row>
    <row r="6" spans="1:7" ht="18" x14ac:dyDescent="0.25">
      <c r="A6" s="172" t="s">
        <v>93</v>
      </c>
      <c r="B6" s="172"/>
      <c r="C6" s="172"/>
      <c r="D6" s="172"/>
      <c r="E6" s="172"/>
      <c r="F6" s="172"/>
    </row>
    <row r="7" spans="1:7" ht="12.75" customHeight="1" x14ac:dyDescent="0.2">
      <c r="A7" s="180" t="s">
        <v>94</v>
      </c>
      <c r="B7" s="181"/>
      <c r="C7" s="181"/>
      <c r="D7" s="181"/>
      <c r="E7" s="181"/>
      <c r="F7" s="181"/>
    </row>
    <row r="8" spans="1:7" x14ac:dyDescent="0.2">
      <c r="B8" s="57" t="s">
        <v>95</v>
      </c>
      <c r="D8" s="58" t="s">
        <v>96</v>
      </c>
    </row>
    <row r="9" spans="1:7" x14ac:dyDescent="0.2">
      <c r="A9" s="56" t="s">
        <v>97</v>
      </c>
      <c r="B9" s="182">
        <v>100000</v>
      </c>
      <c r="D9" s="185">
        <v>0.1</v>
      </c>
    </row>
    <row r="10" spans="1:7" x14ac:dyDescent="0.2">
      <c r="A10" s="56" t="s">
        <v>98</v>
      </c>
      <c r="B10" s="183">
        <v>3</v>
      </c>
      <c r="D10" s="185">
        <v>0.05</v>
      </c>
    </row>
    <row r="11" spans="1:7" x14ac:dyDescent="0.2">
      <c r="A11" s="56" t="s">
        <v>99</v>
      </c>
      <c r="B11" s="183">
        <v>1.5</v>
      </c>
      <c r="D11" s="185">
        <v>0.1</v>
      </c>
    </row>
    <row r="12" spans="1:7" x14ac:dyDescent="0.2">
      <c r="A12" s="56" t="s">
        <v>100</v>
      </c>
      <c r="B12" s="184">
        <v>50000</v>
      </c>
      <c r="D12" s="185">
        <v>0.08</v>
      </c>
    </row>
    <row r="13" spans="1:7" x14ac:dyDescent="0.2">
      <c r="A13" s="56" t="s">
        <v>101</v>
      </c>
      <c r="B13" s="184">
        <v>25000</v>
      </c>
      <c r="D13" s="185">
        <v>0.05</v>
      </c>
    </row>
    <row r="14" spans="1:7" x14ac:dyDescent="0.2">
      <c r="A14"/>
      <c r="B14"/>
      <c r="C14"/>
      <c r="D14"/>
    </row>
    <row r="15" spans="1:7" x14ac:dyDescent="0.2">
      <c r="A15" s="174"/>
      <c r="B15" s="211">
        <v>2023</v>
      </c>
      <c r="C15" s="170">
        <f>B15+1</f>
        <v>2024</v>
      </c>
      <c r="D15" s="170">
        <f t="shared" ref="D15:F15" si="0">C15+1</f>
        <v>2025</v>
      </c>
      <c r="E15" s="170">
        <f t="shared" si="0"/>
        <v>2026</v>
      </c>
      <c r="F15" s="170">
        <f t="shared" si="0"/>
        <v>2027</v>
      </c>
    </row>
    <row r="16" spans="1:7" x14ac:dyDescent="0.2">
      <c r="A16" s="57" t="s">
        <v>102</v>
      </c>
    </row>
    <row r="17" spans="1:11" x14ac:dyDescent="0.2">
      <c r="A17" s="56" t="s">
        <v>103</v>
      </c>
      <c r="B17" s="59">
        <f>B9</f>
        <v>100000</v>
      </c>
      <c r="C17" s="59">
        <f>B17+B17*$D$9</f>
        <v>110000</v>
      </c>
      <c r="D17" s="59">
        <f>C17+C17*$D$9</f>
        <v>121000</v>
      </c>
      <c r="E17" s="59">
        <f>D17+D17*$D$9</f>
        <v>133100</v>
      </c>
      <c r="F17" s="59">
        <f>E17+E17*$D$9</f>
        <v>146410</v>
      </c>
    </row>
    <row r="18" spans="1:11" x14ac:dyDescent="0.2">
      <c r="A18" s="56" t="s">
        <v>104</v>
      </c>
      <c r="B18" s="60">
        <f>B10</f>
        <v>3</v>
      </c>
      <c r="C18" s="60">
        <f>B18+B18*$D$10</f>
        <v>3.15</v>
      </c>
      <c r="D18" s="60">
        <f>C18+C18*$D$10</f>
        <v>3.3075000000000001</v>
      </c>
      <c r="E18" s="60">
        <f>D18+D18*$D$10</f>
        <v>3.4728750000000002</v>
      </c>
      <c r="F18" s="60">
        <f>E18+E18*$D$10</f>
        <v>3.6465187500000003</v>
      </c>
    </row>
    <row r="19" spans="1:11" x14ac:dyDescent="0.2">
      <c r="A19" s="57" t="s">
        <v>105</v>
      </c>
      <c r="B19" s="61">
        <f>B17*B18</f>
        <v>300000</v>
      </c>
      <c r="C19" s="61">
        <f>C17*C18</f>
        <v>346500</v>
      </c>
      <c r="D19" s="61">
        <f>D17*D18</f>
        <v>400207.5</v>
      </c>
      <c r="E19" s="61">
        <f>E17*E18</f>
        <v>462239.66250000003</v>
      </c>
      <c r="F19" s="61">
        <f>F17*F18</f>
        <v>533886.81018750009</v>
      </c>
    </row>
    <row r="20" spans="1:11" x14ac:dyDescent="0.2">
      <c r="B20" s="61"/>
      <c r="C20" s="61"/>
      <c r="D20" s="61"/>
      <c r="E20" s="61"/>
      <c r="F20" s="61"/>
    </row>
    <row r="21" spans="1:11" x14ac:dyDescent="0.2">
      <c r="A21" s="57" t="s">
        <v>106</v>
      </c>
      <c r="B21" s="61"/>
      <c r="C21" s="61"/>
      <c r="D21" s="61"/>
      <c r="E21" s="61"/>
      <c r="F21" s="61"/>
    </row>
    <row r="22" spans="1:11" x14ac:dyDescent="0.2">
      <c r="A22" s="56" t="s">
        <v>107</v>
      </c>
      <c r="B22" s="61">
        <f>B12</f>
        <v>50000</v>
      </c>
      <c r="C22" s="61">
        <f>B22+B22*$D$12</f>
        <v>54000</v>
      </c>
      <c r="D22" s="61">
        <f>C22+C22*$D$12</f>
        <v>58320</v>
      </c>
      <c r="E22" s="61">
        <f>D22+D22*$D$12</f>
        <v>62985.599999999999</v>
      </c>
      <c r="F22" s="61">
        <f>E22+E22*$D$12</f>
        <v>68024.448000000004</v>
      </c>
    </row>
    <row r="23" spans="1:11" x14ac:dyDescent="0.2">
      <c r="A23" s="56" t="s">
        <v>108</v>
      </c>
      <c r="B23" s="61">
        <f>B13</f>
        <v>25000</v>
      </c>
      <c r="C23" s="61">
        <f>B23+B23*$D$13</f>
        <v>26250</v>
      </c>
      <c r="D23" s="61">
        <f>C23+C23*$D$13</f>
        <v>27562.5</v>
      </c>
      <c r="E23" s="61">
        <f>D23+D23*$D$13</f>
        <v>28940.625</v>
      </c>
      <c r="F23" s="61">
        <f>E23+E23*$D$13</f>
        <v>30387.65625</v>
      </c>
    </row>
    <row r="24" spans="1:11" x14ac:dyDescent="0.2">
      <c r="A24" s="57" t="s">
        <v>109</v>
      </c>
      <c r="B24" s="61"/>
      <c r="C24" s="61"/>
      <c r="D24" s="61"/>
      <c r="E24" s="61"/>
      <c r="F24" s="61"/>
    </row>
    <row r="25" spans="1:11" x14ac:dyDescent="0.2">
      <c r="A25" s="56" t="s">
        <v>110</v>
      </c>
      <c r="B25" s="60">
        <f>B11</f>
        <v>1.5</v>
      </c>
      <c r="C25" s="60">
        <f>B25+B25*$D$11</f>
        <v>1.65</v>
      </c>
      <c r="D25" s="60">
        <f>C25+C25*$D$11</f>
        <v>1.8149999999999999</v>
      </c>
      <c r="E25" s="60">
        <f>D25+D25*$D$11</f>
        <v>1.9964999999999999</v>
      </c>
      <c r="F25" s="60">
        <f>E25+E25*$D$11</f>
        <v>2.1961499999999998</v>
      </c>
    </row>
    <row r="26" spans="1:11" x14ac:dyDescent="0.2">
      <c r="A26" s="56" t="s">
        <v>111</v>
      </c>
      <c r="B26" s="61">
        <f>B17*B25</f>
        <v>150000</v>
      </c>
      <c r="C26" s="61">
        <f>C17*C25</f>
        <v>181500</v>
      </c>
      <c r="D26" s="61">
        <f>D17*D25</f>
        <v>219615</v>
      </c>
      <c r="E26" s="61">
        <f>E17*E25</f>
        <v>265734.14999999997</v>
      </c>
      <c r="F26" s="61">
        <f>F17*F25</f>
        <v>321538.32149999996</v>
      </c>
    </row>
    <row r="27" spans="1:11" x14ac:dyDescent="0.2">
      <c r="B27" s="61"/>
      <c r="C27" s="61"/>
      <c r="D27" s="61"/>
      <c r="E27" s="61"/>
      <c r="F27" s="61"/>
    </row>
    <row r="28" spans="1:11" x14ac:dyDescent="0.2">
      <c r="A28" s="170" t="s">
        <v>112</v>
      </c>
      <c r="B28" s="171">
        <f>B19-(B22+B23+B26)</f>
        <v>75000</v>
      </c>
      <c r="C28" s="171">
        <f>C19-(C22+C23+C26)</f>
        <v>84750</v>
      </c>
      <c r="D28" s="171">
        <f>D19-(D22+D23+D26)</f>
        <v>94710</v>
      </c>
      <c r="E28" s="171">
        <f>E19-(E22+E23+E26)</f>
        <v>104579.28750000003</v>
      </c>
      <c r="F28" s="171">
        <f>F19-(F22+F23+F26)</f>
        <v>113936.38443750015</v>
      </c>
    </row>
    <row r="31" spans="1:11" x14ac:dyDescent="0.2">
      <c r="B31" s="273"/>
      <c r="C31" s="273"/>
      <c r="D31" s="273"/>
      <c r="E31" s="273"/>
      <c r="F31" s="273"/>
      <c r="G31" s="273"/>
      <c r="H31" s="273"/>
      <c r="I31" s="273"/>
      <c r="J31" s="273"/>
      <c r="K31" s="273"/>
    </row>
  </sheetData>
  <scenarios current="1" show="1" sqref="B27:F27">
    <scenario name="Blank Values" locked="1" count="11" user="Travis Day" comment="Created by Travis Day on 1/21/2020">
      <inputCells r="A7" val="Blank Figures"/>
      <inputCells r="B9" val="" numFmtId="3"/>
      <inputCells r="B10" val="" numFmtId="170"/>
      <inputCells r="B11" val="" numFmtId="170"/>
      <inputCells r="B12" val="" numFmtId="173"/>
      <inputCells r="B13" val="" numFmtId="173"/>
      <inputCells r="D9" val="" numFmtId="174"/>
      <inputCells r="D10" val="" numFmtId="174"/>
      <inputCells r="D11" val="" numFmtId="174"/>
      <inputCells r="D12" val="" numFmtId="174"/>
      <inputCells r="D13" val="" numFmtId="174"/>
    </scenario>
    <scenario name="Conservative Figures" locked="1" count="11" user="Travis Day" comment="Created by Travis Day on 1/21/2020">
      <inputCells r="A7" val="Conservative Figures"/>
      <inputCells r="B9" val="100000" numFmtId="3"/>
      <inputCells r="B10" val="3" numFmtId="170"/>
      <inputCells r="B11" val="1.5" numFmtId="170"/>
      <inputCells r="B12" val="50000" numFmtId="173"/>
      <inputCells r="B13" val="25000" numFmtId="173"/>
      <inputCells r="D9" val="0.1" numFmtId="174"/>
      <inputCells r="D10" val="0.05" numFmtId="174"/>
      <inputCells r="D11" val="0.1" numFmtId="174"/>
      <inputCells r="D12" val="0.08" numFmtId="174"/>
      <inputCells r="D13" val="0.05" numFmtId="174"/>
    </scenario>
    <scenario name="Aggressive Figures" locked="1" count="11" user="Travis Day" comment="Created by Travis Day on 1/21/2020">
      <inputCells r="A7" val="Aggressive Figures"/>
      <inputCells r="B9" val="200000" numFmtId="3"/>
      <inputCells r="B10" val="4" numFmtId="170"/>
      <inputCells r="B11" val="1" numFmtId="170"/>
      <inputCells r="B12" val="45000" numFmtId="173"/>
      <inputCells r="B13" val="22000" numFmtId="173"/>
      <inputCells r="D9" val="0.15" numFmtId="174"/>
      <inputCells r="D10" val="0.07" numFmtId="174"/>
      <inputCells r="D11" val="0.09" numFmtId="174"/>
      <inputCells r="D12" val="0.07" numFmtId="174"/>
      <inputCells r="D13" val="0.04" numFmtId="174"/>
    </scenario>
    <scenario name="Middle of the Road Figures" locked="1" count="11" user="Travis Day" comment="Created by Travis Day on 1/21/2020">
      <inputCells r="A7" val="Middle of Road Figures"/>
      <inputCells r="B9" val="150000" numFmtId="3"/>
      <inputCells r="B10" val="3.5" numFmtId="170"/>
      <inputCells r="B11" val="2.25" numFmtId="170"/>
      <inputCells r="B12" val="40000" numFmtId="173"/>
      <inputCells r="B13" val="15000" numFmtId="173"/>
      <inputCells r="D9" val="0.11" numFmtId="174"/>
      <inputCells r="D10" val="0.06" numFmtId="174"/>
      <inputCells r="D11" val="0.09" numFmtId="174"/>
      <inputCells r="D12" val="0.07" numFmtId="174"/>
      <inputCells r="D13" val="0.04" numFmtId="174"/>
    </scenario>
  </scenarios>
  <pageMargins left="0.75" right="0.75" top="1" bottom="1" header="0.5" footer="0.5"/>
  <pageSetup orientation="portrait" verticalDpi="300" r:id="rId1"/>
  <headerFooter alignWithMargins="0">
    <oddHeader>&amp;A</oddHeader>
    <oddFooter>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outlinePr summaryBelow="0"/>
  </sheetPr>
  <dimension ref="A1:I29"/>
  <sheetViews>
    <sheetView showGridLines="0" zoomScale="145" zoomScaleNormal="145" workbookViewId="0">
      <selection activeCell="B5" sqref="B5"/>
    </sheetView>
  </sheetViews>
  <sheetFormatPr defaultRowHeight="12.75" outlineLevelRow="1" outlineLevelCol="2" x14ac:dyDescent="0.2"/>
  <cols>
    <col min="1" max="1" width="8.85546875" customWidth="1"/>
    <col min="3" max="3" width="32.7109375" bestFit="1" customWidth="1"/>
    <col min="4" max="5" width="14.140625" customWidth="1" outlineLevel="2"/>
    <col min="6" max="8" width="14.140625" customWidth="1" outlineLevel="1"/>
  </cols>
  <sheetData>
    <row r="1" spans="1:9" ht="18" x14ac:dyDescent="0.25">
      <c r="A1" s="90" t="s">
        <v>197</v>
      </c>
    </row>
    <row r="2" spans="1:9" s="196" customFormat="1" hidden="1" x14ac:dyDescent="0.2">
      <c r="A2" s="244" t="s">
        <v>281</v>
      </c>
      <c r="B2" s="319">
        <v>8.2407407407407412E-3</v>
      </c>
    </row>
    <row r="3" spans="1:9" s="121" customFormat="1" x14ac:dyDescent="0.2">
      <c r="A3" s="239" t="str">
        <f>IF(A2="","",IF(Disable_Video_Hyperlinks,A2,HYPERLINK(Video_website&amp;A2,A2)))</f>
        <v>UNC_DAYT_EXCEL_3.6.4_LECTURE_CREATING_SCENARIOS_&amp;_SCENARIO_SUMMARY.mp4</v>
      </c>
    </row>
    <row r="4" spans="1:9" s="121" customFormat="1" x14ac:dyDescent="0.2">
      <c r="A4" s="325">
        <f>IF(B2="","",B2)</f>
        <v>8.2407407407407412E-3</v>
      </c>
    </row>
    <row r="5" spans="1:9" s="121" customFormat="1" ht="13.5" thickBot="1" x14ac:dyDescent="0.25">
      <c r="A5" s="325"/>
    </row>
    <row r="6" spans="1:9" ht="15" x14ac:dyDescent="0.25">
      <c r="B6" s="24" t="s">
        <v>61</v>
      </c>
      <c r="C6" s="71"/>
      <c r="D6" s="74"/>
      <c r="E6" s="74"/>
      <c r="F6" s="74"/>
      <c r="G6" s="74"/>
      <c r="H6" s="74"/>
    </row>
    <row r="7" spans="1:9" ht="24.75" collapsed="1" x14ac:dyDescent="0.25">
      <c r="B7" s="70"/>
      <c r="C7" s="70"/>
      <c r="D7" s="274" t="s">
        <v>63</v>
      </c>
      <c r="E7" s="275" t="s">
        <v>218</v>
      </c>
      <c r="F7" s="274" t="s">
        <v>94</v>
      </c>
      <c r="G7" s="274" t="s">
        <v>125</v>
      </c>
      <c r="H7" s="274" t="s">
        <v>126</v>
      </c>
    </row>
    <row r="8" spans="1:9" ht="22.5" hidden="1" outlineLevel="1" x14ac:dyDescent="0.2">
      <c r="B8" s="72"/>
      <c r="C8" s="72"/>
      <c r="D8" s="18"/>
      <c r="E8" s="213" t="s">
        <v>220</v>
      </c>
      <c r="F8" s="213" t="s">
        <v>220</v>
      </c>
      <c r="G8" s="213" t="s">
        <v>220</v>
      </c>
      <c r="H8" s="213" t="s">
        <v>220</v>
      </c>
    </row>
    <row r="9" spans="1:9" x14ac:dyDescent="0.2">
      <c r="B9" s="73" t="s">
        <v>62</v>
      </c>
      <c r="C9" s="73"/>
      <c r="D9" s="25"/>
      <c r="E9" s="25"/>
      <c r="F9" s="25"/>
      <c r="G9" s="25"/>
      <c r="H9" s="25"/>
    </row>
    <row r="10" spans="1:9" s="63" customFormat="1" ht="25.5" outlineLevel="1" x14ac:dyDescent="0.2">
      <c r="B10" s="276"/>
      <c r="C10" s="277" t="s">
        <v>224</v>
      </c>
      <c r="D10" s="278" t="s">
        <v>94</v>
      </c>
      <c r="E10" s="279" t="s">
        <v>218</v>
      </c>
      <c r="F10" s="280" t="s">
        <v>94</v>
      </c>
      <c r="G10" s="280" t="s">
        <v>125</v>
      </c>
      <c r="H10" s="280" t="s">
        <v>126</v>
      </c>
      <c r="I10"/>
    </row>
    <row r="11" spans="1:9" outlineLevel="1" x14ac:dyDescent="0.2">
      <c r="B11" s="72"/>
      <c r="C11" s="72" t="s">
        <v>115</v>
      </c>
      <c r="D11" s="66">
        <v>100000</v>
      </c>
      <c r="E11" s="66"/>
      <c r="F11" s="78">
        <v>100000</v>
      </c>
      <c r="G11" s="78">
        <v>200000</v>
      </c>
      <c r="H11" s="78">
        <v>150000</v>
      </c>
    </row>
    <row r="12" spans="1:9" outlineLevel="1" x14ac:dyDescent="0.2">
      <c r="B12" s="72"/>
      <c r="C12" s="72" t="s">
        <v>116</v>
      </c>
      <c r="D12" s="67">
        <v>3</v>
      </c>
      <c r="E12" s="67"/>
      <c r="F12" s="79">
        <v>3</v>
      </c>
      <c r="G12" s="79">
        <v>4</v>
      </c>
      <c r="H12" s="79">
        <v>3.5</v>
      </c>
    </row>
    <row r="13" spans="1:9" outlineLevel="1" x14ac:dyDescent="0.2">
      <c r="B13" s="72"/>
      <c r="C13" s="72" t="s">
        <v>117</v>
      </c>
      <c r="D13" s="67">
        <v>1.5</v>
      </c>
      <c r="E13" s="67"/>
      <c r="F13" s="79">
        <v>1.5</v>
      </c>
      <c r="G13" s="79">
        <v>1</v>
      </c>
      <c r="H13" s="79">
        <v>2.25</v>
      </c>
    </row>
    <row r="14" spans="1:9" outlineLevel="1" x14ac:dyDescent="0.2">
      <c r="B14" s="72"/>
      <c r="C14" s="72" t="s">
        <v>118</v>
      </c>
      <c r="D14" s="68">
        <v>50000</v>
      </c>
      <c r="E14" s="68"/>
      <c r="F14" s="80">
        <v>50000</v>
      </c>
      <c r="G14" s="80">
        <v>45000</v>
      </c>
      <c r="H14" s="80">
        <v>40000</v>
      </c>
    </row>
    <row r="15" spans="1:9" outlineLevel="1" x14ac:dyDescent="0.2">
      <c r="B15" s="72"/>
      <c r="C15" s="72" t="s">
        <v>119</v>
      </c>
      <c r="D15" s="68">
        <v>25000</v>
      </c>
      <c r="E15" s="68"/>
      <c r="F15" s="80">
        <v>25000</v>
      </c>
      <c r="G15" s="80">
        <v>22000</v>
      </c>
      <c r="H15" s="80">
        <v>15000</v>
      </c>
    </row>
    <row r="16" spans="1:9" outlineLevel="1" x14ac:dyDescent="0.2">
      <c r="B16" s="72"/>
      <c r="C16" s="72" t="s">
        <v>120</v>
      </c>
      <c r="D16" s="69">
        <v>0.1</v>
      </c>
      <c r="E16" s="69"/>
      <c r="F16" s="81">
        <v>0.1</v>
      </c>
      <c r="G16" s="81">
        <v>0.15</v>
      </c>
      <c r="H16" s="81">
        <v>0.11</v>
      </c>
    </row>
    <row r="17" spans="2:8" outlineLevel="1" x14ac:dyDescent="0.2">
      <c r="B17" s="72"/>
      <c r="C17" s="72" t="s">
        <v>121</v>
      </c>
      <c r="D17" s="69">
        <v>0.05</v>
      </c>
      <c r="E17" s="69"/>
      <c r="F17" s="81">
        <v>0.05</v>
      </c>
      <c r="G17" s="81">
        <v>7.0000000000000007E-2</v>
      </c>
      <c r="H17" s="81">
        <v>0.06</v>
      </c>
    </row>
    <row r="18" spans="2:8" outlineLevel="1" x14ac:dyDescent="0.2">
      <c r="B18" s="72"/>
      <c r="C18" s="72" t="s">
        <v>122</v>
      </c>
      <c r="D18" s="69">
        <v>0.1</v>
      </c>
      <c r="E18" s="69"/>
      <c r="F18" s="81">
        <v>0.1</v>
      </c>
      <c r="G18" s="81">
        <v>0.09</v>
      </c>
      <c r="H18" s="81">
        <v>0.09</v>
      </c>
    </row>
    <row r="19" spans="2:8" outlineLevel="1" x14ac:dyDescent="0.2">
      <c r="B19" s="72"/>
      <c r="C19" s="72" t="s">
        <v>123</v>
      </c>
      <c r="D19" s="69">
        <v>0.08</v>
      </c>
      <c r="E19" s="69"/>
      <c r="F19" s="81">
        <v>0.08</v>
      </c>
      <c r="G19" s="81">
        <v>7.0000000000000007E-2</v>
      </c>
      <c r="H19" s="81">
        <v>7.0000000000000007E-2</v>
      </c>
    </row>
    <row r="20" spans="2:8" outlineLevel="1" x14ac:dyDescent="0.2">
      <c r="B20" s="72"/>
      <c r="C20" s="72" t="s">
        <v>124</v>
      </c>
      <c r="D20" s="69">
        <v>0.05</v>
      </c>
      <c r="E20" s="69"/>
      <c r="F20" s="81">
        <v>0.05</v>
      </c>
      <c r="G20" s="81">
        <v>0.04</v>
      </c>
      <c r="H20" s="81">
        <v>0.04</v>
      </c>
    </row>
    <row r="21" spans="2:8" x14ac:dyDescent="0.2">
      <c r="B21" s="73" t="s">
        <v>64</v>
      </c>
      <c r="C21" s="73"/>
      <c r="D21" s="25"/>
      <c r="E21" s="25"/>
      <c r="F21" s="25"/>
      <c r="G21" s="25"/>
      <c r="H21" s="25"/>
    </row>
    <row r="22" spans="2:8" outlineLevel="1" x14ac:dyDescent="0.2">
      <c r="B22" s="72"/>
      <c r="C22" s="26" t="s">
        <v>222</v>
      </c>
      <c r="D22" s="68">
        <v>75000</v>
      </c>
      <c r="E22" s="68">
        <v>0</v>
      </c>
      <c r="F22" s="68">
        <v>75000</v>
      </c>
      <c r="G22" s="68">
        <v>533000</v>
      </c>
      <c r="H22" s="68">
        <v>132500</v>
      </c>
    </row>
    <row r="23" spans="2:8" outlineLevel="1" x14ac:dyDescent="0.2">
      <c r="B23" s="72"/>
      <c r="C23" s="26" t="s">
        <v>223</v>
      </c>
      <c r="D23" s="68">
        <v>84750</v>
      </c>
      <c r="E23" s="68">
        <v>0</v>
      </c>
      <c r="F23" s="68">
        <v>84750</v>
      </c>
      <c r="G23" s="68">
        <v>662670</v>
      </c>
      <c r="H23" s="68">
        <v>150973.75</v>
      </c>
    </row>
    <row r="24" spans="2:8" outlineLevel="1" x14ac:dyDescent="0.2">
      <c r="B24" s="72"/>
      <c r="C24" s="26" t="s">
        <v>325</v>
      </c>
      <c r="D24" s="68">
        <v>94710</v>
      </c>
      <c r="E24" s="68">
        <v>0</v>
      </c>
      <c r="F24" s="68">
        <v>94710</v>
      </c>
      <c r="G24" s="68">
        <v>821736.05</v>
      </c>
      <c r="H24" s="68">
        <v>170731.390625</v>
      </c>
    </row>
    <row r="25" spans="2:8" outlineLevel="1" x14ac:dyDescent="0.2">
      <c r="B25" s="72"/>
      <c r="C25" s="26" t="s">
        <v>326</v>
      </c>
      <c r="D25" s="68">
        <v>104579.28750000001</v>
      </c>
      <c r="E25" s="68">
        <v>0</v>
      </c>
      <c r="F25" s="68">
        <v>104579.28750000001</v>
      </c>
      <c r="G25" s="68">
        <v>1016720.429025</v>
      </c>
      <c r="H25" s="68">
        <v>191528.67199948701</v>
      </c>
    </row>
    <row r="26" spans="2:8" ht="13.5" outlineLevel="1" thickBot="1" x14ac:dyDescent="0.25">
      <c r="B26" s="77"/>
      <c r="C26" s="26" t="s">
        <v>327</v>
      </c>
      <c r="D26" s="76">
        <v>113936.3844375</v>
      </c>
      <c r="E26" s="76">
        <v>0</v>
      </c>
      <c r="F26" s="76">
        <v>113936.3844375</v>
      </c>
      <c r="G26" s="76">
        <v>1255576.61074704</v>
      </c>
      <c r="H26" s="76">
        <v>212975.86996205401</v>
      </c>
    </row>
    <row r="27" spans="2:8" x14ac:dyDescent="0.2">
      <c r="B27" t="s">
        <v>65</v>
      </c>
    </row>
    <row r="28" spans="2:8" x14ac:dyDescent="0.2">
      <c r="B28" s="121" t="s">
        <v>66</v>
      </c>
    </row>
    <row r="29" spans="2:8" x14ac:dyDescent="0.2">
      <c r="B29" t="s">
        <v>67</v>
      </c>
    </row>
  </sheetData>
  <phoneticPr fontId="42"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outlinePr summaryBelow="0"/>
  </sheetPr>
  <dimension ref="A1:I29"/>
  <sheetViews>
    <sheetView showGridLines="0" zoomScale="145" zoomScaleNormal="145" workbookViewId="0">
      <selection activeCell="A4" sqref="A4"/>
    </sheetView>
  </sheetViews>
  <sheetFormatPr defaultRowHeight="12.75" outlineLevelRow="1" outlineLevelCol="2" x14ac:dyDescent="0.2"/>
  <cols>
    <col min="1" max="1" width="7.85546875" style="84" customWidth="1"/>
    <col min="2" max="2" width="9.140625" style="84"/>
    <col min="3" max="3" width="32.7109375" style="84" bestFit="1" customWidth="1"/>
    <col min="4" max="4" width="14.140625" style="84" customWidth="1" outlineLevel="2"/>
    <col min="5" max="5" width="14.140625" customWidth="1" outlineLevel="2"/>
    <col min="6" max="8" width="14.140625" style="84" customWidth="1" outlineLevel="1"/>
    <col min="9" max="16384" width="9.140625" style="84"/>
  </cols>
  <sheetData>
    <row r="1" spans="1:9" ht="18" x14ac:dyDescent="0.25">
      <c r="A1" s="90" t="s">
        <v>198</v>
      </c>
    </row>
    <row r="2" spans="1:9" s="244" customFormat="1" hidden="1" x14ac:dyDescent="0.2">
      <c r="B2" s="321"/>
      <c r="E2" s="196"/>
    </row>
    <row r="3" spans="1:9" s="229" customFormat="1" x14ac:dyDescent="0.2">
      <c r="A3" s="239" t="str">
        <f>IF(A2="","",IF(Disable_Video_Hyperlinks,A2,HYPERLINK(Video_website&amp;A2,A2)))</f>
        <v/>
      </c>
      <c r="E3" s="121"/>
    </row>
    <row r="4" spans="1:9" x14ac:dyDescent="0.2">
      <c r="A4" s="325" t="str">
        <f>IF(B2="","",B2)</f>
        <v/>
      </c>
      <c r="E4" s="121"/>
    </row>
    <row r="5" spans="1:9" ht="13.5" thickBot="1" x14ac:dyDescent="0.25">
      <c r="A5" s="325"/>
      <c r="E5" s="121"/>
    </row>
    <row r="6" spans="1:9" ht="15" x14ac:dyDescent="0.25">
      <c r="B6" s="119" t="s">
        <v>61</v>
      </c>
      <c r="C6" s="119"/>
      <c r="D6" s="118"/>
      <c r="E6" s="74"/>
      <c r="F6" s="118"/>
      <c r="G6" s="118"/>
      <c r="H6" s="118"/>
    </row>
    <row r="7" spans="1:9" s="281" customFormat="1" ht="24.75" collapsed="1" x14ac:dyDescent="0.25">
      <c r="B7" s="282"/>
      <c r="C7" s="282"/>
      <c r="D7" s="283" t="s">
        <v>63</v>
      </c>
      <c r="E7" s="275" t="s">
        <v>218</v>
      </c>
      <c r="F7" s="283" t="s">
        <v>94</v>
      </c>
      <c r="G7" s="283" t="s">
        <v>125</v>
      </c>
      <c r="H7" s="283" t="s">
        <v>126</v>
      </c>
    </row>
    <row r="8" spans="1:9" ht="22.5" hidden="1" outlineLevel="1" x14ac:dyDescent="0.2">
      <c r="B8" s="107"/>
      <c r="C8" s="107"/>
      <c r="D8" s="117"/>
      <c r="E8" s="213" t="s">
        <v>294</v>
      </c>
      <c r="F8" s="213" t="s">
        <v>294</v>
      </c>
      <c r="G8" s="213" t="s">
        <v>294</v>
      </c>
      <c r="H8" s="213" t="s">
        <v>294</v>
      </c>
    </row>
    <row r="9" spans="1:9" x14ac:dyDescent="0.2">
      <c r="B9" s="109" t="s">
        <v>62</v>
      </c>
      <c r="C9" s="109"/>
      <c r="D9" s="108"/>
      <c r="E9" s="25"/>
      <c r="F9" s="108"/>
      <c r="G9" s="108"/>
      <c r="H9" s="108"/>
    </row>
    <row r="10" spans="1:9" s="281" customFormat="1" ht="25.5" outlineLevel="1" x14ac:dyDescent="0.2">
      <c r="B10" s="284"/>
      <c r="C10" s="284" t="s">
        <v>187</v>
      </c>
      <c r="D10" s="285" t="s">
        <v>94</v>
      </c>
      <c r="E10" s="279" t="s">
        <v>218</v>
      </c>
      <c r="F10" s="286" t="s">
        <v>94</v>
      </c>
      <c r="G10" s="286" t="s">
        <v>125</v>
      </c>
      <c r="H10" s="286" t="s">
        <v>126</v>
      </c>
    </row>
    <row r="11" spans="1:9" outlineLevel="1" x14ac:dyDescent="0.2">
      <c r="B11" s="107"/>
      <c r="C11" s="107" t="s">
        <v>186</v>
      </c>
      <c r="D11" s="116">
        <v>100000</v>
      </c>
      <c r="E11" s="66"/>
      <c r="F11" s="115">
        <v>100000</v>
      </c>
      <c r="G11" s="115">
        <v>200000</v>
      </c>
      <c r="H11" s="115">
        <v>150000</v>
      </c>
    </row>
    <row r="12" spans="1:9" outlineLevel="1" x14ac:dyDescent="0.2">
      <c r="B12" s="107"/>
      <c r="C12" s="107" t="s">
        <v>185</v>
      </c>
      <c r="D12" s="114">
        <v>3</v>
      </c>
      <c r="E12" s="67"/>
      <c r="F12" s="113">
        <v>3</v>
      </c>
      <c r="G12" s="113">
        <v>4</v>
      </c>
      <c r="H12" s="113">
        <v>3.5</v>
      </c>
    </row>
    <row r="13" spans="1:9" outlineLevel="1" x14ac:dyDescent="0.2">
      <c r="B13" s="107"/>
      <c r="C13" s="107" t="s">
        <v>184</v>
      </c>
      <c r="D13" s="114">
        <v>1.5</v>
      </c>
      <c r="E13" s="67"/>
      <c r="F13" s="113">
        <v>1.5</v>
      </c>
      <c r="G13" s="113">
        <v>1</v>
      </c>
      <c r="H13" s="113">
        <v>2.25</v>
      </c>
    </row>
    <row r="14" spans="1:9" outlineLevel="1" x14ac:dyDescent="0.2">
      <c r="B14" s="107"/>
      <c r="C14" s="107" t="s">
        <v>183</v>
      </c>
      <c r="D14" s="106">
        <v>50000</v>
      </c>
      <c r="E14" s="68"/>
      <c r="F14" s="112">
        <v>50000</v>
      </c>
      <c r="G14" s="112">
        <v>45000</v>
      </c>
      <c r="H14" s="112">
        <v>40000</v>
      </c>
    </row>
    <row r="15" spans="1:9" outlineLevel="1" x14ac:dyDescent="0.2">
      <c r="B15" s="107"/>
      <c r="C15" s="107" t="s">
        <v>182</v>
      </c>
      <c r="D15" s="106">
        <v>25000</v>
      </c>
      <c r="E15" s="68"/>
      <c r="F15" s="112">
        <v>25000</v>
      </c>
      <c r="G15" s="112">
        <v>22000</v>
      </c>
      <c r="H15" s="112">
        <v>15000</v>
      </c>
    </row>
    <row r="16" spans="1:9" outlineLevel="1" x14ac:dyDescent="0.2">
      <c r="B16" s="107"/>
      <c r="C16" s="107" t="s">
        <v>181</v>
      </c>
      <c r="D16" s="111">
        <v>0.1</v>
      </c>
      <c r="E16" s="69"/>
      <c r="F16" s="110">
        <v>0.1</v>
      </c>
      <c r="G16" s="110">
        <v>0.15</v>
      </c>
      <c r="H16" s="110">
        <v>0.11</v>
      </c>
    </row>
    <row r="17" spans="2:8" outlineLevel="1" x14ac:dyDescent="0.2">
      <c r="B17" s="107"/>
      <c r="C17" s="107" t="s">
        <v>180</v>
      </c>
      <c r="D17" s="111">
        <v>0.05</v>
      </c>
      <c r="E17" s="69"/>
      <c r="F17" s="110">
        <v>0.05</v>
      </c>
      <c r="G17" s="110">
        <v>7.0000000000000007E-2</v>
      </c>
      <c r="H17" s="110">
        <v>0.06</v>
      </c>
    </row>
    <row r="18" spans="2:8" outlineLevel="1" x14ac:dyDescent="0.2">
      <c r="B18" s="107"/>
      <c r="C18" s="107" t="s">
        <v>179</v>
      </c>
      <c r="D18" s="111">
        <v>0.1</v>
      </c>
      <c r="E18" s="69"/>
      <c r="F18" s="110">
        <v>0.1</v>
      </c>
      <c r="G18" s="110">
        <v>0.09</v>
      </c>
      <c r="H18" s="110">
        <v>0.09</v>
      </c>
    </row>
    <row r="19" spans="2:8" outlineLevel="1" x14ac:dyDescent="0.2">
      <c r="B19" s="107"/>
      <c r="C19" s="107" t="s">
        <v>178</v>
      </c>
      <c r="D19" s="111">
        <v>0.08</v>
      </c>
      <c r="E19" s="69"/>
      <c r="F19" s="110">
        <v>0.08</v>
      </c>
      <c r="G19" s="110">
        <v>7.0000000000000007E-2</v>
      </c>
      <c r="H19" s="110">
        <v>7.0000000000000007E-2</v>
      </c>
    </row>
    <row r="20" spans="2:8" outlineLevel="1" x14ac:dyDescent="0.2">
      <c r="B20" s="107"/>
      <c r="C20" s="107" t="s">
        <v>177</v>
      </c>
      <c r="D20" s="111">
        <v>0.05</v>
      </c>
      <c r="E20" s="69"/>
      <c r="F20" s="110">
        <v>0.05</v>
      </c>
      <c r="G20" s="110">
        <v>0.04</v>
      </c>
      <c r="H20" s="110">
        <v>0.04</v>
      </c>
    </row>
    <row r="21" spans="2:8" x14ac:dyDescent="0.2">
      <c r="B21" s="109" t="s">
        <v>64</v>
      </c>
      <c r="C21" s="109"/>
      <c r="D21" s="108"/>
      <c r="E21" s="25"/>
      <c r="F21" s="108"/>
      <c r="G21" s="108"/>
      <c r="H21" s="108"/>
    </row>
    <row r="22" spans="2:8" outlineLevel="1" x14ac:dyDescent="0.2">
      <c r="B22" s="107"/>
      <c r="C22" s="107" t="s">
        <v>176</v>
      </c>
      <c r="D22" s="106">
        <v>75000</v>
      </c>
      <c r="E22" s="68">
        <v>0</v>
      </c>
      <c r="F22" s="106">
        <v>75000</v>
      </c>
      <c r="G22" s="106">
        <v>533000</v>
      </c>
      <c r="H22" s="106">
        <v>132500</v>
      </c>
    </row>
    <row r="23" spans="2:8" outlineLevel="1" x14ac:dyDescent="0.2">
      <c r="B23" s="107"/>
      <c r="C23" s="107" t="s">
        <v>175</v>
      </c>
      <c r="D23" s="106">
        <v>84750</v>
      </c>
      <c r="E23" s="68">
        <v>0</v>
      </c>
      <c r="F23" s="106">
        <v>84750</v>
      </c>
      <c r="G23" s="106">
        <v>662670</v>
      </c>
      <c r="H23" s="106">
        <v>150973.75</v>
      </c>
    </row>
    <row r="24" spans="2:8" outlineLevel="1" x14ac:dyDescent="0.2">
      <c r="B24" s="107"/>
      <c r="C24" s="107" t="s">
        <v>174</v>
      </c>
      <c r="D24" s="106">
        <v>94710</v>
      </c>
      <c r="E24" s="68">
        <v>0</v>
      </c>
      <c r="F24" s="106">
        <v>94710</v>
      </c>
      <c r="G24" s="106">
        <v>821736.05</v>
      </c>
      <c r="H24" s="106">
        <v>170731.390625</v>
      </c>
    </row>
    <row r="25" spans="2:8" outlineLevel="1" x14ac:dyDescent="0.2">
      <c r="B25" s="107"/>
      <c r="C25" s="107" t="s">
        <v>173</v>
      </c>
      <c r="D25" s="106">
        <v>104579.28750000001</v>
      </c>
      <c r="E25" s="68">
        <v>0</v>
      </c>
      <c r="F25" s="106">
        <v>104579.28750000001</v>
      </c>
      <c r="G25" s="106">
        <v>1016720.429025</v>
      </c>
      <c r="H25" s="106">
        <v>191528.67199948701</v>
      </c>
    </row>
    <row r="26" spans="2:8" ht="13.5" outlineLevel="1" thickBot="1" x14ac:dyDescent="0.25">
      <c r="B26" s="105"/>
      <c r="C26" s="105" t="s">
        <v>172</v>
      </c>
      <c r="D26" s="104">
        <v>113936.3844375</v>
      </c>
      <c r="E26" s="76">
        <v>0</v>
      </c>
      <c r="F26" s="104">
        <v>113936.3844375</v>
      </c>
      <c r="G26" s="104">
        <v>1255576.61074704</v>
      </c>
      <c r="H26" s="104">
        <v>212975.86996205401</v>
      </c>
    </row>
    <row r="27" spans="2:8" x14ac:dyDescent="0.2">
      <c r="B27" s="84" t="s">
        <v>65</v>
      </c>
    </row>
    <row r="28" spans="2:8" x14ac:dyDescent="0.2">
      <c r="B28" s="84" t="s">
        <v>66</v>
      </c>
    </row>
    <row r="29" spans="2:8" x14ac:dyDescent="0.2">
      <c r="B29" s="84" t="s">
        <v>67</v>
      </c>
    </row>
  </sheetData>
  <phoneticPr fontId="2"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5500-4374-4750-B0B7-5DAF12CD9F70}">
  <sheetPr codeName="Sheet13"/>
  <dimension ref="A1:F9"/>
  <sheetViews>
    <sheetView workbookViewId="0">
      <selection sqref="A1:XFD2"/>
    </sheetView>
  </sheetViews>
  <sheetFormatPr defaultRowHeight="12.75" x14ac:dyDescent="0.2"/>
  <cols>
    <col min="1" max="1" width="31" bestFit="1" customWidth="1"/>
    <col min="2" max="2" width="7" bestFit="1" customWidth="1"/>
    <col min="3" max="3" width="10" bestFit="1" customWidth="1"/>
    <col min="4" max="6" width="12" bestFit="1" customWidth="1"/>
  </cols>
  <sheetData>
    <row r="1" spans="1:6" ht="18" x14ac:dyDescent="0.25">
      <c r="A1" s="82" t="s">
        <v>193</v>
      </c>
    </row>
    <row r="3" spans="1:6" x14ac:dyDescent="0.2">
      <c r="A3" s="122" t="s">
        <v>230</v>
      </c>
      <c r="B3" t="s">
        <v>188</v>
      </c>
    </row>
    <row r="5" spans="1:6" x14ac:dyDescent="0.2">
      <c r="A5" s="122" t="s">
        <v>192</v>
      </c>
      <c r="B5" t="s">
        <v>176</v>
      </c>
      <c r="C5" t="s">
        <v>175</v>
      </c>
      <c r="D5" t="s">
        <v>174</v>
      </c>
      <c r="E5" t="s">
        <v>173</v>
      </c>
      <c r="F5" t="s">
        <v>172</v>
      </c>
    </row>
    <row r="6" spans="1:6" x14ac:dyDescent="0.2">
      <c r="A6" s="123" t="s">
        <v>125</v>
      </c>
      <c r="B6" s="55">
        <v>533000</v>
      </c>
      <c r="C6" s="55">
        <v>662670</v>
      </c>
      <c r="D6" s="55">
        <v>821736.04999999981</v>
      </c>
      <c r="E6" s="55">
        <v>1016720.429025</v>
      </c>
      <c r="F6" s="55">
        <v>1255576.6107470379</v>
      </c>
    </row>
    <row r="7" spans="1:6" x14ac:dyDescent="0.2">
      <c r="A7" s="123" t="s">
        <v>219</v>
      </c>
      <c r="B7" s="55">
        <v>0</v>
      </c>
      <c r="C7" s="55">
        <v>0</v>
      </c>
      <c r="D7" s="55">
        <v>0</v>
      </c>
      <c r="E7" s="55">
        <v>0</v>
      </c>
      <c r="F7" s="55">
        <v>0</v>
      </c>
    </row>
    <row r="8" spans="1:6" x14ac:dyDescent="0.2">
      <c r="A8" s="123" t="s">
        <v>94</v>
      </c>
      <c r="B8" s="55">
        <v>75000</v>
      </c>
      <c r="C8" s="55">
        <v>84750</v>
      </c>
      <c r="D8" s="55">
        <v>94710</v>
      </c>
      <c r="E8" s="55">
        <v>104579.28750000003</v>
      </c>
      <c r="F8" s="55">
        <v>113936.38443750015</v>
      </c>
    </row>
    <row r="9" spans="1:6" x14ac:dyDescent="0.2">
      <c r="A9" s="123" t="s">
        <v>221</v>
      </c>
      <c r="B9" s="55">
        <v>132500</v>
      </c>
      <c r="C9" s="55">
        <v>150973.75</v>
      </c>
      <c r="D9" s="55">
        <v>170731.39062499988</v>
      </c>
      <c r="E9" s="55">
        <v>191528.67199948744</v>
      </c>
      <c r="F9" s="55">
        <v>212975.86996205407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4F82-853F-41A0-BC28-5588045F3B19}">
  <sheetPr codeName="Sheet14"/>
  <dimension ref="A1:F8"/>
  <sheetViews>
    <sheetView workbookViewId="0">
      <selection activeCell="B4" sqref="B4"/>
    </sheetView>
  </sheetViews>
  <sheetFormatPr defaultRowHeight="12.75" x14ac:dyDescent="0.2"/>
  <cols>
    <col min="1" max="1" width="23.5703125" bestFit="1" customWidth="1"/>
    <col min="2" max="4" width="8.5703125" bestFit="1" customWidth="1"/>
    <col min="5" max="6" width="10.140625" bestFit="1" customWidth="1"/>
  </cols>
  <sheetData>
    <row r="1" spans="1:6" ht="18" x14ac:dyDescent="0.25">
      <c r="A1" s="82" t="s">
        <v>194</v>
      </c>
    </row>
    <row r="3" spans="1:6" x14ac:dyDescent="0.2">
      <c r="A3" s="122" t="s">
        <v>231</v>
      </c>
      <c r="B3" t="s">
        <v>188</v>
      </c>
    </row>
    <row r="4" spans="1:6" x14ac:dyDescent="0.2">
      <c r="B4" s="216" t="s">
        <v>195</v>
      </c>
      <c r="C4" s="215"/>
      <c r="D4" s="215"/>
      <c r="E4" s="215"/>
      <c r="F4" s="215"/>
    </row>
    <row r="5" spans="1:6" x14ac:dyDescent="0.2">
      <c r="A5" s="122" t="s">
        <v>127</v>
      </c>
      <c r="B5" s="214" t="s">
        <v>225</v>
      </c>
      <c r="C5" s="214" t="s">
        <v>226</v>
      </c>
      <c r="D5" s="214" t="s">
        <v>227</v>
      </c>
      <c r="E5" s="214" t="s">
        <v>228</v>
      </c>
      <c r="F5" s="214" t="s">
        <v>229</v>
      </c>
    </row>
    <row r="6" spans="1:6" x14ac:dyDescent="0.2">
      <c r="A6" s="123" t="s">
        <v>125</v>
      </c>
      <c r="B6" s="212">
        <v>533000</v>
      </c>
      <c r="C6" s="212">
        <v>662670</v>
      </c>
      <c r="D6" s="212">
        <v>821736.04999999981</v>
      </c>
      <c r="E6" s="212">
        <v>1016720.429025</v>
      </c>
      <c r="F6" s="212">
        <v>1255576.6107470379</v>
      </c>
    </row>
    <row r="7" spans="1:6" x14ac:dyDescent="0.2">
      <c r="A7" s="123" t="s">
        <v>94</v>
      </c>
      <c r="B7" s="212">
        <v>75000</v>
      </c>
      <c r="C7" s="212">
        <v>84750</v>
      </c>
      <c r="D7" s="212">
        <v>94710</v>
      </c>
      <c r="E7" s="212">
        <v>104579.28750000003</v>
      </c>
      <c r="F7" s="212">
        <v>113936.38443750015</v>
      </c>
    </row>
    <row r="8" spans="1:6" x14ac:dyDescent="0.2">
      <c r="A8" s="123" t="s">
        <v>221</v>
      </c>
      <c r="B8" s="212">
        <v>132500</v>
      </c>
      <c r="C8" s="212">
        <v>150973.75</v>
      </c>
      <c r="D8" s="212">
        <v>170731.39062499988</v>
      </c>
      <c r="E8" s="212">
        <v>191528.67199948744</v>
      </c>
      <c r="F8" s="212">
        <v>212975.86996205407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78C2-2866-4660-BF67-9B5F566C8891}">
  <sheetPr codeName="Sheet23"/>
  <dimension ref="A1:B5"/>
  <sheetViews>
    <sheetView zoomScale="160" zoomScaleNormal="160" workbookViewId="0">
      <selection activeCell="A2" sqref="A2"/>
    </sheetView>
  </sheetViews>
  <sheetFormatPr defaultRowHeight="12.75" x14ac:dyDescent="0.2"/>
  <sheetData>
    <row r="1" spans="1:2" ht="18" x14ac:dyDescent="0.25">
      <c r="A1" s="82" t="s">
        <v>282</v>
      </c>
    </row>
    <row r="2" spans="1:2" s="196" customFormat="1" hidden="1" x14ac:dyDescent="0.2">
      <c r="A2" s="196" t="s">
        <v>283</v>
      </c>
      <c r="B2" s="319">
        <v>4.8611111111111112E-3</v>
      </c>
    </row>
    <row r="3" spans="1:2" s="121" customFormat="1" collapsed="1" x14ac:dyDescent="0.2">
      <c r="A3" s="237" t="str">
        <f>IF(A2="","",IF(Disable_Video_Hyperlinks,A2,HYPERLINK(Video_website&amp;A2,A2)))</f>
        <v>UNC_DAYT_EXCEL_3.6.5_LECTURE_GOAL_SEEK.mp4</v>
      </c>
    </row>
    <row r="4" spans="1:2" x14ac:dyDescent="0.2">
      <c r="A4" s="325">
        <f>IF(B2="","",B2)</f>
        <v>4.8611111111111112E-3</v>
      </c>
    </row>
    <row r="5" spans="1:2" x14ac:dyDescent="0.2">
      <c r="A5" s="3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02C9E-2465-4AB4-801D-F047882027D9}">
  <sheetPr codeName="Sheet15">
    <pageSetUpPr autoPageBreaks="0"/>
  </sheetPr>
  <dimension ref="A1:P114"/>
  <sheetViews>
    <sheetView zoomScale="160" zoomScaleNormal="160" workbookViewId="0">
      <pane xSplit="1" ySplit="8" topLeftCell="B9" activePane="bottomRight" state="frozen"/>
      <selection activeCell="B2" sqref="B2"/>
      <selection pane="topRight" activeCell="B2" sqref="B2"/>
      <selection pane="bottomLeft" activeCell="B2" sqref="B2"/>
      <selection pane="bottomRight" activeCell="A3" sqref="A3"/>
    </sheetView>
  </sheetViews>
  <sheetFormatPr defaultColWidth="9.140625" defaultRowHeight="11.25" x14ac:dyDescent="0.2"/>
  <cols>
    <col min="1" max="1" width="6.28515625" style="217" customWidth="1"/>
    <col min="2" max="2" width="5.7109375" style="218" customWidth="1"/>
    <col min="3" max="3" width="10" style="217" customWidth="1"/>
    <col min="4" max="4" width="8.7109375" style="217" customWidth="1"/>
    <col min="5" max="5" width="13.85546875" style="217" customWidth="1"/>
    <col min="6" max="6" width="4.28515625" style="217" customWidth="1"/>
    <col min="7" max="7" width="7" style="217" customWidth="1"/>
    <col min="8" max="8" width="10.140625" style="217" customWidth="1"/>
    <col min="9" max="16384" width="9.140625" style="217"/>
  </cols>
  <sheetData>
    <row r="1" spans="1:16" s="337" customFormat="1" ht="18" x14ac:dyDescent="0.25">
      <c r="A1" s="335" t="s">
        <v>249</v>
      </c>
      <c r="B1" s="336"/>
      <c r="C1" s="336"/>
      <c r="D1" s="336"/>
      <c r="E1" s="336"/>
      <c r="I1" s="338"/>
      <c r="J1" s="338"/>
      <c r="K1" s="338"/>
      <c r="L1" s="338"/>
    </row>
    <row r="2" spans="1:16" s="244" customFormat="1" ht="12.75" hidden="1" x14ac:dyDescent="0.2">
      <c r="A2" s="315"/>
      <c r="B2" s="322"/>
      <c r="C2" s="315"/>
      <c r="D2" s="315"/>
      <c r="E2" s="315"/>
      <c r="F2" s="316"/>
      <c r="G2" s="316"/>
      <c r="H2" s="316"/>
      <c r="I2" s="316"/>
      <c r="J2" s="316"/>
      <c r="K2" s="316"/>
      <c r="L2" s="316"/>
      <c r="M2" s="316"/>
      <c r="N2" s="316"/>
      <c r="O2" s="316"/>
      <c r="P2" s="316"/>
    </row>
    <row r="3" spans="1:16" s="229" customFormat="1" ht="12.75" collapsed="1" x14ac:dyDescent="0.2">
      <c r="A3" s="240" t="str">
        <f>IF(A2="","",IF(Disable_Video_Hyperlinks,A2,HYPERLINK(Video_website&amp;A2,A2)))</f>
        <v/>
      </c>
      <c r="B3" s="236"/>
      <c r="C3" s="236"/>
      <c r="D3" s="236"/>
      <c r="E3" s="236"/>
      <c r="F3" s="232"/>
      <c r="G3" s="232"/>
      <c r="H3" s="232"/>
      <c r="I3" s="232"/>
      <c r="J3" s="232"/>
      <c r="K3" s="232"/>
      <c r="L3" s="232"/>
      <c r="M3" s="232"/>
      <c r="N3" s="232"/>
      <c r="O3" s="232"/>
      <c r="P3" s="232"/>
    </row>
    <row r="4" spans="1:16" ht="12.75" x14ac:dyDescent="0.2">
      <c r="A4" s="325" t="str">
        <f>IF(B2="","",B2)</f>
        <v/>
      </c>
    </row>
    <row r="5" spans="1:16" ht="12.75" x14ac:dyDescent="0.2">
      <c r="A5" s="325"/>
    </row>
    <row r="6" spans="1:16" s="229" customFormat="1" ht="12.75" x14ac:dyDescent="0.2">
      <c r="A6" s="288" t="s">
        <v>248</v>
      </c>
      <c r="B6" s="289"/>
      <c r="C6" s="288"/>
      <c r="D6" s="288"/>
    </row>
    <row r="7" spans="1:16" s="229" customFormat="1" ht="21.75" customHeight="1" x14ac:dyDescent="0.2">
      <c r="B7" s="290"/>
      <c r="C7" s="354" t="s">
        <v>247</v>
      </c>
      <c r="D7" s="354"/>
      <c r="E7" s="291">
        <v>35</v>
      </c>
    </row>
    <row r="8" spans="1:16" s="229" customFormat="1" ht="38.25" x14ac:dyDescent="0.2">
      <c r="A8" s="292" t="s">
        <v>246</v>
      </c>
      <c r="B8" s="292" t="s">
        <v>245</v>
      </c>
      <c r="C8" s="292" t="s">
        <v>244</v>
      </c>
      <c r="D8" s="292" t="s">
        <v>243</v>
      </c>
      <c r="E8" s="292" t="s">
        <v>242</v>
      </c>
    </row>
    <row r="9" spans="1:16" s="229" customFormat="1" ht="12.75" x14ac:dyDescent="0.2">
      <c r="A9" s="293">
        <v>2345</v>
      </c>
      <c r="B9" s="294" t="s">
        <v>241</v>
      </c>
      <c r="C9" s="295">
        <v>1</v>
      </c>
      <c r="D9" s="295">
        <v>1.5</v>
      </c>
      <c r="E9" s="296">
        <f t="shared" ref="E9:E40" si="0">SUM(C9:D9)/60*E$7</f>
        <v>1.4583333333333333</v>
      </c>
    </row>
    <row r="10" spans="1:16" s="229" customFormat="1" ht="12.75" x14ac:dyDescent="0.2">
      <c r="A10" s="293">
        <v>2346</v>
      </c>
      <c r="B10" s="294" t="s">
        <v>241</v>
      </c>
      <c r="C10" s="295">
        <v>1</v>
      </c>
      <c r="D10" s="295">
        <v>1</v>
      </c>
      <c r="E10" s="297">
        <f t="shared" si="0"/>
        <v>1.1666666666666667</v>
      </c>
    </row>
    <row r="11" spans="1:16" s="229" customFormat="1" ht="12.75" x14ac:dyDescent="0.2">
      <c r="A11" s="293">
        <v>2347</v>
      </c>
      <c r="B11" s="294" t="s">
        <v>241</v>
      </c>
      <c r="C11" s="295">
        <v>1</v>
      </c>
      <c r="D11" s="295">
        <v>3</v>
      </c>
      <c r="E11" s="297">
        <f t="shared" si="0"/>
        <v>2.3333333333333335</v>
      </c>
    </row>
    <row r="12" spans="1:16" s="229" customFormat="1" ht="12.75" x14ac:dyDescent="0.2">
      <c r="A12" s="293">
        <v>2348</v>
      </c>
      <c r="B12" s="294" t="s">
        <v>241</v>
      </c>
      <c r="C12" s="295">
        <v>2</v>
      </c>
      <c r="D12" s="295">
        <v>5</v>
      </c>
      <c r="E12" s="297">
        <f t="shared" si="0"/>
        <v>4.083333333333333</v>
      </c>
    </row>
    <row r="13" spans="1:16" s="229" customFormat="1" ht="12.75" x14ac:dyDescent="0.2">
      <c r="A13" s="293">
        <v>2349</v>
      </c>
      <c r="B13" s="294" t="s">
        <v>241</v>
      </c>
      <c r="C13" s="295">
        <v>1</v>
      </c>
      <c r="D13" s="295">
        <v>1.5</v>
      </c>
      <c r="E13" s="297">
        <f t="shared" si="0"/>
        <v>1.4583333333333333</v>
      </c>
    </row>
    <row r="14" spans="1:16" s="229" customFormat="1" ht="12.75" x14ac:dyDescent="0.2">
      <c r="A14" s="293">
        <v>2350</v>
      </c>
      <c r="B14" s="294" t="s">
        <v>241</v>
      </c>
      <c r="C14" s="295">
        <v>1.5</v>
      </c>
      <c r="D14" s="295">
        <v>5</v>
      </c>
      <c r="E14" s="297">
        <f t="shared" si="0"/>
        <v>3.791666666666667</v>
      </c>
    </row>
    <row r="15" spans="1:16" s="229" customFormat="1" ht="12.75" x14ac:dyDescent="0.2">
      <c r="A15" s="293">
        <v>2351</v>
      </c>
      <c r="B15" s="294" t="s">
        <v>241</v>
      </c>
      <c r="C15" s="295"/>
      <c r="D15" s="295"/>
      <c r="E15" s="297">
        <f t="shared" si="0"/>
        <v>0</v>
      </c>
    </row>
    <row r="16" spans="1:16" s="229" customFormat="1" ht="12.75" x14ac:dyDescent="0.2">
      <c r="A16" s="293">
        <v>2352</v>
      </c>
      <c r="B16" s="294" t="s">
        <v>240</v>
      </c>
      <c r="C16" s="295">
        <v>2.5</v>
      </c>
      <c r="D16" s="295">
        <v>3.5</v>
      </c>
      <c r="E16" s="297">
        <f t="shared" si="0"/>
        <v>3.5</v>
      </c>
    </row>
    <row r="17" spans="1:5" s="229" customFormat="1" ht="12.75" x14ac:dyDescent="0.2">
      <c r="A17" s="293">
        <v>2353</v>
      </c>
      <c r="B17" s="294" t="s">
        <v>241</v>
      </c>
      <c r="C17" s="295">
        <v>1</v>
      </c>
      <c r="D17" s="295">
        <v>4</v>
      </c>
      <c r="E17" s="297">
        <f t="shared" si="0"/>
        <v>2.9166666666666665</v>
      </c>
    </row>
    <row r="18" spans="1:5" s="229" customFormat="1" ht="12.75" x14ac:dyDescent="0.2">
      <c r="A18" s="293">
        <v>2354</v>
      </c>
      <c r="B18" s="294" t="s">
        <v>240</v>
      </c>
      <c r="C18" s="295">
        <v>2</v>
      </c>
      <c r="D18" s="295">
        <v>1</v>
      </c>
      <c r="E18" s="297">
        <f t="shared" si="0"/>
        <v>1.75</v>
      </c>
    </row>
    <row r="19" spans="1:5" s="229" customFormat="1" ht="12.75" x14ac:dyDescent="0.2">
      <c r="A19" s="293">
        <v>2355</v>
      </c>
      <c r="B19" s="294" t="s">
        <v>241</v>
      </c>
      <c r="C19" s="295">
        <v>1.5</v>
      </c>
      <c r="D19" s="295">
        <v>1.5</v>
      </c>
      <c r="E19" s="297">
        <f t="shared" si="0"/>
        <v>1.75</v>
      </c>
    </row>
    <row r="20" spans="1:5" s="229" customFormat="1" ht="12.75" x14ac:dyDescent="0.2">
      <c r="A20" s="293">
        <v>2356</v>
      </c>
      <c r="B20" s="294" t="s">
        <v>239</v>
      </c>
      <c r="C20" s="295">
        <v>1</v>
      </c>
      <c r="D20" s="295">
        <v>7</v>
      </c>
      <c r="E20" s="297">
        <f t="shared" si="0"/>
        <v>4.666666666666667</v>
      </c>
    </row>
    <row r="21" spans="1:5" s="229" customFormat="1" ht="12.75" x14ac:dyDescent="0.2">
      <c r="A21" s="293">
        <v>2357</v>
      </c>
      <c r="B21" s="294" t="s">
        <v>241</v>
      </c>
      <c r="C21" s="295">
        <v>2</v>
      </c>
      <c r="D21" s="295">
        <v>3.5</v>
      </c>
      <c r="E21" s="297">
        <f t="shared" si="0"/>
        <v>3.208333333333333</v>
      </c>
    </row>
    <row r="22" spans="1:5" s="229" customFormat="1" ht="12.75" x14ac:dyDescent="0.2">
      <c r="A22" s="293">
        <v>2358</v>
      </c>
      <c r="B22" s="294" t="s">
        <v>240</v>
      </c>
      <c r="C22" s="295">
        <v>1</v>
      </c>
      <c r="D22" s="295">
        <v>4.5</v>
      </c>
      <c r="E22" s="297">
        <f t="shared" si="0"/>
        <v>3.208333333333333</v>
      </c>
    </row>
    <row r="23" spans="1:5" s="229" customFormat="1" ht="12.75" x14ac:dyDescent="0.2">
      <c r="A23" s="293">
        <v>2359</v>
      </c>
      <c r="B23" s="294" t="s">
        <v>239</v>
      </c>
      <c r="C23" s="295">
        <v>3</v>
      </c>
      <c r="D23" s="295">
        <v>2</v>
      </c>
      <c r="E23" s="297">
        <f t="shared" si="0"/>
        <v>2.9166666666666665</v>
      </c>
    </row>
    <row r="24" spans="1:5" s="229" customFormat="1" ht="12.75" x14ac:dyDescent="0.2">
      <c r="A24" s="293">
        <v>2360</v>
      </c>
      <c r="B24" s="294" t="s">
        <v>239</v>
      </c>
      <c r="C24" s="295">
        <v>3.5</v>
      </c>
      <c r="D24" s="295">
        <v>3</v>
      </c>
      <c r="E24" s="297">
        <f t="shared" si="0"/>
        <v>3.791666666666667</v>
      </c>
    </row>
    <row r="25" spans="1:5" s="229" customFormat="1" ht="12.75" x14ac:dyDescent="0.2">
      <c r="A25" s="293">
        <v>2361</v>
      </c>
      <c r="B25" s="294" t="s">
        <v>241</v>
      </c>
      <c r="C25" s="295">
        <v>2</v>
      </c>
      <c r="D25" s="295">
        <v>4.5</v>
      </c>
      <c r="E25" s="297">
        <f t="shared" si="0"/>
        <v>3.791666666666667</v>
      </c>
    </row>
    <row r="26" spans="1:5" s="229" customFormat="1" ht="12.75" x14ac:dyDescent="0.2">
      <c r="A26" s="293">
        <v>2362</v>
      </c>
      <c r="B26" s="294" t="s">
        <v>239</v>
      </c>
      <c r="C26" s="295">
        <v>1</v>
      </c>
      <c r="D26" s="295">
        <v>1</v>
      </c>
      <c r="E26" s="297">
        <f t="shared" si="0"/>
        <v>1.1666666666666667</v>
      </c>
    </row>
    <row r="27" spans="1:5" s="229" customFormat="1" ht="12.75" x14ac:dyDescent="0.2">
      <c r="A27" s="293">
        <v>2363</v>
      </c>
      <c r="B27" s="294" t="s">
        <v>239</v>
      </c>
      <c r="C27" s="295">
        <v>1.5</v>
      </c>
      <c r="D27" s="295">
        <v>6</v>
      </c>
      <c r="E27" s="297">
        <f t="shared" si="0"/>
        <v>4.375</v>
      </c>
    </row>
    <row r="28" spans="1:5" s="229" customFormat="1" ht="12.75" x14ac:dyDescent="0.2">
      <c r="A28" s="293">
        <v>2364</v>
      </c>
      <c r="B28" s="294" t="s">
        <v>241</v>
      </c>
      <c r="C28" s="295">
        <v>1</v>
      </c>
      <c r="D28" s="295">
        <v>4.5</v>
      </c>
      <c r="E28" s="297">
        <f t="shared" si="0"/>
        <v>3.208333333333333</v>
      </c>
    </row>
    <row r="29" spans="1:5" s="229" customFormat="1" ht="12.75" x14ac:dyDescent="0.2">
      <c r="A29" s="293">
        <v>2365</v>
      </c>
      <c r="B29" s="294" t="s">
        <v>240</v>
      </c>
      <c r="C29" s="295">
        <v>2</v>
      </c>
      <c r="D29" s="295">
        <v>4.5</v>
      </c>
      <c r="E29" s="297">
        <f t="shared" si="0"/>
        <v>3.791666666666667</v>
      </c>
    </row>
    <row r="30" spans="1:5" s="229" customFormat="1" ht="12.75" x14ac:dyDescent="0.2">
      <c r="A30" s="293">
        <v>2366</v>
      </c>
      <c r="B30" s="294" t="s">
        <v>241</v>
      </c>
      <c r="C30" s="295">
        <v>1</v>
      </c>
      <c r="D30" s="295">
        <v>1</v>
      </c>
      <c r="E30" s="297">
        <f t="shared" si="0"/>
        <v>1.1666666666666667</v>
      </c>
    </row>
    <row r="31" spans="1:5" s="229" customFormat="1" ht="12.75" x14ac:dyDescent="0.2">
      <c r="A31" s="293">
        <v>2367</v>
      </c>
      <c r="B31" s="294" t="s">
        <v>239</v>
      </c>
      <c r="C31" s="295">
        <v>1</v>
      </c>
      <c r="D31" s="295">
        <v>1.5</v>
      </c>
      <c r="E31" s="297">
        <f t="shared" si="0"/>
        <v>1.4583333333333333</v>
      </c>
    </row>
    <row r="32" spans="1:5" s="229" customFormat="1" ht="12.75" x14ac:dyDescent="0.2">
      <c r="A32" s="293">
        <v>2368</v>
      </c>
      <c r="B32" s="294" t="s">
        <v>239</v>
      </c>
      <c r="C32" s="295">
        <v>1</v>
      </c>
      <c r="D32" s="295">
        <v>7.5</v>
      </c>
      <c r="E32" s="297">
        <f t="shared" si="0"/>
        <v>4.958333333333333</v>
      </c>
    </row>
    <row r="33" spans="1:12" s="229" customFormat="1" ht="12.75" x14ac:dyDescent="0.2">
      <c r="A33" s="293">
        <v>2369</v>
      </c>
      <c r="B33" s="294" t="s">
        <v>239</v>
      </c>
      <c r="C33" s="295">
        <v>1</v>
      </c>
      <c r="D33" s="295">
        <v>3</v>
      </c>
      <c r="E33" s="297">
        <f t="shared" si="0"/>
        <v>2.3333333333333335</v>
      </c>
      <c r="I33" s="290"/>
      <c r="J33" s="290"/>
      <c r="K33" s="290"/>
      <c r="L33" s="290"/>
    </row>
    <row r="34" spans="1:12" s="229" customFormat="1" ht="12.75" x14ac:dyDescent="0.2">
      <c r="A34" s="293">
        <v>2370</v>
      </c>
      <c r="B34" s="294" t="s">
        <v>240</v>
      </c>
      <c r="C34" s="295">
        <v>1</v>
      </c>
      <c r="D34" s="295">
        <v>5</v>
      </c>
      <c r="E34" s="297">
        <f t="shared" si="0"/>
        <v>3.5</v>
      </c>
      <c r="I34" s="290"/>
      <c r="J34" s="290"/>
      <c r="K34" s="290"/>
      <c r="L34" s="290"/>
    </row>
    <row r="35" spans="1:12" s="229" customFormat="1" ht="11.25" customHeight="1" x14ac:dyDescent="0.2">
      <c r="A35" s="293">
        <v>2371</v>
      </c>
      <c r="B35" s="294" t="s">
        <v>239</v>
      </c>
      <c r="C35" s="295">
        <v>2</v>
      </c>
      <c r="D35" s="295">
        <v>6.5</v>
      </c>
      <c r="E35" s="297">
        <f t="shared" si="0"/>
        <v>4.958333333333333</v>
      </c>
      <c r="K35" s="290"/>
      <c r="L35" s="290"/>
    </row>
    <row r="36" spans="1:12" s="229" customFormat="1" ht="12.75" x14ac:dyDescent="0.2">
      <c r="A36" s="293">
        <v>2372</v>
      </c>
      <c r="B36" s="294" t="s">
        <v>240</v>
      </c>
      <c r="C36" s="295">
        <v>1.5</v>
      </c>
      <c r="D36" s="295">
        <v>6</v>
      </c>
      <c r="E36" s="297">
        <f t="shared" si="0"/>
        <v>4.375</v>
      </c>
      <c r="K36" s="290"/>
      <c r="L36" s="290"/>
    </row>
    <row r="37" spans="1:12" s="229" customFormat="1" ht="11.25" customHeight="1" x14ac:dyDescent="0.2">
      <c r="A37" s="293">
        <v>2373</v>
      </c>
      <c r="B37" s="294" t="s">
        <v>241</v>
      </c>
      <c r="C37" s="295">
        <v>1.5</v>
      </c>
      <c r="D37" s="295">
        <v>4.5</v>
      </c>
      <c r="E37" s="297">
        <f t="shared" si="0"/>
        <v>3.5</v>
      </c>
      <c r="K37" s="290"/>
      <c r="L37" s="290"/>
    </row>
    <row r="38" spans="1:12" s="229" customFormat="1" ht="12.75" x14ac:dyDescent="0.2">
      <c r="A38" s="293">
        <v>2374</v>
      </c>
      <c r="B38" s="294" t="s">
        <v>241</v>
      </c>
      <c r="C38" s="295">
        <v>1</v>
      </c>
      <c r="D38" s="295">
        <v>2</v>
      </c>
      <c r="E38" s="297">
        <f t="shared" si="0"/>
        <v>1.75</v>
      </c>
      <c r="K38" s="290"/>
      <c r="L38" s="290"/>
    </row>
    <row r="39" spans="1:12" s="229" customFormat="1" ht="11.25" customHeight="1" x14ac:dyDescent="0.2">
      <c r="A39" s="293">
        <v>2375</v>
      </c>
      <c r="B39" s="294" t="s">
        <v>239</v>
      </c>
      <c r="C39" s="295">
        <v>1.5</v>
      </c>
      <c r="D39" s="295">
        <v>2.5</v>
      </c>
      <c r="E39" s="297">
        <f t="shared" si="0"/>
        <v>2.3333333333333335</v>
      </c>
      <c r="K39" s="290"/>
      <c r="L39" s="290"/>
    </row>
    <row r="40" spans="1:12" s="229" customFormat="1" ht="12.75" x14ac:dyDescent="0.2">
      <c r="A40" s="293">
        <v>2376</v>
      </c>
      <c r="B40" s="294" t="s">
        <v>241</v>
      </c>
      <c r="C40" s="295">
        <v>1</v>
      </c>
      <c r="D40" s="295">
        <v>1</v>
      </c>
      <c r="E40" s="297">
        <f t="shared" si="0"/>
        <v>1.1666666666666667</v>
      </c>
    </row>
    <row r="41" spans="1:12" s="229" customFormat="1" ht="11.25" customHeight="1" x14ac:dyDescent="0.2">
      <c r="A41" s="293">
        <v>2377</v>
      </c>
      <c r="B41" s="294" t="s">
        <v>239</v>
      </c>
      <c r="C41" s="295">
        <v>2.5</v>
      </c>
      <c r="D41" s="295">
        <v>2.5</v>
      </c>
      <c r="E41" s="297">
        <f t="shared" ref="E41:E72" si="1">SUM(C41:D41)/60*E$7</f>
        <v>2.9166666666666665</v>
      </c>
    </row>
    <row r="42" spans="1:12" s="229" customFormat="1" ht="12.75" x14ac:dyDescent="0.2">
      <c r="A42" s="293">
        <v>2378</v>
      </c>
      <c r="B42" s="294" t="s">
        <v>240</v>
      </c>
      <c r="C42" s="295">
        <v>1</v>
      </c>
      <c r="D42" s="295">
        <v>3.5</v>
      </c>
      <c r="E42" s="297">
        <f t="shared" si="1"/>
        <v>2.625</v>
      </c>
    </row>
    <row r="43" spans="1:12" s="229" customFormat="1" ht="11.25" customHeight="1" x14ac:dyDescent="0.2">
      <c r="A43" s="293">
        <v>2379</v>
      </c>
      <c r="B43" s="294" t="s">
        <v>241</v>
      </c>
      <c r="C43" s="295">
        <v>2</v>
      </c>
      <c r="D43" s="295">
        <v>1</v>
      </c>
      <c r="E43" s="297">
        <f t="shared" si="1"/>
        <v>1.75</v>
      </c>
    </row>
    <row r="44" spans="1:12" s="229" customFormat="1" ht="12.75" x14ac:dyDescent="0.2">
      <c r="A44" s="293">
        <v>2380</v>
      </c>
      <c r="B44" s="294" t="s">
        <v>241</v>
      </c>
      <c r="C44" s="295">
        <v>1</v>
      </c>
      <c r="D44" s="295">
        <v>2.5</v>
      </c>
      <c r="E44" s="297">
        <f t="shared" si="1"/>
        <v>2.0416666666666665</v>
      </c>
    </row>
    <row r="45" spans="1:12" s="229" customFormat="1" ht="11.25" customHeight="1" x14ac:dyDescent="0.2">
      <c r="A45" s="293">
        <v>2381</v>
      </c>
      <c r="B45" s="294" t="s">
        <v>241</v>
      </c>
      <c r="C45" s="295">
        <v>1.5</v>
      </c>
      <c r="D45" s="295">
        <v>5</v>
      </c>
      <c r="E45" s="297">
        <f t="shared" si="1"/>
        <v>3.791666666666667</v>
      </c>
    </row>
    <row r="46" spans="1:12" s="229" customFormat="1" ht="12.75" x14ac:dyDescent="0.2">
      <c r="A46" s="293">
        <v>2382</v>
      </c>
      <c r="B46" s="294" t="s">
        <v>241</v>
      </c>
      <c r="C46" s="295">
        <v>2</v>
      </c>
      <c r="D46" s="295">
        <v>3.5</v>
      </c>
      <c r="E46" s="297">
        <f t="shared" si="1"/>
        <v>3.208333333333333</v>
      </c>
    </row>
    <row r="47" spans="1:12" s="229" customFormat="1" ht="11.25" customHeight="1" x14ac:dyDescent="0.2">
      <c r="A47" s="293">
        <v>2383</v>
      </c>
      <c r="B47" s="294" t="s">
        <v>241</v>
      </c>
      <c r="C47" s="295">
        <v>1.5</v>
      </c>
      <c r="D47" s="295">
        <v>4</v>
      </c>
      <c r="E47" s="297">
        <f t="shared" si="1"/>
        <v>3.208333333333333</v>
      </c>
    </row>
    <row r="48" spans="1:12" s="229" customFormat="1" ht="11.25" customHeight="1" x14ac:dyDescent="0.2">
      <c r="A48" s="293">
        <v>2384</v>
      </c>
      <c r="B48" s="294" t="s">
        <v>239</v>
      </c>
      <c r="C48" s="295">
        <v>2.5</v>
      </c>
      <c r="D48" s="295">
        <v>7</v>
      </c>
      <c r="E48" s="297">
        <f t="shared" si="1"/>
        <v>5.5416666666666661</v>
      </c>
    </row>
    <row r="49" spans="1:5" s="229" customFormat="1" ht="11.25" customHeight="1" x14ac:dyDescent="0.2">
      <c r="A49" s="293">
        <v>2385</v>
      </c>
      <c r="B49" s="294" t="s">
        <v>240</v>
      </c>
      <c r="C49" s="295">
        <v>1</v>
      </c>
      <c r="D49" s="295">
        <v>2.5</v>
      </c>
      <c r="E49" s="297">
        <f t="shared" si="1"/>
        <v>2.0416666666666665</v>
      </c>
    </row>
    <row r="50" spans="1:5" s="229" customFormat="1" ht="11.25" customHeight="1" x14ac:dyDescent="0.2">
      <c r="A50" s="293">
        <v>2386</v>
      </c>
      <c r="B50" s="294" t="s">
        <v>239</v>
      </c>
      <c r="C50" s="295">
        <v>3</v>
      </c>
      <c r="D50" s="295">
        <v>3.5</v>
      </c>
      <c r="E50" s="297">
        <f t="shared" si="1"/>
        <v>3.791666666666667</v>
      </c>
    </row>
    <row r="51" spans="1:5" s="229" customFormat="1" ht="12.75" x14ac:dyDescent="0.2">
      <c r="A51" s="293">
        <v>2387</v>
      </c>
      <c r="B51" s="294" t="s">
        <v>240</v>
      </c>
      <c r="C51" s="295">
        <v>1.5</v>
      </c>
      <c r="D51" s="295">
        <v>5.5</v>
      </c>
      <c r="E51" s="297">
        <f t="shared" si="1"/>
        <v>4.083333333333333</v>
      </c>
    </row>
    <row r="52" spans="1:5" s="229" customFormat="1" ht="12.75" x14ac:dyDescent="0.2">
      <c r="A52" s="293">
        <v>2388</v>
      </c>
      <c r="B52" s="294" t="s">
        <v>241</v>
      </c>
      <c r="C52" s="295">
        <v>1.5</v>
      </c>
      <c r="D52" s="295">
        <v>4</v>
      </c>
      <c r="E52" s="297">
        <f t="shared" si="1"/>
        <v>3.208333333333333</v>
      </c>
    </row>
    <row r="53" spans="1:5" s="229" customFormat="1" ht="11.25" customHeight="1" x14ac:dyDescent="0.2">
      <c r="A53" s="293">
        <v>2389</v>
      </c>
      <c r="B53" s="294" t="s">
        <v>240</v>
      </c>
      <c r="C53" s="295">
        <v>1.5</v>
      </c>
      <c r="D53" s="295">
        <v>2.5</v>
      </c>
      <c r="E53" s="297">
        <f t="shared" si="1"/>
        <v>2.3333333333333335</v>
      </c>
    </row>
    <row r="54" spans="1:5" s="229" customFormat="1" ht="12.75" x14ac:dyDescent="0.2">
      <c r="A54" s="293">
        <v>2390</v>
      </c>
      <c r="B54" s="294" t="s">
        <v>240</v>
      </c>
      <c r="C54" s="295">
        <v>2.5</v>
      </c>
      <c r="D54" s="295">
        <v>6</v>
      </c>
      <c r="E54" s="297">
        <f t="shared" si="1"/>
        <v>4.958333333333333</v>
      </c>
    </row>
    <row r="55" spans="1:5" s="229" customFormat="1" ht="12.75" x14ac:dyDescent="0.2">
      <c r="A55" s="293">
        <v>2391</v>
      </c>
      <c r="B55" s="294" t="s">
        <v>241</v>
      </c>
      <c r="C55" s="295">
        <v>1</v>
      </c>
      <c r="D55" s="295">
        <v>1</v>
      </c>
      <c r="E55" s="297">
        <f t="shared" si="1"/>
        <v>1.1666666666666667</v>
      </c>
    </row>
    <row r="56" spans="1:5" s="229" customFormat="1" ht="12.75" x14ac:dyDescent="0.2">
      <c r="A56" s="293">
        <v>2392</v>
      </c>
      <c r="B56" s="294" t="s">
        <v>241</v>
      </c>
      <c r="C56" s="295">
        <v>1</v>
      </c>
      <c r="D56" s="295">
        <v>1.5</v>
      </c>
      <c r="E56" s="297">
        <f t="shared" si="1"/>
        <v>1.4583333333333333</v>
      </c>
    </row>
    <row r="57" spans="1:5" s="229" customFormat="1" ht="12.75" x14ac:dyDescent="0.2">
      <c r="A57" s="293">
        <v>2393</v>
      </c>
      <c r="B57" s="294" t="s">
        <v>240</v>
      </c>
      <c r="C57" s="295">
        <v>1.5</v>
      </c>
      <c r="D57" s="295">
        <v>5.5</v>
      </c>
      <c r="E57" s="297">
        <f t="shared" si="1"/>
        <v>4.083333333333333</v>
      </c>
    </row>
    <row r="58" spans="1:5" s="229" customFormat="1" ht="12.75" x14ac:dyDescent="0.2">
      <c r="A58" s="293">
        <v>2394</v>
      </c>
      <c r="B58" s="294" t="s">
        <v>240</v>
      </c>
      <c r="C58" s="295">
        <v>2</v>
      </c>
      <c r="D58" s="295">
        <v>2</v>
      </c>
      <c r="E58" s="297">
        <f t="shared" si="1"/>
        <v>2.3333333333333335</v>
      </c>
    </row>
    <row r="59" spans="1:5" s="229" customFormat="1" ht="12.75" x14ac:dyDescent="0.2">
      <c r="A59" s="293">
        <v>2395</v>
      </c>
      <c r="B59" s="294" t="s">
        <v>239</v>
      </c>
      <c r="C59" s="295">
        <v>3.5</v>
      </c>
      <c r="D59" s="295">
        <v>1.5</v>
      </c>
      <c r="E59" s="297">
        <f t="shared" si="1"/>
        <v>2.9166666666666665</v>
      </c>
    </row>
    <row r="60" spans="1:5" s="229" customFormat="1" ht="12.75" x14ac:dyDescent="0.2">
      <c r="A60" s="293">
        <v>2396</v>
      </c>
      <c r="B60" s="294" t="s">
        <v>241</v>
      </c>
      <c r="C60" s="295">
        <v>2</v>
      </c>
      <c r="D60" s="295">
        <v>1</v>
      </c>
      <c r="E60" s="297">
        <f t="shared" si="1"/>
        <v>1.75</v>
      </c>
    </row>
    <row r="61" spans="1:5" s="229" customFormat="1" ht="12.75" x14ac:dyDescent="0.2">
      <c r="A61" s="293">
        <v>2397</v>
      </c>
      <c r="B61" s="294" t="s">
        <v>241</v>
      </c>
      <c r="C61" s="295">
        <v>1</v>
      </c>
      <c r="D61" s="295">
        <v>5</v>
      </c>
      <c r="E61" s="297">
        <f t="shared" si="1"/>
        <v>3.5</v>
      </c>
    </row>
    <row r="62" spans="1:5" s="229" customFormat="1" ht="12.75" x14ac:dyDescent="0.2">
      <c r="A62" s="293">
        <v>2398</v>
      </c>
      <c r="B62" s="294" t="s">
        <v>241</v>
      </c>
      <c r="C62" s="295">
        <v>1</v>
      </c>
      <c r="D62" s="295">
        <v>1</v>
      </c>
      <c r="E62" s="297">
        <f t="shared" si="1"/>
        <v>1.1666666666666667</v>
      </c>
    </row>
    <row r="63" spans="1:5" s="229" customFormat="1" ht="12.75" x14ac:dyDescent="0.2">
      <c r="A63" s="293">
        <v>2399</v>
      </c>
      <c r="B63" s="294" t="s">
        <v>241</v>
      </c>
      <c r="C63" s="295">
        <v>1</v>
      </c>
      <c r="D63" s="295">
        <v>3</v>
      </c>
      <c r="E63" s="297">
        <f t="shared" si="1"/>
        <v>2.3333333333333335</v>
      </c>
    </row>
    <row r="64" spans="1:5" s="229" customFormat="1" ht="12.75" x14ac:dyDescent="0.2">
      <c r="A64" s="293">
        <v>2400</v>
      </c>
      <c r="B64" s="294" t="s">
        <v>241</v>
      </c>
      <c r="C64" s="295">
        <v>1</v>
      </c>
      <c r="D64" s="295">
        <v>1.5</v>
      </c>
      <c r="E64" s="297">
        <f t="shared" si="1"/>
        <v>1.4583333333333333</v>
      </c>
    </row>
    <row r="65" spans="1:5" s="229" customFormat="1" ht="12.75" x14ac:dyDescent="0.2">
      <c r="A65" s="293">
        <v>2401</v>
      </c>
      <c r="B65" s="294" t="s">
        <v>241</v>
      </c>
      <c r="C65" s="295">
        <v>1.5</v>
      </c>
      <c r="D65" s="295">
        <v>4.5</v>
      </c>
      <c r="E65" s="297">
        <f t="shared" si="1"/>
        <v>3.5</v>
      </c>
    </row>
    <row r="66" spans="1:5" s="229" customFormat="1" ht="11.25" customHeight="1" x14ac:dyDescent="0.2">
      <c r="A66" s="293">
        <v>2402</v>
      </c>
      <c r="B66" s="294" t="s">
        <v>239</v>
      </c>
      <c r="C66" s="295">
        <v>2.5</v>
      </c>
      <c r="D66" s="295">
        <v>5.5</v>
      </c>
      <c r="E66" s="297">
        <f t="shared" si="1"/>
        <v>4.666666666666667</v>
      </c>
    </row>
    <row r="67" spans="1:5" s="229" customFormat="1" ht="12.75" x14ac:dyDescent="0.2">
      <c r="A67" s="293">
        <v>2403</v>
      </c>
      <c r="B67" s="294" t="s">
        <v>239</v>
      </c>
      <c r="C67" s="295">
        <v>1</v>
      </c>
      <c r="D67" s="295">
        <v>7</v>
      </c>
      <c r="E67" s="297">
        <f t="shared" si="1"/>
        <v>4.666666666666667</v>
      </c>
    </row>
    <row r="68" spans="1:5" s="229" customFormat="1" ht="12.75" x14ac:dyDescent="0.2">
      <c r="A68" s="293">
        <v>2404</v>
      </c>
      <c r="B68" s="294" t="s">
        <v>240</v>
      </c>
      <c r="C68" s="295">
        <v>1</v>
      </c>
      <c r="D68" s="295">
        <v>2</v>
      </c>
      <c r="E68" s="297">
        <f t="shared" si="1"/>
        <v>1.75</v>
      </c>
    </row>
    <row r="69" spans="1:5" s="229" customFormat="1" ht="12.75" x14ac:dyDescent="0.2">
      <c r="A69" s="293">
        <v>2405</v>
      </c>
      <c r="B69" s="294" t="s">
        <v>241</v>
      </c>
      <c r="C69" s="295">
        <v>1</v>
      </c>
      <c r="D69" s="295">
        <v>5</v>
      </c>
      <c r="E69" s="297">
        <f t="shared" si="1"/>
        <v>3.5</v>
      </c>
    </row>
    <row r="70" spans="1:5" s="229" customFormat="1" ht="12.75" x14ac:dyDescent="0.2">
      <c r="A70" s="293">
        <v>2406</v>
      </c>
      <c r="B70" s="294" t="s">
        <v>239</v>
      </c>
      <c r="C70" s="295">
        <v>4</v>
      </c>
      <c r="D70" s="295">
        <v>7</v>
      </c>
      <c r="E70" s="297">
        <f t="shared" si="1"/>
        <v>6.4166666666666661</v>
      </c>
    </row>
    <row r="71" spans="1:5" s="229" customFormat="1" ht="12.75" x14ac:dyDescent="0.2">
      <c r="A71" s="293">
        <v>2407</v>
      </c>
      <c r="B71" s="294" t="s">
        <v>240</v>
      </c>
      <c r="C71" s="295">
        <v>1.5</v>
      </c>
      <c r="D71" s="295">
        <v>4</v>
      </c>
      <c r="E71" s="297">
        <f t="shared" si="1"/>
        <v>3.208333333333333</v>
      </c>
    </row>
    <row r="72" spans="1:5" s="229" customFormat="1" ht="12.75" x14ac:dyDescent="0.2">
      <c r="A72" s="293">
        <v>2408</v>
      </c>
      <c r="B72" s="294" t="s">
        <v>239</v>
      </c>
      <c r="C72" s="295">
        <v>1</v>
      </c>
      <c r="D72" s="295">
        <v>3.5</v>
      </c>
      <c r="E72" s="297">
        <f t="shared" si="1"/>
        <v>2.625</v>
      </c>
    </row>
    <row r="73" spans="1:5" s="229" customFormat="1" ht="12.75" x14ac:dyDescent="0.2">
      <c r="A73" s="293">
        <v>2409</v>
      </c>
      <c r="B73" s="294" t="s">
        <v>241</v>
      </c>
      <c r="C73" s="295">
        <v>2</v>
      </c>
      <c r="D73" s="295">
        <v>1</v>
      </c>
      <c r="E73" s="297">
        <f t="shared" ref="E73:E104" si="2">SUM(C73:D73)/60*E$7</f>
        <v>1.75</v>
      </c>
    </row>
    <row r="74" spans="1:5" s="229" customFormat="1" ht="12.75" x14ac:dyDescent="0.2">
      <c r="A74" s="293">
        <v>2410</v>
      </c>
      <c r="B74" s="294" t="s">
        <v>240</v>
      </c>
      <c r="C74" s="295">
        <v>1.5</v>
      </c>
      <c r="D74" s="295">
        <v>1</v>
      </c>
      <c r="E74" s="297">
        <f t="shared" si="2"/>
        <v>1.4583333333333333</v>
      </c>
    </row>
    <row r="75" spans="1:5" s="229" customFormat="1" ht="12.75" x14ac:dyDescent="0.2">
      <c r="A75" s="293">
        <v>2411</v>
      </c>
      <c r="B75" s="294" t="s">
        <v>241</v>
      </c>
      <c r="C75" s="295">
        <v>1</v>
      </c>
      <c r="D75" s="295">
        <v>4.5</v>
      </c>
      <c r="E75" s="297">
        <f t="shared" si="2"/>
        <v>3.208333333333333</v>
      </c>
    </row>
    <row r="76" spans="1:5" s="229" customFormat="1" ht="12.75" x14ac:dyDescent="0.2">
      <c r="A76" s="293">
        <v>2412</v>
      </c>
      <c r="B76" s="294" t="s">
        <v>240</v>
      </c>
      <c r="C76" s="295">
        <v>3</v>
      </c>
      <c r="D76" s="295">
        <v>1</v>
      </c>
      <c r="E76" s="297">
        <f t="shared" si="2"/>
        <v>2.3333333333333335</v>
      </c>
    </row>
    <row r="77" spans="1:5" s="229" customFormat="1" ht="12.75" x14ac:dyDescent="0.2">
      <c r="A77" s="293">
        <v>2413</v>
      </c>
      <c r="B77" s="294" t="s">
        <v>241</v>
      </c>
      <c r="C77" s="295">
        <v>2</v>
      </c>
      <c r="D77" s="295">
        <v>1</v>
      </c>
      <c r="E77" s="297">
        <f t="shared" si="2"/>
        <v>1.75</v>
      </c>
    </row>
    <row r="78" spans="1:5" s="229" customFormat="1" ht="12.75" x14ac:dyDescent="0.2">
      <c r="A78" s="293">
        <v>2414</v>
      </c>
      <c r="B78" s="294" t="s">
        <v>239</v>
      </c>
      <c r="C78" s="295">
        <v>1</v>
      </c>
      <c r="D78" s="295">
        <v>4.5</v>
      </c>
      <c r="E78" s="297">
        <f t="shared" si="2"/>
        <v>3.208333333333333</v>
      </c>
    </row>
    <row r="79" spans="1:5" s="229" customFormat="1" ht="12.75" x14ac:dyDescent="0.2">
      <c r="A79" s="293">
        <v>2415</v>
      </c>
      <c r="B79" s="294" t="s">
        <v>240</v>
      </c>
      <c r="C79" s="295">
        <v>1</v>
      </c>
      <c r="D79" s="295">
        <v>5</v>
      </c>
      <c r="E79" s="297">
        <f t="shared" si="2"/>
        <v>3.5</v>
      </c>
    </row>
    <row r="80" spans="1:5" s="229" customFormat="1" ht="12.75" x14ac:dyDescent="0.2">
      <c r="A80" s="293">
        <v>2416</v>
      </c>
      <c r="B80" s="294" t="s">
        <v>241</v>
      </c>
      <c r="C80" s="295">
        <v>1</v>
      </c>
      <c r="D80" s="295">
        <v>3.5</v>
      </c>
      <c r="E80" s="297">
        <f t="shared" si="2"/>
        <v>2.625</v>
      </c>
    </row>
    <row r="81" spans="1:7" s="229" customFormat="1" ht="12.75" x14ac:dyDescent="0.2">
      <c r="A81" s="293">
        <v>2417</v>
      </c>
      <c r="B81" s="294" t="s">
        <v>241</v>
      </c>
      <c r="C81" s="295">
        <v>1</v>
      </c>
      <c r="D81" s="295">
        <v>2.5</v>
      </c>
      <c r="E81" s="297">
        <f t="shared" si="2"/>
        <v>2.0416666666666665</v>
      </c>
    </row>
    <row r="82" spans="1:7" s="229" customFormat="1" ht="12.75" x14ac:dyDescent="0.2">
      <c r="A82" s="293">
        <v>2418</v>
      </c>
      <c r="B82" s="294" t="s">
        <v>241</v>
      </c>
      <c r="C82" s="295">
        <v>1</v>
      </c>
      <c r="D82" s="295">
        <v>3</v>
      </c>
      <c r="E82" s="297">
        <f t="shared" si="2"/>
        <v>2.3333333333333335</v>
      </c>
    </row>
    <row r="83" spans="1:7" s="229" customFormat="1" ht="12.75" x14ac:dyDescent="0.2">
      <c r="A83" s="293">
        <v>2419</v>
      </c>
      <c r="B83" s="294" t="s">
        <v>241</v>
      </c>
      <c r="C83" s="295">
        <v>2</v>
      </c>
      <c r="D83" s="295">
        <v>1</v>
      </c>
      <c r="E83" s="297">
        <f t="shared" si="2"/>
        <v>1.75</v>
      </c>
    </row>
    <row r="84" spans="1:7" s="229" customFormat="1" ht="12.75" x14ac:dyDescent="0.2">
      <c r="A84" s="293">
        <v>2420</v>
      </c>
      <c r="B84" s="294" t="s">
        <v>241</v>
      </c>
      <c r="C84" s="295">
        <v>1</v>
      </c>
      <c r="D84" s="295">
        <v>1</v>
      </c>
      <c r="E84" s="297">
        <f t="shared" si="2"/>
        <v>1.1666666666666667</v>
      </c>
    </row>
    <row r="85" spans="1:7" s="229" customFormat="1" ht="12.75" x14ac:dyDescent="0.2">
      <c r="A85" s="293">
        <v>2421</v>
      </c>
      <c r="B85" s="294" t="s">
        <v>240</v>
      </c>
      <c r="C85" s="295">
        <v>1</v>
      </c>
      <c r="D85" s="295">
        <v>5.5</v>
      </c>
      <c r="E85" s="297">
        <f t="shared" si="2"/>
        <v>3.791666666666667</v>
      </c>
    </row>
    <row r="86" spans="1:7" s="229" customFormat="1" ht="12.75" x14ac:dyDescent="0.2">
      <c r="A86" s="293">
        <v>2422</v>
      </c>
      <c r="B86" s="294" t="s">
        <v>241</v>
      </c>
      <c r="C86" s="295">
        <v>1</v>
      </c>
      <c r="D86" s="295">
        <v>1</v>
      </c>
      <c r="E86" s="297">
        <f t="shared" si="2"/>
        <v>1.1666666666666667</v>
      </c>
    </row>
    <row r="87" spans="1:7" s="229" customFormat="1" ht="12.75" x14ac:dyDescent="0.2">
      <c r="A87" s="293">
        <v>2423</v>
      </c>
      <c r="B87" s="294" t="s">
        <v>241</v>
      </c>
      <c r="C87" s="295">
        <v>1</v>
      </c>
      <c r="D87" s="295">
        <v>1</v>
      </c>
      <c r="E87" s="297">
        <f t="shared" si="2"/>
        <v>1.1666666666666667</v>
      </c>
    </row>
    <row r="88" spans="1:7" s="229" customFormat="1" ht="12.75" x14ac:dyDescent="0.2">
      <c r="A88" s="293">
        <v>2424</v>
      </c>
      <c r="B88" s="294" t="s">
        <v>241</v>
      </c>
      <c r="C88" s="295">
        <v>1.5</v>
      </c>
      <c r="D88" s="295">
        <v>1</v>
      </c>
      <c r="E88" s="297">
        <f t="shared" si="2"/>
        <v>1.4583333333333333</v>
      </c>
    </row>
    <row r="89" spans="1:7" s="229" customFormat="1" ht="12.75" x14ac:dyDescent="0.2">
      <c r="A89" s="293">
        <v>2425</v>
      </c>
      <c r="B89" s="294" t="s">
        <v>241</v>
      </c>
      <c r="C89" s="295">
        <v>1</v>
      </c>
      <c r="D89" s="295">
        <v>1.5</v>
      </c>
      <c r="E89" s="297">
        <f t="shared" si="2"/>
        <v>1.4583333333333333</v>
      </c>
    </row>
    <row r="90" spans="1:7" s="229" customFormat="1" ht="12.75" x14ac:dyDescent="0.2">
      <c r="A90" s="293">
        <v>2426</v>
      </c>
      <c r="B90" s="294" t="s">
        <v>241</v>
      </c>
      <c r="C90" s="295">
        <v>1</v>
      </c>
      <c r="D90" s="295">
        <v>4</v>
      </c>
      <c r="E90" s="297">
        <f t="shared" si="2"/>
        <v>2.9166666666666665</v>
      </c>
    </row>
    <row r="91" spans="1:7" s="229" customFormat="1" ht="12.75" x14ac:dyDescent="0.2">
      <c r="A91" s="293">
        <v>2427</v>
      </c>
      <c r="B91" s="294" t="s">
        <v>239</v>
      </c>
      <c r="C91" s="295">
        <v>2</v>
      </c>
      <c r="D91" s="295">
        <v>3.5</v>
      </c>
      <c r="E91" s="297">
        <f t="shared" si="2"/>
        <v>3.208333333333333</v>
      </c>
    </row>
    <row r="92" spans="1:7" s="229" customFormat="1" ht="12.75" x14ac:dyDescent="0.2">
      <c r="A92" s="293">
        <v>2428</v>
      </c>
      <c r="B92" s="294" t="s">
        <v>239</v>
      </c>
      <c r="C92" s="295">
        <v>3.5</v>
      </c>
      <c r="D92" s="295">
        <v>1.5</v>
      </c>
      <c r="E92" s="297">
        <f t="shared" si="2"/>
        <v>2.9166666666666665</v>
      </c>
      <c r="G92" s="287" t="s">
        <v>295</v>
      </c>
    </row>
    <row r="93" spans="1:7" s="229" customFormat="1" ht="12.75" x14ac:dyDescent="0.2">
      <c r="A93" s="293">
        <v>2429</v>
      </c>
      <c r="B93" s="294" t="s">
        <v>241</v>
      </c>
      <c r="C93" s="295">
        <v>1.5</v>
      </c>
      <c r="D93" s="295">
        <v>2.5</v>
      </c>
      <c r="E93" s="297">
        <f t="shared" si="2"/>
        <v>2.3333333333333335</v>
      </c>
      <c r="G93" s="287" t="s">
        <v>296</v>
      </c>
    </row>
    <row r="94" spans="1:7" s="229" customFormat="1" ht="12.75" x14ac:dyDescent="0.2">
      <c r="A94" s="293">
        <v>2430</v>
      </c>
      <c r="B94" s="294" t="s">
        <v>240</v>
      </c>
      <c r="C94" s="295">
        <v>2.5</v>
      </c>
      <c r="D94" s="295">
        <v>6</v>
      </c>
      <c r="E94" s="297">
        <f t="shared" si="2"/>
        <v>4.958333333333333</v>
      </c>
    </row>
    <row r="95" spans="1:7" s="229" customFormat="1" ht="12.75" x14ac:dyDescent="0.2">
      <c r="A95" s="293">
        <v>2431</v>
      </c>
      <c r="B95" s="294" t="s">
        <v>239</v>
      </c>
      <c r="C95" s="295">
        <v>2.5</v>
      </c>
      <c r="D95" s="295">
        <v>3.5</v>
      </c>
      <c r="E95" s="297">
        <f t="shared" si="2"/>
        <v>3.5</v>
      </c>
    </row>
    <row r="96" spans="1:7" s="229" customFormat="1" ht="12.75" x14ac:dyDescent="0.2">
      <c r="A96" s="293">
        <v>2432</v>
      </c>
      <c r="B96" s="294" t="s">
        <v>241</v>
      </c>
      <c r="C96" s="295">
        <v>1</v>
      </c>
      <c r="D96" s="295">
        <v>2</v>
      </c>
      <c r="E96" s="297">
        <f t="shared" si="2"/>
        <v>1.75</v>
      </c>
    </row>
    <row r="97" spans="1:11" s="229" customFormat="1" ht="12.75" x14ac:dyDescent="0.2">
      <c r="A97" s="293">
        <v>2433</v>
      </c>
      <c r="B97" s="294" t="s">
        <v>239</v>
      </c>
      <c r="C97" s="295">
        <v>1</v>
      </c>
      <c r="D97" s="295">
        <v>2</v>
      </c>
      <c r="E97" s="297">
        <f t="shared" si="2"/>
        <v>1.75</v>
      </c>
      <c r="K97" s="287" t="s">
        <v>297</v>
      </c>
    </row>
    <row r="98" spans="1:11" s="229" customFormat="1" ht="12.75" x14ac:dyDescent="0.2">
      <c r="A98" s="293">
        <v>2434</v>
      </c>
      <c r="B98" s="294" t="s">
        <v>241</v>
      </c>
      <c r="C98" s="295">
        <v>1</v>
      </c>
      <c r="D98" s="295">
        <v>4</v>
      </c>
      <c r="E98" s="297">
        <f t="shared" si="2"/>
        <v>2.9166666666666665</v>
      </c>
      <c r="K98" s="287" t="s">
        <v>298</v>
      </c>
    </row>
    <row r="99" spans="1:11" s="229" customFormat="1" ht="12.75" x14ac:dyDescent="0.2">
      <c r="A99" s="293">
        <v>2435</v>
      </c>
      <c r="B99" s="294" t="s">
        <v>241</v>
      </c>
      <c r="C99" s="295">
        <v>1.5</v>
      </c>
      <c r="D99" s="295">
        <v>2</v>
      </c>
      <c r="E99" s="297">
        <f t="shared" si="2"/>
        <v>2.0416666666666665</v>
      </c>
      <c r="K99" s="287" t="s">
        <v>299</v>
      </c>
    </row>
    <row r="100" spans="1:11" s="229" customFormat="1" ht="12.75" x14ac:dyDescent="0.2">
      <c r="A100" s="293">
        <v>2436</v>
      </c>
      <c r="B100" s="294" t="s">
        <v>239</v>
      </c>
      <c r="C100" s="295">
        <v>2.5</v>
      </c>
      <c r="D100" s="295">
        <v>4.5</v>
      </c>
      <c r="E100" s="297">
        <f t="shared" si="2"/>
        <v>4.083333333333333</v>
      </c>
    </row>
    <row r="101" spans="1:11" s="229" customFormat="1" ht="12.75" x14ac:dyDescent="0.2">
      <c r="A101" s="293">
        <v>2437</v>
      </c>
      <c r="B101" s="294" t="s">
        <v>241</v>
      </c>
      <c r="C101" s="295">
        <v>1.5</v>
      </c>
      <c r="D101" s="295">
        <v>1</v>
      </c>
      <c r="E101" s="297">
        <f t="shared" si="2"/>
        <v>1.4583333333333333</v>
      </c>
      <c r="K101" s="229" t="s">
        <v>300</v>
      </c>
    </row>
    <row r="102" spans="1:11" s="229" customFormat="1" ht="12.75" x14ac:dyDescent="0.2">
      <c r="A102" s="293">
        <v>2438</v>
      </c>
      <c r="B102" s="294" t="s">
        <v>241</v>
      </c>
      <c r="C102" s="295">
        <v>1.5</v>
      </c>
      <c r="D102" s="295">
        <v>1</v>
      </c>
      <c r="E102" s="297">
        <f t="shared" si="2"/>
        <v>1.4583333333333333</v>
      </c>
      <c r="K102" s="229" t="s">
        <v>303</v>
      </c>
    </row>
    <row r="103" spans="1:11" s="229" customFormat="1" ht="12.75" x14ac:dyDescent="0.2">
      <c r="A103" s="293">
        <v>2439</v>
      </c>
      <c r="B103" s="294" t="s">
        <v>239</v>
      </c>
      <c r="C103" s="295">
        <v>1</v>
      </c>
      <c r="D103" s="295">
        <v>5.5</v>
      </c>
      <c r="E103" s="297">
        <f t="shared" si="2"/>
        <v>3.791666666666667</v>
      </c>
      <c r="K103" s="229" t="s">
        <v>301</v>
      </c>
    </row>
    <row r="104" spans="1:11" s="229" customFormat="1" ht="12.75" x14ac:dyDescent="0.2">
      <c r="A104" s="293">
        <v>2440</v>
      </c>
      <c r="B104" s="294" t="s">
        <v>241</v>
      </c>
      <c r="C104" s="295">
        <v>1</v>
      </c>
      <c r="D104" s="295">
        <v>5</v>
      </c>
      <c r="E104" s="297">
        <f t="shared" si="2"/>
        <v>3.5</v>
      </c>
      <c r="K104" s="229" t="s">
        <v>302</v>
      </c>
    </row>
    <row r="105" spans="1:11" s="229" customFormat="1" ht="12.75" x14ac:dyDescent="0.2">
      <c r="A105" s="293">
        <v>2441</v>
      </c>
      <c r="B105" s="294" t="s">
        <v>241</v>
      </c>
      <c r="C105" s="295">
        <v>1</v>
      </c>
      <c r="D105" s="295">
        <v>2</v>
      </c>
      <c r="E105" s="297">
        <f t="shared" ref="E105:E108" si="3">SUM(C105:D105)/60*E$7</f>
        <v>1.75</v>
      </c>
    </row>
    <row r="106" spans="1:11" s="229" customFormat="1" ht="12.75" x14ac:dyDescent="0.2">
      <c r="A106" s="293">
        <v>2442</v>
      </c>
      <c r="B106" s="294" t="s">
        <v>239</v>
      </c>
      <c r="C106" s="295">
        <v>3.5</v>
      </c>
      <c r="D106" s="295">
        <v>5</v>
      </c>
      <c r="E106" s="297">
        <f t="shared" si="3"/>
        <v>4.958333333333333</v>
      </c>
    </row>
    <row r="107" spans="1:11" s="229" customFormat="1" ht="12.75" x14ac:dyDescent="0.2">
      <c r="A107" s="293">
        <v>2443</v>
      </c>
      <c r="B107" s="294" t="s">
        <v>240</v>
      </c>
      <c r="C107" s="295">
        <v>1</v>
      </c>
      <c r="D107" s="295">
        <v>4</v>
      </c>
      <c r="E107" s="297">
        <f t="shared" si="3"/>
        <v>2.9166666666666665</v>
      </c>
    </row>
    <row r="108" spans="1:11" s="229" customFormat="1" ht="12.75" x14ac:dyDescent="0.2">
      <c r="A108" s="293">
        <v>2444</v>
      </c>
      <c r="B108" s="294" t="s">
        <v>239</v>
      </c>
      <c r="C108" s="295">
        <v>1.5</v>
      </c>
      <c r="D108" s="295">
        <v>1</v>
      </c>
      <c r="E108" s="297">
        <f t="shared" si="3"/>
        <v>1.4583333333333333</v>
      </c>
    </row>
    <row r="109" spans="1:11" s="229" customFormat="1" ht="12.75" x14ac:dyDescent="0.2">
      <c r="A109" s="298"/>
      <c r="B109" s="299"/>
      <c r="C109" s="298"/>
      <c r="D109" s="298"/>
      <c r="E109" s="300"/>
      <c r="F109" s="301"/>
      <c r="G109" s="301"/>
    </row>
    <row r="110" spans="1:11" s="229" customFormat="1" ht="12.75" x14ac:dyDescent="0.2">
      <c r="A110" s="229" t="s">
        <v>238</v>
      </c>
      <c r="B110" s="290"/>
      <c r="C110" s="301">
        <f>SUM(C8:C109)</f>
        <v>154.5</v>
      </c>
      <c r="D110" s="301">
        <f>SUM(D8:D109)</f>
        <v>321.5</v>
      </c>
      <c r="E110" s="302">
        <f>SUM(E9:E109)</f>
        <v>277.66666666666663</v>
      </c>
      <c r="F110" s="301"/>
      <c r="G110" s="301"/>
    </row>
    <row r="111" spans="1:11" s="229" customFormat="1" ht="12.75" x14ac:dyDescent="0.2">
      <c r="A111" s="229" t="s">
        <v>237</v>
      </c>
      <c r="B111" s="290"/>
      <c r="C111" s="301">
        <f>AVERAGE(C8:C109)</f>
        <v>1.5606060606060606</v>
      </c>
      <c r="D111" s="301">
        <f>AVERAGE(D8:D109)</f>
        <v>3.2474747474747474</v>
      </c>
      <c r="E111" s="303">
        <f>AVERAGE(E8:E109)</f>
        <v>2.7766666666666664</v>
      </c>
      <c r="F111" s="301"/>
      <c r="G111" s="301"/>
    </row>
    <row r="112" spans="1:11" s="229" customFormat="1" ht="12.75" x14ac:dyDescent="0.2">
      <c r="A112" s="229" t="s">
        <v>236</v>
      </c>
      <c r="B112" s="290"/>
      <c r="C112" s="301">
        <f>STDEV(C8:C109)</f>
        <v>0.72938584478665269</v>
      </c>
      <c r="D112" s="301">
        <f>STDEV(D8:D109)</f>
        <v>1.8549076347730837</v>
      </c>
      <c r="E112" s="303">
        <f>STDEV(E8:E109)</f>
        <v>1.2273126318490732</v>
      </c>
      <c r="F112" s="301"/>
      <c r="G112" s="301"/>
    </row>
    <row r="113" spans="3:7" x14ac:dyDescent="0.2">
      <c r="C113" s="219"/>
      <c r="E113" s="219"/>
      <c r="F113" s="219"/>
      <c r="G113" s="219"/>
    </row>
    <row r="114" spans="3:7" x14ac:dyDescent="0.2">
      <c r="C114" s="219"/>
      <c r="D114" s="219"/>
    </row>
  </sheetData>
  <mergeCells count="1">
    <mergeCell ref="C7:D7"/>
  </mergeCells>
  <pageMargins left="0.75" right="0.75" top="1" bottom="1" header="0.5" footer="0.5"/>
  <pageSetup orientation="portrait" horizontalDpi="4294967293"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CEA6C-49EB-4DD5-806E-5316936DCFC2}">
  <sheetPr codeName="Sheet16"/>
  <dimension ref="A1:K24"/>
  <sheetViews>
    <sheetView zoomScale="145" zoomScaleNormal="145" workbookViewId="0">
      <selection activeCell="A4" sqref="A4"/>
    </sheetView>
  </sheetViews>
  <sheetFormatPr defaultColWidth="9.140625" defaultRowHeight="12.75" x14ac:dyDescent="0.2"/>
  <cols>
    <col min="1" max="1" width="21.140625" style="84" customWidth="1"/>
    <col min="2" max="2" width="9.85546875" style="84" customWidth="1"/>
    <col min="3" max="16384" width="9.140625" style="84"/>
  </cols>
  <sheetData>
    <row r="1" spans="1:3" ht="18" x14ac:dyDescent="0.25">
      <c r="A1" s="90" t="s">
        <v>271</v>
      </c>
    </row>
    <row r="2" spans="1:3" s="244" customFormat="1" hidden="1" x14ac:dyDescent="0.2">
      <c r="B2" s="321"/>
    </row>
    <row r="3" spans="1:3" s="229" customFormat="1" x14ac:dyDescent="0.2">
      <c r="A3" s="239" t="str">
        <f>IF(A2="","",IF(Disable_Video_Hyperlinks,A2,HYPERLINK(Video_website&amp;A2,A2)))</f>
        <v/>
      </c>
    </row>
    <row r="4" spans="1:3" x14ac:dyDescent="0.2">
      <c r="A4" s="325" t="str">
        <f>IF(B2="","",B2)</f>
        <v/>
      </c>
    </row>
    <row r="5" spans="1:3" x14ac:dyDescent="0.2">
      <c r="A5" s="325"/>
    </row>
    <row r="6" spans="1:3" x14ac:dyDescent="0.2">
      <c r="A6" s="84" t="s">
        <v>270</v>
      </c>
    </row>
    <row r="7" spans="1:3" x14ac:dyDescent="0.2">
      <c r="A7" s="84" t="s">
        <v>269</v>
      </c>
    </row>
    <row r="8" spans="1:3" x14ac:dyDescent="0.2">
      <c r="A8" s="84" t="s">
        <v>268</v>
      </c>
    </row>
    <row r="9" spans="1:3" x14ac:dyDescent="0.2">
      <c r="A9" s="84" t="s">
        <v>267</v>
      </c>
    </row>
    <row r="10" spans="1:3" x14ac:dyDescent="0.2">
      <c r="A10" s="84" t="s">
        <v>266</v>
      </c>
    </row>
    <row r="11" spans="1:3" x14ac:dyDescent="0.2">
      <c r="A11" s="84" t="s">
        <v>265</v>
      </c>
    </row>
    <row r="15" spans="1:3" x14ac:dyDescent="0.2">
      <c r="A15" s="84" t="s">
        <v>264</v>
      </c>
      <c r="B15" s="227">
        <v>14999</v>
      </c>
      <c r="C15" s="84" t="s">
        <v>257</v>
      </c>
    </row>
    <row r="16" spans="1:3" x14ac:dyDescent="0.2">
      <c r="A16" s="84" t="s">
        <v>263</v>
      </c>
      <c r="B16" s="226">
        <v>1000</v>
      </c>
      <c r="C16" s="84" t="s">
        <v>257</v>
      </c>
    </row>
    <row r="17" spans="1:11" x14ac:dyDescent="0.2">
      <c r="A17" s="84" t="s">
        <v>262</v>
      </c>
      <c r="B17" s="225">
        <v>3000</v>
      </c>
      <c r="C17" s="84" t="s">
        <v>257</v>
      </c>
    </row>
    <row r="18" spans="1:11" x14ac:dyDescent="0.2">
      <c r="A18" s="84" t="s">
        <v>261</v>
      </c>
      <c r="B18" s="224">
        <f>B15-(B16+B17)</f>
        <v>10999</v>
      </c>
      <c r="C18" s="84" t="s">
        <v>260</v>
      </c>
    </row>
    <row r="19" spans="1:11" x14ac:dyDescent="0.2">
      <c r="A19" s="84" t="s">
        <v>259</v>
      </c>
      <c r="B19" s="223">
        <v>0.09</v>
      </c>
      <c r="K19" s="84" t="s">
        <v>252</v>
      </c>
    </row>
    <row r="20" spans="1:11" x14ac:dyDescent="0.2">
      <c r="A20" s="84" t="s">
        <v>258</v>
      </c>
      <c r="B20" s="222">
        <v>3</v>
      </c>
      <c r="C20" s="84" t="s">
        <v>257</v>
      </c>
    </row>
    <row r="21" spans="1:11" x14ac:dyDescent="0.2">
      <c r="A21" s="84" t="s">
        <v>256</v>
      </c>
      <c r="B21" s="222">
        <v>12</v>
      </c>
      <c r="K21" s="84" t="s">
        <v>320</v>
      </c>
    </row>
    <row r="22" spans="1:11" x14ac:dyDescent="0.2">
      <c r="A22" s="84" t="s">
        <v>255</v>
      </c>
      <c r="B22" s="222">
        <v>0</v>
      </c>
    </row>
    <row r="23" spans="1:11" x14ac:dyDescent="0.2">
      <c r="K23" s="84" t="s">
        <v>251</v>
      </c>
    </row>
    <row r="24" spans="1:11" x14ac:dyDescent="0.2">
      <c r="A24" s="84" t="s">
        <v>254</v>
      </c>
      <c r="B24" s="221">
        <f>-PMT(B19/B21,B20*B21,B18,B22)</f>
        <v>349.7652595266876</v>
      </c>
      <c r="C24" s="84" t="s">
        <v>253</v>
      </c>
      <c r="K24" s="84" t="s">
        <v>250</v>
      </c>
    </row>
  </sheetData>
  <pageMargins left="0.75" right="0.75" top="1" bottom="1" header="0.5" footer="0.5"/>
  <pageSetup orientation="portrait" r:id="rId1"/>
  <headerFooter alignWithMargins="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0BDE-06B8-4F9E-ABEE-23383A85F5A5}">
  <sheetPr codeName="Sheet17"/>
  <dimension ref="A1:B5"/>
  <sheetViews>
    <sheetView zoomScale="160" zoomScaleNormal="160" workbookViewId="0">
      <selection activeCell="A2" sqref="A2"/>
    </sheetView>
  </sheetViews>
  <sheetFormatPr defaultRowHeight="12.75" x14ac:dyDescent="0.2"/>
  <sheetData>
    <row r="1" spans="1:2" ht="18" x14ac:dyDescent="0.25">
      <c r="A1" s="82" t="s">
        <v>275</v>
      </c>
    </row>
    <row r="2" spans="1:2" s="196" customFormat="1" hidden="1" x14ac:dyDescent="0.2">
      <c r="B2" s="319"/>
    </row>
    <row r="3" spans="1:2" s="121" customFormat="1" x14ac:dyDescent="0.2">
      <c r="A3" s="237" t="str">
        <f>IF(A2="","",IF(Disable_Video_Hyperlinks,A2,HYPERLINK(Video_website&amp;A2,A2)))</f>
        <v/>
      </c>
    </row>
    <row r="4" spans="1:2" x14ac:dyDescent="0.2">
      <c r="A4" s="325" t="str">
        <f>IF(B2="","",B2)</f>
        <v/>
      </c>
    </row>
    <row r="5" spans="1:2" x14ac:dyDescent="0.2">
      <c r="A5" s="3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BDEC-5808-4AB4-9B18-ACDCFAC78E81}">
  <dimension ref="A1:P39"/>
  <sheetViews>
    <sheetView zoomScale="130" zoomScaleNormal="130" workbookViewId="0">
      <selection activeCell="A2" sqref="A2"/>
    </sheetView>
  </sheetViews>
  <sheetFormatPr defaultRowHeight="12.75" x14ac:dyDescent="0.2"/>
  <cols>
    <col min="1" max="1" width="12.42578125" style="84" customWidth="1"/>
    <col min="2" max="2" width="22.5703125" style="84" customWidth="1"/>
    <col min="3" max="3" width="10.42578125" style="84" customWidth="1"/>
    <col min="4" max="4" width="9.140625" style="84"/>
    <col min="5" max="5" width="11.28515625" style="84" customWidth="1"/>
    <col min="6" max="6" width="10.7109375" style="84" customWidth="1"/>
    <col min="7" max="7" width="11.7109375" style="84" customWidth="1"/>
    <col min="8" max="8" width="10.7109375" style="84" customWidth="1"/>
    <col min="9" max="9" width="9.140625" style="84"/>
    <col min="10" max="10" width="11.28515625" style="84" customWidth="1"/>
    <col min="11" max="11" width="14.85546875" style="84" bestFit="1" customWidth="1"/>
    <col min="12" max="12" width="11.5703125" style="84" bestFit="1" customWidth="1"/>
    <col min="13" max="15" width="11.28515625" style="84" bestFit="1" customWidth="1"/>
    <col min="16" max="16" width="10.7109375" style="84" bestFit="1" customWidth="1"/>
    <col min="17" max="16384" width="9.140625" style="84"/>
  </cols>
  <sheetData>
    <row r="1" spans="1:16" ht="15.75" x14ac:dyDescent="0.25">
      <c r="A1" s="267" t="s">
        <v>290</v>
      </c>
    </row>
    <row r="2" spans="1:16" s="244" customFormat="1" hidden="1" x14ac:dyDescent="0.2">
      <c r="B2" s="321"/>
    </row>
    <row r="3" spans="1:16" ht="14.25" x14ac:dyDescent="0.2">
      <c r="A3" s="329" t="str">
        <f>IF(A4="","",IF(Disable_Video_Hyperlinks,A4,HYPERLINK(Video_website&amp;A4,A4)))</f>
        <v/>
      </c>
      <c r="B3" s="326"/>
      <c r="C3" s="326"/>
      <c r="D3" s="326"/>
      <c r="E3" s="326"/>
      <c r="F3" s="326"/>
      <c r="G3" s="326"/>
      <c r="H3" s="326"/>
    </row>
    <row r="4" spans="1:16" x14ac:dyDescent="0.2">
      <c r="A4" s="331" t="str">
        <f>IF(B2="","",B2)</f>
        <v/>
      </c>
      <c r="B4" s="330"/>
      <c r="C4" s="330"/>
      <c r="D4" s="330"/>
      <c r="E4" s="330"/>
      <c r="F4" s="330"/>
      <c r="G4" s="330"/>
      <c r="H4" s="330"/>
    </row>
    <row r="5" spans="1:16" x14ac:dyDescent="0.2">
      <c r="A5" s="331"/>
      <c r="B5" s="330"/>
      <c r="C5" s="330"/>
      <c r="D5" s="330"/>
      <c r="E5" s="330"/>
      <c r="F5" s="330"/>
      <c r="G5" s="330"/>
      <c r="H5" s="330"/>
    </row>
    <row r="6" spans="1:16" ht="15" x14ac:dyDescent="0.25">
      <c r="A6" s="339" t="s">
        <v>2</v>
      </c>
      <c r="B6" s="230"/>
      <c r="C6" s="230"/>
      <c r="D6" s="230"/>
      <c r="E6" s="230"/>
      <c r="F6" s="230"/>
      <c r="G6" s="230"/>
      <c r="H6" s="230"/>
      <c r="J6" s="266" t="s">
        <v>24</v>
      </c>
      <c r="K6" s="266"/>
      <c r="L6" s="266"/>
      <c r="M6" s="266"/>
      <c r="N6" s="266"/>
      <c r="O6" s="338"/>
      <c r="P6" s="338"/>
    </row>
    <row r="7" spans="1:16" ht="14.25" x14ac:dyDescent="0.2">
      <c r="A7" s="133" t="s">
        <v>0</v>
      </c>
      <c r="B7" s="133"/>
      <c r="C7" s="133"/>
      <c r="D7" s="133"/>
      <c r="E7" s="133"/>
      <c r="F7" s="133"/>
      <c r="G7" s="133"/>
      <c r="H7" s="133"/>
      <c r="J7" s="266" t="s">
        <v>25</v>
      </c>
      <c r="K7" s="266"/>
      <c r="L7" s="266"/>
      <c r="M7" s="266"/>
      <c r="N7" s="266"/>
      <c r="O7" s="338"/>
      <c r="P7" s="338"/>
    </row>
    <row r="8" spans="1:16" ht="14.25" x14ac:dyDescent="0.2">
      <c r="A8" s="133" t="s">
        <v>1</v>
      </c>
      <c r="B8" s="133"/>
      <c r="C8" s="133"/>
      <c r="D8" s="133"/>
      <c r="E8" s="133"/>
      <c r="F8" s="133"/>
      <c r="G8" s="133"/>
      <c r="H8" s="133"/>
      <c r="J8" s="245"/>
      <c r="K8" s="245"/>
      <c r="L8" s="245"/>
      <c r="M8" s="245"/>
      <c r="N8" s="245"/>
    </row>
    <row r="9" spans="1:16" ht="13.5" thickBot="1" x14ac:dyDescent="0.25">
      <c r="E9" s="217"/>
      <c r="F9" s="217"/>
      <c r="G9" s="217"/>
      <c r="J9" s="246" t="s">
        <v>23</v>
      </c>
      <c r="K9" s="268" t="s">
        <v>287</v>
      </c>
      <c r="L9" s="268" t="s">
        <v>288</v>
      </c>
      <c r="M9" s="268" t="s">
        <v>289</v>
      </c>
      <c r="N9" s="268" t="s">
        <v>102</v>
      </c>
      <c r="O9" s="269"/>
      <c r="P9" s="268" t="s">
        <v>102</v>
      </c>
    </row>
    <row r="10" spans="1:16" ht="13.5" thickBot="1" x14ac:dyDescent="0.25">
      <c r="A10" s="243" t="s">
        <v>3</v>
      </c>
      <c r="D10" s="244"/>
      <c r="E10" s="243" t="s">
        <v>4</v>
      </c>
      <c r="J10" s="247">
        <v>500</v>
      </c>
      <c r="K10" s="248">
        <f t="shared" ref="K10:K19" si="0">$J10*$C$14</f>
        <v>64974.999999999993</v>
      </c>
      <c r="L10" s="248">
        <f>K10-J10*$C$16</f>
        <v>27099.999999999993</v>
      </c>
      <c r="M10" s="248">
        <f>L10-J10*$C$17</f>
        <v>24599.999999999993</v>
      </c>
      <c r="N10" s="249">
        <f>M10-$H$23</f>
        <v>-120400</v>
      </c>
      <c r="P10" s="249">
        <f t="shared" ref="P10:P19" si="1">$J10*$C$14-J10*$C$16-J10*$C$17-$H$23</f>
        <v>-120400</v>
      </c>
    </row>
    <row r="11" spans="1:16" x14ac:dyDescent="0.2">
      <c r="D11" s="244"/>
      <c r="J11" s="247">
        <v>1000</v>
      </c>
      <c r="K11" s="252">
        <f t="shared" si="0"/>
        <v>129949.99999999999</v>
      </c>
      <c r="L11" s="252">
        <f t="shared" ref="L11:L19" si="2">K11-J11*$C$16</f>
        <v>54199.999999999985</v>
      </c>
      <c r="M11" s="253">
        <f t="shared" ref="M11:M19" si="3">L11-J11*$C$17</f>
        <v>49199.999999999985</v>
      </c>
      <c r="N11" s="254">
        <f t="shared" ref="N11:N19" si="4">M11-$H$23</f>
        <v>-95800.000000000015</v>
      </c>
      <c r="P11" s="254">
        <f t="shared" si="1"/>
        <v>-95800.000000000015</v>
      </c>
    </row>
    <row r="12" spans="1:16" x14ac:dyDescent="0.2">
      <c r="A12" s="120" t="s">
        <v>5</v>
      </c>
      <c r="B12" s="244"/>
      <c r="D12" s="244"/>
      <c r="J12" s="247">
        <v>1500</v>
      </c>
      <c r="K12" s="252">
        <f t="shared" si="0"/>
        <v>194924.99999999997</v>
      </c>
      <c r="L12" s="252">
        <f t="shared" si="2"/>
        <v>81299.999999999971</v>
      </c>
      <c r="M12" s="253">
        <f t="shared" si="3"/>
        <v>73799.999999999971</v>
      </c>
      <c r="N12" s="254">
        <f t="shared" si="4"/>
        <v>-71200.000000000029</v>
      </c>
      <c r="P12" s="254">
        <f t="shared" si="1"/>
        <v>-71200.000000000029</v>
      </c>
    </row>
    <row r="13" spans="1:16" x14ac:dyDescent="0.2">
      <c r="B13" s="84" t="s">
        <v>91</v>
      </c>
      <c r="C13" s="250">
        <v>2000</v>
      </c>
      <c r="D13" s="244"/>
      <c r="E13" s="84" t="s">
        <v>14</v>
      </c>
      <c r="H13" s="251">
        <f>C13*C14</f>
        <v>259899.99999999997</v>
      </c>
      <c r="J13" s="247">
        <v>2000</v>
      </c>
      <c r="K13" s="252">
        <f t="shared" si="0"/>
        <v>259899.99999999997</v>
      </c>
      <c r="L13" s="252">
        <f t="shared" si="2"/>
        <v>108399.99999999997</v>
      </c>
      <c r="M13" s="253">
        <f t="shared" si="3"/>
        <v>98399.999999999971</v>
      </c>
      <c r="N13" s="254">
        <f t="shared" si="4"/>
        <v>-46600.000000000029</v>
      </c>
      <c r="P13" s="254">
        <f t="shared" si="1"/>
        <v>-46600.000000000029</v>
      </c>
    </row>
    <row r="14" spans="1:16" x14ac:dyDescent="0.2">
      <c r="B14" s="84" t="s">
        <v>46</v>
      </c>
      <c r="C14" s="255">
        <v>129.94999999999999</v>
      </c>
      <c r="D14" s="244"/>
      <c r="E14" s="84" t="s">
        <v>8</v>
      </c>
      <c r="H14" s="256">
        <f>C13*C16</f>
        <v>151500</v>
      </c>
      <c r="J14" s="247">
        <v>2500</v>
      </c>
      <c r="K14" s="252">
        <f t="shared" si="0"/>
        <v>324875</v>
      </c>
      <c r="L14" s="252">
        <f t="shared" si="2"/>
        <v>135500</v>
      </c>
      <c r="M14" s="253">
        <f t="shared" si="3"/>
        <v>123000</v>
      </c>
      <c r="N14" s="254">
        <f t="shared" si="4"/>
        <v>-22000</v>
      </c>
      <c r="P14" s="254">
        <f t="shared" si="1"/>
        <v>-22000</v>
      </c>
    </row>
    <row r="15" spans="1:16" x14ac:dyDescent="0.2">
      <c r="A15" s="120" t="s">
        <v>7</v>
      </c>
      <c r="C15" s="255"/>
      <c r="E15" s="84" t="s">
        <v>15</v>
      </c>
      <c r="H15" s="257">
        <f>H13-H14</f>
        <v>108399.99999999997</v>
      </c>
      <c r="J15" s="247">
        <v>3000</v>
      </c>
      <c r="K15" s="252">
        <f t="shared" si="0"/>
        <v>389849.99999999994</v>
      </c>
      <c r="L15" s="252">
        <f t="shared" si="2"/>
        <v>162599.99999999994</v>
      </c>
      <c r="M15" s="253">
        <f t="shared" si="3"/>
        <v>147599.99999999994</v>
      </c>
      <c r="N15" s="254">
        <f t="shared" si="4"/>
        <v>2599.9999999999418</v>
      </c>
      <c r="P15" s="254">
        <f t="shared" si="1"/>
        <v>2599.9999999999418</v>
      </c>
    </row>
    <row r="16" spans="1:16" x14ac:dyDescent="0.2">
      <c r="B16" s="84" t="s">
        <v>8</v>
      </c>
      <c r="C16" s="255">
        <v>75.75</v>
      </c>
      <c r="E16" s="84" t="s">
        <v>16</v>
      </c>
      <c r="H16" s="257"/>
      <c r="J16" s="247">
        <v>3500</v>
      </c>
      <c r="K16" s="252">
        <f t="shared" si="0"/>
        <v>454824.99999999994</v>
      </c>
      <c r="L16" s="252">
        <f t="shared" si="2"/>
        <v>189699.99999999994</v>
      </c>
      <c r="M16" s="253">
        <f t="shared" si="3"/>
        <v>172199.99999999994</v>
      </c>
      <c r="N16" s="254">
        <f t="shared" si="4"/>
        <v>27199.999999999942</v>
      </c>
      <c r="P16" s="254">
        <f t="shared" si="1"/>
        <v>27199.999999999942</v>
      </c>
    </row>
    <row r="17" spans="1:16" x14ac:dyDescent="0.2">
      <c r="B17" s="84" t="s">
        <v>9</v>
      </c>
      <c r="C17" s="255">
        <v>5</v>
      </c>
      <c r="E17" s="258" t="s">
        <v>17</v>
      </c>
      <c r="H17" s="256">
        <f>C13*C17</f>
        <v>10000</v>
      </c>
      <c r="J17" s="247">
        <v>4000</v>
      </c>
      <c r="K17" s="252">
        <f t="shared" si="0"/>
        <v>519799.99999999994</v>
      </c>
      <c r="L17" s="252">
        <f t="shared" si="2"/>
        <v>216799.99999999994</v>
      </c>
      <c r="M17" s="253">
        <f t="shared" si="3"/>
        <v>196799.99999999994</v>
      </c>
      <c r="N17" s="254">
        <f t="shared" si="4"/>
        <v>51799.999999999942</v>
      </c>
      <c r="P17" s="254">
        <f t="shared" si="1"/>
        <v>51799.999999999942</v>
      </c>
    </row>
    <row r="18" spans="1:16" x14ac:dyDescent="0.2">
      <c r="A18" s="120" t="s">
        <v>10</v>
      </c>
      <c r="C18" s="244"/>
      <c r="E18" s="84" t="s">
        <v>18</v>
      </c>
      <c r="H18" s="257">
        <f>H15-H17</f>
        <v>98399.999999999971</v>
      </c>
      <c r="J18" s="247">
        <v>4500</v>
      </c>
      <c r="K18" s="252">
        <f t="shared" si="0"/>
        <v>584775</v>
      </c>
      <c r="L18" s="252">
        <f t="shared" si="2"/>
        <v>243900</v>
      </c>
      <c r="M18" s="253">
        <f t="shared" si="3"/>
        <v>221400</v>
      </c>
      <c r="N18" s="254">
        <f t="shared" si="4"/>
        <v>76400</v>
      </c>
      <c r="P18" s="254">
        <f t="shared" si="1"/>
        <v>76400</v>
      </c>
    </row>
    <row r="19" spans="1:16" x14ac:dyDescent="0.2">
      <c r="B19" s="84" t="s">
        <v>11</v>
      </c>
      <c r="C19" s="259">
        <v>75000</v>
      </c>
      <c r="E19" s="84" t="s">
        <v>19</v>
      </c>
      <c r="H19" s="251"/>
      <c r="J19" s="247">
        <v>5000</v>
      </c>
      <c r="K19" s="252">
        <f t="shared" si="0"/>
        <v>649750</v>
      </c>
      <c r="L19" s="252">
        <f t="shared" si="2"/>
        <v>271000</v>
      </c>
      <c r="M19" s="253">
        <f t="shared" si="3"/>
        <v>246000</v>
      </c>
      <c r="N19" s="254">
        <f t="shared" si="4"/>
        <v>101000</v>
      </c>
      <c r="P19" s="254">
        <f t="shared" si="1"/>
        <v>101000</v>
      </c>
    </row>
    <row r="20" spans="1:16" x14ac:dyDescent="0.2">
      <c r="B20" s="84" t="s">
        <v>12</v>
      </c>
      <c r="C20" s="259">
        <v>52000</v>
      </c>
      <c r="E20" s="258" t="s">
        <v>11</v>
      </c>
      <c r="G20" s="251">
        <f>C19</f>
        <v>75000</v>
      </c>
      <c r="H20" s="251"/>
    </row>
    <row r="21" spans="1:16" x14ac:dyDescent="0.2">
      <c r="B21" s="84" t="s">
        <v>13</v>
      </c>
      <c r="C21" s="259">
        <v>18000</v>
      </c>
      <c r="E21" s="258" t="s">
        <v>12</v>
      </c>
      <c r="G21" s="257">
        <f>C20</f>
        <v>52000</v>
      </c>
      <c r="H21" s="251"/>
    </row>
    <row r="22" spans="1:16" x14ac:dyDescent="0.2">
      <c r="C22" s="251"/>
      <c r="E22" s="258" t="s">
        <v>20</v>
      </c>
      <c r="G22" s="256">
        <f>C21</f>
        <v>18000</v>
      </c>
      <c r="H22" s="251"/>
      <c r="J22" s="266" t="s">
        <v>27</v>
      </c>
      <c r="K22" s="220"/>
      <c r="L22" s="220"/>
      <c r="M22" s="220"/>
      <c r="N22" s="220"/>
      <c r="O22" s="220"/>
      <c r="P22" s="220"/>
    </row>
    <row r="23" spans="1:16" x14ac:dyDescent="0.2">
      <c r="E23" s="84" t="s">
        <v>21</v>
      </c>
      <c r="H23" s="256">
        <f>SUM(G20:G22)</f>
        <v>145000</v>
      </c>
      <c r="J23" s="266" t="s">
        <v>28</v>
      </c>
      <c r="K23" s="220"/>
      <c r="L23" s="220"/>
      <c r="M23" s="220"/>
      <c r="N23" s="220"/>
      <c r="O23" s="220"/>
      <c r="P23" s="220"/>
    </row>
    <row r="24" spans="1:16" ht="13.5" thickBot="1" x14ac:dyDescent="0.25">
      <c r="E24" s="84" t="s">
        <v>22</v>
      </c>
      <c r="H24" s="260">
        <f>H18-H23</f>
        <v>-46600.000000000029</v>
      </c>
      <c r="J24" s="261"/>
    </row>
    <row r="25" spans="1:16" ht="13.5" thickTop="1" x14ac:dyDescent="0.2">
      <c r="J25" s="262"/>
      <c r="K25" s="355" t="s">
        <v>26</v>
      </c>
      <c r="L25" s="356"/>
      <c r="M25" s="356"/>
      <c r="N25" s="356"/>
      <c r="O25" s="356"/>
    </row>
    <row r="26" spans="1:16" ht="13.5" thickBot="1" x14ac:dyDescent="0.25">
      <c r="J26" s="268" t="s">
        <v>286</v>
      </c>
      <c r="K26" s="263">
        <v>99.95</v>
      </c>
      <c r="L26" s="263">
        <v>109.95</v>
      </c>
      <c r="M26" s="263">
        <v>119.95</v>
      </c>
      <c r="N26" s="263">
        <v>129.94999999999999</v>
      </c>
      <c r="O26" s="263">
        <v>139.94999999999999</v>
      </c>
      <c r="P26" s="263">
        <v>149.94999999999999</v>
      </c>
    </row>
    <row r="27" spans="1:16" x14ac:dyDescent="0.2">
      <c r="J27" s="264">
        <v>49.75</v>
      </c>
      <c r="K27" s="249">
        <f t="shared" ref="K27:P39" si="5">$C$13*K$26-$C$13*$J27-$C$13*$C$17-$H$23</f>
        <v>-54600</v>
      </c>
      <c r="L27" s="249">
        <f t="shared" si="5"/>
        <v>-34600</v>
      </c>
      <c r="M27" s="249">
        <f t="shared" si="5"/>
        <v>-14600</v>
      </c>
      <c r="N27" s="249">
        <f t="shared" si="5"/>
        <v>5399.9999999999709</v>
      </c>
      <c r="O27" s="249">
        <f t="shared" si="5"/>
        <v>25400</v>
      </c>
      <c r="P27" s="249">
        <f t="shared" si="5"/>
        <v>45400</v>
      </c>
    </row>
    <row r="28" spans="1:16" x14ac:dyDescent="0.2">
      <c r="J28" s="264">
        <v>54.75</v>
      </c>
      <c r="K28" s="254">
        <f t="shared" si="5"/>
        <v>-64600</v>
      </c>
      <c r="L28" s="254">
        <f t="shared" si="5"/>
        <v>-44600</v>
      </c>
      <c r="M28" s="254">
        <f t="shared" si="5"/>
        <v>-24600</v>
      </c>
      <c r="N28" s="254">
        <f t="shared" si="5"/>
        <v>-4600.0000000000291</v>
      </c>
      <c r="O28" s="254">
        <f t="shared" si="5"/>
        <v>15400</v>
      </c>
      <c r="P28" s="254">
        <f t="shared" si="5"/>
        <v>35400</v>
      </c>
    </row>
    <row r="29" spans="1:16" x14ac:dyDescent="0.2">
      <c r="J29" s="264">
        <v>59.75</v>
      </c>
      <c r="K29" s="254">
        <f t="shared" si="5"/>
        <v>-74600</v>
      </c>
      <c r="L29" s="254">
        <f t="shared" si="5"/>
        <v>-54600</v>
      </c>
      <c r="M29" s="254">
        <f t="shared" si="5"/>
        <v>-34600</v>
      </c>
      <c r="N29" s="254">
        <f t="shared" si="5"/>
        <v>-14600.000000000029</v>
      </c>
      <c r="O29" s="254">
        <f t="shared" si="5"/>
        <v>5400</v>
      </c>
      <c r="P29" s="254">
        <f t="shared" si="5"/>
        <v>25400</v>
      </c>
    </row>
    <row r="30" spans="1:16" x14ac:dyDescent="0.2">
      <c r="J30" s="264">
        <v>64.75</v>
      </c>
      <c r="K30" s="254">
        <f t="shared" si="5"/>
        <v>-84600</v>
      </c>
      <c r="L30" s="254">
        <f t="shared" si="5"/>
        <v>-64600</v>
      </c>
      <c r="M30" s="254">
        <f t="shared" si="5"/>
        <v>-44600</v>
      </c>
      <c r="N30" s="254">
        <f t="shared" si="5"/>
        <v>-24600.000000000029</v>
      </c>
      <c r="O30" s="254">
        <f t="shared" si="5"/>
        <v>-4600</v>
      </c>
      <c r="P30" s="254">
        <f t="shared" si="5"/>
        <v>15400</v>
      </c>
    </row>
    <row r="31" spans="1:16" x14ac:dyDescent="0.2">
      <c r="J31" s="264">
        <v>69.75</v>
      </c>
      <c r="K31" s="254">
        <f t="shared" si="5"/>
        <v>-94600</v>
      </c>
      <c r="L31" s="254">
        <f t="shared" si="5"/>
        <v>-74600</v>
      </c>
      <c r="M31" s="254">
        <f t="shared" si="5"/>
        <v>-54600</v>
      </c>
      <c r="N31" s="254">
        <f t="shared" si="5"/>
        <v>-34600.000000000029</v>
      </c>
      <c r="O31" s="254">
        <f t="shared" si="5"/>
        <v>-14600</v>
      </c>
      <c r="P31" s="254">
        <f t="shared" si="5"/>
        <v>5400</v>
      </c>
    </row>
    <row r="32" spans="1:16" x14ac:dyDescent="0.2">
      <c r="J32" s="264">
        <v>74.75</v>
      </c>
      <c r="K32" s="254">
        <f t="shared" si="5"/>
        <v>-104600</v>
      </c>
      <c r="L32" s="254">
        <f t="shared" si="5"/>
        <v>-84600</v>
      </c>
      <c r="M32" s="254">
        <f t="shared" si="5"/>
        <v>-64600</v>
      </c>
      <c r="N32" s="254">
        <f t="shared" si="5"/>
        <v>-44600.000000000029</v>
      </c>
      <c r="O32" s="254">
        <f t="shared" si="5"/>
        <v>-24600</v>
      </c>
      <c r="P32" s="254">
        <f t="shared" si="5"/>
        <v>-4600</v>
      </c>
    </row>
    <row r="33" spans="10:16" x14ac:dyDescent="0.2">
      <c r="J33" s="264">
        <v>79.75</v>
      </c>
      <c r="K33" s="254">
        <f t="shared" si="5"/>
        <v>-114600</v>
      </c>
      <c r="L33" s="254">
        <f t="shared" si="5"/>
        <v>-94600</v>
      </c>
      <c r="M33" s="254">
        <f t="shared" si="5"/>
        <v>-74600</v>
      </c>
      <c r="N33" s="254">
        <f t="shared" si="5"/>
        <v>-54600.000000000029</v>
      </c>
      <c r="O33" s="254">
        <f t="shared" si="5"/>
        <v>-34600</v>
      </c>
      <c r="P33" s="254">
        <f t="shared" si="5"/>
        <v>-14600</v>
      </c>
    </row>
    <row r="34" spans="10:16" x14ac:dyDescent="0.2">
      <c r="J34" s="264">
        <v>84.75</v>
      </c>
      <c r="K34" s="254">
        <f t="shared" si="5"/>
        <v>-124600</v>
      </c>
      <c r="L34" s="254">
        <f t="shared" si="5"/>
        <v>-104600</v>
      </c>
      <c r="M34" s="254">
        <f t="shared" si="5"/>
        <v>-84600</v>
      </c>
      <c r="N34" s="254">
        <f t="shared" si="5"/>
        <v>-64600.000000000029</v>
      </c>
      <c r="O34" s="254">
        <f t="shared" si="5"/>
        <v>-44600</v>
      </c>
      <c r="P34" s="254">
        <f t="shared" si="5"/>
        <v>-24600</v>
      </c>
    </row>
    <row r="35" spans="10:16" x14ac:dyDescent="0.2">
      <c r="J35" s="264">
        <v>89.75</v>
      </c>
      <c r="K35" s="254">
        <f t="shared" si="5"/>
        <v>-134600</v>
      </c>
      <c r="L35" s="254">
        <f t="shared" si="5"/>
        <v>-114600</v>
      </c>
      <c r="M35" s="254">
        <f t="shared" si="5"/>
        <v>-94600</v>
      </c>
      <c r="N35" s="254">
        <f t="shared" si="5"/>
        <v>-74600.000000000029</v>
      </c>
      <c r="O35" s="254">
        <f t="shared" si="5"/>
        <v>-54600</v>
      </c>
      <c r="P35" s="254">
        <f t="shared" si="5"/>
        <v>-34600</v>
      </c>
    </row>
    <row r="36" spans="10:16" x14ac:dyDescent="0.2">
      <c r="J36" s="264">
        <v>94.75</v>
      </c>
      <c r="K36" s="254">
        <f t="shared" si="5"/>
        <v>-144600</v>
      </c>
      <c r="L36" s="254">
        <f t="shared" si="5"/>
        <v>-124600</v>
      </c>
      <c r="M36" s="254">
        <f t="shared" si="5"/>
        <v>-104600</v>
      </c>
      <c r="N36" s="254">
        <f t="shared" si="5"/>
        <v>-84600.000000000029</v>
      </c>
      <c r="O36" s="254">
        <f t="shared" si="5"/>
        <v>-64600</v>
      </c>
      <c r="P36" s="254">
        <f t="shared" si="5"/>
        <v>-44600</v>
      </c>
    </row>
    <row r="37" spans="10:16" x14ac:dyDescent="0.2">
      <c r="J37" s="264">
        <v>99.75</v>
      </c>
      <c r="K37" s="254">
        <f t="shared" si="5"/>
        <v>-154600</v>
      </c>
      <c r="L37" s="254">
        <f t="shared" si="5"/>
        <v>-134600</v>
      </c>
      <c r="M37" s="254">
        <f t="shared" si="5"/>
        <v>-114600</v>
      </c>
      <c r="N37" s="254">
        <f t="shared" si="5"/>
        <v>-94600.000000000029</v>
      </c>
      <c r="O37" s="254">
        <f t="shared" si="5"/>
        <v>-74600</v>
      </c>
      <c r="P37" s="254">
        <f t="shared" si="5"/>
        <v>-54600</v>
      </c>
    </row>
    <row r="38" spans="10:16" x14ac:dyDescent="0.2">
      <c r="J38" s="264">
        <v>104.75</v>
      </c>
      <c r="K38" s="254">
        <f t="shared" si="5"/>
        <v>-164600</v>
      </c>
      <c r="L38" s="254">
        <f t="shared" si="5"/>
        <v>-144600</v>
      </c>
      <c r="M38" s="254">
        <f t="shared" si="5"/>
        <v>-124600</v>
      </c>
      <c r="N38" s="254">
        <f t="shared" si="5"/>
        <v>-104600.00000000003</v>
      </c>
      <c r="O38" s="254">
        <f t="shared" si="5"/>
        <v>-84600</v>
      </c>
      <c r="P38" s="254">
        <f t="shared" si="5"/>
        <v>-64600</v>
      </c>
    </row>
    <row r="39" spans="10:16" x14ac:dyDescent="0.2">
      <c r="J39" s="264">
        <v>109.75</v>
      </c>
      <c r="K39" s="254">
        <f t="shared" si="5"/>
        <v>-174600</v>
      </c>
      <c r="L39" s="254">
        <f t="shared" si="5"/>
        <v>-154600</v>
      </c>
      <c r="M39" s="254">
        <f t="shared" si="5"/>
        <v>-134600</v>
      </c>
      <c r="N39" s="254">
        <f t="shared" si="5"/>
        <v>-114600.00000000003</v>
      </c>
      <c r="O39" s="254">
        <f t="shared" si="5"/>
        <v>-94600</v>
      </c>
      <c r="P39" s="254">
        <f t="shared" si="5"/>
        <v>-74600</v>
      </c>
    </row>
  </sheetData>
  <mergeCells count="1">
    <mergeCell ref="K25:O25"/>
  </mergeCells>
  <pageMargins left="0.75" right="0.75" top="1" bottom="1" header="0.5" footer="0.5"/>
  <pageSetup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
  <dimension ref="A1:P39"/>
  <sheetViews>
    <sheetView zoomScale="130" zoomScaleNormal="130" workbookViewId="0">
      <selection activeCell="A4" sqref="A4"/>
    </sheetView>
  </sheetViews>
  <sheetFormatPr defaultRowHeight="12.75" x14ac:dyDescent="0.2"/>
  <cols>
    <col min="1" max="1" width="12.42578125" customWidth="1"/>
    <col min="2" max="2" width="22.5703125" customWidth="1"/>
    <col min="3" max="3" width="10.42578125" customWidth="1"/>
    <col min="5" max="5" width="11.28515625" customWidth="1"/>
    <col min="6" max="6" width="10.7109375" customWidth="1"/>
    <col min="7" max="7" width="11.7109375" customWidth="1"/>
    <col min="8" max="8" width="10.7109375" customWidth="1"/>
    <col min="10" max="10" width="11.28515625" customWidth="1"/>
    <col min="11" max="11" width="14.85546875" bestFit="1" customWidth="1"/>
    <col min="12" max="12" width="11.5703125" bestFit="1" customWidth="1"/>
    <col min="13" max="15" width="11.28515625" bestFit="1" customWidth="1"/>
    <col min="16" max="16" width="10.7109375" bestFit="1" customWidth="1"/>
  </cols>
  <sheetData>
    <row r="1" spans="1:14" ht="15.75" x14ac:dyDescent="0.25">
      <c r="A1" s="267" t="s">
        <v>285</v>
      </c>
    </row>
    <row r="2" spans="1:14" s="196" customFormat="1" hidden="1" x14ac:dyDescent="0.2">
      <c r="B2" s="319"/>
    </row>
    <row r="3" spans="1:14" ht="14.25" x14ac:dyDescent="0.2">
      <c r="A3" s="329" t="str">
        <f>IF(A4="","",IF(Disable_Video_Hyperlinks,A4,HYPERLINK(Video_website&amp;A4,A4)))</f>
        <v/>
      </c>
      <c r="B3" s="326"/>
      <c r="C3" s="326"/>
      <c r="D3" s="326"/>
      <c r="E3" s="326"/>
      <c r="F3" s="326"/>
      <c r="G3" s="326"/>
      <c r="H3" s="326"/>
    </row>
    <row r="4" spans="1:14" s="121" customFormat="1" x14ac:dyDescent="0.2">
      <c r="A4" s="331" t="str">
        <f>IF(B2="","",B2)</f>
        <v/>
      </c>
      <c r="B4" s="330"/>
      <c r="C4" s="330"/>
      <c r="D4" s="330"/>
      <c r="E4" s="330"/>
      <c r="F4" s="330"/>
      <c r="G4" s="330"/>
      <c r="H4" s="330"/>
    </row>
    <row r="5" spans="1:14" s="121" customFormat="1" x14ac:dyDescent="0.2">
      <c r="A5" s="331"/>
      <c r="B5" s="330"/>
      <c r="C5" s="330"/>
      <c r="D5" s="330"/>
      <c r="E5" s="330"/>
      <c r="F5" s="330"/>
      <c r="G5" s="330"/>
      <c r="H5" s="330"/>
    </row>
    <row r="6" spans="1:14" s="121" customFormat="1" ht="15" x14ac:dyDescent="0.25">
      <c r="A6" s="339" t="s">
        <v>2</v>
      </c>
      <c r="B6" s="230"/>
      <c r="C6" s="230"/>
      <c r="D6" s="230"/>
      <c r="E6" s="230"/>
      <c r="F6" s="230"/>
      <c r="G6" s="230"/>
      <c r="H6" s="230"/>
      <c r="J6" s="216" t="s">
        <v>24</v>
      </c>
      <c r="K6" s="216"/>
      <c r="L6" s="216"/>
      <c r="M6" s="216"/>
      <c r="N6" s="216"/>
    </row>
    <row r="7" spans="1:14" ht="14.25" x14ac:dyDescent="0.2">
      <c r="A7" s="133" t="s">
        <v>0</v>
      </c>
      <c r="B7" s="133"/>
      <c r="C7" s="133"/>
      <c r="D7" s="133"/>
      <c r="E7" s="133"/>
      <c r="F7" s="133"/>
      <c r="G7" s="133"/>
      <c r="H7" s="133"/>
      <c r="J7" s="216" t="s">
        <v>25</v>
      </c>
      <c r="K7" s="216"/>
      <c r="L7" s="216"/>
      <c r="M7" s="216"/>
      <c r="N7" s="216"/>
    </row>
    <row r="8" spans="1:14" ht="14.25" x14ac:dyDescent="0.2">
      <c r="A8" s="133" t="s">
        <v>1</v>
      </c>
      <c r="B8" s="133"/>
      <c r="C8" s="133"/>
      <c r="D8" s="133"/>
      <c r="E8" s="133"/>
      <c r="F8" s="133"/>
      <c r="G8" s="133"/>
      <c r="H8" s="133"/>
      <c r="J8" s="5"/>
      <c r="K8" s="5"/>
      <c r="L8" s="5"/>
      <c r="M8" s="5"/>
      <c r="N8" s="5"/>
    </row>
    <row r="9" spans="1:14" ht="13.5" thickBot="1" x14ac:dyDescent="0.25">
      <c r="E9" s="75"/>
      <c r="F9" s="75"/>
      <c r="G9" s="75"/>
      <c r="J9" s="10" t="s">
        <v>23</v>
      </c>
      <c r="K9" s="6">
        <f>H13</f>
        <v>259899.99999999997</v>
      </c>
      <c r="L9" s="7">
        <f>H15</f>
        <v>108399.99999999997</v>
      </c>
      <c r="M9" s="8">
        <f>H18</f>
        <v>98399.999999999971</v>
      </c>
      <c r="N9" s="9">
        <f>H24</f>
        <v>-46600.000000000029</v>
      </c>
    </row>
    <row r="10" spans="1:14" ht="13.5" thickBot="1" x14ac:dyDescent="0.25">
      <c r="A10" s="186" t="s">
        <v>3</v>
      </c>
      <c r="B10" s="54"/>
      <c r="C10" s="54"/>
      <c r="D10" s="196"/>
      <c r="E10" s="186" t="s">
        <v>4</v>
      </c>
      <c r="F10" s="54"/>
      <c r="G10" s="54"/>
      <c r="H10" s="54"/>
      <c r="J10" s="198">
        <v>500</v>
      </c>
      <c r="K10" s="2">
        <f t="dataTable" ref="K10:N19" dt2D="0" dtr="0" r1="C13" ca="1"/>
        <v>64974.999999999993</v>
      </c>
      <c r="L10" s="2">
        <v>27099.999999999993</v>
      </c>
      <c r="M10" s="2">
        <v>24599.999999999993</v>
      </c>
      <c r="N10" s="11">
        <v>-120400</v>
      </c>
    </row>
    <row r="11" spans="1:14" x14ac:dyDescent="0.2">
      <c r="A11" s="54"/>
      <c r="B11" s="54"/>
      <c r="C11" s="54"/>
      <c r="D11" s="196"/>
      <c r="E11" s="54"/>
      <c r="F11" s="54"/>
      <c r="G11" s="54"/>
      <c r="H11" s="54"/>
      <c r="J11" s="198">
        <v>1000</v>
      </c>
      <c r="K11" s="265">
        <v>129949.99999999999</v>
      </c>
      <c r="L11" s="265">
        <v>54199.999999999985</v>
      </c>
      <c r="M11" s="265">
        <v>49199.999999999985</v>
      </c>
      <c r="N11" s="12">
        <v>-95800.000000000015</v>
      </c>
    </row>
    <row r="12" spans="1:14" x14ac:dyDescent="0.2">
      <c r="A12" s="191" t="s">
        <v>5</v>
      </c>
      <c r="B12" s="193"/>
      <c r="C12" s="54"/>
      <c r="D12" s="196"/>
      <c r="E12" s="54"/>
      <c r="F12" s="54"/>
      <c r="G12" s="54"/>
      <c r="H12" s="54"/>
      <c r="J12" s="198">
        <v>1500</v>
      </c>
      <c r="K12" s="265">
        <v>194924.99999999997</v>
      </c>
      <c r="L12" s="265">
        <v>81299.999999999971</v>
      </c>
      <c r="M12" s="265">
        <v>73799.999999999971</v>
      </c>
      <c r="N12" s="12">
        <v>-71200.000000000029</v>
      </c>
    </row>
    <row r="13" spans="1:14" x14ac:dyDescent="0.2">
      <c r="A13" s="54"/>
      <c r="B13" s="54" t="s">
        <v>91</v>
      </c>
      <c r="C13" s="199">
        <v>2000</v>
      </c>
      <c r="D13" s="196"/>
      <c r="E13" s="54" t="s">
        <v>14</v>
      </c>
      <c r="F13" s="54"/>
      <c r="G13" s="54"/>
      <c r="H13" s="187">
        <f>C13*C14</f>
        <v>259899.99999999997</v>
      </c>
      <c r="J13" s="198">
        <v>2000</v>
      </c>
      <c r="K13" s="265">
        <v>259899.99999999997</v>
      </c>
      <c r="L13" s="265">
        <v>108399.99999999997</v>
      </c>
      <c r="M13" s="265">
        <v>98399.999999999971</v>
      </c>
      <c r="N13" s="12">
        <v>-46600.000000000029</v>
      </c>
    </row>
    <row r="14" spans="1:14" x14ac:dyDescent="0.2">
      <c r="A14" s="54"/>
      <c r="B14" s="54" t="s">
        <v>46</v>
      </c>
      <c r="C14" s="194">
        <v>129.94999999999999</v>
      </c>
      <c r="D14" s="196"/>
      <c r="E14" s="54" t="s">
        <v>8</v>
      </c>
      <c r="F14" s="54"/>
      <c r="G14" s="54"/>
      <c r="H14" s="188">
        <f>C13*C16</f>
        <v>151500</v>
      </c>
      <c r="J14" s="198">
        <v>2500</v>
      </c>
      <c r="K14" s="265">
        <v>324875</v>
      </c>
      <c r="L14" s="265">
        <v>135500</v>
      </c>
      <c r="M14" s="265">
        <v>123000</v>
      </c>
      <c r="N14" s="12">
        <v>-22000</v>
      </c>
    </row>
    <row r="15" spans="1:14" x14ac:dyDescent="0.2">
      <c r="A15" s="191" t="s">
        <v>7</v>
      </c>
      <c r="B15" s="54"/>
      <c r="C15" s="194"/>
      <c r="E15" s="54" t="s">
        <v>15</v>
      </c>
      <c r="F15" s="54"/>
      <c r="G15" s="54"/>
      <c r="H15" s="189">
        <f>H13-H14</f>
        <v>108399.99999999997</v>
      </c>
      <c r="J15" s="198">
        <v>3000</v>
      </c>
      <c r="K15" s="265">
        <v>389849.99999999994</v>
      </c>
      <c r="L15" s="265">
        <v>162599.99999999994</v>
      </c>
      <c r="M15" s="265">
        <v>147599.99999999994</v>
      </c>
      <c r="N15" s="12">
        <v>2599.9999999999418</v>
      </c>
    </row>
    <row r="16" spans="1:14" x14ac:dyDescent="0.2">
      <c r="A16" s="54"/>
      <c r="B16" s="54" t="s">
        <v>8</v>
      </c>
      <c r="C16" s="194">
        <v>75.75</v>
      </c>
      <c r="E16" s="54" t="s">
        <v>16</v>
      </c>
      <c r="F16" s="54"/>
      <c r="G16" s="54"/>
      <c r="H16" s="189"/>
      <c r="J16" s="198">
        <v>3500</v>
      </c>
      <c r="K16" s="265">
        <v>454824.99999999994</v>
      </c>
      <c r="L16" s="265">
        <v>189699.99999999994</v>
      </c>
      <c r="M16" s="265">
        <v>172199.99999999994</v>
      </c>
      <c r="N16" s="12">
        <v>27199.999999999942</v>
      </c>
    </row>
    <row r="17" spans="1:16" x14ac:dyDescent="0.2">
      <c r="A17" s="54"/>
      <c r="B17" s="54" t="s">
        <v>9</v>
      </c>
      <c r="C17" s="194">
        <v>5</v>
      </c>
      <c r="E17" s="190" t="s">
        <v>17</v>
      </c>
      <c r="F17" s="54"/>
      <c r="G17" s="54"/>
      <c r="H17" s="188">
        <f>C13*C17</f>
        <v>10000</v>
      </c>
      <c r="J17" s="198">
        <v>4000</v>
      </c>
      <c r="K17" s="265">
        <v>519799.99999999994</v>
      </c>
      <c r="L17" s="265">
        <v>216799.99999999994</v>
      </c>
      <c r="M17" s="265">
        <v>196799.99999999994</v>
      </c>
      <c r="N17" s="12">
        <v>51799.999999999942</v>
      </c>
    </row>
    <row r="18" spans="1:16" x14ac:dyDescent="0.2">
      <c r="A18" s="191" t="s">
        <v>10</v>
      </c>
      <c r="B18" s="54"/>
      <c r="C18" s="193"/>
      <c r="E18" s="54" t="s">
        <v>18</v>
      </c>
      <c r="F18" s="54"/>
      <c r="G18" s="54"/>
      <c r="H18" s="189">
        <f>H15-H17</f>
        <v>98399.999999999971</v>
      </c>
      <c r="J18" s="198">
        <v>4500</v>
      </c>
      <c r="K18" s="265">
        <v>584775</v>
      </c>
      <c r="L18" s="265">
        <v>243900</v>
      </c>
      <c r="M18" s="265">
        <v>221400</v>
      </c>
      <c r="N18" s="12">
        <v>76400</v>
      </c>
    </row>
    <row r="19" spans="1:16" x14ac:dyDescent="0.2">
      <c r="A19" s="54"/>
      <c r="B19" s="54" t="s">
        <v>11</v>
      </c>
      <c r="C19" s="195">
        <v>75000</v>
      </c>
      <c r="E19" s="54" t="s">
        <v>19</v>
      </c>
      <c r="F19" s="54"/>
      <c r="G19" s="54"/>
      <c r="H19" s="187"/>
      <c r="J19" s="198">
        <v>5000</v>
      </c>
      <c r="K19" s="265">
        <v>649750</v>
      </c>
      <c r="L19" s="265">
        <v>271000</v>
      </c>
      <c r="M19" s="265">
        <v>246000</v>
      </c>
      <c r="N19" s="12">
        <v>101000</v>
      </c>
    </row>
    <row r="20" spans="1:16" x14ac:dyDescent="0.2">
      <c r="A20" s="54"/>
      <c r="B20" s="54" t="s">
        <v>12</v>
      </c>
      <c r="C20" s="195">
        <v>52000</v>
      </c>
      <c r="E20" s="190" t="s">
        <v>11</v>
      </c>
      <c r="F20" s="54"/>
      <c r="G20" s="187">
        <f>C19</f>
        <v>75000</v>
      </c>
      <c r="H20" s="187"/>
    </row>
    <row r="21" spans="1:16" x14ac:dyDescent="0.2">
      <c r="A21" s="54"/>
      <c r="B21" s="54" t="s">
        <v>13</v>
      </c>
      <c r="C21" s="195">
        <v>18000</v>
      </c>
      <c r="E21" s="190" t="s">
        <v>12</v>
      </c>
      <c r="F21" s="54"/>
      <c r="G21" s="189">
        <f>C20</f>
        <v>52000</v>
      </c>
      <c r="H21" s="187"/>
    </row>
    <row r="22" spans="1:16" x14ac:dyDescent="0.2">
      <c r="A22" s="54"/>
      <c r="B22" s="54"/>
      <c r="C22" s="187"/>
      <c r="E22" s="190" t="s">
        <v>20</v>
      </c>
      <c r="F22" s="54"/>
      <c r="G22" s="188">
        <f>C21</f>
        <v>18000</v>
      </c>
      <c r="H22" s="187"/>
      <c r="J22" s="216" t="s">
        <v>27</v>
      </c>
      <c r="K22" s="215"/>
      <c r="L22" s="215"/>
      <c r="M22" s="215"/>
      <c r="N22" s="215"/>
      <c r="O22" s="215"/>
      <c r="P22" s="215"/>
    </row>
    <row r="23" spans="1:16" x14ac:dyDescent="0.2">
      <c r="A23" s="54"/>
      <c r="B23" s="54"/>
      <c r="C23" s="54"/>
      <c r="E23" s="54" t="s">
        <v>21</v>
      </c>
      <c r="F23" s="54"/>
      <c r="G23" s="54"/>
      <c r="H23" s="188">
        <f>SUM(G20:G22)</f>
        <v>145000</v>
      </c>
      <c r="J23" s="216" t="s">
        <v>28</v>
      </c>
      <c r="K23" s="215"/>
      <c r="L23" s="215"/>
      <c r="M23" s="215"/>
      <c r="N23" s="215"/>
      <c r="O23" s="215"/>
      <c r="P23" s="215"/>
    </row>
    <row r="24" spans="1:16" ht="13.5" thickBot="1" x14ac:dyDescent="0.25">
      <c r="A24" s="54"/>
      <c r="B24" s="54"/>
      <c r="C24" s="54"/>
      <c r="E24" s="54" t="s">
        <v>22</v>
      </c>
      <c r="F24" s="54"/>
      <c r="G24" s="54"/>
      <c r="H24" s="192">
        <f>H18-H23</f>
        <v>-46600.000000000029</v>
      </c>
      <c r="J24" s="3"/>
    </row>
    <row r="25" spans="1:16" ht="13.5" thickTop="1" x14ac:dyDescent="0.2">
      <c r="J25" s="13"/>
      <c r="K25" s="357" t="s">
        <v>26</v>
      </c>
      <c r="L25" s="358"/>
      <c r="M25" s="358"/>
      <c r="N25" s="358"/>
      <c r="O25" s="358"/>
    </row>
    <row r="26" spans="1:16" ht="13.5" thickBot="1" x14ac:dyDescent="0.25">
      <c r="J26" s="15">
        <f>H24</f>
        <v>-46600.000000000029</v>
      </c>
      <c r="K26" s="14">
        <v>99.95</v>
      </c>
      <c r="L26" s="14">
        <v>109.95</v>
      </c>
      <c r="M26" s="14">
        <v>119.95</v>
      </c>
      <c r="N26" s="14">
        <v>129.94999999999999</v>
      </c>
      <c r="O26" s="14">
        <v>139.94999999999999</v>
      </c>
      <c r="P26" s="14">
        <v>149.94999999999999</v>
      </c>
    </row>
    <row r="27" spans="1:16" x14ac:dyDescent="0.2">
      <c r="J27" s="197">
        <v>49.75</v>
      </c>
      <c r="K27" s="11">
        <f t="dataTable" ref="K27:P39" dt2D="1" dtr="0" r1="C14" r2="C16"/>
        <v>-54600</v>
      </c>
      <c r="L27" s="11">
        <v>-34600</v>
      </c>
      <c r="M27" s="11">
        <v>-14600</v>
      </c>
      <c r="N27" s="2">
        <v>5399.9999999999709</v>
      </c>
      <c r="O27" s="2">
        <v>25400</v>
      </c>
      <c r="P27" s="2">
        <v>45400</v>
      </c>
    </row>
    <row r="28" spans="1:16" x14ac:dyDescent="0.2">
      <c r="J28" s="197">
        <v>54.75</v>
      </c>
      <c r="K28" s="12">
        <v>-64600</v>
      </c>
      <c r="L28" s="12">
        <v>-44600</v>
      </c>
      <c r="M28" s="12">
        <v>-24600</v>
      </c>
      <c r="N28" s="12">
        <v>-4600.0000000000291</v>
      </c>
      <c r="O28" s="12">
        <v>15400</v>
      </c>
      <c r="P28" s="12">
        <v>35400</v>
      </c>
    </row>
    <row r="29" spans="1:16" x14ac:dyDescent="0.2">
      <c r="J29" s="197">
        <v>59.75</v>
      </c>
      <c r="K29" s="12">
        <v>-74600</v>
      </c>
      <c r="L29" s="12">
        <v>-54600</v>
      </c>
      <c r="M29" s="12">
        <v>-34600</v>
      </c>
      <c r="N29" s="12">
        <v>-14600.000000000029</v>
      </c>
      <c r="O29" s="12">
        <v>5400</v>
      </c>
      <c r="P29" s="12">
        <v>25400</v>
      </c>
    </row>
    <row r="30" spans="1:16" x14ac:dyDescent="0.2">
      <c r="J30" s="197">
        <v>64.75</v>
      </c>
      <c r="K30" s="12">
        <v>-84600</v>
      </c>
      <c r="L30" s="12">
        <v>-64600</v>
      </c>
      <c r="M30" s="12">
        <v>-44600</v>
      </c>
      <c r="N30" s="12">
        <v>-24600.000000000029</v>
      </c>
      <c r="O30" s="12">
        <v>-4600</v>
      </c>
      <c r="P30" s="12">
        <v>15400</v>
      </c>
    </row>
    <row r="31" spans="1:16" x14ac:dyDescent="0.2">
      <c r="J31" s="197">
        <v>69.75</v>
      </c>
      <c r="K31" s="12">
        <v>-94600</v>
      </c>
      <c r="L31" s="12">
        <v>-74600</v>
      </c>
      <c r="M31" s="12">
        <v>-54600</v>
      </c>
      <c r="N31" s="12">
        <v>-34600.000000000029</v>
      </c>
      <c r="O31" s="12">
        <v>-14600</v>
      </c>
      <c r="P31" s="12">
        <v>5400</v>
      </c>
    </row>
    <row r="32" spans="1:16" x14ac:dyDescent="0.2">
      <c r="J32" s="197">
        <v>74.75</v>
      </c>
      <c r="K32" s="12">
        <v>-104600</v>
      </c>
      <c r="L32" s="12">
        <v>-84600</v>
      </c>
      <c r="M32" s="12">
        <v>-64600</v>
      </c>
      <c r="N32" s="12">
        <v>-44600.000000000029</v>
      </c>
      <c r="O32" s="12">
        <v>-24600</v>
      </c>
      <c r="P32" s="12">
        <v>-4600</v>
      </c>
    </row>
    <row r="33" spans="10:16" x14ac:dyDescent="0.2">
      <c r="J33" s="197">
        <v>79.75</v>
      </c>
      <c r="K33" s="12">
        <v>-114600</v>
      </c>
      <c r="L33" s="12">
        <v>-94600</v>
      </c>
      <c r="M33" s="12">
        <v>-74600</v>
      </c>
      <c r="N33" s="12">
        <v>-54600.000000000029</v>
      </c>
      <c r="O33" s="12">
        <v>-34600</v>
      </c>
      <c r="P33" s="12">
        <v>-14600</v>
      </c>
    </row>
    <row r="34" spans="10:16" x14ac:dyDescent="0.2">
      <c r="J34" s="197">
        <v>84.75</v>
      </c>
      <c r="K34" s="12">
        <v>-124600</v>
      </c>
      <c r="L34" s="12">
        <v>-104600</v>
      </c>
      <c r="M34" s="12">
        <v>-84600</v>
      </c>
      <c r="N34" s="12">
        <v>-64600.000000000029</v>
      </c>
      <c r="O34" s="12">
        <v>-44600</v>
      </c>
      <c r="P34" s="12">
        <v>-24600</v>
      </c>
    </row>
    <row r="35" spans="10:16" x14ac:dyDescent="0.2">
      <c r="J35" s="197">
        <v>89.75</v>
      </c>
      <c r="K35" s="12">
        <v>-134600</v>
      </c>
      <c r="L35" s="12">
        <v>-114600</v>
      </c>
      <c r="M35" s="12">
        <v>-94600</v>
      </c>
      <c r="N35" s="12">
        <v>-74600.000000000029</v>
      </c>
      <c r="O35" s="12">
        <v>-54600</v>
      </c>
      <c r="P35" s="12">
        <v>-34600</v>
      </c>
    </row>
    <row r="36" spans="10:16" x14ac:dyDescent="0.2">
      <c r="J36" s="197">
        <v>94.75</v>
      </c>
      <c r="K36" s="12">
        <v>-144600</v>
      </c>
      <c r="L36" s="12">
        <v>-124600</v>
      </c>
      <c r="M36" s="12">
        <v>-104600</v>
      </c>
      <c r="N36" s="12">
        <v>-84600.000000000029</v>
      </c>
      <c r="O36" s="12">
        <v>-64600</v>
      </c>
      <c r="P36" s="12">
        <v>-44600</v>
      </c>
    </row>
    <row r="37" spans="10:16" x14ac:dyDescent="0.2">
      <c r="J37" s="197">
        <v>99.75</v>
      </c>
      <c r="K37" s="12">
        <v>-154600</v>
      </c>
      <c r="L37" s="12">
        <v>-134600</v>
      </c>
      <c r="M37" s="12">
        <v>-114600</v>
      </c>
      <c r="N37" s="12">
        <v>-94600.000000000029</v>
      </c>
      <c r="O37" s="12">
        <v>-74600</v>
      </c>
      <c r="P37" s="12">
        <v>-54600</v>
      </c>
    </row>
    <row r="38" spans="10:16" x14ac:dyDescent="0.2">
      <c r="J38" s="197">
        <v>104.75</v>
      </c>
      <c r="K38" s="12">
        <v>-164600</v>
      </c>
      <c r="L38" s="12">
        <v>-144600</v>
      </c>
      <c r="M38" s="12">
        <v>-124600</v>
      </c>
      <c r="N38" s="12">
        <v>-104600.00000000003</v>
      </c>
      <c r="O38" s="12">
        <v>-84600</v>
      </c>
      <c r="P38" s="12">
        <v>-64600</v>
      </c>
    </row>
    <row r="39" spans="10:16" x14ac:dyDescent="0.2">
      <c r="J39" s="197">
        <v>109.75</v>
      </c>
      <c r="K39" s="12">
        <v>-174600</v>
      </c>
      <c r="L39" s="12">
        <v>-154600</v>
      </c>
      <c r="M39" s="12">
        <v>-134600</v>
      </c>
      <c r="N39" s="12">
        <v>-114600.00000000003</v>
      </c>
      <c r="O39" s="12">
        <v>-94600</v>
      </c>
      <c r="P39" s="12">
        <v>-74600</v>
      </c>
    </row>
  </sheetData>
  <mergeCells count="1">
    <mergeCell ref="K25:O25"/>
  </mergeCells>
  <phoneticPr fontId="2" type="noConversion"/>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
  <dimension ref="A1:K33"/>
  <sheetViews>
    <sheetView zoomScale="145" zoomScaleNormal="145" workbookViewId="0">
      <selection activeCell="A4" sqref="A4"/>
    </sheetView>
  </sheetViews>
  <sheetFormatPr defaultRowHeight="12.75" x14ac:dyDescent="0.2"/>
  <cols>
    <col min="1" max="1" width="12.140625" customWidth="1"/>
    <col min="2" max="2" width="14.85546875" customWidth="1"/>
    <col min="3" max="3" width="12.140625" customWidth="1"/>
    <col min="4" max="4" width="12.7109375" customWidth="1"/>
    <col min="5" max="5" width="13.85546875" customWidth="1"/>
    <col min="6" max="6" width="14.28515625" customWidth="1"/>
    <col min="8" max="8" width="10.85546875" bestFit="1" customWidth="1"/>
    <col min="9" max="9" width="10.7109375" customWidth="1"/>
    <col min="10" max="10" width="9.7109375" bestFit="1" customWidth="1"/>
    <col min="11" max="11" width="12.7109375" customWidth="1"/>
  </cols>
  <sheetData>
    <row r="1" spans="1:11" ht="18" x14ac:dyDescent="0.25">
      <c r="A1" s="332" t="s">
        <v>29</v>
      </c>
      <c r="B1" s="326"/>
      <c r="C1" s="326"/>
      <c r="D1" s="326"/>
      <c r="E1" s="326"/>
      <c r="F1" s="326"/>
      <c r="G1" s="326"/>
      <c r="H1" s="326"/>
      <c r="I1" s="340"/>
      <c r="J1" s="340"/>
      <c r="K1" s="340"/>
    </row>
    <row r="2" spans="1:11" s="196" customFormat="1" hidden="1" x14ac:dyDescent="0.2">
      <c r="A2" s="327"/>
      <c r="B2" s="328"/>
      <c r="C2" s="327"/>
      <c r="D2" s="327"/>
      <c r="E2" s="327"/>
      <c r="F2" s="327"/>
      <c r="G2" s="327"/>
      <c r="H2" s="327"/>
      <c r="I2" s="327"/>
      <c r="J2" s="327"/>
      <c r="K2" s="327"/>
    </row>
    <row r="3" spans="1:11" s="121" customFormat="1" x14ac:dyDescent="0.2">
      <c r="A3" s="329" t="str">
        <f>IF(A2="","",IF(Disable_Video_Hyperlinks,A2,HYPERLINK(Video_website&amp;A2,A2)))</f>
        <v/>
      </c>
      <c r="B3" s="330"/>
      <c r="C3" s="330"/>
      <c r="D3" s="330"/>
      <c r="E3" s="330"/>
      <c r="F3" s="330"/>
      <c r="G3" s="330"/>
      <c r="H3" s="330"/>
      <c r="I3" s="330"/>
      <c r="J3" s="330"/>
      <c r="K3" s="330"/>
    </row>
    <row r="4" spans="1:11" ht="14.25" x14ac:dyDescent="0.2">
      <c r="A4" s="331" t="str">
        <f>IF(B2="","",B2)</f>
        <v/>
      </c>
      <c r="B4" s="326"/>
      <c r="C4" s="326"/>
      <c r="D4" s="326"/>
      <c r="E4" s="326"/>
      <c r="F4" s="326"/>
      <c r="G4" s="326"/>
      <c r="H4" s="326"/>
      <c r="I4" s="340"/>
      <c r="J4" s="340"/>
      <c r="K4" s="340"/>
    </row>
    <row r="5" spans="1:11" ht="14.25" x14ac:dyDescent="0.2">
      <c r="A5" s="331"/>
      <c r="B5" s="326"/>
      <c r="C5" s="326"/>
      <c r="D5" s="326"/>
      <c r="E5" s="326"/>
      <c r="F5" s="326"/>
      <c r="G5" s="326"/>
      <c r="H5" s="326"/>
      <c r="I5" s="340"/>
      <c r="J5" s="340"/>
      <c r="K5" s="340"/>
    </row>
    <row r="6" spans="1:11" ht="14.25" x14ac:dyDescent="0.2">
      <c r="A6" s="133" t="s">
        <v>29</v>
      </c>
      <c r="B6" s="133"/>
      <c r="C6" s="133"/>
      <c r="D6" s="133"/>
      <c r="E6" s="133"/>
      <c r="F6" s="133"/>
      <c r="G6" s="133"/>
      <c r="H6" s="133"/>
      <c r="I6" s="200"/>
      <c r="J6" s="200"/>
      <c r="K6" s="200"/>
    </row>
    <row r="7" spans="1:11" ht="14.25" x14ac:dyDescent="0.2">
      <c r="A7" s="133" t="s">
        <v>1</v>
      </c>
      <c r="B7" s="133"/>
      <c r="C7" s="133"/>
      <c r="D7" s="133"/>
      <c r="E7" s="133"/>
      <c r="F7" s="133"/>
      <c r="G7" s="133"/>
      <c r="H7" s="133"/>
      <c r="I7" s="200"/>
      <c r="J7" s="200"/>
      <c r="K7" s="200"/>
    </row>
    <row r="9" spans="1:11" s="54" customFormat="1" ht="13.5" thickBot="1" x14ac:dyDescent="0.25">
      <c r="A9" s="186" t="s">
        <v>3</v>
      </c>
      <c r="B9" s="359" t="s">
        <v>30</v>
      </c>
      <c r="C9" s="360"/>
      <c r="D9" s="360"/>
      <c r="E9" s="360"/>
      <c r="F9" s="360"/>
      <c r="H9" s="186" t="s">
        <v>4</v>
      </c>
    </row>
    <row r="10" spans="1:11" s="54" customFormat="1" ht="25.5" x14ac:dyDescent="0.2">
      <c r="C10" s="201" t="s">
        <v>31</v>
      </c>
      <c r="D10" s="201" t="s">
        <v>32</v>
      </c>
      <c r="E10" s="202" t="s">
        <v>33</v>
      </c>
      <c r="F10" s="202" t="s">
        <v>34</v>
      </c>
    </row>
    <row r="11" spans="1:11" s="54" customFormat="1" x14ac:dyDescent="0.2">
      <c r="A11" s="191" t="s">
        <v>5</v>
      </c>
    </row>
    <row r="12" spans="1:11" s="54" customFormat="1" x14ac:dyDescent="0.2">
      <c r="B12" s="54" t="s">
        <v>91</v>
      </c>
      <c r="C12" s="199">
        <v>10000</v>
      </c>
      <c r="D12" s="199">
        <v>10000</v>
      </c>
      <c r="E12" s="199">
        <v>5000</v>
      </c>
      <c r="F12" s="199">
        <v>7000</v>
      </c>
      <c r="H12" s="54" t="s">
        <v>14</v>
      </c>
      <c r="K12" s="187">
        <f>SUMPRODUCT(C12:F12,C13:F13)</f>
        <v>1438400</v>
      </c>
    </row>
    <row r="13" spans="1:11" s="54" customFormat="1" x14ac:dyDescent="0.2">
      <c r="B13" s="54" t="s">
        <v>46</v>
      </c>
      <c r="C13" s="194">
        <v>39.950000000000003</v>
      </c>
      <c r="D13" s="194">
        <v>49.95</v>
      </c>
      <c r="E13" s="194">
        <v>44.95</v>
      </c>
      <c r="F13" s="194">
        <v>44.95</v>
      </c>
      <c r="H13" s="54" t="s">
        <v>8</v>
      </c>
      <c r="K13" s="188">
        <f>SUMPRODUCT(C12:F12,C15:F15)</f>
        <v>783000</v>
      </c>
    </row>
    <row r="14" spans="1:11" s="54" customFormat="1" x14ac:dyDescent="0.2">
      <c r="A14" s="191" t="s">
        <v>35</v>
      </c>
      <c r="C14" s="193"/>
      <c r="D14" s="193"/>
      <c r="E14" s="193"/>
      <c r="F14" s="193"/>
      <c r="H14" s="54" t="s">
        <v>15</v>
      </c>
      <c r="K14" s="189">
        <f>K12-K13</f>
        <v>655400</v>
      </c>
    </row>
    <row r="15" spans="1:11" s="54" customFormat="1" x14ac:dyDescent="0.2">
      <c r="B15" s="54" t="s">
        <v>8</v>
      </c>
      <c r="C15" s="194">
        <v>17</v>
      </c>
      <c r="D15" s="194">
        <v>17</v>
      </c>
      <c r="E15" s="194">
        <v>35.75</v>
      </c>
      <c r="F15" s="194">
        <v>37.75</v>
      </c>
      <c r="H15" s="54" t="s">
        <v>16</v>
      </c>
      <c r="K15" s="189"/>
    </row>
    <row r="16" spans="1:11" s="54" customFormat="1" x14ac:dyDescent="0.2">
      <c r="B16" s="54" t="s">
        <v>9</v>
      </c>
      <c r="C16" s="194">
        <v>2</v>
      </c>
      <c r="D16" s="194">
        <v>3.5</v>
      </c>
      <c r="E16" s="194">
        <v>3</v>
      </c>
      <c r="F16" s="194">
        <v>3</v>
      </c>
      <c r="H16" s="190" t="s">
        <v>17</v>
      </c>
      <c r="K16" s="188">
        <f>SUMPRODUCT(C12:F12,C16:F16)</f>
        <v>91000</v>
      </c>
    </row>
    <row r="17" spans="1:11" s="54" customFormat="1" x14ac:dyDescent="0.2">
      <c r="A17" s="191" t="s">
        <v>36</v>
      </c>
      <c r="C17" s="193"/>
      <c r="D17" s="193"/>
      <c r="E17" s="193"/>
      <c r="F17" s="193"/>
      <c r="H17" s="54" t="s">
        <v>18</v>
      </c>
      <c r="K17" s="189">
        <f>K14-K16</f>
        <v>564400</v>
      </c>
    </row>
    <row r="18" spans="1:11" s="54" customFormat="1" x14ac:dyDescent="0.2">
      <c r="B18" s="54" t="s">
        <v>11</v>
      </c>
      <c r="C18" s="195">
        <v>7000</v>
      </c>
      <c r="D18" s="195">
        <v>10000</v>
      </c>
      <c r="E18" s="195">
        <v>8000</v>
      </c>
      <c r="F18" s="195">
        <v>8000</v>
      </c>
      <c r="H18" s="54" t="s">
        <v>19</v>
      </c>
      <c r="K18" s="189"/>
    </row>
    <row r="19" spans="1:11" s="54" customFormat="1" x14ac:dyDescent="0.2">
      <c r="C19" s="193"/>
      <c r="D19" s="193"/>
      <c r="E19" s="193"/>
      <c r="F19" s="193"/>
      <c r="H19" s="190" t="s">
        <v>11</v>
      </c>
      <c r="J19" s="187">
        <f>SUM(C18:F18)</f>
        <v>33000</v>
      </c>
      <c r="K19" s="189"/>
    </row>
    <row r="20" spans="1:11" s="54" customFormat="1" x14ac:dyDescent="0.2">
      <c r="B20" s="54" t="s">
        <v>37</v>
      </c>
      <c r="C20" s="193"/>
      <c r="D20" s="193"/>
      <c r="E20" s="193"/>
      <c r="F20" s="195">
        <v>38500</v>
      </c>
      <c r="H20" s="190" t="s">
        <v>12</v>
      </c>
      <c r="J20" s="189">
        <f>F22</f>
        <v>192500</v>
      </c>
      <c r="K20" s="189"/>
    </row>
    <row r="21" spans="1:11" s="54" customFormat="1" x14ac:dyDescent="0.2">
      <c r="B21" s="54" t="s">
        <v>38</v>
      </c>
      <c r="F21" s="189">
        <f>VLOOKUP(SUM(C12:F12),B27:C33,2)</f>
        <v>5</v>
      </c>
      <c r="H21" s="190" t="s">
        <v>20</v>
      </c>
      <c r="J21" s="188">
        <f>F23</f>
        <v>175000</v>
      </c>
      <c r="K21" s="189"/>
    </row>
    <row r="22" spans="1:11" s="54" customFormat="1" x14ac:dyDescent="0.2">
      <c r="B22" s="54" t="s">
        <v>39</v>
      </c>
      <c r="F22" s="187">
        <f>F20*F21</f>
        <v>192500</v>
      </c>
      <c r="H22" s="54" t="s">
        <v>21</v>
      </c>
      <c r="K22" s="188">
        <f>SUM(J19:J21)</f>
        <v>400500</v>
      </c>
    </row>
    <row r="23" spans="1:11" s="54" customFormat="1" x14ac:dyDescent="0.2">
      <c r="B23" s="54" t="s">
        <v>40</v>
      </c>
      <c r="F23" s="195">
        <v>175000</v>
      </c>
      <c r="H23" s="54" t="s">
        <v>22</v>
      </c>
      <c r="K23" s="189">
        <f>K17-K22</f>
        <v>163900</v>
      </c>
    </row>
    <row r="24" spans="1:11" s="54" customFormat="1" x14ac:dyDescent="0.2">
      <c r="A24" s="191" t="s">
        <v>41</v>
      </c>
      <c r="H24" s="54" t="s">
        <v>44</v>
      </c>
      <c r="K24" s="188">
        <f>K23*F25</f>
        <v>57365</v>
      </c>
    </row>
    <row r="25" spans="1:11" s="54" customFormat="1" ht="13.5" thickBot="1" x14ac:dyDescent="0.25">
      <c r="B25" s="54" t="s">
        <v>92</v>
      </c>
      <c r="F25" s="203">
        <v>0.35</v>
      </c>
      <c r="H25" s="54" t="s">
        <v>45</v>
      </c>
      <c r="K25" s="192">
        <f>K23-K24</f>
        <v>106535</v>
      </c>
    </row>
    <row r="26" spans="1:11" ht="13.5" thickTop="1" x14ac:dyDescent="0.2"/>
    <row r="27" spans="1:11" ht="38.25" x14ac:dyDescent="0.2">
      <c r="B27" s="17" t="s">
        <v>42</v>
      </c>
      <c r="C27" s="17" t="s">
        <v>43</v>
      </c>
    </row>
    <row r="28" spans="1:11" x14ac:dyDescent="0.2">
      <c r="B28" s="204">
        <v>0</v>
      </c>
      <c r="C28" s="205">
        <v>5</v>
      </c>
    </row>
    <row r="29" spans="1:11" x14ac:dyDescent="0.2">
      <c r="B29" s="204">
        <v>200000</v>
      </c>
      <c r="C29" s="205">
        <v>5.5</v>
      </c>
    </row>
    <row r="30" spans="1:11" x14ac:dyDescent="0.2">
      <c r="B30" s="204">
        <v>250000</v>
      </c>
      <c r="C30" s="205">
        <v>6</v>
      </c>
    </row>
    <row r="31" spans="1:11" x14ac:dyDescent="0.2">
      <c r="B31" s="204">
        <v>300000</v>
      </c>
      <c r="C31" s="205">
        <v>6.5</v>
      </c>
    </row>
    <row r="32" spans="1:11" x14ac:dyDescent="0.2">
      <c r="B32" s="204">
        <v>350000</v>
      </c>
      <c r="C32" s="205">
        <v>7</v>
      </c>
    </row>
    <row r="33" spans="2:3" x14ac:dyDescent="0.2">
      <c r="B33" s="204">
        <v>400000</v>
      </c>
      <c r="C33" s="205">
        <v>7.5</v>
      </c>
    </row>
  </sheetData>
  <scenarios current="3" show="0" sqref="K8 K10 K13 J16 K19 K21">
    <scenario name="Continued Marketing" locked="1" count="8" user="Lisa Ruffolo" comment="Created by Richard Rayburn on 5/25/2007_x000a_The Continued Marketing plan assumes that next year's marketing expenditures will be the same as last year's._x000a_Modified by Lisa Ruffolo on 10/25/2004">
      <inputCells r="C12" val="10000" numFmtId="42"/>
      <inputCells r="D12" val="10000" numFmtId="42"/>
      <inputCells r="E12" val="5000" numFmtId="42"/>
      <inputCells r="F12" val="7000" numFmtId="42"/>
      <inputCells r="C18" val="7000" numFmtId="42"/>
      <inputCells r="D18" val="10000" numFmtId="42"/>
      <inputCells r="E18" val="8000" numFmtId="42"/>
      <inputCells r="F18" val="8000" numFmtId="42"/>
    </scenario>
    <scenario name="Discount" locked="1" count="8" user="Lisa Ruffolo" comment="Created by Richard Rayburn on 5/25/2007_x000a_Modified by Lisa Ruffolo on 10/25/2004">
      <inputCells r="C12" val="6000" numFmtId="42"/>
      <inputCells r="D12" val="15000" numFmtId="42"/>
      <inputCells r="E12" val="3000" numFmtId="42"/>
      <inputCells r="F12" val="4000" numFmtId="42"/>
      <inputCells r="C18" val="5000" numFmtId="42"/>
      <inputCells r="D18" val="10000" numFmtId="42"/>
      <inputCells r="E18" val="4000" numFmtId="42"/>
      <inputCells r="F18" val="4000" numFmtId="42"/>
    </scenario>
    <scenario name="College" locked="1" count="8" user="Lisa Ruffolo" comment="Created by Richard Rayburn on 5/25/2007_x000a_Modified by Lisa Ruffolo on 10/25/2004">
      <inputCells r="C12" val="12500" numFmtId="42"/>
      <inputCells r="D12" val="6000" numFmtId="42"/>
      <inputCells r="E12" val="3500" numFmtId="42"/>
      <inputCells r="F12" val="4500" numFmtId="42"/>
      <inputCells r="C18" val="1000" numFmtId="42"/>
      <inputCells r="D18" val="3500" numFmtId="42"/>
      <inputCells r="E18" val="3500" numFmtId="42"/>
      <inputCells r="F18" val="4500" numFmtId="42"/>
    </scenario>
    <scenario name="Balanced" locked="1" count="8" user="Lisa Ruffolo" comment="Created by Richard Rayburn on 5/25/2007_x000a_Modified by Lisa Ruffolo on 10/25/2004">
      <inputCells r="C12" val="11500" numFmtId="42"/>
      <inputCells r="D12" val="12500" numFmtId="42"/>
      <inputCells r="E12" val="8000" numFmtId="42"/>
      <inputCells r="F12" val="9000" numFmtId="42"/>
      <inputCells r="C18" val="7500" numFmtId="42"/>
      <inputCells r="D18" val="7500" numFmtId="42"/>
      <inputCells r="E18" val="5000" numFmtId="42"/>
      <inputCells r="F18" val="5000" numFmtId="42"/>
    </scenario>
  </scenarios>
  <mergeCells count="1">
    <mergeCell ref="B9:F9"/>
  </mergeCells>
  <phoneticPr fontId="2" type="noConversion"/>
  <pageMargins left="0.75" right="0.75" top="1" bottom="1" header="0.5" footer="0.5"/>
  <pageSetup orientation="portrait" horizontalDpi="4294967293" verticalDpi="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
    <outlinePr summaryBelow="0"/>
  </sheetPr>
  <dimension ref="A1:G26"/>
  <sheetViews>
    <sheetView showGridLines="0" zoomScale="145" zoomScaleNormal="145" workbookViewId="0">
      <selection activeCell="A2" sqref="A2"/>
    </sheetView>
  </sheetViews>
  <sheetFormatPr defaultRowHeight="12.75" outlineLevelRow="1" outlineLevelCol="1" x14ac:dyDescent="0.2"/>
  <cols>
    <col min="2" max="2" width="19.42578125" bestFit="1" customWidth="1"/>
    <col min="3" max="3" width="17.42578125" hidden="1" customWidth="1" outlineLevel="1"/>
    <col min="4" max="7" width="17.42578125" bestFit="1" customWidth="1" outlineLevel="1"/>
  </cols>
  <sheetData>
    <row r="1" spans="1:7" ht="15" x14ac:dyDescent="0.25">
      <c r="A1" s="24" t="s">
        <v>189</v>
      </c>
      <c r="B1" s="24"/>
      <c r="C1" s="29"/>
      <c r="D1" s="29"/>
      <c r="E1" s="29"/>
      <c r="F1" s="29"/>
      <c r="G1" s="29"/>
    </row>
    <row r="2" spans="1:7" s="196" customFormat="1" hidden="1" x14ac:dyDescent="0.2">
      <c r="A2" s="313"/>
      <c r="B2" s="320"/>
      <c r="C2" s="314"/>
      <c r="D2" s="314"/>
      <c r="E2" s="314"/>
      <c r="F2" s="314"/>
      <c r="G2" s="314"/>
    </row>
    <row r="3" spans="1:7" s="121" customFormat="1" x14ac:dyDescent="0.2">
      <c r="A3" s="238" t="str">
        <f>IF(A2="","",IF(Disable_Video_Hyperlinks,A2,HYPERLINK(Video_website&amp;A2,A2)))</f>
        <v/>
      </c>
      <c r="B3" s="235"/>
      <c r="C3" s="231"/>
      <c r="D3" s="231"/>
      <c r="E3" s="231"/>
      <c r="F3" s="231"/>
      <c r="G3" s="231"/>
    </row>
    <row r="4" spans="1:7" s="121" customFormat="1" x14ac:dyDescent="0.2">
      <c r="A4" s="238"/>
      <c r="B4" s="235"/>
      <c r="C4" s="231"/>
      <c r="D4" s="231"/>
      <c r="E4" s="231"/>
      <c r="F4" s="231"/>
      <c r="G4" s="231"/>
    </row>
    <row r="5" spans="1:7" s="121" customFormat="1" x14ac:dyDescent="0.2">
      <c r="A5" s="238"/>
      <c r="B5" s="235"/>
      <c r="C5" s="231"/>
      <c r="D5" s="231"/>
      <c r="E5" s="231"/>
      <c r="F5" s="231"/>
      <c r="G5" s="231"/>
    </row>
    <row r="6" spans="1:7" ht="15" x14ac:dyDescent="0.25">
      <c r="A6" s="23"/>
      <c r="B6" s="23"/>
      <c r="C6" s="30" t="s">
        <v>63</v>
      </c>
      <c r="D6" s="30" t="s">
        <v>55</v>
      </c>
      <c r="E6" s="30" t="s">
        <v>57</v>
      </c>
      <c r="F6" s="30" t="s">
        <v>59</v>
      </c>
      <c r="G6" s="30" t="s">
        <v>60</v>
      </c>
    </row>
    <row r="7" spans="1:7" ht="123.75" outlineLevel="1" x14ac:dyDescent="0.2">
      <c r="A7" s="26"/>
      <c r="B7" s="26"/>
      <c r="C7" s="18"/>
      <c r="D7" s="33" t="s">
        <v>56</v>
      </c>
      <c r="E7" s="33" t="s">
        <v>58</v>
      </c>
      <c r="F7" s="33" t="s">
        <v>58</v>
      </c>
      <c r="G7" s="33" t="s">
        <v>58</v>
      </c>
    </row>
    <row r="8" spans="1:7" x14ac:dyDescent="0.2">
      <c r="A8" s="27" t="s">
        <v>62</v>
      </c>
      <c r="B8" s="27"/>
      <c r="C8" s="25"/>
      <c r="D8" s="25"/>
      <c r="E8" s="25"/>
      <c r="F8" s="25"/>
      <c r="G8" s="25"/>
    </row>
    <row r="9" spans="1:7" outlineLevel="1" x14ac:dyDescent="0.2">
      <c r="A9" s="26"/>
      <c r="B9" s="26" t="s">
        <v>47</v>
      </c>
      <c r="C9" s="19">
        <v>11500</v>
      </c>
      <c r="D9" s="31">
        <v>10000</v>
      </c>
      <c r="E9" s="31">
        <v>6000</v>
      </c>
      <c r="F9" s="31">
        <v>12500</v>
      </c>
      <c r="G9" s="31">
        <v>11500</v>
      </c>
    </row>
    <row r="10" spans="1:7" outlineLevel="1" x14ac:dyDescent="0.2">
      <c r="A10" s="26"/>
      <c r="B10" s="26" t="s">
        <v>48</v>
      </c>
      <c r="C10" s="19">
        <v>12500</v>
      </c>
      <c r="D10" s="31">
        <v>10000</v>
      </c>
      <c r="E10" s="31">
        <v>15000</v>
      </c>
      <c r="F10" s="31">
        <v>6000</v>
      </c>
      <c r="G10" s="31">
        <v>12500</v>
      </c>
    </row>
    <row r="11" spans="1:7" outlineLevel="1" x14ac:dyDescent="0.2">
      <c r="A11" s="26"/>
      <c r="B11" s="26" t="s">
        <v>49</v>
      </c>
      <c r="C11" s="19">
        <v>8000</v>
      </c>
      <c r="D11" s="31">
        <v>5000</v>
      </c>
      <c r="E11" s="31">
        <v>3000</v>
      </c>
      <c r="F11" s="31">
        <v>3500</v>
      </c>
      <c r="G11" s="31">
        <v>8000</v>
      </c>
    </row>
    <row r="12" spans="1:7" outlineLevel="1" x14ac:dyDescent="0.2">
      <c r="A12" s="26"/>
      <c r="B12" s="26" t="s">
        <v>50</v>
      </c>
      <c r="C12" s="19">
        <v>9000</v>
      </c>
      <c r="D12" s="31">
        <v>7000</v>
      </c>
      <c r="E12" s="31">
        <v>4000</v>
      </c>
      <c r="F12" s="31">
        <v>4500</v>
      </c>
      <c r="G12" s="31">
        <v>9000</v>
      </c>
    </row>
    <row r="13" spans="1:7" outlineLevel="1" x14ac:dyDescent="0.2">
      <c r="A13" s="26"/>
      <c r="B13" s="26" t="s">
        <v>51</v>
      </c>
      <c r="C13" s="20">
        <v>7500</v>
      </c>
      <c r="D13" s="32">
        <v>7000</v>
      </c>
      <c r="E13" s="32">
        <v>5000</v>
      </c>
      <c r="F13" s="32">
        <v>1000</v>
      </c>
      <c r="G13" s="32">
        <v>7500</v>
      </c>
    </row>
    <row r="14" spans="1:7" outlineLevel="1" x14ac:dyDescent="0.2">
      <c r="A14" s="26"/>
      <c r="B14" s="26" t="s">
        <v>52</v>
      </c>
      <c r="C14" s="20">
        <v>7500</v>
      </c>
      <c r="D14" s="32">
        <v>10000</v>
      </c>
      <c r="E14" s="32">
        <v>10000</v>
      </c>
      <c r="F14" s="32">
        <v>3500</v>
      </c>
      <c r="G14" s="32">
        <v>7500</v>
      </c>
    </row>
    <row r="15" spans="1:7" outlineLevel="1" x14ac:dyDescent="0.2">
      <c r="A15" s="26"/>
      <c r="B15" s="26" t="s">
        <v>53</v>
      </c>
      <c r="C15" s="20">
        <v>5000</v>
      </c>
      <c r="D15" s="32">
        <v>8000</v>
      </c>
      <c r="E15" s="32">
        <v>4000</v>
      </c>
      <c r="F15" s="32">
        <v>3500</v>
      </c>
      <c r="G15" s="32">
        <v>5000</v>
      </c>
    </row>
    <row r="16" spans="1:7" outlineLevel="1" x14ac:dyDescent="0.2">
      <c r="A16" s="26"/>
      <c r="B16" s="26" t="s">
        <v>54</v>
      </c>
      <c r="C16" s="20">
        <v>5000</v>
      </c>
      <c r="D16" s="32">
        <v>8000</v>
      </c>
      <c r="E16" s="32">
        <v>4000</v>
      </c>
      <c r="F16" s="32">
        <v>4500</v>
      </c>
      <c r="G16" s="32">
        <v>5000</v>
      </c>
    </row>
    <row r="17" spans="1:7" x14ac:dyDescent="0.2">
      <c r="A17" s="27" t="s">
        <v>64</v>
      </c>
      <c r="B17" s="27"/>
      <c r="C17" s="25"/>
      <c r="D17" s="25"/>
      <c r="E17" s="25"/>
      <c r="F17" s="25"/>
      <c r="G17" s="25"/>
    </row>
    <row r="18" spans="1:7" outlineLevel="1" x14ac:dyDescent="0.2">
      <c r="A18" s="26"/>
      <c r="B18" s="26" t="s">
        <v>73</v>
      </c>
      <c r="C18" s="20">
        <v>1847950</v>
      </c>
      <c r="D18" s="20">
        <v>1438400</v>
      </c>
      <c r="E18" s="20">
        <v>1303600</v>
      </c>
      <c r="F18" s="20">
        <v>1158675</v>
      </c>
      <c r="G18" s="20">
        <v>1847950</v>
      </c>
    </row>
    <row r="19" spans="1:7" outlineLevel="1" x14ac:dyDescent="0.2">
      <c r="A19" s="26"/>
      <c r="B19" s="26" t="s">
        <v>68</v>
      </c>
      <c r="C19" s="21">
        <v>814200</v>
      </c>
      <c r="D19" s="21">
        <v>655400</v>
      </c>
      <c r="E19" s="21">
        <v>688350</v>
      </c>
      <c r="F19" s="21">
        <v>549175</v>
      </c>
      <c r="G19" s="21">
        <v>814200</v>
      </c>
    </row>
    <row r="20" spans="1:7" outlineLevel="1" x14ac:dyDescent="0.2">
      <c r="A20" s="26"/>
      <c r="B20" s="26" t="s">
        <v>69</v>
      </c>
      <c r="C20" s="21">
        <v>696450</v>
      </c>
      <c r="D20" s="21">
        <v>564400</v>
      </c>
      <c r="E20" s="21">
        <v>602850</v>
      </c>
      <c r="F20" s="21">
        <v>479175</v>
      </c>
      <c r="G20" s="21">
        <v>696450</v>
      </c>
    </row>
    <row r="21" spans="1:7" outlineLevel="1" x14ac:dyDescent="0.2">
      <c r="A21" s="26"/>
      <c r="B21" s="26" t="s">
        <v>70</v>
      </c>
      <c r="C21" s="21">
        <v>192500</v>
      </c>
      <c r="D21" s="21">
        <v>192500</v>
      </c>
      <c r="E21" s="21">
        <v>192500</v>
      </c>
      <c r="F21" s="21">
        <v>192500</v>
      </c>
      <c r="G21" s="21">
        <v>192500</v>
      </c>
    </row>
    <row r="22" spans="1:7" outlineLevel="1" x14ac:dyDescent="0.2">
      <c r="A22" s="26"/>
      <c r="B22" s="26" t="s">
        <v>71</v>
      </c>
      <c r="C22" s="21">
        <v>303950</v>
      </c>
      <c r="D22" s="21">
        <v>163900</v>
      </c>
      <c r="E22" s="21">
        <v>212350</v>
      </c>
      <c r="F22" s="21">
        <v>99175</v>
      </c>
      <c r="G22" s="21">
        <v>303950</v>
      </c>
    </row>
    <row r="23" spans="1:7" ht="13.5" outlineLevel="1" thickBot="1" x14ac:dyDescent="0.25">
      <c r="A23" s="28"/>
      <c r="B23" s="28" t="s">
        <v>72</v>
      </c>
      <c r="C23" s="22">
        <v>197567.5</v>
      </c>
      <c r="D23" s="22">
        <v>106535</v>
      </c>
      <c r="E23" s="22">
        <v>138027.5</v>
      </c>
      <c r="F23" s="22">
        <v>64463.75</v>
      </c>
      <c r="G23" s="22">
        <v>197567.5</v>
      </c>
    </row>
    <row r="24" spans="1:7" x14ac:dyDescent="0.2">
      <c r="A24" t="s">
        <v>65</v>
      </c>
    </row>
    <row r="25" spans="1:7" x14ac:dyDescent="0.2">
      <c r="A25" t="s">
        <v>66</v>
      </c>
    </row>
    <row r="26" spans="1:7" x14ac:dyDescent="0.2">
      <c r="A26" t="s">
        <v>67</v>
      </c>
    </row>
  </sheetData>
  <phoneticPr fontId="2" type="noConversion"/>
  <pageMargins left="0.75" right="0.75" top="1" bottom="1" header="0.5" footer="0.5"/>
  <pageSetup orientation="portrait" horizontalDpi="4294967293" verticalDpi="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G11"/>
  <sheetViews>
    <sheetView zoomScale="145" zoomScaleNormal="145" workbookViewId="0">
      <selection activeCell="A2" sqref="A2"/>
    </sheetView>
  </sheetViews>
  <sheetFormatPr defaultRowHeight="12.75" x14ac:dyDescent="0.2"/>
  <cols>
    <col min="1" max="1" width="18.42578125" customWidth="1"/>
    <col min="2" max="2" width="14.140625" bestFit="1" customWidth="1"/>
    <col min="3" max="3" width="10.85546875" bestFit="1" customWidth="1"/>
    <col min="4" max="4" width="18.7109375" bestFit="1" customWidth="1"/>
    <col min="5" max="5" width="15.28515625" bestFit="1" customWidth="1"/>
    <col min="6" max="6" width="19.42578125" bestFit="1" customWidth="1"/>
    <col min="7" max="7" width="10.7109375" bestFit="1" customWidth="1"/>
  </cols>
  <sheetData>
    <row r="1" spans="1:7" ht="18" x14ac:dyDescent="0.25">
      <c r="A1" s="82" t="s">
        <v>128</v>
      </c>
    </row>
    <row r="2" spans="1:7" s="196" customFormat="1" hidden="1" x14ac:dyDescent="0.2">
      <c r="B2" s="319"/>
    </row>
    <row r="3" spans="1:7" s="121" customFormat="1" x14ac:dyDescent="0.2">
      <c r="A3" s="237" t="str">
        <f>IF(A2="","",IF(Disable_Video_Hyperlinks,A2,HYPERLINK(Video_website&amp;A2,A2)))</f>
        <v/>
      </c>
    </row>
    <row r="4" spans="1:7" x14ac:dyDescent="0.2">
      <c r="A4" s="325" t="str">
        <f>IF(B2="","",B2)</f>
        <v/>
      </c>
    </row>
    <row r="5" spans="1:7" x14ac:dyDescent="0.2">
      <c r="A5" s="325"/>
    </row>
    <row r="6" spans="1:7" x14ac:dyDescent="0.2">
      <c r="A6" s="34"/>
      <c r="B6" s="35" t="s">
        <v>75</v>
      </c>
      <c r="C6" s="36"/>
      <c r="D6" s="36"/>
      <c r="E6" s="36"/>
      <c r="F6" s="36"/>
      <c r="G6" s="37"/>
    </row>
    <row r="7" spans="1:7" x14ac:dyDescent="0.2">
      <c r="A7" s="35" t="s">
        <v>74</v>
      </c>
      <c r="B7" s="40" t="s">
        <v>73</v>
      </c>
      <c r="C7" s="41" t="s">
        <v>68</v>
      </c>
      <c r="D7" s="41" t="s">
        <v>69</v>
      </c>
      <c r="E7" s="41" t="s">
        <v>70</v>
      </c>
      <c r="F7" s="41" t="s">
        <v>71</v>
      </c>
      <c r="G7" s="42" t="s">
        <v>72</v>
      </c>
    </row>
    <row r="8" spans="1:7" x14ac:dyDescent="0.2">
      <c r="A8" s="34" t="s">
        <v>60</v>
      </c>
      <c r="B8" s="43">
        <v>1847950</v>
      </c>
      <c r="C8" s="44">
        <v>814200</v>
      </c>
      <c r="D8" s="44">
        <v>696450</v>
      </c>
      <c r="E8" s="44">
        <v>192500</v>
      </c>
      <c r="F8" s="44">
        <v>303950</v>
      </c>
      <c r="G8" s="45">
        <v>197567.5</v>
      </c>
    </row>
    <row r="9" spans="1:7" x14ac:dyDescent="0.2">
      <c r="A9" s="38" t="s">
        <v>59</v>
      </c>
      <c r="B9" s="46">
        <v>1158675</v>
      </c>
      <c r="C9" s="2">
        <v>549175</v>
      </c>
      <c r="D9" s="2">
        <v>479175</v>
      </c>
      <c r="E9" s="2">
        <v>192500</v>
      </c>
      <c r="F9" s="2">
        <v>99175</v>
      </c>
      <c r="G9" s="47">
        <v>64463.75</v>
      </c>
    </row>
    <row r="10" spans="1:7" x14ac:dyDescent="0.2">
      <c r="A10" s="38" t="s">
        <v>55</v>
      </c>
      <c r="B10" s="46">
        <v>1438400</v>
      </c>
      <c r="C10" s="2">
        <v>655400</v>
      </c>
      <c r="D10" s="2">
        <v>564400</v>
      </c>
      <c r="E10" s="2">
        <v>192500</v>
      </c>
      <c r="F10" s="2">
        <v>163900</v>
      </c>
      <c r="G10" s="47">
        <v>106535</v>
      </c>
    </row>
    <row r="11" spans="1:7" x14ac:dyDescent="0.2">
      <c r="A11" s="39" t="s">
        <v>57</v>
      </c>
      <c r="B11" s="48">
        <v>1303600</v>
      </c>
      <c r="C11" s="49">
        <v>688350</v>
      </c>
      <c r="D11" s="49">
        <v>602850</v>
      </c>
      <c r="E11" s="49">
        <v>192500</v>
      </c>
      <c r="F11" s="49">
        <v>212350</v>
      </c>
      <c r="G11" s="50">
        <v>138027.5</v>
      </c>
    </row>
  </sheetData>
  <phoneticPr fontId="2" type="noConversion"/>
  <pageMargins left="0.75" right="0.75" top="1" bottom="1" header="0.5" footer="0.5"/>
  <pageSetup orientation="portrait" horizontalDpi="4294967293" verticalDpi="0" r:id="rId2"/>
  <headerFooter alignWithMargins="0"/>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
  <dimension ref="A1:R122"/>
  <sheetViews>
    <sheetView zoomScale="115" zoomScaleNormal="115" workbookViewId="0">
      <selection activeCell="B33" sqref="B33"/>
    </sheetView>
  </sheetViews>
  <sheetFormatPr defaultRowHeight="12.75" x14ac:dyDescent="0.2"/>
  <cols>
    <col min="1" max="2" width="13.7109375" customWidth="1"/>
    <col min="3" max="3" width="6.7109375" customWidth="1"/>
    <col min="4" max="4" width="13.7109375" customWidth="1"/>
    <col min="5" max="5" width="8.28515625" customWidth="1"/>
    <col min="6" max="6" width="5.5703125" customWidth="1"/>
    <col min="7" max="7" width="12.28515625" customWidth="1"/>
    <col min="8" max="8" width="10.7109375" customWidth="1"/>
    <col min="9" max="9" width="10.5703125" customWidth="1"/>
    <col min="10" max="10" width="12.7109375" customWidth="1"/>
    <col min="11" max="11" width="5.140625" customWidth="1"/>
    <col min="12" max="12" width="16.28515625" bestFit="1" customWidth="1"/>
    <col min="13" max="14" width="12.85546875" bestFit="1" customWidth="1"/>
    <col min="15" max="18" width="12.28515625" bestFit="1" customWidth="1"/>
  </cols>
  <sheetData>
    <row r="1" spans="1:18" ht="18" x14ac:dyDescent="0.25">
      <c r="A1" s="332" t="s">
        <v>307</v>
      </c>
      <c r="B1" s="326"/>
      <c r="C1" s="326"/>
      <c r="D1" s="326"/>
      <c r="E1" s="326"/>
      <c r="F1" s="326"/>
      <c r="G1" s="326"/>
      <c r="H1" s="326"/>
      <c r="I1" s="326"/>
      <c r="J1" s="326"/>
    </row>
    <row r="2" spans="1:18" s="196" customFormat="1" hidden="1" x14ac:dyDescent="0.2">
      <c r="A2" s="327"/>
      <c r="B2" s="328"/>
      <c r="C2" s="327"/>
      <c r="D2" s="327"/>
      <c r="E2" s="327"/>
      <c r="F2" s="327"/>
      <c r="G2" s="327"/>
      <c r="H2" s="327"/>
      <c r="I2" s="327"/>
      <c r="J2" s="327"/>
    </row>
    <row r="3" spans="1:18" s="121" customFormat="1" x14ac:dyDescent="0.2">
      <c r="A3" s="329" t="str">
        <f>IF(A2="","",IF(Disable_Video_Hyperlinks,A2,HYPERLINK(Video_website&amp;A2,A2)))</f>
        <v/>
      </c>
      <c r="B3" s="330"/>
      <c r="C3" s="330"/>
      <c r="D3" s="330"/>
      <c r="E3" s="330"/>
      <c r="F3" s="330"/>
      <c r="G3" s="330"/>
      <c r="H3" s="330"/>
      <c r="I3" s="330"/>
      <c r="J3" s="330"/>
    </row>
    <row r="4" spans="1:18" ht="14.25" x14ac:dyDescent="0.2">
      <c r="A4" s="331" t="str">
        <f>IF(B2="","",B2)</f>
        <v/>
      </c>
      <c r="B4" s="326"/>
      <c r="C4" s="326"/>
      <c r="D4" s="326"/>
      <c r="E4" s="326"/>
      <c r="F4" s="326"/>
      <c r="G4" s="326"/>
      <c r="H4" s="326"/>
      <c r="I4" s="326"/>
      <c r="J4" s="326"/>
    </row>
    <row r="5" spans="1:18" ht="14.25" x14ac:dyDescent="0.2">
      <c r="A5" s="331"/>
      <c r="B5" s="326"/>
      <c r="C5" s="326"/>
      <c r="D5" s="326"/>
      <c r="E5" s="326"/>
      <c r="F5" s="326"/>
      <c r="G5" s="326"/>
      <c r="H5" s="326"/>
      <c r="I5" s="326"/>
      <c r="J5" s="326"/>
    </row>
    <row r="6" spans="1:18" ht="14.25" x14ac:dyDescent="0.2">
      <c r="A6" s="133" t="s">
        <v>2</v>
      </c>
      <c r="B6" s="133"/>
      <c r="C6" s="133"/>
      <c r="D6" s="133"/>
      <c r="E6" s="133"/>
      <c r="F6" s="133"/>
      <c r="G6" s="133"/>
      <c r="H6" s="133"/>
      <c r="I6" s="133"/>
      <c r="J6" s="133"/>
    </row>
    <row r="7" spans="1:18" ht="14.25" x14ac:dyDescent="0.2">
      <c r="A7" s="133" t="s">
        <v>1</v>
      </c>
      <c r="B7" s="133"/>
      <c r="C7" s="133"/>
      <c r="D7" s="133"/>
      <c r="E7" s="133"/>
      <c r="F7" s="133"/>
      <c r="G7" s="133"/>
      <c r="H7" s="133"/>
      <c r="I7" s="133"/>
      <c r="J7" s="133"/>
    </row>
    <row r="9" spans="1:18" ht="15.75" thickBot="1" x14ac:dyDescent="0.3">
      <c r="A9" s="206" t="s">
        <v>3</v>
      </c>
      <c r="B9" s="54"/>
      <c r="C9" s="54"/>
      <c r="D9" s="54"/>
      <c r="E9" s="54"/>
      <c r="F9" s="54"/>
      <c r="G9" s="206" t="s">
        <v>4</v>
      </c>
      <c r="H9" s="54"/>
      <c r="I9" s="54"/>
      <c r="J9" s="54"/>
      <c r="M9" s="357" t="s">
        <v>86</v>
      </c>
      <c r="N9" s="358"/>
      <c r="O9" s="358"/>
      <c r="P9" s="358"/>
      <c r="Q9" s="358"/>
      <c r="R9" s="358"/>
    </row>
    <row r="10" spans="1:18" x14ac:dyDescent="0.2">
      <c r="A10" s="54"/>
      <c r="B10" s="54"/>
      <c r="C10" s="54"/>
      <c r="D10" s="54"/>
      <c r="E10" s="54"/>
      <c r="F10" s="54"/>
      <c r="G10" s="54"/>
      <c r="H10" s="54"/>
      <c r="I10" s="54"/>
      <c r="J10" s="54"/>
    </row>
    <row r="11" spans="1:18" x14ac:dyDescent="0.2">
      <c r="A11" s="191" t="s">
        <v>5</v>
      </c>
      <c r="B11" s="54"/>
      <c r="C11" s="54"/>
      <c r="D11" s="54"/>
      <c r="E11" s="54"/>
      <c r="F11" s="54"/>
      <c r="G11" s="54"/>
      <c r="H11" s="54"/>
      <c r="I11" s="54"/>
      <c r="J11" s="54"/>
      <c r="M11" s="357" t="s">
        <v>84</v>
      </c>
      <c r="N11" s="358"/>
      <c r="O11" s="358"/>
      <c r="P11" s="358"/>
      <c r="Q11" s="358"/>
      <c r="R11" s="358"/>
    </row>
    <row r="12" spans="1:18" x14ac:dyDescent="0.2">
      <c r="A12" s="190" t="s">
        <v>76</v>
      </c>
      <c r="B12" s="54"/>
      <c r="C12" s="54"/>
      <c r="D12" s="54"/>
      <c r="E12" s="54"/>
      <c r="F12" s="54"/>
      <c r="G12" s="54" t="s">
        <v>14</v>
      </c>
      <c r="H12" s="54"/>
      <c r="I12" s="54"/>
      <c r="J12" s="345">
        <f ca="1">D14*D13</f>
        <v>649750</v>
      </c>
      <c r="M12" s="343">
        <v>99.95</v>
      </c>
      <c r="N12" s="343">
        <v>109.95</v>
      </c>
      <c r="O12" s="343">
        <v>119.95</v>
      </c>
      <c r="P12" s="343">
        <v>129.94999999999999</v>
      </c>
      <c r="Q12" s="343">
        <v>139.94999999999999</v>
      </c>
      <c r="R12" s="343">
        <v>149.94999999999999</v>
      </c>
    </row>
    <row r="13" spans="1:18" x14ac:dyDescent="0.2">
      <c r="A13" s="207" t="s">
        <v>77</v>
      </c>
      <c r="B13" s="54"/>
      <c r="C13" s="54"/>
      <c r="D13" s="189">
        <f ca="1">VLOOKUP(B33,D27:E31,2)</f>
        <v>5000</v>
      </c>
      <c r="E13" s="54"/>
      <c r="F13" s="54"/>
      <c r="G13" s="54" t="s">
        <v>8</v>
      </c>
      <c r="H13" s="54"/>
      <c r="I13" s="54"/>
      <c r="J13" s="346">
        <f ca="1">D16*D13</f>
        <v>348750</v>
      </c>
      <c r="L13" t="s">
        <v>88</v>
      </c>
      <c r="M13" s="341">
        <f t="shared" ref="M13:R13" si="0">AVERAGE(M23:M122)</f>
        <v>-84466</v>
      </c>
      <c r="N13" s="341">
        <f t="shared" si="0"/>
        <v>-55932</v>
      </c>
      <c r="O13" s="341">
        <f t="shared" si="0"/>
        <v>-37552</v>
      </c>
      <c r="P13" s="341">
        <f t="shared" si="0"/>
        <v>-18162.000000000004</v>
      </c>
      <c r="Q13" s="341">
        <f t="shared" si="0"/>
        <v>3737.9999999999895</v>
      </c>
      <c r="R13" s="341">
        <f t="shared" si="0"/>
        <v>48094</v>
      </c>
    </row>
    <row r="14" spans="1:18" x14ac:dyDescent="0.2">
      <c r="A14" s="190" t="s">
        <v>6</v>
      </c>
      <c r="B14" s="54"/>
      <c r="C14" s="54"/>
      <c r="D14" s="344">
        <v>129.94999999999999</v>
      </c>
      <c r="E14" s="54"/>
      <c r="F14" s="54"/>
      <c r="G14" s="54" t="s">
        <v>15</v>
      </c>
      <c r="H14" s="54"/>
      <c r="I14" s="54"/>
      <c r="J14" s="345">
        <f ca="1">J12-J13</f>
        <v>301000</v>
      </c>
      <c r="L14" t="s">
        <v>87</v>
      </c>
      <c r="M14" s="341">
        <f t="shared" ref="M14:R14" si="1">STDEV(M23:M122)</f>
        <v>31558.930670263609</v>
      </c>
      <c r="N14" s="341">
        <f t="shared" si="1"/>
        <v>42459.18510758302</v>
      </c>
      <c r="O14" s="341">
        <f t="shared" si="1"/>
        <v>53451.506352142511</v>
      </c>
      <c r="P14" s="341">
        <f t="shared" si="1"/>
        <v>57839.993119297687</v>
      </c>
      <c r="Q14" s="341">
        <f t="shared" si="1"/>
        <v>75128.87618195574</v>
      </c>
      <c r="R14" s="341">
        <f t="shared" si="1"/>
        <v>91516.641771931958</v>
      </c>
    </row>
    <row r="15" spans="1:18" x14ac:dyDescent="0.2">
      <c r="A15" s="191" t="s">
        <v>7</v>
      </c>
      <c r="B15" s="54"/>
      <c r="C15" s="54"/>
      <c r="D15" s="345"/>
      <c r="E15" s="54"/>
      <c r="F15" s="54"/>
      <c r="G15" s="54" t="s">
        <v>16</v>
      </c>
      <c r="H15" s="54"/>
      <c r="I15" s="54"/>
      <c r="J15" s="345"/>
      <c r="L15" t="s">
        <v>89</v>
      </c>
      <c r="M15" s="341">
        <f t="shared" ref="M15:R15" si="2">MAX(M23:M122)</f>
        <v>1000</v>
      </c>
      <c r="N15" s="341">
        <f t="shared" si="2"/>
        <v>51000</v>
      </c>
      <c r="O15" s="341">
        <f t="shared" si="2"/>
        <v>101000</v>
      </c>
      <c r="P15" s="341">
        <f t="shared" si="2"/>
        <v>151000</v>
      </c>
      <c r="Q15" s="341">
        <f t="shared" si="2"/>
        <v>201000</v>
      </c>
      <c r="R15" s="341">
        <f t="shared" si="2"/>
        <v>251000</v>
      </c>
    </row>
    <row r="16" spans="1:18" x14ac:dyDescent="0.2">
      <c r="A16" s="190" t="s">
        <v>8</v>
      </c>
      <c r="B16" s="54"/>
      <c r="C16" s="54"/>
      <c r="D16" s="344">
        <v>69.75</v>
      </c>
      <c r="E16" s="54"/>
      <c r="F16" s="54"/>
      <c r="G16" s="190" t="s">
        <v>17</v>
      </c>
      <c r="H16" s="54"/>
      <c r="I16" s="54"/>
      <c r="J16" s="347">
        <v>5000</v>
      </c>
      <c r="L16" t="s">
        <v>90</v>
      </c>
      <c r="M16" s="341">
        <f t="shared" ref="M16:R16" si="3">MIN(M23:M122)</f>
        <v>-119800</v>
      </c>
      <c r="N16" s="341">
        <f t="shared" si="3"/>
        <v>-109800</v>
      </c>
      <c r="O16" s="341">
        <f t="shared" si="3"/>
        <v>-99800</v>
      </c>
      <c r="P16" s="341">
        <f t="shared" si="3"/>
        <v>-89800.000000000015</v>
      </c>
      <c r="Q16" s="341">
        <f t="shared" si="3"/>
        <v>-79800</v>
      </c>
      <c r="R16" s="341">
        <f t="shared" si="3"/>
        <v>-69800</v>
      </c>
    </row>
    <row r="17" spans="1:18" x14ac:dyDescent="0.2">
      <c r="A17" s="190" t="s">
        <v>9</v>
      </c>
      <c r="B17" s="54"/>
      <c r="C17" s="54"/>
      <c r="D17" s="344">
        <v>5</v>
      </c>
      <c r="E17" s="54"/>
      <c r="F17" s="54"/>
      <c r="G17" s="54" t="s">
        <v>18</v>
      </c>
      <c r="H17" s="54"/>
      <c r="I17" s="54"/>
      <c r="J17" s="345">
        <f ca="1">J14-J16</f>
        <v>296000</v>
      </c>
    </row>
    <row r="18" spans="1:18" x14ac:dyDescent="0.2">
      <c r="A18" s="208" t="s">
        <v>10</v>
      </c>
      <c r="B18" s="54"/>
      <c r="C18" s="54"/>
      <c r="D18" s="344"/>
      <c r="E18" s="54"/>
      <c r="F18" s="54"/>
      <c r="G18" s="54" t="s">
        <v>19</v>
      </c>
      <c r="H18" s="54"/>
      <c r="I18" s="54"/>
      <c r="J18" s="54"/>
    </row>
    <row r="19" spans="1:18" x14ac:dyDescent="0.2">
      <c r="A19" s="190" t="s">
        <v>11</v>
      </c>
      <c r="B19" s="54"/>
      <c r="C19" s="54"/>
      <c r="D19" s="344">
        <v>75000</v>
      </c>
      <c r="E19" s="54"/>
      <c r="F19" s="54"/>
      <c r="G19" s="190" t="s">
        <v>11</v>
      </c>
      <c r="H19" s="54"/>
      <c r="I19" s="345">
        <f>D19</f>
        <v>75000</v>
      </c>
      <c r="J19" s="54"/>
      <c r="M19" s="357" t="s">
        <v>85</v>
      </c>
      <c r="N19" s="357"/>
      <c r="O19" s="357"/>
      <c r="P19" s="357"/>
      <c r="Q19" s="357"/>
      <c r="R19" s="357"/>
    </row>
    <row r="20" spans="1:18" x14ac:dyDescent="0.2">
      <c r="A20" s="190" t="s">
        <v>12</v>
      </c>
      <c r="B20" s="54"/>
      <c r="C20" s="54"/>
      <c r="D20" s="344">
        <v>52000</v>
      </c>
      <c r="E20" s="54"/>
      <c r="F20" s="54"/>
      <c r="G20" s="190" t="s">
        <v>12</v>
      </c>
      <c r="H20" s="54"/>
      <c r="I20" s="345">
        <f>D20</f>
        <v>52000</v>
      </c>
      <c r="J20" s="54"/>
    </row>
    <row r="21" spans="1:18" x14ac:dyDescent="0.2">
      <c r="A21" s="190" t="s">
        <v>13</v>
      </c>
      <c r="B21" s="54"/>
      <c r="C21" s="54"/>
      <c r="D21" s="344">
        <v>18000</v>
      </c>
      <c r="E21" s="54"/>
      <c r="F21" s="54"/>
      <c r="G21" s="190" t="s">
        <v>20</v>
      </c>
      <c r="H21" s="54"/>
      <c r="I21" s="346">
        <f>D21</f>
        <v>18000</v>
      </c>
      <c r="J21" s="54"/>
      <c r="M21" s="357" t="s">
        <v>84</v>
      </c>
      <c r="N21" s="357"/>
      <c r="O21" s="357"/>
      <c r="P21" s="357"/>
      <c r="Q21" s="357"/>
      <c r="R21" s="357"/>
    </row>
    <row r="22" spans="1:18" x14ac:dyDescent="0.2">
      <c r="A22" s="54"/>
      <c r="B22" s="54"/>
      <c r="C22" s="54"/>
      <c r="D22" s="54"/>
      <c r="E22" s="54"/>
      <c r="F22" s="54"/>
      <c r="G22" s="209" t="s">
        <v>21</v>
      </c>
      <c r="H22" s="54"/>
      <c r="I22" s="345"/>
      <c r="J22" s="346">
        <f>SUM(I19:I21)</f>
        <v>145000</v>
      </c>
      <c r="L22" s="52">
        <f ca="1">J23</f>
        <v>151000</v>
      </c>
      <c r="M22" s="342">
        <v>99.95</v>
      </c>
      <c r="N22" s="342">
        <v>109.95</v>
      </c>
      <c r="O22" s="342">
        <v>119.95</v>
      </c>
      <c r="P22" s="342">
        <v>129.94999999999999</v>
      </c>
      <c r="Q22" s="342">
        <v>139.94999999999999</v>
      </c>
      <c r="R22" s="342">
        <v>149.94999999999999</v>
      </c>
    </row>
    <row r="23" spans="1:18" x14ac:dyDescent="0.2">
      <c r="A23" s="54"/>
      <c r="B23" s="54"/>
      <c r="C23" s="54"/>
      <c r="D23" s="54"/>
      <c r="E23" s="54"/>
      <c r="F23" s="54"/>
      <c r="G23" s="209" t="s">
        <v>22</v>
      </c>
      <c r="H23" s="54"/>
      <c r="I23" s="54"/>
      <c r="J23" s="345">
        <f ca="1">J17-J22</f>
        <v>151000</v>
      </c>
      <c r="L23" s="196">
        <v>1</v>
      </c>
      <c r="M23" s="341">
        <f t="dataTable" ref="M23:R122" dt2D="1" dtr="0" r1="D14" r2="G25" ca="1"/>
        <v>-29200</v>
      </c>
      <c r="N23" s="341">
        <v>-69600</v>
      </c>
      <c r="O23" s="341">
        <v>-49600</v>
      </c>
      <c r="P23" s="341">
        <v>30599.999999999942</v>
      </c>
      <c r="Q23" s="341">
        <v>-9600</v>
      </c>
      <c r="R23" s="341">
        <v>90599.999999999942</v>
      </c>
    </row>
    <row r="24" spans="1:18" x14ac:dyDescent="0.2">
      <c r="L24" s="196">
        <v>2</v>
      </c>
      <c r="M24" s="341">
        <v>-59400</v>
      </c>
      <c r="N24" s="341">
        <v>-69600</v>
      </c>
      <c r="O24" s="341">
        <v>-99800</v>
      </c>
      <c r="P24" s="341">
        <v>-29600.000000000029</v>
      </c>
      <c r="Q24" s="341">
        <v>-79800</v>
      </c>
      <c r="R24" s="341">
        <v>10400</v>
      </c>
    </row>
    <row r="25" spans="1:18" x14ac:dyDescent="0.2">
      <c r="A25" s="361" t="s">
        <v>78</v>
      </c>
      <c r="B25" s="358"/>
      <c r="C25" s="361" t="s">
        <v>80</v>
      </c>
      <c r="D25" s="362"/>
      <c r="E25" s="362"/>
      <c r="F25" s="362"/>
      <c r="L25" s="196">
        <v>3</v>
      </c>
      <c r="M25" s="341">
        <v>-119800</v>
      </c>
      <c r="N25" s="341">
        <v>-69600</v>
      </c>
      <c r="O25" s="341">
        <v>-49600</v>
      </c>
      <c r="P25" s="341">
        <v>-29600.000000000029</v>
      </c>
      <c r="Q25" s="341">
        <v>130800</v>
      </c>
      <c r="R25" s="341">
        <v>251000</v>
      </c>
    </row>
    <row r="26" spans="1:18" ht="25.5" x14ac:dyDescent="0.2">
      <c r="A26" s="51" t="s">
        <v>23</v>
      </c>
      <c r="B26" s="17" t="s">
        <v>79</v>
      </c>
      <c r="D26" s="17" t="s">
        <v>81</v>
      </c>
      <c r="E26" s="17" t="s">
        <v>82</v>
      </c>
      <c r="L26" s="196">
        <v>4</v>
      </c>
      <c r="M26" s="341">
        <v>-89600</v>
      </c>
      <c r="N26" s="341">
        <v>-109800</v>
      </c>
      <c r="O26" s="341">
        <v>50800</v>
      </c>
      <c r="P26" s="341">
        <v>-29600.000000000029</v>
      </c>
      <c r="Q26" s="341">
        <v>-79800</v>
      </c>
      <c r="R26" s="341">
        <v>10400</v>
      </c>
    </row>
    <row r="27" spans="1:18" x14ac:dyDescent="0.2">
      <c r="A27" s="204">
        <v>1000</v>
      </c>
      <c r="B27" s="210">
        <v>0.25</v>
      </c>
      <c r="D27" s="210">
        <v>0</v>
      </c>
      <c r="E27" s="3">
        <f>A27</f>
        <v>1000</v>
      </c>
      <c r="L27" s="196">
        <v>5</v>
      </c>
      <c r="M27" s="341">
        <v>-119800</v>
      </c>
      <c r="N27" s="341">
        <v>-29400</v>
      </c>
      <c r="O27" s="341">
        <v>-49600</v>
      </c>
      <c r="P27" s="341">
        <v>-29600.000000000029</v>
      </c>
      <c r="Q27" s="341">
        <v>60599.999999999942</v>
      </c>
      <c r="R27" s="341">
        <v>90599.999999999942</v>
      </c>
    </row>
    <row r="28" spans="1:18" x14ac:dyDescent="0.2">
      <c r="A28" s="204">
        <v>2000</v>
      </c>
      <c r="B28" s="210">
        <v>0.4</v>
      </c>
      <c r="D28" s="16">
        <f>D27+B27</f>
        <v>0.25</v>
      </c>
      <c r="E28" s="3">
        <f>A28</f>
        <v>2000</v>
      </c>
      <c r="L28" s="196">
        <v>6</v>
      </c>
      <c r="M28" s="341">
        <v>-89600</v>
      </c>
      <c r="N28" s="341">
        <v>-109800</v>
      </c>
      <c r="O28" s="341">
        <v>-49600</v>
      </c>
      <c r="P28" s="341">
        <v>-89800.000000000015</v>
      </c>
      <c r="Q28" s="341">
        <v>130800</v>
      </c>
      <c r="R28" s="341">
        <v>10400</v>
      </c>
    </row>
    <row r="29" spans="1:18" x14ac:dyDescent="0.2">
      <c r="A29" s="204">
        <v>3000</v>
      </c>
      <c r="B29" s="210">
        <v>0.2</v>
      </c>
      <c r="D29" s="16">
        <f>D28+B28</f>
        <v>0.65</v>
      </c>
      <c r="E29" s="3">
        <f>A29</f>
        <v>3000</v>
      </c>
      <c r="L29" s="196">
        <v>7</v>
      </c>
      <c r="M29" s="341">
        <v>1000</v>
      </c>
      <c r="N29" s="341">
        <v>-69600</v>
      </c>
      <c r="O29" s="341">
        <v>-99800</v>
      </c>
      <c r="P29" s="341">
        <v>-89800.000000000015</v>
      </c>
      <c r="Q29" s="341">
        <v>-9600</v>
      </c>
      <c r="R29" s="341">
        <v>170800</v>
      </c>
    </row>
    <row r="30" spans="1:18" x14ac:dyDescent="0.2">
      <c r="A30" s="204">
        <v>4000</v>
      </c>
      <c r="B30" s="210">
        <v>0.1</v>
      </c>
      <c r="D30" s="16">
        <f>D29+B29</f>
        <v>0.85000000000000009</v>
      </c>
      <c r="E30" s="3">
        <f>A30</f>
        <v>4000</v>
      </c>
      <c r="L30" s="196">
        <v>8</v>
      </c>
      <c r="M30" s="341">
        <v>-89600</v>
      </c>
      <c r="N30" s="341">
        <v>-69600</v>
      </c>
      <c r="O30" s="341">
        <v>-99800</v>
      </c>
      <c r="P30" s="341">
        <v>-29600.000000000029</v>
      </c>
      <c r="Q30" s="341">
        <v>-9600</v>
      </c>
      <c r="R30" s="341">
        <v>170800</v>
      </c>
    </row>
    <row r="31" spans="1:18" x14ac:dyDescent="0.2">
      <c r="A31" s="204">
        <v>5000</v>
      </c>
      <c r="B31" s="210">
        <v>0.05</v>
      </c>
      <c r="D31" s="16">
        <f>D30+B30</f>
        <v>0.95000000000000007</v>
      </c>
      <c r="E31" s="3">
        <f>A31</f>
        <v>5000</v>
      </c>
      <c r="L31" s="196">
        <v>9</v>
      </c>
      <c r="M31" s="341">
        <v>-89600</v>
      </c>
      <c r="N31" s="341">
        <v>-109800</v>
      </c>
      <c r="O31" s="341">
        <v>-49600</v>
      </c>
      <c r="P31" s="341">
        <v>-29600.000000000029</v>
      </c>
      <c r="Q31" s="341">
        <v>-9600</v>
      </c>
      <c r="R31" s="341">
        <v>90599.999999999942</v>
      </c>
    </row>
    <row r="32" spans="1:18" x14ac:dyDescent="0.2">
      <c r="B32" s="16">
        <f>SUM(B27:B31)</f>
        <v>1</v>
      </c>
      <c r="L32" s="196">
        <v>10</v>
      </c>
      <c r="M32" s="341">
        <v>-89600</v>
      </c>
      <c r="N32" s="341">
        <v>10800</v>
      </c>
      <c r="O32" s="341">
        <v>-49600</v>
      </c>
      <c r="P32" s="341">
        <v>-29600.000000000029</v>
      </c>
      <c r="Q32" s="341">
        <v>-9600</v>
      </c>
      <c r="R32" s="341">
        <v>10400</v>
      </c>
    </row>
    <row r="33" spans="1:18" ht="25.5" x14ac:dyDescent="0.2">
      <c r="A33" s="53" t="s">
        <v>83</v>
      </c>
      <c r="B33" s="55">
        <f ca="1">RAND()</f>
        <v>0.98604893939854288</v>
      </c>
      <c r="L33" s="196">
        <v>11</v>
      </c>
      <c r="M33" s="341">
        <v>-119800</v>
      </c>
      <c r="N33" s="341">
        <v>-69600</v>
      </c>
      <c r="O33" s="341">
        <v>600</v>
      </c>
      <c r="P33" s="341">
        <v>30599.999999999942</v>
      </c>
      <c r="Q33" s="341">
        <v>-79800</v>
      </c>
      <c r="R33" s="341">
        <v>90599.999999999942</v>
      </c>
    </row>
    <row r="34" spans="1:18" x14ac:dyDescent="0.2">
      <c r="L34" s="196">
        <v>12</v>
      </c>
      <c r="M34" s="341">
        <v>-119800</v>
      </c>
      <c r="N34" s="341">
        <v>-29400</v>
      </c>
      <c r="O34" s="341">
        <v>600</v>
      </c>
      <c r="P34" s="341">
        <v>-29600.000000000029</v>
      </c>
      <c r="Q34" s="341">
        <v>60599.999999999942</v>
      </c>
      <c r="R34" s="341">
        <v>170800</v>
      </c>
    </row>
    <row r="35" spans="1:18" x14ac:dyDescent="0.2">
      <c r="L35" s="196">
        <v>13</v>
      </c>
      <c r="M35" s="341">
        <v>-119800</v>
      </c>
      <c r="N35" s="341">
        <v>10800</v>
      </c>
      <c r="O35" s="341">
        <v>101000</v>
      </c>
      <c r="P35" s="341">
        <v>-29600.000000000029</v>
      </c>
      <c r="Q35" s="341">
        <v>60599.999999999942</v>
      </c>
      <c r="R35" s="341">
        <v>10400</v>
      </c>
    </row>
    <row r="36" spans="1:18" x14ac:dyDescent="0.2">
      <c r="L36" s="196">
        <v>14</v>
      </c>
      <c r="M36" s="341">
        <v>-89600</v>
      </c>
      <c r="N36" s="341">
        <v>-109800</v>
      </c>
      <c r="O36" s="341">
        <v>600</v>
      </c>
      <c r="P36" s="341">
        <v>-29600.000000000029</v>
      </c>
      <c r="Q36" s="341">
        <v>-79800</v>
      </c>
      <c r="R36" s="341">
        <v>10400</v>
      </c>
    </row>
    <row r="37" spans="1:18" x14ac:dyDescent="0.2">
      <c r="L37" s="196">
        <v>15</v>
      </c>
      <c r="M37" s="341">
        <v>-119800</v>
      </c>
      <c r="N37" s="341">
        <v>-69600</v>
      </c>
      <c r="O37" s="341">
        <v>-49600</v>
      </c>
      <c r="P37" s="341">
        <v>-29600.000000000029</v>
      </c>
      <c r="Q37" s="341">
        <v>-79800</v>
      </c>
      <c r="R37" s="341">
        <v>-69800</v>
      </c>
    </row>
    <row r="38" spans="1:18" x14ac:dyDescent="0.2">
      <c r="L38" s="196">
        <v>16</v>
      </c>
      <c r="M38" s="341">
        <v>-89600</v>
      </c>
      <c r="N38" s="341">
        <v>-29400</v>
      </c>
      <c r="O38" s="341">
        <v>-99800</v>
      </c>
      <c r="P38" s="341">
        <v>-29600.000000000029</v>
      </c>
      <c r="Q38" s="341">
        <v>201000</v>
      </c>
      <c r="R38" s="341">
        <v>10400</v>
      </c>
    </row>
    <row r="39" spans="1:18" x14ac:dyDescent="0.2">
      <c r="L39" s="196">
        <v>17</v>
      </c>
      <c r="M39" s="341">
        <v>-119800</v>
      </c>
      <c r="N39" s="341">
        <v>-69600</v>
      </c>
      <c r="O39" s="341">
        <v>50800</v>
      </c>
      <c r="P39" s="341">
        <v>-29600.000000000029</v>
      </c>
      <c r="Q39" s="341">
        <v>-9600</v>
      </c>
      <c r="R39" s="341">
        <v>90599.999999999942</v>
      </c>
    </row>
    <row r="40" spans="1:18" x14ac:dyDescent="0.2">
      <c r="L40" s="196">
        <v>18</v>
      </c>
      <c r="M40" s="341">
        <v>-89600</v>
      </c>
      <c r="N40" s="341">
        <v>-69600</v>
      </c>
      <c r="O40" s="341">
        <v>600</v>
      </c>
      <c r="P40" s="341">
        <v>-29600.000000000029</v>
      </c>
      <c r="Q40" s="341">
        <v>-79800</v>
      </c>
      <c r="R40" s="341">
        <v>10400</v>
      </c>
    </row>
    <row r="41" spans="1:18" x14ac:dyDescent="0.2">
      <c r="L41" s="196">
        <v>19</v>
      </c>
      <c r="M41" s="341">
        <v>-89600</v>
      </c>
      <c r="N41" s="341">
        <v>-29400</v>
      </c>
      <c r="O41" s="341">
        <v>600</v>
      </c>
      <c r="P41" s="341">
        <v>-29600.000000000029</v>
      </c>
      <c r="Q41" s="341">
        <v>-79800</v>
      </c>
      <c r="R41" s="341">
        <v>170800</v>
      </c>
    </row>
    <row r="42" spans="1:18" x14ac:dyDescent="0.2">
      <c r="L42" s="196">
        <v>20</v>
      </c>
      <c r="M42" s="341">
        <v>-89600</v>
      </c>
      <c r="N42" s="341">
        <v>-69600</v>
      </c>
      <c r="O42" s="341">
        <v>-99800</v>
      </c>
      <c r="P42" s="341">
        <v>-89800.000000000015</v>
      </c>
      <c r="Q42" s="341">
        <v>-79800</v>
      </c>
      <c r="R42" s="341">
        <v>170800</v>
      </c>
    </row>
    <row r="43" spans="1:18" x14ac:dyDescent="0.2">
      <c r="L43" s="196">
        <v>21</v>
      </c>
      <c r="M43" s="341">
        <v>-89600</v>
      </c>
      <c r="N43" s="341">
        <v>-29400</v>
      </c>
      <c r="O43" s="341">
        <v>600</v>
      </c>
      <c r="P43" s="341">
        <v>-29600.000000000029</v>
      </c>
      <c r="Q43" s="341">
        <v>-9600</v>
      </c>
      <c r="R43" s="341">
        <v>-69800</v>
      </c>
    </row>
    <row r="44" spans="1:18" x14ac:dyDescent="0.2">
      <c r="L44" s="196">
        <v>22</v>
      </c>
      <c r="M44" s="341">
        <v>-119800</v>
      </c>
      <c r="N44" s="341">
        <v>-29400</v>
      </c>
      <c r="O44" s="341">
        <v>-49600</v>
      </c>
      <c r="P44" s="341">
        <v>90799.999999999942</v>
      </c>
      <c r="Q44" s="341">
        <v>130800</v>
      </c>
      <c r="R44" s="341">
        <v>-69800</v>
      </c>
    </row>
    <row r="45" spans="1:18" x14ac:dyDescent="0.2">
      <c r="L45" s="196">
        <v>23</v>
      </c>
      <c r="M45" s="341">
        <v>-119800</v>
      </c>
      <c r="N45" s="341">
        <v>-29400</v>
      </c>
      <c r="O45" s="341">
        <v>600</v>
      </c>
      <c r="P45" s="341">
        <v>-29600.000000000029</v>
      </c>
      <c r="Q45" s="341">
        <v>-9600</v>
      </c>
      <c r="R45" s="341">
        <v>90599.999999999942</v>
      </c>
    </row>
    <row r="46" spans="1:18" x14ac:dyDescent="0.2">
      <c r="L46" s="196">
        <v>24</v>
      </c>
      <c r="M46" s="341">
        <v>-89600</v>
      </c>
      <c r="N46" s="341">
        <v>-69600</v>
      </c>
      <c r="O46" s="341">
        <v>-99800</v>
      </c>
      <c r="P46" s="341">
        <v>-89800.000000000015</v>
      </c>
      <c r="Q46" s="341">
        <v>-79800</v>
      </c>
      <c r="R46" s="341">
        <v>-69800</v>
      </c>
    </row>
    <row r="47" spans="1:18" x14ac:dyDescent="0.2">
      <c r="L47" s="196">
        <v>25</v>
      </c>
      <c r="M47" s="341">
        <v>-59400</v>
      </c>
      <c r="N47" s="341">
        <v>10800</v>
      </c>
      <c r="O47" s="341">
        <v>-49600</v>
      </c>
      <c r="P47" s="341">
        <v>-89800.000000000015</v>
      </c>
      <c r="Q47" s="341">
        <v>-79800</v>
      </c>
      <c r="R47" s="341">
        <v>10400</v>
      </c>
    </row>
    <row r="48" spans="1:18" x14ac:dyDescent="0.2">
      <c r="L48" s="196">
        <v>26</v>
      </c>
      <c r="M48" s="341">
        <v>-119800</v>
      </c>
      <c r="N48" s="341">
        <v>-69600</v>
      </c>
      <c r="O48" s="341">
        <v>-99800</v>
      </c>
      <c r="P48" s="341">
        <v>-29600.000000000029</v>
      </c>
      <c r="Q48" s="341">
        <v>60599.999999999942</v>
      </c>
      <c r="R48" s="341">
        <v>10400</v>
      </c>
    </row>
    <row r="49" spans="12:18" x14ac:dyDescent="0.2">
      <c r="L49" s="196">
        <v>27</v>
      </c>
      <c r="M49" s="341">
        <v>-89600</v>
      </c>
      <c r="N49" s="341">
        <v>10800</v>
      </c>
      <c r="O49" s="341">
        <v>-49600</v>
      </c>
      <c r="P49" s="341">
        <v>-29600.000000000029</v>
      </c>
      <c r="Q49" s="341">
        <v>-79800</v>
      </c>
      <c r="R49" s="341">
        <v>90599.999999999942</v>
      </c>
    </row>
    <row r="50" spans="12:18" x14ac:dyDescent="0.2">
      <c r="L50" s="196">
        <v>28</v>
      </c>
      <c r="M50" s="341">
        <v>-89600</v>
      </c>
      <c r="N50" s="341">
        <v>-109800</v>
      </c>
      <c r="O50" s="341">
        <v>-99800</v>
      </c>
      <c r="P50" s="341">
        <v>-29600.000000000029</v>
      </c>
      <c r="Q50" s="341">
        <v>-9600</v>
      </c>
      <c r="R50" s="341">
        <v>90599.999999999942</v>
      </c>
    </row>
    <row r="51" spans="12:18" x14ac:dyDescent="0.2">
      <c r="L51" s="196">
        <v>29</v>
      </c>
      <c r="M51" s="341">
        <v>-59400</v>
      </c>
      <c r="N51" s="341">
        <v>-69600</v>
      </c>
      <c r="O51" s="341">
        <v>-49600</v>
      </c>
      <c r="P51" s="341">
        <v>-29600.000000000029</v>
      </c>
      <c r="Q51" s="341">
        <v>-9600</v>
      </c>
      <c r="R51" s="341">
        <v>170800</v>
      </c>
    </row>
    <row r="52" spans="12:18" x14ac:dyDescent="0.2">
      <c r="L52" s="196">
        <v>30</v>
      </c>
      <c r="M52" s="341">
        <v>1000</v>
      </c>
      <c r="N52" s="341">
        <v>-109800</v>
      </c>
      <c r="O52" s="341">
        <v>-99800</v>
      </c>
      <c r="P52" s="341">
        <v>30599.999999999942</v>
      </c>
      <c r="Q52" s="341">
        <v>60599.999999999942</v>
      </c>
      <c r="R52" s="341">
        <v>10400</v>
      </c>
    </row>
    <row r="53" spans="12:18" x14ac:dyDescent="0.2">
      <c r="L53" s="196">
        <v>31</v>
      </c>
      <c r="M53" s="341">
        <v>-119800</v>
      </c>
      <c r="N53" s="341">
        <v>-29400</v>
      </c>
      <c r="O53" s="341">
        <v>-49600</v>
      </c>
      <c r="P53" s="341">
        <v>30599.999999999942</v>
      </c>
      <c r="Q53" s="341">
        <v>-9600</v>
      </c>
      <c r="R53" s="341">
        <v>-69800</v>
      </c>
    </row>
    <row r="54" spans="12:18" x14ac:dyDescent="0.2">
      <c r="L54" s="196">
        <v>32</v>
      </c>
      <c r="M54" s="341">
        <v>-119800</v>
      </c>
      <c r="N54" s="341">
        <v>51000</v>
      </c>
      <c r="O54" s="341">
        <v>-99800</v>
      </c>
      <c r="P54" s="341">
        <v>151000</v>
      </c>
      <c r="Q54" s="341">
        <v>-9600</v>
      </c>
      <c r="R54" s="341">
        <v>90599.999999999942</v>
      </c>
    </row>
    <row r="55" spans="12:18" x14ac:dyDescent="0.2">
      <c r="L55" s="196">
        <v>33</v>
      </c>
      <c r="M55" s="341">
        <v>-89600</v>
      </c>
      <c r="N55" s="341">
        <v>-69600</v>
      </c>
      <c r="O55" s="341">
        <v>-49600</v>
      </c>
      <c r="P55" s="341">
        <v>-29600.000000000029</v>
      </c>
      <c r="Q55" s="341">
        <v>60599.999999999942</v>
      </c>
      <c r="R55" s="341">
        <v>170800</v>
      </c>
    </row>
    <row r="56" spans="12:18" x14ac:dyDescent="0.2">
      <c r="L56" s="196">
        <v>34</v>
      </c>
      <c r="M56" s="341">
        <v>-59400</v>
      </c>
      <c r="N56" s="341">
        <v>-69600</v>
      </c>
      <c r="O56" s="341">
        <v>600</v>
      </c>
      <c r="P56" s="341">
        <v>-89800.000000000015</v>
      </c>
      <c r="Q56" s="341">
        <v>-79800</v>
      </c>
      <c r="R56" s="341">
        <v>10400</v>
      </c>
    </row>
    <row r="57" spans="12:18" x14ac:dyDescent="0.2">
      <c r="L57" s="196">
        <v>35</v>
      </c>
      <c r="M57" s="341">
        <v>-59400</v>
      </c>
      <c r="N57" s="341">
        <v>-69600</v>
      </c>
      <c r="O57" s="341">
        <v>-99800</v>
      </c>
      <c r="P57" s="341">
        <v>30599.999999999942</v>
      </c>
      <c r="Q57" s="341">
        <v>-79800</v>
      </c>
      <c r="R57" s="341">
        <v>10400</v>
      </c>
    </row>
    <row r="58" spans="12:18" x14ac:dyDescent="0.2">
      <c r="L58" s="196">
        <v>36</v>
      </c>
      <c r="M58" s="341">
        <v>-89600</v>
      </c>
      <c r="N58" s="341">
        <v>-109800</v>
      </c>
      <c r="O58" s="341">
        <v>-99800</v>
      </c>
      <c r="P58" s="341">
        <v>-89800.000000000015</v>
      </c>
      <c r="Q58" s="341">
        <v>-9600</v>
      </c>
      <c r="R58" s="341">
        <v>10400</v>
      </c>
    </row>
    <row r="59" spans="12:18" x14ac:dyDescent="0.2">
      <c r="L59" s="196">
        <v>37</v>
      </c>
      <c r="M59" s="341">
        <v>-29200</v>
      </c>
      <c r="N59" s="341">
        <v>-69600</v>
      </c>
      <c r="O59" s="341">
        <v>-49600</v>
      </c>
      <c r="P59" s="341">
        <v>30599.999999999942</v>
      </c>
      <c r="Q59" s="341">
        <v>130800</v>
      </c>
      <c r="R59" s="341">
        <v>251000</v>
      </c>
    </row>
    <row r="60" spans="12:18" x14ac:dyDescent="0.2">
      <c r="L60" s="196">
        <v>38</v>
      </c>
      <c r="M60" s="341">
        <v>-59400</v>
      </c>
      <c r="N60" s="341">
        <v>-69600</v>
      </c>
      <c r="O60" s="341">
        <v>101000</v>
      </c>
      <c r="P60" s="341">
        <v>-29600.000000000029</v>
      </c>
      <c r="Q60" s="341">
        <v>-79800</v>
      </c>
      <c r="R60" s="341">
        <v>10400</v>
      </c>
    </row>
    <row r="61" spans="12:18" x14ac:dyDescent="0.2">
      <c r="L61" s="196">
        <v>39</v>
      </c>
      <c r="M61" s="341">
        <v>-119800</v>
      </c>
      <c r="N61" s="341">
        <v>-29400</v>
      </c>
      <c r="O61" s="341">
        <v>600</v>
      </c>
      <c r="P61" s="341">
        <v>30599.999999999942</v>
      </c>
      <c r="Q61" s="341">
        <v>-9600</v>
      </c>
      <c r="R61" s="341">
        <v>-69800</v>
      </c>
    </row>
    <row r="62" spans="12:18" x14ac:dyDescent="0.2">
      <c r="L62" s="196">
        <v>40</v>
      </c>
      <c r="M62" s="341">
        <v>-119800</v>
      </c>
      <c r="N62" s="341">
        <v>-69600</v>
      </c>
      <c r="O62" s="341">
        <v>600</v>
      </c>
      <c r="P62" s="341">
        <v>-29600.000000000029</v>
      </c>
      <c r="Q62" s="341">
        <v>-79800</v>
      </c>
      <c r="R62" s="341">
        <v>-69800</v>
      </c>
    </row>
    <row r="63" spans="12:18" x14ac:dyDescent="0.2">
      <c r="L63" s="196">
        <v>41</v>
      </c>
      <c r="M63" s="341">
        <v>-89600</v>
      </c>
      <c r="N63" s="341">
        <v>-109800</v>
      </c>
      <c r="O63" s="341">
        <v>-49600</v>
      </c>
      <c r="P63" s="341">
        <v>-29600.000000000029</v>
      </c>
      <c r="Q63" s="341">
        <v>60599.999999999942</v>
      </c>
      <c r="R63" s="341">
        <v>90599.999999999942</v>
      </c>
    </row>
    <row r="64" spans="12:18" x14ac:dyDescent="0.2">
      <c r="L64" s="196">
        <v>42</v>
      </c>
      <c r="M64" s="341">
        <v>1000</v>
      </c>
      <c r="N64" s="341">
        <v>-29400</v>
      </c>
      <c r="O64" s="341">
        <v>101000</v>
      </c>
      <c r="P64" s="341">
        <v>30599.999999999942</v>
      </c>
      <c r="Q64" s="341">
        <v>130800</v>
      </c>
      <c r="R64" s="341">
        <v>-69800</v>
      </c>
    </row>
    <row r="65" spans="12:18" x14ac:dyDescent="0.2">
      <c r="L65" s="196">
        <v>43</v>
      </c>
      <c r="M65" s="341">
        <v>-29200</v>
      </c>
      <c r="N65" s="341">
        <v>-109800</v>
      </c>
      <c r="O65" s="341">
        <v>600</v>
      </c>
      <c r="P65" s="341">
        <v>-29600.000000000029</v>
      </c>
      <c r="Q65" s="341">
        <v>-9600</v>
      </c>
      <c r="R65" s="341">
        <v>251000</v>
      </c>
    </row>
    <row r="66" spans="12:18" x14ac:dyDescent="0.2">
      <c r="L66" s="196">
        <v>44</v>
      </c>
      <c r="M66" s="341">
        <v>-59400</v>
      </c>
      <c r="N66" s="341">
        <v>-69600</v>
      </c>
      <c r="O66" s="341">
        <v>-99800</v>
      </c>
      <c r="P66" s="341">
        <v>30599.999999999942</v>
      </c>
      <c r="Q66" s="341">
        <v>-9600</v>
      </c>
      <c r="R66" s="341">
        <v>10400</v>
      </c>
    </row>
    <row r="67" spans="12:18" x14ac:dyDescent="0.2">
      <c r="L67" s="196">
        <v>45</v>
      </c>
      <c r="M67" s="341">
        <v>-89600</v>
      </c>
      <c r="N67" s="341">
        <v>-69600</v>
      </c>
      <c r="O67" s="341">
        <v>600</v>
      </c>
      <c r="P67" s="341">
        <v>90799.999999999942</v>
      </c>
      <c r="Q67" s="341">
        <v>-9600</v>
      </c>
      <c r="R67" s="341">
        <v>10400</v>
      </c>
    </row>
    <row r="68" spans="12:18" x14ac:dyDescent="0.2">
      <c r="L68" s="196">
        <v>46</v>
      </c>
      <c r="M68" s="341">
        <v>-89600</v>
      </c>
      <c r="N68" s="341">
        <v>-109800</v>
      </c>
      <c r="O68" s="341">
        <v>600</v>
      </c>
      <c r="P68" s="341">
        <v>-29600.000000000029</v>
      </c>
      <c r="Q68" s="341">
        <v>-79800</v>
      </c>
      <c r="R68" s="341">
        <v>170800</v>
      </c>
    </row>
    <row r="69" spans="12:18" x14ac:dyDescent="0.2">
      <c r="L69" s="196">
        <v>47</v>
      </c>
      <c r="M69" s="341">
        <v>-119800</v>
      </c>
      <c r="N69" s="341">
        <v>-69600</v>
      </c>
      <c r="O69" s="341">
        <v>-99800</v>
      </c>
      <c r="P69" s="341">
        <v>30599.999999999942</v>
      </c>
      <c r="Q69" s="341">
        <v>130800</v>
      </c>
      <c r="R69" s="341">
        <v>170800</v>
      </c>
    </row>
    <row r="70" spans="12:18" x14ac:dyDescent="0.2">
      <c r="L70" s="196">
        <v>48</v>
      </c>
      <c r="M70" s="341">
        <v>-89600</v>
      </c>
      <c r="N70" s="341">
        <v>-109800</v>
      </c>
      <c r="O70" s="341">
        <v>101000</v>
      </c>
      <c r="P70" s="341">
        <v>-89800.000000000015</v>
      </c>
      <c r="Q70" s="341">
        <v>60599.999999999942</v>
      </c>
      <c r="R70" s="341">
        <v>-69800</v>
      </c>
    </row>
    <row r="71" spans="12:18" x14ac:dyDescent="0.2">
      <c r="L71" s="196">
        <v>49</v>
      </c>
      <c r="M71" s="341">
        <v>-89600</v>
      </c>
      <c r="N71" s="341">
        <v>-109800</v>
      </c>
      <c r="O71" s="341">
        <v>-49600</v>
      </c>
      <c r="P71" s="341">
        <v>-29600.000000000029</v>
      </c>
      <c r="Q71" s="341">
        <v>60599.999999999942</v>
      </c>
      <c r="R71" s="341">
        <v>10400</v>
      </c>
    </row>
    <row r="72" spans="12:18" x14ac:dyDescent="0.2">
      <c r="L72" s="196">
        <v>50</v>
      </c>
      <c r="M72" s="341">
        <v>-89600</v>
      </c>
      <c r="N72" s="341">
        <v>-69600</v>
      </c>
      <c r="O72" s="341">
        <v>50800</v>
      </c>
      <c r="P72" s="341">
        <v>90799.999999999942</v>
      </c>
      <c r="Q72" s="341">
        <v>-9600</v>
      </c>
      <c r="R72" s="341">
        <v>10400</v>
      </c>
    </row>
    <row r="73" spans="12:18" x14ac:dyDescent="0.2">
      <c r="L73" s="196">
        <v>51</v>
      </c>
      <c r="M73" s="341">
        <v>-59400</v>
      </c>
      <c r="N73" s="341">
        <v>-109800</v>
      </c>
      <c r="O73" s="341">
        <v>-99800</v>
      </c>
      <c r="P73" s="341">
        <v>30599.999999999942</v>
      </c>
      <c r="Q73" s="341">
        <v>130800</v>
      </c>
      <c r="R73" s="341">
        <v>10400</v>
      </c>
    </row>
    <row r="74" spans="12:18" x14ac:dyDescent="0.2">
      <c r="L74" s="196">
        <v>52</v>
      </c>
      <c r="M74" s="341">
        <v>-59400</v>
      </c>
      <c r="N74" s="341">
        <v>-69600</v>
      </c>
      <c r="O74" s="341">
        <v>-49600</v>
      </c>
      <c r="P74" s="341">
        <v>-89800.000000000015</v>
      </c>
      <c r="Q74" s="341">
        <v>-9600</v>
      </c>
      <c r="R74" s="341">
        <v>-69800</v>
      </c>
    </row>
    <row r="75" spans="12:18" x14ac:dyDescent="0.2">
      <c r="L75" s="196">
        <v>53</v>
      </c>
      <c r="M75" s="341">
        <v>-89600</v>
      </c>
      <c r="N75" s="341">
        <v>10800</v>
      </c>
      <c r="O75" s="341">
        <v>600</v>
      </c>
      <c r="P75" s="341">
        <v>-89800.000000000015</v>
      </c>
      <c r="Q75" s="341">
        <v>130800</v>
      </c>
      <c r="R75" s="341">
        <v>10400</v>
      </c>
    </row>
    <row r="76" spans="12:18" x14ac:dyDescent="0.2">
      <c r="L76" s="196">
        <v>54</v>
      </c>
      <c r="M76" s="341">
        <v>-119800</v>
      </c>
      <c r="N76" s="341">
        <v>-29400</v>
      </c>
      <c r="O76" s="341">
        <v>-99800</v>
      </c>
      <c r="P76" s="341">
        <v>151000</v>
      </c>
      <c r="Q76" s="341">
        <v>-9600</v>
      </c>
      <c r="R76" s="341">
        <v>10400</v>
      </c>
    </row>
    <row r="77" spans="12:18" x14ac:dyDescent="0.2">
      <c r="L77" s="196">
        <v>55</v>
      </c>
      <c r="M77" s="341">
        <v>-119800</v>
      </c>
      <c r="N77" s="341">
        <v>-69600</v>
      </c>
      <c r="O77" s="341">
        <v>-99800</v>
      </c>
      <c r="P77" s="341">
        <v>30599.999999999942</v>
      </c>
      <c r="Q77" s="341">
        <v>-9600</v>
      </c>
      <c r="R77" s="341">
        <v>10400</v>
      </c>
    </row>
    <row r="78" spans="12:18" x14ac:dyDescent="0.2">
      <c r="L78" s="196">
        <v>56</v>
      </c>
      <c r="M78" s="341">
        <v>-119800</v>
      </c>
      <c r="N78" s="341">
        <v>-109800</v>
      </c>
      <c r="O78" s="341">
        <v>600</v>
      </c>
      <c r="P78" s="341">
        <v>-29600.000000000029</v>
      </c>
      <c r="Q78" s="341">
        <v>-79800</v>
      </c>
      <c r="R78" s="341">
        <v>10400</v>
      </c>
    </row>
    <row r="79" spans="12:18" x14ac:dyDescent="0.2">
      <c r="L79" s="196">
        <v>57</v>
      </c>
      <c r="M79" s="341">
        <v>-59400</v>
      </c>
      <c r="N79" s="341">
        <v>-29400</v>
      </c>
      <c r="O79" s="341">
        <v>600</v>
      </c>
      <c r="P79" s="341">
        <v>30599.999999999942</v>
      </c>
      <c r="Q79" s="341">
        <v>-9600</v>
      </c>
      <c r="R79" s="341">
        <v>-69800</v>
      </c>
    </row>
    <row r="80" spans="12:18" x14ac:dyDescent="0.2">
      <c r="L80" s="196">
        <v>58</v>
      </c>
      <c r="M80" s="341">
        <v>-89600</v>
      </c>
      <c r="N80" s="341">
        <v>10800</v>
      </c>
      <c r="O80" s="341">
        <v>-99800</v>
      </c>
      <c r="P80" s="341">
        <v>-29600.000000000029</v>
      </c>
      <c r="Q80" s="341">
        <v>-9600</v>
      </c>
      <c r="R80" s="341">
        <v>10400</v>
      </c>
    </row>
    <row r="81" spans="12:18" x14ac:dyDescent="0.2">
      <c r="L81" s="196">
        <v>59</v>
      </c>
      <c r="M81" s="341">
        <v>-119800</v>
      </c>
      <c r="N81" s="341">
        <v>-29400</v>
      </c>
      <c r="O81" s="341">
        <v>-99800</v>
      </c>
      <c r="P81" s="341">
        <v>-29600.000000000029</v>
      </c>
      <c r="Q81" s="341">
        <v>-9600</v>
      </c>
      <c r="R81" s="341">
        <v>-69800</v>
      </c>
    </row>
    <row r="82" spans="12:18" x14ac:dyDescent="0.2">
      <c r="L82" s="196">
        <v>60</v>
      </c>
      <c r="M82" s="341">
        <v>-89600</v>
      </c>
      <c r="N82" s="341">
        <v>51000</v>
      </c>
      <c r="O82" s="341">
        <v>-49600</v>
      </c>
      <c r="P82" s="341">
        <v>-29600.000000000029</v>
      </c>
      <c r="Q82" s="341">
        <v>-79800</v>
      </c>
      <c r="R82" s="341">
        <v>170800</v>
      </c>
    </row>
    <row r="83" spans="12:18" x14ac:dyDescent="0.2">
      <c r="L83" s="196">
        <v>61</v>
      </c>
      <c r="M83" s="341">
        <v>-89600</v>
      </c>
      <c r="N83" s="341">
        <v>-29400</v>
      </c>
      <c r="O83" s="341">
        <v>600</v>
      </c>
      <c r="P83" s="341">
        <v>30599.999999999942</v>
      </c>
      <c r="Q83" s="341">
        <v>-79800</v>
      </c>
      <c r="R83" s="341">
        <v>10400</v>
      </c>
    </row>
    <row r="84" spans="12:18" x14ac:dyDescent="0.2">
      <c r="L84" s="196">
        <v>62</v>
      </c>
      <c r="M84" s="341">
        <v>-89600</v>
      </c>
      <c r="N84" s="341">
        <v>-109800</v>
      </c>
      <c r="O84" s="341">
        <v>600</v>
      </c>
      <c r="P84" s="341">
        <v>-29600.000000000029</v>
      </c>
      <c r="Q84" s="341">
        <v>60599.999999999942</v>
      </c>
      <c r="R84" s="341">
        <v>90599.999999999942</v>
      </c>
    </row>
    <row r="85" spans="12:18" x14ac:dyDescent="0.2">
      <c r="L85" s="196">
        <v>63</v>
      </c>
      <c r="M85" s="341">
        <v>-89600</v>
      </c>
      <c r="N85" s="341">
        <v>-109800</v>
      </c>
      <c r="O85" s="341">
        <v>600</v>
      </c>
      <c r="P85" s="341">
        <v>90799.999999999942</v>
      </c>
      <c r="Q85" s="341">
        <v>60599.999999999942</v>
      </c>
      <c r="R85" s="341">
        <v>170800</v>
      </c>
    </row>
    <row r="86" spans="12:18" x14ac:dyDescent="0.2">
      <c r="L86" s="196">
        <v>64</v>
      </c>
      <c r="M86" s="341">
        <v>-89600</v>
      </c>
      <c r="N86" s="341">
        <v>-69600</v>
      </c>
      <c r="O86" s="341">
        <v>-49600</v>
      </c>
      <c r="P86" s="341">
        <v>-89800.000000000015</v>
      </c>
      <c r="Q86" s="341">
        <v>-9600</v>
      </c>
      <c r="R86" s="341">
        <v>90599.999999999942</v>
      </c>
    </row>
    <row r="87" spans="12:18" x14ac:dyDescent="0.2">
      <c r="L87" s="196">
        <v>65</v>
      </c>
      <c r="M87" s="341">
        <v>-29200</v>
      </c>
      <c r="N87" s="341">
        <v>-29400</v>
      </c>
      <c r="O87" s="341">
        <v>-99800</v>
      </c>
      <c r="P87" s="341">
        <v>-89800.000000000015</v>
      </c>
      <c r="Q87" s="341">
        <v>-79800</v>
      </c>
      <c r="R87" s="341">
        <v>170800</v>
      </c>
    </row>
    <row r="88" spans="12:18" x14ac:dyDescent="0.2">
      <c r="L88" s="196">
        <v>66</v>
      </c>
      <c r="M88" s="341">
        <v>-29200</v>
      </c>
      <c r="N88" s="341">
        <v>-109800</v>
      </c>
      <c r="O88" s="341">
        <v>-99800</v>
      </c>
      <c r="P88" s="341">
        <v>-29600.000000000029</v>
      </c>
      <c r="Q88" s="341">
        <v>130800</v>
      </c>
      <c r="R88" s="341">
        <v>170800</v>
      </c>
    </row>
    <row r="89" spans="12:18" x14ac:dyDescent="0.2">
      <c r="L89" s="196">
        <v>67</v>
      </c>
      <c r="M89" s="341">
        <v>-59400</v>
      </c>
      <c r="N89" s="341">
        <v>-29400</v>
      </c>
      <c r="O89" s="341">
        <v>-49600</v>
      </c>
      <c r="P89" s="341">
        <v>-89800.000000000015</v>
      </c>
      <c r="Q89" s="341">
        <v>60599.999999999942</v>
      </c>
      <c r="R89" s="341">
        <v>-69800</v>
      </c>
    </row>
    <row r="90" spans="12:18" x14ac:dyDescent="0.2">
      <c r="L90" s="196">
        <v>68</v>
      </c>
      <c r="M90" s="341">
        <v>-59400</v>
      </c>
      <c r="N90" s="341">
        <v>-29400</v>
      </c>
      <c r="O90" s="341">
        <v>600</v>
      </c>
      <c r="P90" s="341">
        <v>-89800.000000000015</v>
      </c>
      <c r="Q90" s="341">
        <v>-9600</v>
      </c>
      <c r="R90" s="341">
        <v>90599.999999999942</v>
      </c>
    </row>
    <row r="91" spans="12:18" x14ac:dyDescent="0.2">
      <c r="L91" s="196">
        <v>69</v>
      </c>
      <c r="M91" s="341">
        <v>-119800</v>
      </c>
      <c r="N91" s="341">
        <v>-69600</v>
      </c>
      <c r="O91" s="341">
        <v>-99800</v>
      </c>
      <c r="P91" s="341">
        <v>-29600.000000000029</v>
      </c>
      <c r="Q91" s="341">
        <v>-79800</v>
      </c>
      <c r="R91" s="341">
        <v>10400</v>
      </c>
    </row>
    <row r="92" spans="12:18" x14ac:dyDescent="0.2">
      <c r="L92" s="196">
        <v>70</v>
      </c>
      <c r="M92" s="341">
        <v>-59400</v>
      </c>
      <c r="N92" s="341">
        <v>-29400</v>
      </c>
      <c r="O92" s="341">
        <v>-49600</v>
      </c>
      <c r="P92" s="341">
        <v>-89800.000000000015</v>
      </c>
      <c r="Q92" s="341">
        <v>-79800</v>
      </c>
      <c r="R92" s="341">
        <v>90599.999999999942</v>
      </c>
    </row>
    <row r="93" spans="12:18" x14ac:dyDescent="0.2">
      <c r="L93" s="196">
        <v>71</v>
      </c>
      <c r="M93" s="341">
        <v>-89600</v>
      </c>
      <c r="N93" s="341">
        <v>-109800</v>
      </c>
      <c r="O93" s="341">
        <v>600</v>
      </c>
      <c r="P93" s="341">
        <v>90799.999999999942</v>
      </c>
      <c r="Q93" s="341">
        <v>-79800</v>
      </c>
      <c r="R93" s="341">
        <v>251000</v>
      </c>
    </row>
    <row r="94" spans="12:18" x14ac:dyDescent="0.2">
      <c r="L94" s="196">
        <v>72</v>
      </c>
      <c r="M94" s="341">
        <v>-89600</v>
      </c>
      <c r="N94" s="341">
        <v>-109800</v>
      </c>
      <c r="O94" s="341">
        <v>600</v>
      </c>
      <c r="P94" s="341">
        <v>-29600.000000000029</v>
      </c>
      <c r="Q94" s="341">
        <v>-79800</v>
      </c>
      <c r="R94" s="341">
        <v>10400</v>
      </c>
    </row>
    <row r="95" spans="12:18" x14ac:dyDescent="0.2">
      <c r="L95" s="196">
        <v>73</v>
      </c>
      <c r="M95" s="341">
        <v>-89600</v>
      </c>
      <c r="N95" s="341">
        <v>-29400</v>
      </c>
      <c r="O95" s="341">
        <v>600</v>
      </c>
      <c r="P95" s="341">
        <v>-29600.000000000029</v>
      </c>
      <c r="Q95" s="341">
        <v>60599.999999999942</v>
      </c>
      <c r="R95" s="341">
        <v>10400</v>
      </c>
    </row>
    <row r="96" spans="12:18" x14ac:dyDescent="0.2">
      <c r="L96" s="196">
        <v>74</v>
      </c>
      <c r="M96" s="341">
        <v>-29200</v>
      </c>
      <c r="N96" s="341">
        <v>-29400</v>
      </c>
      <c r="O96" s="341">
        <v>-49600</v>
      </c>
      <c r="P96" s="341">
        <v>-89800.000000000015</v>
      </c>
      <c r="Q96" s="341">
        <v>-9600</v>
      </c>
      <c r="R96" s="341">
        <v>90599.999999999942</v>
      </c>
    </row>
    <row r="97" spans="12:18" x14ac:dyDescent="0.2">
      <c r="L97" s="196">
        <v>75</v>
      </c>
      <c r="M97" s="341">
        <v>-119800</v>
      </c>
      <c r="N97" s="341">
        <v>-29400</v>
      </c>
      <c r="O97" s="341">
        <v>-99800</v>
      </c>
      <c r="P97" s="341">
        <v>30599.999999999942</v>
      </c>
      <c r="Q97" s="341">
        <v>-9600</v>
      </c>
      <c r="R97" s="341">
        <v>90599.999999999942</v>
      </c>
    </row>
    <row r="98" spans="12:18" x14ac:dyDescent="0.2">
      <c r="L98" s="196">
        <v>76</v>
      </c>
      <c r="M98" s="341">
        <v>-89600</v>
      </c>
      <c r="N98" s="341">
        <v>-109800</v>
      </c>
      <c r="O98" s="341">
        <v>-49600</v>
      </c>
      <c r="P98" s="341">
        <v>90799.999999999942</v>
      </c>
      <c r="Q98" s="341">
        <v>130800</v>
      </c>
      <c r="R98" s="341">
        <v>90599.999999999942</v>
      </c>
    </row>
    <row r="99" spans="12:18" x14ac:dyDescent="0.2">
      <c r="L99" s="196">
        <v>77</v>
      </c>
      <c r="M99" s="341">
        <v>-89600</v>
      </c>
      <c r="N99" s="341">
        <v>10800</v>
      </c>
      <c r="O99" s="341">
        <v>-49600</v>
      </c>
      <c r="P99" s="341">
        <v>-89800.000000000015</v>
      </c>
      <c r="Q99" s="341">
        <v>130800</v>
      </c>
      <c r="R99" s="341">
        <v>10400</v>
      </c>
    </row>
    <row r="100" spans="12:18" x14ac:dyDescent="0.2">
      <c r="L100" s="196">
        <v>78</v>
      </c>
      <c r="M100" s="341">
        <v>-59400</v>
      </c>
      <c r="N100" s="341">
        <v>-69600</v>
      </c>
      <c r="O100" s="341">
        <v>-99800</v>
      </c>
      <c r="P100" s="341">
        <v>-29600.000000000029</v>
      </c>
      <c r="Q100" s="341">
        <v>-79800</v>
      </c>
      <c r="R100" s="341">
        <v>10400</v>
      </c>
    </row>
    <row r="101" spans="12:18" x14ac:dyDescent="0.2">
      <c r="L101" s="196">
        <v>79</v>
      </c>
      <c r="M101" s="341">
        <v>-59400</v>
      </c>
      <c r="N101" s="341">
        <v>-69600</v>
      </c>
      <c r="O101" s="341">
        <v>-49600</v>
      </c>
      <c r="P101" s="341">
        <v>-89800.000000000015</v>
      </c>
      <c r="Q101" s="341">
        <v>201000</v>
      </c>
      <c r="R101" s="341">
        <v>-69800</v>
      </c>
    </row>
    <row r="102" spans="12:18" x14ac:dyDescent="0.2">
      <c r="L102" s="196">
        <v>80</v>
      </c>
      <c r="M102" s="341">
        <v>-59400</v>
      </c>
      <c r="N102" s="341">
        <v>-29400</v>
      </c>
      <c r="O102" s="341">
        <v>600</v>
      </c>
      <c r="P102" s="341">
        <v>-29600.000000000029</v>
      </c>
      <c r="Q102" s="341">
        <v>60599.999999999942</v>
      </c>
      <c r="R102" s="341">
        <v>-69800</v>
      </c>
    </row>
    <row r="103" spans="12:18" x14ac:dyDescent="0.2">
      <c r="L103" s="196">
        <v>81</v>
      </c>
      <c r="M103" s="341">
        <v>-119800</v>
      </c>
      <c r="N103" s="341">
        <v>-109800</v>
      </c>
      <c r="O103" s="341">
        <v>-49600</v>
      </c>
      <c r="P103" s="341">
        <v>30599.999999999942</v>
      </c>
      <c r="Q103" s="341">
        <v>130800</v>
      </c>
      <c r="R103" s="341">
        <v>-69800</v>
      </c>
    </row>
    <row r="104" spans="12:18" x14ac:dyDescent="0.2">
      <c r="L104" s="196">
        <v>82</v>
      </c>
      <c r="M104" s="341">
        <v>-119800</v>
      </c>
      <c r="N104" s="341">
        <v>51000</v>
      </c>
      <c r="O104" s="341">
        <v>600</v>
      </c>
      <c r="P104" s="341">
        <v>-29600.000000000029</v>
      </c>
      <c r="Q104" s="341">
        <v>-9600</v>
      </c>
      <c r="R104" s="341">
        <v>90599.999999999942</v>
      </c>
    </row>
    <row r="105" spans="12:18" x14ac:dyDescent="0.2">
      <c r="L105" s="196">
        <v>83</v>
      </c>
      <c r="M105" s="341">
        <v>-89600</v>
      </c>
      <c r="N105" s="341">
        <v>-69600</v>
      </c>
      <c r="O105" s="341">
        <v>-49600</v>
      </c>
      <c r="P105" s="341">
        <v>-29600.000000000029</v>
      </c>
      <c r="Q105" s="341">
        <v>60599.999999999942</v>
      </c>
      <c r="R105" s="341">
        <v>90599.999999999942</v>
      </c>
    </row>
    <row r="106" spans="12:18" x14ac:dyDescent="0.2">
      <c r="L106" s="196">
        <v>84</v>
      </c>
      <c r="M106" s="341">
        <v>1000</v>
      </c>
      <c r="N106" s="341">
        <v>-109800</v>
      </c>
      <c r="O106" s="341">
        <v>101000</v>
      </c>
      <c r="P106" s="341">
        <v>30599.999999999942</v>
      </c>
      <c r="Q106" s="341">
        <v>-9600</v>
      </c>
      <c r="R106" s="341">
        <v>-69800</v>
      </c>
    </row>
    <row r="107" spans="12:18" x14ac:dyDescent="0.2">
      <c r="L107" s="196">
        <v>85</v>
      </c>
      <c r="M107" s="341">
        <v>-89600</v>
      </c>
      <c r="N107" s="341">
        <v>10800</v>
      </c>
      <c r="O107" s="341">
        <v>600</v>
      </c>
      <c r="P107" s="341">
        <v>90799.999999999942</v>
      </c>
      <c r="Q107" s="341">
        <v>-9600</v>
      </c>
      <c r="R107" s="341">
        <v>10400</v>
      </c>
    </row>
    <row r="108" spans="12:18" x14ac:dyDescent="0.2">
      <c r="L108" s="196">
        <v>86</v>
      </c>
      <c r="M108" s="341">
        <v>-89600</v>
      </c>
      <c r="N108" s="341">
        <v>-29400</v>
      </c>
      <c r="O108" s="341">
        <v>-99800</v>
      </c>
      <c r="P108" s="341">
        <v>-89800.000000000015</v>
      </c>
      <c r="Q108" s="341">
        <v>-79800</v>
      </c>
      <c r="R108" s="341">
        <v>-69800</v>
      </c>
    </row>
    <row r="109" spans="12:18" x14ac:dyDescent="0.2">
      <c r="L109" s="196">
        <v>87</v>
      </c>
      <c r="M109" s="341">
        <v>-29200</v>
      </c>
      <c r="N109" s="341">
        <v>-69600</v>
      </c>
      <c r="O109" s="341">
        <v>-49600</v>
      </c>
      <c r="P109" s="341">
        <v>-29600.000000000029</v>
      </c>
      <c r="Q109" s="341">
        <v>-9600</v>
      </c>
      <c r="R109" s="341">
        <v>251000</v>
      </c>
    </row>
    <row r="110" spans="12:18" x14ac:dyDescent="0.2">
      <c r="L110" s="196">
        <v>88</v>
      </c>
      <c r="M110" s="341">
        <v>-89600</v>
      </c>
      <c r="N110" s="341">
        <v>-109800</v>
      </c>
      <c r="O110" s="341">
        <v>-49600</v>
      </c>
      <c r="P110" s="341">
        <v>90799.999999999942</v>
      </c>
      <c r="Q110" s="341">
        <v>-9600</v>
      </c>
      <c r="R110" s="341">
        <v>10400</v>
      </c>
    </row>
    <row r="111" spans="12:18" x14ac:dyDescent="0.2">
      <c r="L111" s="196">
        <v>89</v>
      </c>
      <c r="M111" s="341">
        <v>-89600</v>
      </c>
      <c r="N111" s="341">
        <v>10800</v>
      </c>
      <c r="O111" s="341">
        <v>-49600</v>
      </c>
      <c r="P111" s="341">
        <v>-29600.000000000029</v>
      </c>
      <c r="Q111" s="341">
        <v>-79800</v>
      </c>
      <c r="R111" s="341">
        <v>90599.999999999942</v>
      </c>
    </row>
    <row r="112" spans="12:18" x14ac:dyDescent="0.2">
      <c r="L112" s="196">
        <v>90</v>
      </c>
      <c r="M112" s="341">
        <v>-119800</v>
      </c>
      <c r="N112" s="341">
        <v>-69600</v>
      </c>
      <c r="O112" s="341">
        <v>-99800</v>
      </c>
      <c r="P112" s="341">
        <v>-89800.000000000015</v>
      </c>
      <c r="Q112" s="341">
        <v>-79800</v>
      </c>
      <c r="R112" s="341">
        <v>251000</v>
      </c>
    </row>
    <row r="113" spans="12:18" x14ac:dyDescent="0.2">
      <c r="L113" s="196">
        <v>91</v>
      </c>
      <c r="M113" s="341">
        <v>-89600</v>
      </c>
      <c r="N113" s="341">
        <v>-69600</v>
      </c>
      <c r="O113" s="341">
        <v>600</v>
      </c>
      <c r="P113" s="341">
        <v>30599.999999999942</v>
      </c>
      <c r="Q113" s="341">
        <v>-9600</v>
      </c>
      <c r="R113" s="341">
        <v>90599.999999999942</v>
      </c>
    </row>
    <row r="114" spans="12:18" x14ac:dyDescent="0.2">
      <c r="L114" s="196">
        <v>92</v>
      </c>
      <c r="M114" s="341">
        <v>-119800</v>
      </c>
      <c r="N114" s="341">
        <v>-69600</v>
      </c>
      <c r="O114" s="341">
        <v>600</v>
      </c>
      <c r="P114" s="341">
        <v>-29600.000000000029</v>
      </c>
      <c r="Q114" s="341">
        <v>-79800</v>
      </c>
      <c r="R114" s="341">
        <v>10400</v>
      </c>
    </row>
    <row r="115" spans="12:18" x14ac:dyDescent="0.2">
      <c r="L115" s="196">
        <v>93</v>
      </c>
      <c r="M115" s="341">
        <v>-119800</v>
      </c>
      <c r="N115" s="341">
        <v>-29400</v>
      </c>
      <c r="O115" s="341">
        <v>-99800</v>
      </c>
      <c r="P115" s="341">
        <v>-29600.000000000029</v>
      </c>
      <c r="Q115" s="341">
        <v>-79800</v>
      </c>
      <c r="R115" s="341">
        <v>10400</v>
      </c>
    </row>
    <row r="116" spans="12:18" x14ac:dyDescent="0.2">
      <c r="L116" s="196">
        <v>94</v>
      </c>
      <c r="M116" s="341">
        <v>-119800</v>
      </c>
      <c r="N116" s="341">
        <v>-29400</v>
      </c>
      <c r="O116" s="341">
        <v>-49600</v>
      </c>
      <c r="P116" s="341">
        <v>90799.999999999942</v>
      </c>
      <c r="Q116" s="341">
        <v>-9600</v>
      </c>
      <c r="R116" s="341">
        <v>-69800</v>
      </c>
    </row>
    <row r="117" spans="12:18" x14ac:dyDescent="0.2">
      <c r="L117" s="196">
        <v>95</v>
      </c>
      <c r="M117" s="341">
        <v>-119800</v>
      </c>
      <c r="N117" s="341">
        <v>-69600</v>
      </c>
      <c r="O117" s="341">
        <v>-49600</v>
      </c>
      <c r="P117" s="341">
        <v>-89800.000000000015</v>
      </c>
      <c r="Q117" s="341">
        <v>60599.999999999942</v>
      </c>
      <c r="R117" s="341">
        <v>90599.999999999942</v>
      </c>
    </row>
    <row r="118" spans="12:18" x14ac:dyDescent="0.2">
      <c r="L118" s="196">
        <v>96</v>
      </c>
      <c r="M118" s="341">
        <v>-89600</v>
      </c>
      <c r="N118" s="341">
        <v>-29400</v>
      </c>
      <c r="O118" s="341">
        <v>50800</v>
      </c>
      <c r="P118" s="341">
        <v>-29600.000000000029</v>
      </c>
      <c r="Q118" s="341">
        <v>-9600</v>
      </c>
      <c r="R118" s="341">
        <v>10400</v>
      </c>
    </row>
    <row r="119" spans="12:18" x14ac:dyDescent="0.2">
      <c r="L119" s="196">
        <v>97</v>
      </c>
      <c r="M119" s="341">
        <v>-59400</v>
      </c>
      <c r="N119" s="341">
        <v>-29400</v>
      </c>
      <c r="O119" s="341">
        <v>600</v>
      </c>
      <c r="P119" s="341">
        <v>-29600.000000000029</v>
      </c>
      <c r="Q119" s="341">
        <v>-9600</v>
      </c>
      <c r="R119" s="341">
        <v>90599.999999999942</v>
      </c>
    </row>
    <row r="120" spans="12:18" x14ac:dyDescent="0.2">
      <c r="L120" s="196">
        <v>98</v>
      </c>
      <c r="M120" s="341">
        <v>-59400</v>
      </c>
      <c r="N120" s="341">
        <v>-69600</v>
      </c>
      <c r="O120" s="341">
        <v>-49600</v>
      </c>
      <c r="P120" s="341">
        <v>-89800.000000000015</v>
      </c>
      <c r="Q120" s="341">
        <v>-9600</v>
      </c>
      <c r="R120" s="341">
        <v>-69800</v>
      </c>
    </row>
    <row r="121" spans="12:18" x14ac:dyDescent="0.2">
      <c r="L121" s="196">
        <v>99</v>
      </c>
      <c r="M121" s="341">
        <v>-59400</v>
      </c>
      <c r="N121" s="341">
        <v>-69600</v>
      </c>
      <c r="O121" s="341">
        <v>-99800</v>
      </c>
      <c r="P121" s="341">
        <v>-29600.000000000029</v>
      </c>
      <c r="Q121" s="341">
        <v>60599.999999999942</v>
      </c>
      <c r="R121" s="341">
        <v>90599.999999999942</v>
      </c>
    </row>
    <row r="122" spans="12:18" x14ac:dyDescent="0.2">
      <c r="L122" s="196">
        <v>100</v>
      </c>
      <c r="M122" s="341">
        <v>-89600</v>
      </c>
      <c r="N122" s="341">
        <v>51000</v>
      </c>
      <c r="O122" s="341">
        <v>-49600</v>
      </c>
      <c r="P122" s="341">
        <v>-89800.000000000015</v>
      </c>
      <c r="Q122" s="341">
        <v>130800</v>
      </c>
      <c r="R122" s="341">
        <v>-69800</v>
      </c>
    </row>
  </sheetData>
  <mergeCells count="6">
    <mergeCell ref="M11:R11"/>
    <mergeCell ref="M9:R9"/>
    <mergeCell ref="A25:B25"/>
    <mergeCell ref="M21:R21"/>
    <mergeCell ref="M19:R19"/>
    <mergeCell ref="C25:F25"/>
  </mergeCells>
  <phoneticPr fontId="2" type="noConversion"/>
  <pageMargins left="0.75" right="0.75" top="1" bottom="1" header="0.5" footer="0.5"/>
  <pageSetup orientation="portrait" horizontalDpi="4294967293" verticalDpi="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A22"/>
  <sheetViews>
    <sheetView zoomScale="130" zoomScaleNormal="130" workbookViewId="0">
      <selection activeCell="A2" sqref="A2"/>
    </sheetView>
  </sheetViews>
  <sheetFormatPr defaultRowHeight="12.75" x14ac:dyDescent="0.2"/>
  <cols>
    <col min="1" max="1" width="65.7109375" customWidth="1"/>
  </cols>
  <sheetData>
    <row r="1" spans="1:1" ht="18" x14ac:dyDescent="0.25">
      <c r="A1" s="82" t="s">
        <v>205</v>
      </c>
    </row>
    <row r="2" spans="1:1" s="121" customFormat="1" hidden="1" x14ac:dyDescent="0.2"/>
    <row r="3" spans="1:1" s="121" customFormat="1" x14ac:dyDescent="0.2">
      <c r="A3" s="237" t="str">
        <f>IF(A2="","",IF(Disable_Video_Hyperlinks,A2,HYPERLINK(Video_website&amp;A2,A2)))</f>
        <v/>
      </c>
    </row>
    <row r="5" spans="1:1" x14ac:dyDescent="0.2">
      <c r="A5" s="132" t="s">
        <v>199</v>
      </c>
    </row>
    <row r="6" spans="1:1" ht="25.5" x14ac:dyDescent="0.2">
      <c r="A6" s="124" t="s">
        <v>200</v>
      </c>
    </row>
    <row r="7" spans="1:1" ht="38.25" x14ac:dyDescent="0.2">
      <c r="A7" s="125" t="s">
        <v>201</v>
      </c>
    </row>
    <row r="8" spans="1:1" ht="25.5" x14ac:dyDescent="0.2">
      <c r="A8" s="126" t="s">
        <v>202</v>
      </c>
    </row>
    <row r="9" spans="1:1" ht="38.25" x14ac:dyDescent="0.2">
      <c r="A9" s="127" t="s">
        <v>217</v>
      </c>
    </row>
    <row r="10" spans="1:1" ht="25.5" x14ac:dyDescent="0.2">
      <c r="A10" s="128" t="s">
        <v>206</v>
      </c>
    </row>
    <row r="11" spans="1:1" ht="25.5" x14ac:dyDescent="0.2">
      <c r="A11" s="126" t="s">
        <v>207</v>
      </c>
    </row>
    <row r="12" spans="1:1" x14ac:dyDescent="0.2">
      <c r="A12" s="129" t="s">
        <v>208</v>
      </c>
    </row>
    <row r="13" spans="1:1" x14ac:dyDescent="0.2">
      <c r="A13" s="128" t="s">
        <v>209</v>
      </c>
    </row>
    <row r="14" spans="1:1" ht="38.25" x14ac:dyDescent="0.2">
      <c r="A14" s="128" t="s">
        <v>203</v>
      </c>
    </row>
    <row r="15" spans="1:1" ht="25.5" x14ac:dyDescent="0.2">
      <c r="A15" s="126" t="s">
        <v>204</v>
      </c>
    </row>
    <row r="16" spans="1:1" ht="38.25" x14ac:dyDescent="0.2">
      <c r="A16" s="126" t="s">
        <v>210</v>
      </c>
    </row>
    <row r="17" spans="1:1" ht="25.5" x14ac:dyDescent="0.2">
      <c r="A17" s="126" t="s">
        <v>211</v>
      </c>
    </row>
    <row r="18" spans="1:1" ht="25.5" x14ac:dyDescent="0.2">
      <c r="A18" s="127" t="s">
        <v>216</v>
      </c>
    </row>
    <row r="19" spans="1:1" ht="63.75" x14ac:dyDescent="0.2">
      <c r="A19" s="128" t="s">
        <v>215</v>
      </c>
    </row>
    <row r="20" spans="1:1" ht="25.5" x14ac:dyDescent="0.2">
      <c r="A20" s="127" t="s">
        <v>212</v>
      </c>
    </row>
    <row r="21" spans="1:1" ht="38.25" x14ac:dyDescent="0.2">
      <c r="A21" s="131" t="s">
        <v>213</v>
      </c>
    </row>
    <row r="22" spans="1:1" ht="25.5" x14ac:dyDescent="0.2">
      <c r="A22" s="13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62</vt:i4>
      </vt:variant>
    </vt:vector>
  </HeadingPairs>
  <TitlesOfParts>
    <vt:vector size="87" baseType="lpstr">
      <vt:lpstr>Documentation</vt:lpstr>
      <vt:lpstr>_SUMPRODUCT</vt:lpstr>
      <vt:lpstr>Without_SUMPRODUCT</vt:lpstr>
      <vt:lpstr>With_SUMPRODUCT</vt:lpstr>
      <vt:lpstr>_Naming_Ranges</vt:lpstr>
      <vt:lpstr>Unnamed_Ranges</vt:lpstr>
      <vt:lpstr>Named_Ranges</vt:lpstr>
      <vt:lpstr>_Scenario_Manager</vt:lpstr>
      <vt:lpstr>Scenario_Switching</vt:lpstr>
      <vt:lpstr>Changing_Cells</vt:lpstr>
      <vt:lpstr>Scenario_Summary</vt:lpstr>
      <vt:lpstr>Unclear_Summary</vt:lpstr>
      <vt:lpstr>Scenario PivotTable</vt:lpstr>
      <vt:lpstr>Scenario PivotTable 2</vt:lpstr>
      <vt:lpstr>_Goal_Seek</vt:lpstr>
      <vt:lpstr>Goal_Seek_1</vt:lpstr>
      <vt:lpstr>Goal_Seek_2</vt:lpstr>
      <vt:lpstr>_Supplemental</vt:lpstr>
      <vt:lpstr>No_Data_Tables</vt:lpstr>
      <vt:lpstr>Data_Tables</vt:lpstr>
      <vt:lpstr>Swimwear</vt:lpstr>
      <vt:lpstr>Swimwear_Scenario_Summary</vt:lpstr>
      <vt:lpstr>PivotTable_&amp;_Chart</vt:lpstr>
      <vt:lpstr>Probabilities</vt:lpstr>
      <vt:lpstr>Key</vt:lpstr>
      <vt:lpstr>Admin_Costs</vt:lpstr>
      <vt:lpstr>Changing_Cells!Administration_costs</vt:lpstr>
      <vt:lpstr>Administration_costs</vt:lpstr>
      <vt:lpstr>Changing_Cells!Administration_costs__change</vt:lpstr>
      <vt:lpstr>Administration_costs__change</vt:lpstr>
      <vt:lpstr>Change_in_Admin_Costs</vt:lpstr>
      <vt:lpstr>Change_in_Mfg_Costs</vt:lpstr>
      <vt:lpstr>Change_in_Price</vt:lpstr>
      <vt:lpstr>Change_in_Prod_Costs</vt:lpstr>
      <vt:lpstr>Change_in_Sales</vt:lpstr>
      <vt:lpstr>ContributionMargin</vt:lpstr>
      <vt:lpstr>Earnings_Before_Taxes</vt:lpstr>
      <vt:lpstr>Changing_Cells!First_year_of_forecast</vt:lpstr>
      <vt:lpstr>First_year_of_forecast</vt:lpstr>
      <vt:lpstr>Changing_Cells!First_year_sales__change</vt:lpstr>
      <vt:lpstr>First_year_sales__change</vt:lpstr>
      <vt:lpstr>Changing_Cells!First_year_sales__units</vt:lpstr>
      <vt:lpstr>First_year_sales__units</vt:lpstr>
      <vt:lpstr>Gross_Revenue</vt:lpstr>
      <vt:lpstr>GrossProfit</vt:lpstr>
      <vt:lpstr>IncomeBeforeTaxes</vt:lpstr>
      <vt:lpstr>Initial_Admin_Costs</vt:lpstr>
      <vt:lpstr>Initial_Mfg_Cost</vt:lpstr>
      <vt:lpstr>Initial_Price</vt:lpstr>
      <vt:lpstr>Initial_Prod_Costs</vt:lpstr>
      <vt:lpstr>Initial_Sales</vt:lpstr>
      <vt:lpstr>Initital_year_of_forecast</vt:lpstr>
      <vt:lpstr>Last_modified</vt:lpstr>
      <vt:lpstr>NetIncome</vt:lpstr>
      <vt:lpstr>PayrollExpense</vt:lpstr>
      <vt:lpstr>Prod_Facility_Costs</vt:lpstr>
      <vt:lpstr>Changing_Cells!Production_facility_costs</vt:lpstr>
      <vt:lpstr>Production_facility_costs</vt:lpstr>
      <vt:lpstr>Changing_Cells!Production_facility_costs__change</vt:lpstr>
      <vt:lpstr>Production_facility_costs__change</vt:lpstr>
      <vt:lpstr>RacersMktgExp</vt:lpstr>
      <vt:lpstr>RacersSold</vt:lpstr>
      <vt:lpstr>SalesRevenue</vt:lpstr>
      <vt:lpstr>Changing_Cells!Scenario_Name</vt:lpstr>
      <vt:lpstr>Scenario_Name</vt:lpstr>
      <vt:lpstr>Changing_Cells!Selling_price</vt:lpstr>
      <vt:lpstr>Selling_price</vt:lpstr>
      <vt:lpstr>Changing_Cells!Selling_price__change</vt:lpstr>
      <vt:lpstr>Selling_price__change</vt:lpstr>
      <vt:lpstr>tax_rate</vt:lpstr>
      <vt:lpstr>TOC</vt:lpstr>
      <vt:lpstr>TrunksMktgExp</vt:lpstr>
      <vt:lpstr>TrunksSold</vt:lpstr>
      <vt:lpstr>Changing_Cells!Unit_manufacturing_cost</vt:lpstr>
      <vt:lpstr>Unit_manufacturing_cost</vt:lpstr>
      <vt:lpstr>Changing_Cells!Unit_manufacturing_cost__change</vt:lpstr>
      <vt:lpstr>Unit_manufacturing_cost__change</vt:lpstr>
      <vt:lpstr>Unit_mfg_cost</vt:lpstr>
      <vt:lpstr>Unit_Price</vt:lpstr>
      <vt:lpstr>Units_Sold</vt:lpstr>
      <vt:lpstr>Var_Mfg_Cost</vt:lpstr>
      <vt:lpstr>WOneMktgExp</vt:lpstr>
      <vt:lpstr>WOneSold</vt:lpstr>
      <vt:lpstr>WTwoMktgExp</vt:lpstr>
      <vt:lpstr>WTwoSold</vt:lpstr>
      <vt:lpstr>Changing_Cells!Year_increment</vt:lpstr>
      <vt:lpstr>Year_increment</vt:lpstr>
    </vt:vector>
  </TitlesOfParts>
  <Company>The Software Resource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2004-10-25T13:01:39Z</dcterms:created>
  <dcterms:modified xsi:type="dcterms:W3CDTF">2022-03-09T21:53:25Z</dcterms:modified>
</cp:coreProperties>
</file>